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dateCompatibility="0"/>
  <sheets>
    <sheet sheetId="1" name="Updated 28Dec2013" state="visible" r:id="rId3"/>
    <sheet sheetId="2" name="Notes" state="visible" r:id="rId4"/>
  </sheets>
  <definedNames/>
  <calcPr/>
</workbook>
</file>

<file path=xl/sharedStrings.xml><?xml version="1.0" encoding="utf-8"?>
<sst xmlns="http://schemas.openxmlformats.org/spreadsheetml/2006/main" count="46397" uniqueCount="11808">
  <si>
    <t>name</t>
  </si>
  <si>
    <t>school</t>
  </si>
  <si>
    <t>subschool</t>
  </si>
  <si>
    <t>descriptor</t>
  </si>
  <si>
    <t>spell_level</t>
  </si>
  <si>
    <t>casting_time</t>
  </si>
  <si>
    <t>components</t>
  </si>
  <si>
    <t>costly_components</t>
  </si>
  <si>
    <t>range</t>
  </si>
  <si>
    <t>area</t>
  </si>
  <si>
    <t>effect</t>
  </si>
  <si>
    <t>targets</t>
  </si>
  <si>
    <t>duration</t>
  </si>
  <si>
    <t>dismissible</t>
  </si>
  <si>
    <t>shapeable</t>
  </si>
  <si>
    <t>saving_throw</t>
  </si>
  <si>
    <t>spell_resistence</t>
  </si>
  <si>
    <t>description</t>
  </si>
  <si>
    <t>description_formated</t>
  </si>
  <si>
    <t>source</t>
  </si>
  <si>
    <t>full_text</t>
  </si>
  <si>
    <t>verbal</t>
  </si>
  <si>
    <t>somatic</t>
  </si>
  <si>
    <t>material</t>
  </si>
  <si>
    <t>focus</t>
  </si>
  <si>
    <t>divine_focus</t>
  </si>
  <si>
    <t>sor</t>
  </si>
  <si>
    <t>wiz</t>
  </si>
  <si>
    <t>cleric</t>
  </si>
  <si>
    <t>druid</t>
  </si>
  <si>
    <t>ranger</t>
  </si>
  <si>
    <t>bard</t>
  </si>
  <si>
    <t>paladin</t>
  </si>
  <si>
    <t>alchemist</t>
  </si>
  <si>
    <t>summoner</t>
  </si>
  <si>
    <t>witch</t>
  </si>
  <si>
    <t>inquisitor</t>
  </si>
  <si>
    <t>oracle</t>
  </si>
  <si>
    <t>antipaladin</t>
  </si>
  <si>
    <t>magus</t>
  </si>
  <si>
    <t>deity</t>
  </si>
  <si>
    <t>SLA_Level</t>
  </si>
  <si>
    <t>domain</t>
  </si>
  <si>
    <t>short_description</t>
  </si>
  <si>
    <t>acid</t>
  </si>
  <si>
    <t>air</t>
  </si>
  <si>
    <t>chaotic</t>
  </si>
  <si>
    <t>cold</t>
  </si>
  <si>
    <t>curse</t>
  </si>
  <si>
    <t>darkness</t>
  </si>
  <si>
    <t>death</t>
  </si>
  <si>
    <t>disease</t>
  </si>
  <si>
    <t>earth</t>
  </si>
  <si>
    <t>electricity</t>
  </si>
  <si>
    <t>emotion</t>
  </si>
  <si>
    <t>evil</t>
  </si>
  <si>
    <t>fear</t>
  </si>
  <si>
    <t>fire</t>
  </si>
  <si>
    <t>force</t>
  </si>
  <si>
    <t>good</t>
  </si>
  <si>
    <t>language_dependent</t>
  </si>
  <si>
    <t>lawful</t>
  </si>
  <si>
    <t>light</t>
  </si>
  <si>
    <t>mind_affecting</t>
  </si>
  <si>
    <t>pain</t>
  </si>
  <si>
    <t>poison</t>
  </si>
  <si>
    <t>shadow</t>
  </si>
  <si>
    <t>sonic</t>
  </si>
  <si>
    <t>water</t>
  </si>
  <si>
    <t>linktext</t>
  </si>
  <si>
    <t>id</t>
  </si>
  <si>
    <t>material_costs</t>
  </si>
  <si>
    <t>bloodline</t>
  </si>
  <si>
    <t>patron</t>
  </si>
  <si>
    <t>mythic_text</t>
  </si>
  <si>
    <t>augmented</t>
  </si>
  <si>
    <t>mythic</t>
  </si>
  <si>
    <t>Acid Arrow</t>
  </si>
  <si>
    <t>conjuration</t>
  </si>
  <si>
    <t>creation</t>
  </si>
  <si>
    <t>sorcerer/wizard 2, magus 2</t>
  </si>
  <si>
    <t>1 standard action</t>
  </si>
  <si>
    <t>V, S, M (rhubarb leaf and an adder's stomach), F (a dart)</t>
  </si>
  <si>
    <t>long (400 ft. + 40 ft./level)</t>
  </si>
  <si>
    <t>one arrow of acid</t>
  </si>
  <si>
    <t>1 round + 1 round per three levels</t>
  </si>
  <si>
    <t>none</t>
  </si>
  <si>
    <t>no</t>
  </si>
  <si>
    <t>An arrow of acid springs from your hand and speeds to its target. You must succeed on a ranged touch attack to hit your target. The arrow deals 2d4 points of acid damage with no splash damage. For every three caster levels you possess, the acid, unless neutralized, lasts for another round (to a maximum of 6 additional rounds at 18th level), dealing another 2d4 points of damage in each round.</t>
  </si>
  <si>
    <t>&lt;p&gt;An arrow of acid springs from your hand and speeds to its target. You must succeed on a ranged touch attack to hit your target. The arrow deals 2d4 points of acid damage with no splash damage. For every three caster levels you possess, the acid, unless neutralized, lasts for another round (to a maximum of 6 additional rounds at 18th level), dealing another 2d4 points of damage in each round.&lt;/p&gt;</t>
  </si>
  <si>
    <t>PFRPG Core</t>
  </si>
  <si>
    <t>&lt;link rel="stylesheet"href="PF.css"&gt;&lt;div class="heading"&gt;&lt;p class="alignleft"&gt;Acid Arrow &lt;/p&gt;&lt;div style="clear: both;"&gt;&lt;/div&gt;&lt;/div&gt;&lt;div&gt;&lt;h5&gt;&lt;b&gt;School &lt;/b&gt;conjuration (creation) [acid]; &lt;b&gt;Level &lt;/b&gt;sorcerer/wizard 2, magus 2&lt;/h5&gt;&lt;h5&gt;&lt;b&gt;Casting Time &lt;/b&gt;1 standard action&lt;/h5&gt;&lt;h5&gt;&lt;b&gt;Components &lt;/b&gt;V, S, M (rhubarb leaf and an adder's stomach), F (a dart)&lt;/h5&gt;&lt;h5&gt;&lt;b&gt;Range &lt;/b&gt;long (400 ft. + 40 ft./level)&lt;/h5&gt;&lt;h5&gt;&lt;b&gt;Effect &lt;/b&gt;one arrow of acid&lt;/h5&gt;&lt;h5&gt;&lt;b&gt;Duration &lt;/b&gt;1 round + 1 round per three levels&lt;/h5&gt;&lt;h5&gt;&lt;b&gt;Saving Throw &lt;/b&gt;none; &lt;b&gt;Spell Resistance &lt;/b&gt;no&lt;/h5&gt;&lt;/div&gt;&lt;div&gt;&lt;h4&gt;&lt;p&gt;An arrow of acid springs from your hand and speeds to its target. You must succeed on a ranged touch attack to hit your target. The arrow deals 2d4 points of acid damage with no splash damage. For every three caster levels you possess, the acid, unless neutralized, lasts for another round (to a maximum of 6 additional rounds at 18th level), dealing another 2d4 points of damage in each round.&lt;/p&gt;&lt;/h4&gt;&lt;/div&gt;</t>
  </si>
  <si>
    <t>NULL</t>
  </si>
  <si>
    <t> Ranged touch attack; 2d4 damage for 1 round + 1 round/three levels.</t>
  </si>
  <si>
    <t>Acid Fog</t>
  </si>
  <si>
    <t>sorcerer/wizard 6, magus 6</t>
  </si>
  <si>
    <t>V, S, M (powdered peas and an animal hoof)</t>
  </si>
  <si>
    <t>medium (100 ft. + 10 ft./level)</t>
  </si>
  <si>
    <t>fog spreads in 20-ft. radius, 20 ft. high</t>
  </si>
  <si>
    <t>1 round/level</t>
  </si>
  <si>
    <t>Acid fog creates a billowing mass of misty vapors like the solid fog spell. In addition to slowing down creatures and obscuring sight, this spell's vapors are highly acidic. Each round on your turn, starting when you cast the spell, the fog deals 2d6 points of acid damage to each creature and object within it.</t>
  </si>
  <si>
    <t>&lt;p&gt;&lt;i&gt;Acid fog&lt;/i&gt; creates a billowing mass of misty vapors like the &lt;i&gt;solid fog&lt;/i&gt; spell. In addition to slowing down creatures and obscuring sight, this spell's vapors are highly acidic. Each round on your turn, starting when you cast the spell, the fog deals 2d6 points of acid damage to each creature and object within it.&lt;/p&gt;</t>
  </si>
  <si>
    <t>&lt;link rel="stylesheet"href="PF.css"&gt;&lt;div class="heading"&gt;&lt;p class="alignleft"&gt;Acid Fog &lt;/p&gt;&lt;div style="clear: both;"&gt;&lt;/div&gt;&lt;/div&gt;&lt;div&gt;&lt;h5&gt;&lt;b&gt;School &lt;/b&gt;conjuration (creation) [acid]; &lt;b&gt;Level &lt;/b&gt;sorcerer/wizard 6, magus 6&lt;/h5&gt;&lt;h5&gt;&lt;b&gt;Casting Time &lt;/b&gt;1 standard action&lt;/h5&gt;&lt;h5&gt;&lt;b&gt;Components &lt;/b&gt;V, S, M (powdered peas and an animal hoof)&lt;/h5&gt;&lt;h5&gt;&lt;b&gt;Range &lt;/b&gt;medium (100 ft. + 10 ft./level)&lt;/h5&gt;&lt;h5&gt;&lt;b&gt;Effect &lt;/b&gt;fog spreads in 20-ft. radius, 20 ft. high&lt;/h5&gt;&lt;h5&gt;&lt;b&gt;Duration &lt;/b&gt;1 round/level&lt;/h5&gt;&lt;h5&gt;&lt;b&gt;Saving Throw &lt;/b&gt;none; &lt;b&gt;Spell Resistance &lt;/b&gt;no&lt;/h5&gt;&lt;/div&gt;&lt;div&gt;&lt;h4&gt;&lt;p&gt;&lt;i&gt;Acid fog&lt;/i&gt; creates a billowing mass of misty vapors like the &lt;i&gt;solid fog&lt;/i&gt; spell. In addition to slowing down creatures and obscuring sight, this spell's vapors are highly acidic. Each round on your turn, starting when you cast the spell, the fog deals 2d6 points of acid damage to each creature and object within it.&lt;/p&gt;&lt;/h4&gt;&lt;/div&gt;</t>
  </si>
  <si>
    <t> Fog deals acid damage.</t>
  </si>
  <si>
    <t>Acid Splash</t>
  </si>
  <si>
    <t>sorcerer/wizard 0, summoner 0, inquisitor 0, magus 0</t>
  </si>
  <si>
    <t>V, S</t>
  </si>
  <si>
    <t>close (25 ft. + 5 ft./2 levels)</t>
  </si>
  <si>
    <t>one missile of acid</t>
  </si>
  <si>
    <t>instantaneous</t>
  </si>
  <si>
    <t>You fire a small orb of acid at the target. You must succeed on a ranged touch attack to hit your target. The orb deals 1d3 points of acid damage. This acid disappears after 1 round.</t>
  </si>
  <si>
    <t>&lt;p&gt;You fire a small orb of acid at the target. You must succeed on a ranged touch attack to hit your target. The orb deals 1d3 points of acid damage. This acid disappears after 1 round.&lt;/p&gt;</t>
  </si>
  <si>
    <t>&lt;link rel="stylesheet"href="PF.css"&gt;&lt;div class="heading"&gt;&lt;p class="alignleft"&gt;Acid Splash &lt;/p&gt;&lt;div style="clear: both;"&gt;&lt;/div&gt;&lt;/div&gt;&lt;div&gt;&lt;h5&gt;&lt;b&gt;School &lt;/b&gt;conjuration (creation) [acid]; &lt;b&gt;Level &lt;/b&gt;sorcerer/wizard 0, summoner 0, inquisitor 0, magus 0&lt;/h5&gt;&lt;h5&gt;&lt;b&gt;Casting Time &lt;/b&gt;1 standard action&lt;/h5&gt;&lt;h5&gt;&lt;b&gt;Components &lt;/b&gt;V, S&lt;/h5&gt;&lt;h5&gt;&lt;b&gt;Range &lt;/b&gt;close (25 ft. + 5 ft./2 levels)&lt;/h5&gt;&lt;h5&gt;&lt;b&gt;Effect &lt;/b&gt;one missile of acid&lt;/h5&gt;&lt;h5&gt;&lt;b&gt;Duration &lt;/b&gt;instantaneous&lt;/h5&gt;&lt;h5&gt;&lt;b&gt;Saving Throw &lt;/b&gt;none; &lt;b&gt;Spell Resistance &lt;/b&gt;no&lt;/h5&gt;&lt;/div&gt;&lt;div&gt;&lt;h4&gt;&lt;p&gt;You fire a small orb of acid at the target. You must succeed on a ranged touch attack to hit your target. The orb deals 1d3 points of acid damage. This acid disappears after 1 round.&lt;/p&gt;&lt;/h4&gt;&lt;/div&gt;</t>
  </si>
  <si>
    <t> Orb deals 1d3 acid damage.</t>
  </si>
  <si>
    <t>Aid</t>
  </si>
  <si>
    <t>enchantment</t>
  </si>
  <si>
    <t>compulsion</t>
  </si>
  <si>
    <t>mind-affecting</t>
  </si>
  <si>
    <t>cleric 2/oracle 2, inquisitor 2, alchemist 2</t>
  </si>
  <si>
    <t>V, S, DF</t>
  </si>
  <si>
    <t>touch</t>
  </si>
  <si>
    <t>living creature touched</t>
  </si>
  <si>
    <t>1 min./level</t>
  </si>
  <si>
    <t>yes (harmless)</t>
  </si>
  <si>
    <t>Aid grants the target a +1 morale bonus on attack rolls and saves against fear effects, plus temporary hit points equal to 1d8 + caster level (to a maximum of 1d8+10 temporary hit points at caster level 10th).</t>
  </si>
  <si>
    <t>&lt;p&gt;&lt;i&gt;Aid&lt;/i&gt; grants the target a +1 morale bonus on attack rolls and saves against fear effects, plus temporary hit points equal to 1d8 + caster level (to a maximum of 1d8+10 temporary hit points at caster level 10th).&lt;/p&gt;</t>
  </si>
  <si>
    <t>&lt;link rel="stylesheet"href="PF.css"&gt;&lt;div class="heading"&gt;&lt;p class="alignleft"&gt;Aid&lt;/p&gt;&lt;div style="clear: both;"&gt;&lt;/div&gt;&lt;/div&gt;&lt;div&gt;&lt;h5&gt;&lt;b&gt;School &lt;/b&gt;enchantment (compulsion) [mind-affecting]; &lt;b&gt;Level &lt;/b&gt;cleric 2/oracle 2, alchemist 2, inquisitor 2&lt;/h5&gt;&lt;h5&gt;&lt;b&gt;Casting Time &lt;/b&gt;1 standard action&lt;/h5&gt;&lt;h5&gt;&lt;b&gt;Components &lt;/b&gt;V, S, DF&lt;/h5&gt;&lt;h5&gt;&lt;b&gt;Range &lt;/b&gt;touch&lt;/h5&gt;&lt;h5&gt;&lt;b&gt;Targets &lt;/b&gt; living creature touched&lt;/h5&gt;&lt;h5&gt;&lt;b&gt;Duration &lt;/b&gt;1 min./level&lt;/h5&gt;&lt;h5&gt;&lt;b&gt;Saving Throw &lt;/b&gt;none; &lt;b&gt;Spell Resistance &lt;/b&gt;yes (harmless)&lt;/h5&gt;&lt;/div&gt;&lt;div&gt;&lt;h4&gt;&lt;p&gt;&lt;i&gt;Aid&lt;/i&gt; grants the target a +1 morale bonus on attack rolls and saves against fear effects, plus temporary hit points equal to 1d8 + caster level (to a maximum of 1d8+10 temporary hit points at caster level 10th).&lt;/p&gt;&lt;/h4&gt;&lt;/div&gt;</t>
  </si>
  <si>
    <t>Luck, Tactics</t>
  </si>
  <si>
    <t> +1 on attack rolls and saves against fear, 1d8 temporary hp +1/level (max +10).</t>
  </si>
  <si>
    <t>Ancestors</t>
  </si>
  <si>
    <t>Air Walk</t>
  </si>
  <si>
    <t>transmutation</t>
  </si>
  <si>
    <t>cleric 4/oracle 4, druid 4, alchemist 4</t>
  </si>
  <si>
    <t>creature (Gargantuan or smaller) touched</t>
  </si>
  <si>
    <t>10 min./level</t>
  </si>
  <si>
    <t>The subject can tread on air as if walking on solid ground. Moving upward is similar to walking up a hill. The maximum upward or downward angle possible is 45 degrees, at a rate equal to half the air walker's normal speed. A strong wind (21+ miles per hour) can push the subject along or hold it back. At the end of a creature's turn each round, the wind blows the air walker 5 feet for each 5 miles per hour of wind speed. The creature may be subject to additional penalties in exceptionally strong or turbulent winds, such as loss of control over movement or physical damage from being buffeted about. Should the spell duration expire while the subject is still aloft, the magic fails slowly. The subject floats downward 60 feet per round for 1d6 rounds. If it reaches the ground in that amount of time, it lands safely. If not, it falls the rest of the distance, taking 1d6 points of damage per 10 feet of fall. Since dispelling a spell effectively ends it, the subject also descends in this way if the air walk spell is dispelled, but not if it is negated by an antimagic field. You can cast air walk on a specially trained mount so it can be ridden through the air. You can train a mount to move with the aid of air walk (counts as a trick; see Handle Animal skill) with 1 week of work and a DC 25 Handle Animal check.</t>
  </si>
  <si>
    <t>&lt;p&gt;The subject can tread on air as if walking on solid ground. Moving upward is similar to walking up a hill. The maximum upward or downward angle possible is 45 degrees, at a rate equal to half the air walker's normal speed.&lt;/p&gt;&lt;p&gt;A strong wind (21+ miles per hour) can push the subject along or hold it back. At the end of a creature's turn each round, the wind blows the air walker 5 feet for each 5 miles per hour of wind speed. The creature may be subject to additional penalties in exceptionally strong or turbulent winds, such as loss of control over movement or physical damage from being buffeted about.&lt;/p&gt;&lt;p&gt;Should the spell duration expire while the subject is still aloft, the magic fails slowly. The subject floats downward 60 feet per round for 1d6 rounds. If it reaches the ground in that amount of time, it lands safely. If not, it falls the rest of the distance, taking 1d6 points of damage per 10 feet of fall. Since dispelling a spell effectively ends it, the subject also descends in this way if the &lt;i&gt;air walk&lt;/i&gt; spell is dispelled, but not if it is negated by an &lt;i&gt;antimagic field&lt;/i&gt;.&lt;/p&gt;&lt;p&gt;You can cast &lt;i&gt;air walk&lt;/i&gt; on a specially trained mount so it can be ridden through the air. You can train a mount to move with the aid of &lt;i&gt;air walk&lt;/i&gt; (counts as a trick; see Handle Animal skill) with 1 week of work and a DC 25 Handle Animal check.&lt;/p&gt;</t>
  </si>
  <si>
    <t>&lt;link rel="stylesheet"href="PF.css"&gt;&lt;div class="heading"&gt;&lt;p class="alignleft"&gt;Air Walk &lt;/p&gt;&lt;div style="clear: both;"&gt;&lt;/div&gt;&lt;/div&gt;&lt;div&gt;&lt;h5&gt;&lt;b&gt;School &lt;/b&gt;transmutation [air]; &lt;b&gt;Level &lt;/b&gt;cleric 4/oracle 4, druid 4, alchemist 4&lt;/h5&gt;&lt;h5&gt;&lt;b&gt;Casting Time &lt;/b&gt;1 standard action&lt;/h5&gt;&lt;h5&gt;&lt;b&gt;Components &lt;/b&gt;V, S, DF&lt;/h5&gt;&lt;h5&gt;&lt;b&gt;Range &lt;/b&gt;touch&lt;/h5&gt;&lt;h5&gt;&lt;b&gt;Targets &lt;/b&gt; creature (Gargantuan or smaller) touched&lt;/h5&gt;&lt;h5&gt;&lt;b&gt;Duration &lt;/b&gt;10 min./level&lt;/h5&gt;&lt;h5&gt;&lt;b&gt;Saving Throw &lt;/b&gt;none; &lt;b&gt;Spell Resistance &lt;/b&gt;yes (harmless)&lt;/h5&gt;&lt;/div&gt;&lt;div&gt;&lt;h4&gt;&lt;p&gt;The subject can tread on air as if walking on solid ground. Moving upward is similar to walking up a hill. The maximum upward or downward angle possible is 45 degrees, at a rate equal to half the air walker's normal speed.&lt;/p&gt;&lt;p&gt;A strong wind (21+ miles per hour) can push the subject along or hold it back. At the end of a creature's turn each round, the wind blows the air walker 5 feet for each 5 miles per hour of wind speed. The creature may be subject to additional penalties in exceptionally strong or turbulent winds, such as loss of control over movement or physical damage from being buffeted about.&lt;/p&gt;&lt;p&gt;Should the spell duration expire while the subject is still aloft, the magic fails slowly. The subject floats downward 60 feet per round for 1d6 rounds. If it reaches the ground in that amount of time, it lands safely. If not, it falls the rest of the distance, taking 1d6 points of damage per 10 feet of fall. Since dispelling a spell effectively ends it, the subject also descends in this way if the &lt;i&gt;air walk&lt;/i&gt; spell is dispelled, but not if it is negated by an &lt;i&gt;antimagic field&lt;/i&gt;.&lt;/p&gt;&lt;p&gt;You can cast &lt;i&gt;air walk&lt;/i&gt; on a specially trained mount so it can be ridden through the air. You can train a mount to move with the aid of &lt;i&gt;air walk&lt;/i&gt; (counts as a trick; see Handle Animal skill) with 1 week of work and a DC 25 Handle Animal check.&lt;/p&gt;&lt;/h4&gt;&lt;/div&gt;</t>
  </si>
  <si>
    <t>Air</t>
  </si>
  <si>
    <t>Subject treads on air as if solid (climb or descend at 45-degree angle).</t>
  </si>
  <si>
    <t>Align Weapon</t>
  </si>
  <si>
    <t>see text</t>
  </si>
  <si>
    <t>cleric 2/oracle 2, inquisitor 2</t>
  </si>
  <si>
    <t>weapon touched or 50 projectiles (all of which must be together at the time of casting)</t>
  </si>
  <si>
    <t>Will negates (harmless, object)</t>
  </si>
  <si>
    <t>yes (harmless, object)</t>
  </si>
  <si>
    <t>Align weapon makes a weapon chaotic, evil, good, or lawful, as you choose. A weapon that is aligned can bypass the damage reduction of certain creatures. This spell has no effect on a weapon that already has an alignment. You can't cast this spell on a natural weapon, such as an unarmed strike. When you make a weapon chaotic, evil, good, or lawful, align weapon is a chaotic, evil, good, or lawful spell, respectively.</t>
  </si>
  <si>
    <t>&lt;p&gt;&lt;i&gt;Align weapon&lt;/i&gt; makes a weapon chaotic, evil, good, or lawful, as you choose. A weapon that is aligned can bypass the damage reduction of certain creatures. This spell has no effect on a weapon that already has an alignment.&lt;/p&gt;&lt;p&gt;You can't cast this spell on a natural weapon, such as an unarmed strike. When you make a weapon chaotic, evil, good, or lawful, &lt;i&gt;align weapon&lt;/i&gt; is a chaotic, evil, good, or lawful spell, respectively.&lt;/p&gt;</t>
  </si>
  <si>
    <t>&lt;link rel="stylesheet"href="PF.css"&gt;&lt;div class="heading"&gt;&lt;p class="alignleft"&gt;Align Weapon &lt;/p&gt;&lt;div style="clear: both;"&gt;&lt;/div&gt;&lt;/div&gt;&lt;div&gt;&lt;h5&gt;&lt;b&gt;School &lt;/b&gt;transmutation [see text]; &lt;b&gt;Level &lt;/b&gt;cleric 2/oracle 2, inquisitor 2&lt;/h5&gt;&lt;h5&gt;&lt;b&gt;Casting Time &lt;/b&gt;1 standard action&lt;/h5&gt;&lt;h5&gt;&lt;b&gt;Components &lt;/b&gt;V, S, DF&lt;/h5&gt;&lt;h5&gt;&lt;b&gt;Range &lt;/b&gt;touch&lt;/h5&gt;&lt;h5&gt;&lt;b&gt;Targets &lt;/b&gt; weapon touched or 50 projectiles (all of which must be together at the time of casting)&lt;/h5&gt;&lt;h5&gt;&lt;b&gt;Duration &lt;/b&gt;1 min./level&lt;/h5&gt;&lt;h5&gt;&lt;b&gt;Saving Throw &lt;/b&gt;Will negates (harmless, object); &lt;b&gt;Spell Resistance &lt;/b&gt;yes (harmless, object)&lt;/h5&gt;&lt;/div&gt;&lt;div&gt;&lt;h4&gt;&lt;p&gt;&lt;i&gt;Align weapon&lt;/i&gt; makes a weapon chaotic, evil, good, or lawful, as you choose. A weapon that is aligned can bypass the damage reduction of certain creatures. This spell has no effect on a weapon that already has an alignment.&lt;/p&gt;&lt;p&gt;You can't cast this spell on a natural weapon, such as an unarmed strike. When you make a weapon chaotic, evil, good, or lawful, &lt;i&gt;align weapon&lt;/i&gt; is a chaotic, evil, good, or lawful spell, respectively.&lt;/p&gt;&lt;/h4&gt;&lt;/div&gt;</t>
  </si>
  <si>
    <t>Chaos, Evil, Good, Law</t>
  </si>
  <si>
    <t> Weapon becomes good, evil, lawful, or chaotic.</t>
  </si>
  <si>
    <t>Alter Self</t>
  </si>
  <si>
    <t>polymorph</t>
  </si>
  <si>
    <t>bard 2, sorcerer/wizard 2, witch 2, summoner 2, alchemist 2, magus 2</t>
  </si>
  <si>
    <t>V, S, M (a piece of the creature whose form you plan to assume)</t>
  </si>
  <si>
    <t>personal</t>
  </si>
  <si>
    <t>you</t>
  </si>
  <si>
    <t>When you cast this spell, you can assume the form of any Small or Medium creature of the humanoid type. If the form you assume has any of the following abilities, you gain the listed ability: darkvision 60 feet, low-light vision, scent, and swim 30 feet. Small creature: If the form you take is that of a Small humanoid, you gain a +2 size bonus to your Dexterity. Medium creature: If the form you take is that of a Medium humanoid, you gain a +2 size bonus to your Strength.</t>
  </si>
  <si>
    <t>&lt;p&gt;When you cast this spell, you can assume the form of any Small or Medium creature of the humanoid type. If the form you assume has any of the following abilities, you gain the listed ability: darkvision 60 feet, low-light vision, scent, and swim 30 feet.&lt;/p&gt;&lt;p&gt;&lt;i&gt;Small creature&lt;/i&gt;: If the form you take is that of a Small humanoid, you gain a +2 size bonus to your Dexterity.&lt;/p&gt;&lt;p&gt;&lt;i&gt;Medium creature&lt;/i&gt;: If the form you take is that of a Medium humanoid, you gain a +2 size bonus to your Strength.&lt;/p&gt;</t>
  </si>
  <si>
    <t>&lt;link rel="stylesheet"href="PF.css"&gt;&lt;div class="heading"&gt;&lt;p class="alignleft"&gt;Alter Self &lt;/p&gt;&lt;div style="clear: both;"&gt;&lt;/div&gt;&lt;/div&gt;&lt;div&gt;&lt;h5&gt;&lt;b&gt;School &lt;/b&gt;transmutation (polymorph); &lt;b&gt;Level &lt;/b&gt;bard 2, sorcerer/wizard 2, alchemist 2, summoner 2, witch 2&lt;/h5&gt;&lt;h5&gt;&lt;b&gt;Casting Time &lt;/b&gt;1 standard action&lt;/h5&gt;&lt;h5&gt;&lt;b&gt;Components &lt;/b&gt;V, S, M (a piece of the creature whose form you plan to assume)&lt;/h5&gt;&lt;h5&gt;&lt;b&gt;Range &lt;/b&gt;personal&lt;/h5&gt;&lt;h5&gt;&lt;b&gt;Targets &lt;/b&gt; you&lt;/h5&gt;&lt;h5&gt;&lt;b&gt;Duration &lt;/b&gt;1 min./level (D)&lt;/h5&gt;&lt;/div&gt;&lt;div&gt;&lt;h4&gt;&lt;p&gt;When you cast this spell, you can assume the form of any Small or Medium creature of the humanoid type. If the form you assume has any of the following abilities, you gain the listed ability: darkvision 60 feet, low-light vision, scent, and swim 30 feet.&lt;/p&gt;&lt;p&gt;&lt;i&gt;Small creature&lt;/i&gt;: If the form you take is that of a Small humanoid, you gain a +2 size bonus to your Dexterity.&lt;/p&gt;&lt;p&gt;&lt;i&gt;Medium creature&lt;/i&gt;: If the form you take is that of a Medium humanoid, you gain a +2 size bonus to your Strength.&lt;/p&gt;&lt;/h4&gt;&lt;/div&gt;</t>
  </si>
  <si>
    <t>Assume form of a Small or Medium humanoid.</t>
  </si>
  <si>
    <t>Alarm</t>
  </si>
  <si>
    <t>abjuration</t>
  </si>
  <si>
    <t>bard 1, ranger 1, sorcerer/wizard 1, summoner 1, inquisitor 1</t>
  </si>
  <si>
    <t>V, S, F/DF (a tiny bell and a piece of very fine silver wire)</t>
  </si>
  <si>
    <t>20-ft.-radius emanation centered on a point in space</t>
  </si>
  <si>
    <t>2 hours/level</t>
  </si>
  <si>
    <t>Alarm creates a subtle ward on an area you select. Once the spell effect is in place, it thereafter sounds a mental or audible alarm each time a creature of Tiny or larger size enters the warded area or touches it. A creature that speaks the password (determined by you at the time of casting) does not set off the alarm. You decide at the time of casting whether the alarm will be mental or audible in nature. Mental Alarm: A mental alarm alerts you (and only you) so long as you remain within 1 mile of the warded area. You note a single mental "ping" that awakens you from normal sleep but does not otherwise disturb concentration. A silence spell has no effect on a mental alarm. Audible Alarm: An audible alarm produces the sound of a hand bell, and anyone within 60 feet of the warded area can hear it clearly. Reduce the distance by 10 feet for each interposing closed door and by 20 feet for each substantial interposing wall. In quiet conditions, the ringing can be heard faintly as far as 180 feet away. The sound lasts for 1 round. Creatures within a silence spell cannot hear the ringing. Ethereal or astral creatures do not trigger the alarm. Alarm can be made permanent with a permanency spell.</t>
  </si>
  <si>
    <t>&lt;p&gt;&lt;i&gt;Alarm&lt;/i&gt; creates a subtle ward on an area you select. Once the spell effect is in place, it thereafter sounds a mental or audible alarm each time a creature of Tiny or larger size enters the warded area or touches it. A creature that speaks the password (determined by you at the time of casting) does not set off the &lt;i&gt;alarm&lt;/i&gt;. You decide at the time of casting whether the &lt;i&gt;alarm&lt;/i&gt; will be mental or audible in nature.&lt;/p&gt;&lt;p&gt;&lt;i&gt;Mental Alarm&lt;/i&gt;: A mental &lt;i&gt;alarm&lt;/i&gt; alerts you (and only you) so long as you remain within 1 mile of the warded area. You note a single mental "ping" that awakens you from normal sleep but does not otherwise disturb concentration. A silence spell has no effect on a mental &lt;i&gt;alarm&lt;/i&gt;.&lt;/p&gt;&lt;p&gt;&lt;i&gt;Audible Alarm&lt;/i&gt;: An audible &lt;i&gt;alarm&lt;/i&gt; produces the sound of a hand bell, and anyone within 60 feet of the warded area can hear it clearly. Reduce the distance by 10 feet for each interposing closed door and by 20 feet for each substantial interposing wall.&lt;/p&gt;&lt;p&gt;In quiet conditions, the ringing can be heard faintly as far as 180 feet away. The sound lasts for 1 round. Creatures within a &lt;i&gt;silence&lt;/i&gt; spell cannot hear the ringing. Ethereal or astral creatures do not trigger the &lt;i&gt;alarm&lt;/i&gt;.&lt;/p&gt;&lt;p&gt;&lt;i&gt;Alarm&lt;/i&gt; can be made permanent with a &lt;i&gt;permanency&lt;/i&gt; spell.&lt;/p&gt;</t>
  </si>
  <si>
    <t>&lt;link rel="stylesheet"href="PF.css"&gt;&lt;div class="heading"&gt;&lt;p class="alignleft"&gt;Alarm &lt;/p&gt;&lt;div style="clear: both;"&gt;&lt;/div&gt;&lt;/div&gt;&lt;div&gt;&lt;h5&gt;&lt;b&gt;School &lt;/b&gt;abjuration; &lt;b&gt;Level &lt;/b&gt;bard 1, ranger 1, sorcerer/wizard 1, summoner 1, inquisitor 1&lt;/h5&gt;&lt;h5&gt;&lt;b&gt;Casting Time &lt;/b&gt;1 standard action&lt;/h5&gt;&lt;h5&gt;&lt;b&gt;Components &lt;/b&gt;V, S, F/DF (a tiny bell and a piece of very fine silver wire)&lt;/h5&gt;&lt;h5&gt;&lt;b&gt;Range &lt;/b&gt;close (25 ft. + 5 ft./2 levels)&lt;/h5&gt;&lt;h5&gt;&lt;b&gt;Area &lt;/b&gt;20-ft.-radius emanation centered on a point in space&lt;/h5&gt;&lt;h5&gt;&lt;b&gt;Duration &lt;/b&gt;2 hours/level (D)&lt;/h5&gt;&lt;h5&gt;&lt;b&gt;Saving Throw &lt;/b&gt;none; &lt;b&gt;Spell Resistance &lt;/b&gt;no&lt;/h5&gt;&lt;/div&gt;&lt;div&gt;&lt;h4&gt;&lt;p&gt;&lt;i&gt;Alarm&lt;/i&gt; creates a subtle ward on an area you select. Once the spell effect is in place, it thereafter sounds a mental or audible alarm each time a creature of Tiny or larger size enters the warded area or touches it. A creature that speaks the password (determined by you at the time of casting) does not set off the &lt;i&gt;alarm&lt;/i&gt;. You decide at the time of casting whether the &lt;i&gt;alarm&lt;/i&gt; will be mental or audible in nature.&lt;/p&gt;&lt;p&gt;&lt;i&gt;Mental Alarm&lt;/i&gt;: A mental &lt;i&gt;alarm&lt;/i&gt; alerts you (and only you) so long as you remain within 1 mile of the warded area. You note a single mental "ping" that awakens you from normal sleep but does not otherwise disturb concentration. A silence spell has no effect on a mental &lt;i&gt;alarm&lt;/i&gt;.&lt;/p&gt;&lt;p&gt;&lt;i&gt;Audible Alarm&lt;/i&gt;: An audible &lt;i&gt;alarm&lt;/i&gt; produces the sound of a hand bell, and anyone within 60 feet of the warded area can hear it clearly. Reduce the distance by 10 feet for each interposing closed door and by 20 feet for each substantial interposing wall.&lt;/p&gt;&lt;p&gt;In quiet conditions, the ringing can be heard faintly as far as 180 feet away. The sound lasts for 1 round. Creatures within a &lt;i&gt;silence&lt;/i&gt; spell cannot hear the ringing. Ethereal or astral creatures do not trigger the &lt;i&gt;alarm&lt;/i&gt;.&lt;/p&gt;&lt;p&gt;&lt;i&gt;Alarm&lt;/i&gt; can be made permanent with a &lt;i&gt;permanency&lt;/i&gt; spell.&lt;/p&gt;&lt;/h4&gt;&lt;/div&gt;</t>
  </si>
  <si>
    <t>Home, Ambush</t>
  </si>
  <si>
    <t>Wards an area for 2 hours/level.</t>
  </si>
  <si>
    <t>Destined, Kobold Sorcerer</t>
  </si>
  <si>
    <t>Analyze Dweomer</t>
  </si>
  <si>
    <t>divination</t>
  </si>
  <si>
    <t>bard 6, sorcerer/wizard 6, witch 6, alchemist 6</t>
  </si>
  <si>
    <t>V, S, F (a ruby and gold lens worth 1,500 gp)</t>
  </si>
  <si>
    <t>one object or creature per caster level</t>
  </si>
  <si>
    <t>none or Will negates; see text</t>
  </si>
  <si>
    <t>You can observe magical auras. Each round, you may examine a single creature or object that you can see as a free action. In the case of a magic item, you learn its functions (including any curse effects), how to activate its functions (if appropriate), and how many charges are left (if it uses charges). In the case of an object or creature with active spells cast upon it, you learn each spell, its effect, and its caster level. An attended object may attempt a Will save to resist this effect if its holder so desires. If the save succeeds, you learn nothing about the object except what you can discern by looking at it. An object that makes its save cannot be affected by any other analyze dweomer spells for 24 hours. Analyze dweomer does not function when used on an artifact.</t>
  </si>
  <si>
    <t>&lt;p&gt;You can observe magical auras. Each round, you may examine a single creature or object that you can see as a free action. In the case of a magic item, you learn its functions (including any curse effects), how to activate its functions (if appropriate), and how many charges are left (if it uses charges). In the case of an object or creature with active spells cast upon it, you learn each spell, its effect, and its caster level.&lt;/p&gt;&lt;p&gt;An attended object may attempt a Will save to resist this effect if its holder so desires. If the save succeeds, you learn nothing about the object except what you can discern by looking at it. An object that makes its save cannot be affected by any other &lt;i&gt;analyze dweomer&lt;/i&gt; spells for 24 hours.&lt;/p&gt;&lt;p&gt;&lt;i&gt;Analyze dweomer&lt;/i&gt; does not function when used on an artifact.&lt;/p&gt;</t>
  </si>
  <si>
    <t>&lt;link rel="stylesheet"href="PF.css"&gt;&lt;div class="heading"&gt;&lt;p class="alignleft"&gt;Analyze Dweomer &lt;/p&gt;&lt;div style="clear: both;"&gt;&lt;/div&gt;&lt;/div&gt;&lt;div&gt;&lt;h5&gt;&lt;b&gt;School &lt;/b&gt;divination; &lt;b&gt;Level &lt;/b&gt;bard 6, sorcerer/wizard 6, alchemist 6, witch 6&lt;/h5&gt;&lt;h5&gt;&lt;b&gt;Casting Time &lt;/b&gt;1 standard action&lt;/h5&gt;&lt;h5&gt;&lt;b&gt;Components &lt;/b&gt;V, S, F (a ruby and gold lens worth 1,500 gp)&lt;/h5&gt;&lt;h5&gt;&lt;b&gt;Range &lt;/b&gt;close (25 ft. + 5 ft./2 levels)&lt;/h5&gt;&lt;h5&gt;&lt;b&gt;Targets &lt;/b&gt; one object or creature per caster level&lt;/h5&gt;&lt;h5&gt;&lt;b&gt;Duration &lt;/b&gt;1 round/level (D)&lt;/h5&gt;&lt;h5&gt;&lt;b&gt;Saving Throw &lt;/b&gt;none or Will negates; see text; &lt;b&gt;Spell Resistance &lt;/b&gt;no&lt;/h5&gt;&lt;/div&gt;&lt;div&gt;&lt;h4&gt;&lt;p&gt;You can observe magical auras. Each round, you may examine a single creature or object that you can see as a free action. In the case of a magic item, you learn its functions (including any curse effects), how to activate its functions (if appropriate), and how many charges are left (if it uses charges). In the case of an object or creature with active spells cast upon it, you learn each spell, its effect, and its caster level.&lt;/p&gt;&lt;p&gt;An attended object may attempt a Will save to resist this effect if its holder so desires. If the save succeeds, you learn nothing about the object except what you can discern by looking at it. An object that makes its save cannot be affected by any other &lt;i&gt;analyze dweomer&lt;/i&gt; spells for 24 hours.&lt;/p&gt;&lt;p&gt;&lt;i&gt;Analyze dweomer&lt;/i&gt; does not function when used on an artifact.&lt;/p&gt;&lt;/h4&gt;&lt;/div&gt;</t>
  </si>
  <si>
    <t>Arcane</t>
  </si>
  <si>
    <t>Reveals magical aspects of subject.</t>
  </si>
  <si>
    <t>Animal Growth</t>
  </si>
  <si>
    <t>druid 5, ranger 4, sorcerer/wizard 5</t>
  </si>
  <si>
    <t>one animal (Gargantuan or smaller)</t>
  </si>
  <si>
    <t>Fortitude negates</t>
  </si>
  <si>
    <t>yes</t>
  </si>
  <si>
    <t>The target animal grows to twice its normal size and eight times its normal weight. This alteration changes the animal's size category to the next largest, grants it a +8 size bonus to Strength and a +4 size bonus to Constitution (and thus an extra 2 hit points per HD), and imposes a -2 size penalty to Dexterity. The creature's existing natural armor bonus increases by 2. The size change also affects the animal's modifier to AC, attack rolls, and its base damage. The animal's space and reach change as appropriate to the new size, but its speed does not change. If insufficient room is available for the desired growth, the creature attains the maximum possible size and may make a Strength check (using its increased Strength) to burst any enclosures in the process. If it fails, it is constrained without harm by the materials enclosing it--the spell cannot be used to crush a creature by increasing its size. All equipment worn or carried by the animal is similarly enlarged by the spell, though this change has no effect on the magical properties of any such equipment. Any enlarged item that leaves the enlarged creature's possession instantly returns to its normal size. The spell gives no means of command over an enlarged animal. Multiple magical effects that increase size do not stack.</t>
  </si>
  <si>
    <t>&lt;p&gt;The target animal grows to twice its normal size and eight times its normal weight. This alteration changes the animal's size category to the next largest, grants it a +8 size bonus to Strength and a +4 size bonus to Constitution (and thus an extra 2 hit points per HD), and imposes a -2 size penalty to Dexterity. The creature's existing natural armor bonus increases by 2. The size change also affects the animal's modifier to AC, attack rolls, and its base damage. The animal's space and reach change as appropriate to the new size, but its speed does not change. If insufficient room is available for the desired growth, the creature attains the maximum possible size and may make a Strength check (using its increased Strength) to burst any enclosures in the process. If it fails, it is constrained without harm by the materials enclosing it--the spell cannot be used to crush a creature by increasing its size.&lt;/p&gt;&lt;p&gt;All equipment worn or carried by the animal is similarly enlarged by the spell, though this change has no effect on the magical properties of any such equipment.&lt;/p&gt;&lt;p&gt;Any enlarged item that leaves the enlarged creature's possession instantly returns to its normal size.&lt;/p&gt;&lt;p&gt;The spell gives no means of command over an enlarged animal.&lt;/p&gt;&lt;p&gt;Multiple magical effects that increase size do not stack.&lt;/p&gt;</t>
  </si>
  <si>
    <t>&lt;link rel="stylesheet"href="PF.css"&gt;&lt;div class="heading"&gt;&lt;p class="alignleft"&gt;Animal Growth &lt;/p&gt;&lt;div style="clear: both;"&gt;&lt;/div&gt;&lt;/div&gt;&lt;div&gt;&lt;h5&gt;&lt;b&gt;School &lt;/b&gt;transmutation; &lt;b&gt;Level &lt;/b&gt;druid 5, ranger 4, sorcerer/wizard 5&lt;/h5&gt;&lt;h5&gt;&lt;b&gt;Casting Time &lt;/b&gt;1 standard action&lt;/h5&gt;&lt;h5&gt;&lt;b&gt;Components &lt;/b&gt;V, S&lt;/h5&gt;&lt;h5&gt;&lt;b&gt;Range &lt;/b&gt;medium (100 ft. + 10 ft./level)&lt;/h5&gt;&lt;h5&gt;&lt;b&gt;Targets &lt;/b&gt; one animal (Gargantuan or smaller)&lt;/h5&gt;&lt;h5&gt;&lt;b&gt;Duration &lt;/b&gt;1 min./level&lt;/h5&gt;&lt;h5&gt;&lt;b&gt;Saving Throw &lt;/b&gt;Fortitude negates; &lt;b&gt;Spell Resistance &lt;/b&gt;yes&lt;/h5&gt;&lt;/div&gt;&lt;div&gt;&lt;h4&gt;&lt;p&gt;The target animal grows to twice its normal size and eight times its normal weight. This alteration changes the animal's size category to the next largest, grants it a +8 size bonus to Strength and a +4 size bonus to Constitution (and thus an extra 2 hit points per HD), and imposes a -2 size penalty to Dexterity. The creature's existing natural armor bonus increases by 2. The size change also affects the animal's modifier to AC, attack rolls, and its base damage. The animal's space and reach change as appropriate to the new size, but its speed does not change. If insufficient room is available for the desired growth, the creature attains the maximum possible size and may make a Strength check (using its increased Strength) to burst any enclosures in the process. If it fails, it is constrained without harm by the materials enclosing it--the spell cannot be used to crush a creature by increasing its size.&lt;/p&gt;&lt;p&gt;All equipment worn or carried by the animal is similarly enlarged by the spell, though this change has no effect on the magical properties of any such equipment.&lt;/p&gt;&lt;p&gt;Any enlarged item that leaves the enlarged creature's possession instantly returns to its normal size.&lt;/p&gt;&lt;p&gt;The spell gives no means of command over an enlarged animal.&lt;/p&gt;&lt;p&gt;Multiple magical effects that increase size do not stack.&lt;/p&gt;&lt;/h4&gt;&lt;/div&gt;</t>
  </si>
  <si>
    <t>Scalykind</t>
  </si>
  <si>
    <t>One animal doubles in size.</t>
  </si>
  <si>
    <t>Animals</t>
  </si>
  <si>
    <t>Animal Messenger</t>
  </si>
  <si>
    <t>bard 2, druid 2, ranger 1</t>
  </si>
  <si>
    <t>1 minute</t>
  </si>
  <si>
    <t>V, S, M (a morsel of food the animal likes)</t>
  </si>
  <si>
    <t>one Tiny animal</t>
  </si>
  <si>
    <t>1 day/level</t>
  </si>
  <si>
    <t>none; see text</t>
  </si>
  <si>
    <t>You compel a Tiny animal to go to a spot you designate. The most common use for this spell is to get an animal to carry a message to your allies. The animal cannot be one tamed or trained by someone else, including such creatures as familiars and animal companions. Using some type of food desirable to the animal as a lure, you call the animal to you. It advances and awaits your bidding. You can mentally impress on the animal a certain place well known to you or an obvious landmark. The directions must be simple, because the animal depends on your knowledge and can't find a destination on its own. You can attach a small item or note to the messenger. The animal then goes to the designated location and waits there until the duration of the spell expires, whereupon it resumes its normal activities. During this period of waiting, the messenger allows others to approach it and remove any scroll or token it carries. The intended recipient gains no special ability to communicate with the animal or read any attached message (if it's written in a language he doesn't know, for example).</t>
  </si>
  <si>
    <t>&lt;p&gt;You compel a Tiny animal to go to a spot you designate. The most common use for this spell is to get an animal to carry a message to your allies. The animal cannot be one tamed or trained by someone else, including such creatures as familiars and animal companions.&lt;/p&gt;&lt;p&gt;Using some type of food desirable to the animal as a lure, you call the animal to you. It advances and awaits your bidding. You can mentally impress on the animal a certain place well known to you or an obvious landmark. The directions must be simple, because the animal depends on your knowledge and can't find a destination on its own. You can attach a small item or note to the messenger. The animal then goes to the designated location and waits there until the duration of the spell expires, whereupon it resumes its normal activities.&lt;/p&gt;&lt;p&gt;During this period of waiting, the messenger allows others to approach it and remove any scroll or token it carries. The intended recipient gains no special ability to communicate with the animal or read any attached message (if it's written in a language he doesn't know, for example).&lt;/p&gt;</t>
  </si>
  <si>
    <t>&lt;link rel="stylesheet"href="PF.css"&gt;&lt;div class="heading"&gt;&lt;p class="alignleft"&gt;Animal Messenger &lt;/p&gt;&lt;div style="clear: both;"&gt;&lt;/div&gt;&lt;/div&gt;&lt;div&gt;&lt;h5&gt;&lt;b&gt;School &lt;/b&gt;enchantment (compulsion) [mind-affecting]; &lt;b&gt;Level &lt;/b&gt;bard 2, druid 2, ranger 1&lt;/h5&gt;&lt;h5&gt;&lt;b&gt;Casting Time &lt;/b&gt;1 minute&lt;/h5&gt;&lt;h5&gt;&lt;b&gt;Components &lt;/b&gt;V, S, M (a morsel of food the animal likes)&lt;/h5&gt;&lt;h5&gt;&lt;b&gt;Range &lt;/b&gt;close (25 ft. + 5 ft./2 levels)&lt;/h5&gt;&lt;h5&gt;&lt;b&gt;Targets &lt;/b&gt; one Tiny animal&lt;/h5&gt;&lt;h5&gt;&lt;b&gt;Duration &lt;/b&gt;1 day/level&lt;/h5&gt;&lt;h5&gt;&lt;b&gt;Saving Throw &lt;/b&gt;none; see text; &lt;b&gt;Spell Resistance &lt;/b&gt;yes&lt;/h5&gt;&lt;/div&gt;&lt;div&gt;&lt;h4&gt;&lt;p&gt;You compel a Tiny animal to go to a spot you designate. The most common use for this spell is to get an animal to carry a message to your allies. The animal cannot be one tamed or trained by someone else, including such creatures as familiars and animal companions.&lt;/p&gt;&lt;p&gt;Using some type of food desirable to the animal as a lure, you call the animal to you. It advances and awaits your bidding. You can mentally impress on the animal a certain place well known to you or an obvious landmark. The directions must be simple, because the animal depends on your knowledge and can't find a destination on its own. You can attach a small item or note to the messenger. The animal then goes to the designated location and waits there until the duration of the spell expires, whereupon it resumes its normal activities.&lt;/p&gt;&lt;p&gt;During this period of waiting, the messenger allows others to approach it and remove any scroll or token it carries. The intended recipient gains no special ability to communicate with the animal or read any attached message (if it's written in a language he doesn't know, for example).&lt;/p&gt;&lt;/h4&gt;&lt;/div&gt;</t>
  </si>
  <si>
    <t>Sends a Tiny animal to a specific place.</t>
  </si>
  <si>
    <t>Animal Shapes</t>
  </si>
  <si>
    <t>druid 8</t>
  </si>
  <si>
    <t>up to one willing creature per level, all within 30 ft. of each other.</t>
  </si>
  <si>
    <t>1 hour/level</t>
  </si>
  <si>
    <t>As beast shape III, except you change the form of up to one willing creature per caster level into an animal of your choice; the spell has no effect on unwilling creatures. All creatures must take the same kind of animal form. Recipients remain in the animal form until the spell expires or until you dismiss it for all recipients. In addition, an individual subject may choose to resume its normal form as a full-round action; doing so ends the spell for that subject alone.</t>
  </si>
  <si>
    <t>&lt;p&gt;As &lt;i&gt;beast shape III&lt;/i&gt;, except you change the form of up to one willing creature per caster level into an animal of your choice; the spell has no effect on unwilling creatures. All creatures must take the same kind of animal form. Recipients remain in the animal form until the spell expires or until you dismiss it for all recipients. In addition, an individual subject may choose to resume its normal form as a full-round action; doing so ends the spell for that subject alone.&lt;/p&gt;</t>
  </si>
  <si>
    <t>&lt;link rel="stylesheet"href="PF.css"&gt;&lt;div class="heading"&gt;&lt;p class="alignleft"&gt;Animal Shapes&lt;/p&gt;&lt;div style="clear: both;"&gt;&lt;/div&gt;&lt;/div&gt;&lt;div&gt;&lt;h5&gt;&lt;b&gt;School &lt;/b&gt;transmutation (polymorph); &lt;b&gt;Level &lt;/b&gt;druid 8&lt;/h5&gt;&lt;h5&gt;&lt;b&gt;Casting Time &lt;/b&gt;1 standard action&lt;/h5&gt;&lt;h5&gt;&lt;b&gt;Components &lt;/b&gt;V, S, DF&lt;/h5&gt;&lt;h5&gt;&lt;b&gt;Range &lt;/b&gt;close (25 ft. + 5 ft./2 levels)&lt;/h5&gt;&lt;h5&gt;&lt;b&gt;Targets &lt;/b&gt; up to one willing creature per level, all within 30 ft. of each other.&lt;/h5&gt;&lt;h5&gt;&lt;b&gt;Duration &lt;/b&gt;1 hour/level (D)&lt;/h5&gt;&lt;h5&gt;&lt;b&gt;Saving Throw &lt;/b&gt;none; see text; &lt;b&gt;Spell Resistance &lt;/b&gt;yes (harmless)&lt;/h5&gt;&lt;/div&gt;&lt;div&gt;&lt;h4&gt;&lt;p&gt;As &lt;i&gt;beast shape III&lt;/i&gt;, except you change the form of up to one willing creature per caster level into an animal of your choice; the spell has no effect on unwilling creatures. All creatures must take the same kind of animal form. Recipients remain in the animal form until the spell expires or until you dismiss it for all recipients. In addition, an individual subject may choose to resume its normal form as a full-round action; doing so ends the spell for that subject alone.&lt;/p&gt;&lt;/h4&gt;&lt;/div&gt;</t>
  </si>
  <si>
    <t>Animal, Scalykind</t>
  </si>
  <si>
    <t> One ally/level polymorphs into chosen animal.</t>
  </si>
  <si>
    <t>Agility, Animals</t>
  </si>
  <si>
    <t>Animal Trance</t>
  </si>
  <si>
    <t>mind-affecting, sonic</t>
  </si>
  <si>
    <t>bard 2, druid 2</t>
  </si>
  <si>
    <t>animals or magical beasts with Intelligence 1 or 2</t>
  </si>
  <si>
    <t>concentration</t>
  </si>
  <si>
    <t>Will negates</t>
  </si>
  <si>
    <t>Your swaying motions and music (or singing, or chanting) compel animals and magical beasts to do nothing but watch you. Only a creature with an Intelligence score of 1 or 2 can be fascinated by this spell. Roll 2d6 to determine the total number of HD worth of creatures that you fascinate. The closest targets are selected first until no more targets within range can be affected.</t>
  </si>
  <si>
    <t>&lt;p&gt;Your swaying motions and music (or singing, or chanting) compel animals and magical beasts to do nothing but watch you. Only a creature with an Intelligence score of 1 or 2 can be fascinated by this spell. Roll 2d6 to determine the total number of HD worth of creatures that you fascinate. The closest targets are selected first until no more targets within range can be affected.&lt;/p&gt;</t>
  </si>
  <si>
    <t>&lt;link rel="stylesheet"href="PF.css"&gt;&lt;div class="heading"&gt;&lt;p class="alignleft"&gt;Animal Trance&lt;/p&gt;&lt;div style="clear: both;"&gt;&lt;/div&gt;&lt;/div&gt;&lt;div&gt;&lt;h5&gt;&lt;b&gt;School &lt;/b&gt;enchantment (compulsion) [mind-affecting, sonic]; &lt;b&gt;Level &lt;/b&gt;bard 2, druid 2&lt;/h5&gt;&lt;h5&gt;&lt;b&gt;Casting Time &lt;/b&gt;1 standard action&lt;/h5&gt;&lt;h5&gt;&lt;b&gt;Components &lt;/b&gt;V, S&lt;/h5&gt;&lt;h5&gt;&lt;b&gt;Range &lt;/b&gt;close (25 ft. + 5 ft./2 levels)&lt;/h5&gt;&lt;h5&gt;&lt;b&gt;Targets &lt;/b&gt; animals or magical beasts with Intelligence 1 or 2&lt;/h5&gt;&lt;h5&gt;&lt;b&gt;Duration &lt;/b&gt;concentration&lt;/h5&gt;&lt;h5&gt;&lt;b&gt;Saving Throw &lt;/b&gt;Will negates; &lt;b&gt;Spell Resistance &lt;/b&gt;yes&lt;/h5&gt;&lt;/div&gt;&lt;div&gt;&lt;h4&gt;&lt;p&gt;Your swaying motions and music (or singing, or chanting) compel animals and magical beasts to do nothing but watch you. Only a creature with an Intelligence score of 1 or 2 can be fascinated by this spell. Roll 2d6 to determine the total number of HD worth of creatures that you fascinate. The closest targets are selected first until no more targets within range can be affected.&lt;/p&gt;&lt;/h4&gt;&lt;/div&gt;</t>
  </si>
  <si>
    <t>Fascinates 2d6 HD of animals.</t>
  </si>
  <si>
    <t>Animate Dead</t>
  </si>
  <si>
    <t>necromancy</t>
  </si>
  <si>
    <t>cleric/oracle 3, sorcerer/wizard 4, antipaladin 3</t>
  </si>
  <si>
    <t>V, S, M (an onyx gem worth at least 25 gp per Hit Die of the undead)</t>
  </si>
  <si>
    <t>one or more corpses touched</t>
  </si>
  <si>
    <t>This spell turns corpses into undead skeletons or zombies (see the Pathfinder RPG Bestiary) that obey your spoken commands. The undead can be made to follow you, or they can be made to remain in an area and attack any creature (or just a specific kind of creature) entering the place. They remain animated until they are destroyed. A destroyed skeleton or zombie can't be animated again. Regardless of the type of undead you create with this spell, you can't create more HD of undead than twice your caster level with a single casting of animate dead. The desecrate spell doubles this limit. The undead you create remain under your control indefinitely. No matter how many times you use this spell, however, you can control only 4 HD worth of undead creatures per caster level. If you exceed this number, all the newly created creatures fall under your control, and any excess undead from previous castings become uncontrolled. You choose which creatures are released. Undead you control through the Command Undead feat do not count toward this limit. Skeletons: A skeleton can be created only from a mostly intact corpse or skeleton. The corpse must have bones. If a skeleton is made from a corpse, the flesh falls off the bones. Zombies: A zombie can be created only from a mostly intact corpse. The corpse must be that of a creature with a physical anatomy.</t>
  </si>
  <si>
    <t>&lt;p&gt;This spell turns corpses into undead skeletons or zombies (see the &lt;i&gt;Pathfinder RPG&lt;/i&gt; Bestiary) that obey your spoken commands.&lt;/p&gt;&lt;p&gt;The undead can be made to follow you, or they can be made to remain in an area and attack any creature (or just a specific kind of creature) entering the place. They remain animated until they are destroyed. A destroyed skeleton or zombie can't be animated again.&lt;/p&gt;&lt;p&gt;Regardless of the type of undead you create with this spell, you can't create more HD of undead than twice your caster level with a single casting of &lt;i&gt;animate dead&lt;/i&gt;. The &lt;i&gt;desecrate&lt;/i&gt; spell doubles this limit.&lt;/p&gt;&lt;p&gt;The undead you create remain under your control indefinitely.&lt;/p&gt;&lt;p&gt;No matter how many times you use this spell, however, you can control only 4 HD worth of undead creatures per caster level. If you exceed this number, all the newly created creatures fall under your control, and any excess undead from previous castings become uncontrolled. You choose which creatures are released. Undead you control through the Command Undead feat do not count toward this limit.&lt;/p&gt;&lt;p&gt;&lt;i&gt;Skeletons&lt;/i&gt;: A skeleton can be created only from a mostly intact corpse or skeleton. The corpse must have bones. If a skeleton is made from a corpse, the flesh falls off the bones.&lt;/p&gt;&lt;p&gt;&lt;i&gt;Zombies&lt;/i&gt;: A zombie can be created only from a mostly intact corpse.&lt;/p&gt;&lt;p&gt;The corpse must be that of a creature with a physical anatomy.&lt;/p&gt;</t>
  </si>
  <si>
    <t>&lt;link rel="stylesheet"href="PF.css"&gt;&lt;div class="heading"&gt;&lt;p class="alignleft"&gt;Animate Dead&lt;/p&gt;&lt;div style="clear: both;"&gt;&lt;/div&gt;&lt;/div&gt;&lt;div&gt;&lt;h5&gt;&lt;b&gt;School &lt;/b&gt;necromancy [evil]; &lt;b&gt;Level &lt;/b&gt;cleric/oracle 3, sorcerer/wizard 4, antipaladin 3&lt;/h5&gt;&lt;/div&gt;&lt;hr/&gt;&lt;div&gt;&lt;h5&gt;&lt;b&gt;CASTING&lt;/b&gt;&lt;/h5&gt;&lt;/div&gt;&lt;hr/&gt;&lt;div&gt;&lt;h5&gt;&lt;b&gt;Casting Time &lt;/b&gt;1 standard action&lt;/h5&gt;&lt;h5&gt;&lt;b&gt;Components &lt;/b&gt;V, S, M (an onyx gem worth at least 25 gp per Hit Die of the undead)&lt;/h5&gt;&lt;/div&gt;&lt;hr/&gt;&lt;div&gt;&lt;h5&gt;&lt;b&gt;EFFECT&lt;/b&gt;&lt;/h5&gt;&lt;/div&gt;&lt;hr/&gt;&lt;div&gt;&lt;h5&gt;&lt;b&gt;Range &lt;/b&gt;touch&lt;/h5&gt;&lt;h5&gt;&lt;b&gt;Targets &lt;/b&gt;one or more corpses touched&lt;/h5&gt;&lt;h5&gt;&lt;b&gt;Duration &lt;/b&gt;instantaneous&lt;/h5&gt;&lt;h5&gt;&lt;b&gt;Saving Throw &lt;/b&gt;none; &lt;b&gt;Spell Resistance &lt;/b&gt;no&lt;/h5&gt;&lt;/div&gt;&lt;hr/&gt;&lt;div&gt;&lt;h5&gt;&lt;b&gt;DESCRIPTION&lt;/b&gt;&lt;/h5&gt;&lt;/div&gt;&lt;hr/&gt;&lt;div&gt;&lt;h4&gt;&lt;p&gt;This spell turns corpses into undead skeletons or zombies (see the &lt;i&gt;Pathfinder RPG&lt;/i&gt; Bestiary) that obey your spoken commands.&lt;/p&gt;&lt;p&gt;The undead can be made to follow you, or they can be made to remain in an area and attack any creature (or just a specific kind of creature) entering the place. They remain animated until they are destroyed. A destroyed skeleton or zombie can't be animated again.&lt;/p&gt;&lt;p&gt;Regardless of the type of undead you create with this spell, you can't create more HD of undead than twice your caster level with a single casting of &lt;i&gt;animate dead&lt;/i&gt;. The &lt;i&gt;desecrate&lt;/i&gt; spell doubles this limit.&lt;/p&gt;&lt;p&gt;The undead you create remain under your control indefinitely.&lt;/p&gt;&lt;p&gt;No matter how many times you use this spell, however, you can control only 4 HD worth of undead creatures per caster level. If you exceed this number, all the newly created creatures fall under your control, and any excess undead from previous castings become uncontrolled. You choose which creatures are released. Undead you control through the Command Undead feat do not count toward this limit.&lt;/p&gt;&lt;p&gt;&lt;i&gt;Skeletons&lt;/i&gt;: A skeleton can be created only from a mostly intact corpse or skeleton. The corpse must have bones. If a skeleton is made from a corpse, the flesh falls off the bones.&lt;/p&gt;&lt;p&gt;&lt;i&gt;Zombies&lt;/i&gt;: A zombie can be created only from a mostly intact corpse.&lt;/p&gt;&lt;p&gt;The corpse must be that of a creature with a physical anatomy.&lt;/p&gt;&lt;/h4&gt;&lt;h5&gt;&lt;b&gt;Mythic: &lt;/b&gt;Add your tier to your caster level when determining how many Hit Dice of undead you can animate with a single casting of this spell. This doesn't increase the total number of Hit Dice worth of undead you can control. By expending a second use of mythic power, you can ignore the spell's material component cost.&lt;/h5&gt;&lt;h5&gt;&lt;b&gt;Augmented (6th)&lt;/b&gt;: If you expend two uses of mythic power, any skeletons or zombies you create gain either the agile (see page 224) or savage (see page 224) mythic template. This template lasts for a number of days equal to your tier. Alternatively, if you're 8th tier and expend 10 uses of mythic power, any skeletons you create permanently gain the mythic skeleton template (see page 216).&lt;/h5&gt;&lt;/div&gt;</t>
  </si>
  <si>
    <t>Death, Souls</t>
  </si>
  <si>
    <t>Creates undead skeletons and zombies.</t>
  </si>
  <si>
    <t>Undead</t>
  </si>
  <si>
    <t>Plague</t>
  </si>
  <si>
    <t>Add your tier to your caster level when determining how many Hit Dice of undead you can animate with a single casting of this spell. This doesn't increase the total number of Hit Dice worth of undead you can control. By expending a second use of mythic power, you can ignore the spell's material component cost.</t>
  </si>
  <si>
    <t>Augmented (6th): If you expend two uses of mythic power, any skeletons or zombies you create gain either the agile (see page 224) or savage (see page 224) mythic template. This template lasts for a number of days equal to your tier. Alternatively, if you're 8th tier and expend 10 uses of mythic power, any skeletons you create permanently gain the mythic skeleton template (see page 216).</t>
  </si>
  <si>
    <t>Animate Objects</t>
  </si>
  <si>
    <t>bard 6, cleric/oracle 6, witch 6</t>
  </si>
  <si>
    <t>one Small object per caster level; see text</t>
  </si>
  <si>
    <t>You imbue inanimate objects with mobility and a semblance of life. Each such animated object then immediately attacks whomever or whatever you initially designate. An animated object can be of any nonmagical material. You may animate one Small or smaller object or a corresponding number of larger objects as follows: A Medium object counts as two Small or smaller objects, a Large object as four, a Huge object as eight, a Gargantuan object as 16, and a Colossal object as 32. You can change the designated target or targets as a move action, as if directing an active spell. See the Pathfinder RPG Bestiary for the statistics of animated objects. This spell cannot affect objects carried or worn by a creature. Animate objects can be made permanent with a permanency spell.</t>
  </si>
  <si>
    <t>&lt;p&gt;You imbue inanimate objects with mobility and a semblance of life. Each such animated object then immediately attacks whomever or whatever you initially designate.&lt;/p&gt;&lt;p&gt;An animated object can be of any nonmagical material. You may animate one Small or smaller object or a corresponding number of larger objects as follows: A Medium object counts as two Small or smaller objects, a Large object as four, a Huge object as eight, a Gargantuan object as 16, and a Colossal object as 32. You can change the designated target or targets as a move action, as if directing an active spell. See the &lt;i&gt;Pathfinder RPG Bestiary&lt;/i&gt; for the statistics of animated objects.&lt;/p&gt;&lt;p&gt;This spell cannot affect objects carried or worn by a creature.&lt;/p&gt;&lt;p&gt;&lt;i&gt;Animate objects&lt;/i&gt; can be made permanent with a &lt;i&gt;permanency&lt;/i&gt; spell.&lt;/p&gt;</t>
  </si>
  <si>
    <t>&lt;link rel="stylesheet"href="PF.css"&gt;&lt;div class="heading"&gt;&lt;p class="alignleft"&gt;Animate Objects&lt;/p&gt;&lt;div style="clear: both;"&gt;&lt;/div&gt;&lt;/div&gt;&lt;div&gt;&lt;h5&gt;&lt;b&gt;School &lt;/b&gt;transmutation; &lt;b&gt;Level &lt;/b&gt;bard 6, cleric/oracle 6, witch 6&lt;/h5&gt;&lt;/div&gt;&lt;hr/&gt;&lt;div&gt;&lt;h5&gt;&lt;b&gt;CASTING&lt;/b&gt;&lt;/h5&gt;&lt;/div&gt;&lt;hr/&gt;&lt;div&gt;&lt;h5&gt;&lt;b&gt;Casting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ft./level)&lt;/h5&gt;&lt;h5&gt;&lt;b&gt;Targets &lt;/b&gt;one Small object per caster level; see text&lt;/h5&gt;&lt;h5&gt;&lt;b&gt;Duration &lt;/b&gt;1 round/level&lt;/h5&gt;&lt;h5&gt;&lt;b&gt;Saving Throw &lt;/b&gt;none; &lt;b&gt;Spell Resistance &lt;/b&gt;no&lt;/h5&gt;&lt;/div&gt;&lt;hr/&gt;&lt;div&gt;&lt;h5&gt;&lt;b&gt;DESCRIPTION&lt;/b&gt;&lt;/h5&gt;&lt;/div&gt;&lt;hr/&gt;&lt;div&gt;&lt;h4&gt;&lt;p&gt;You imbue inanimate objects with mobility and a semblance of life. Each such animated object then immediately attacks whomever or whatever you initially designate.&lt;/p&gt;&lt;p&gt;An animated object can be of any nonmagical material. You may animate one Small or smaller object or a corresponding number of larger objects as follows: A Medium object counts as two Small or smaller objects, a Large object as four, a Huge object as eight, a Gargantuan object as 16, and a Colossal object as 32. You can change the designated target or targets as a move action, as if directing an active spell. See the &lt;i&gt;Pathfinder RPG Bestiary&lt;/i&gt; for the statistics of animated objects.&lt;/p&gt;&lt;p&gt;This spell cannot affect objects carried or worn by a creature.&lt;/p&gt;&lt;p&gt;&lt;i&gt;Animate objects&lt;/i&gt; can be made permanent with a &lt;i&gt;permanency&lt;/i&gt; spell.&lt;/p&gt;&lt;/h4&gt;&lt;h5&gt;&lt;b&gt;Mythic: &lt;/b&gt;Animated objects you create with this spell get the maximum number of hit points per level, gain a +4 bonus to their Strength ability scores, and have 1-1/2 times the normal number of construction points.&lt;/h5&gt;&lt;/div&gt;</t>
  </si>
  <si>
    <t>Chaos</t>
  </si>
  <si>
    <t>Objects attack your foes.</t>
  </si>
  <si>
    <t>Animated objects you create with this spell get the maximum number of hit points per level, gain a +4 bonus to their Strength ability scores, and have 1-1/2 times the normal number of construction points.</t>
  </si>
  <si>
    <t>Animate Plants</t>
  </si>
  <si>
    <t>druid 7</t>
  </si>
  <si>
    <t>V</t>
  </si>
  <si>
    <t>one Large plant per three caster levels or all plants within range; see text</t>
  </si>
  <si>
    <t>1 round/level or 1 hour/level; see text</t>
  </si>
  <si>
    <t>You imbue inanimate plants with mobility and a semblance of life. Each animated plant then immediately attacks whomever or whatever you initially designate as though it were an animated object of the appropriate size category. You may animate one Large or smaller plant, or a number of larger plants as follows: a Huge plant counts as two Large or smaller plants, a Gargantuan plant as four, and a Colossal plant as eight. You can change the designated target or targets as a move action, as if directing an active spell. Use the statistics for animated objects (see Pathfinder RPG Bestiary), except that plants smaller than Large don't have hardness. Animate plants cannot affect plant creatures, nor does it affect nonliving vegetable material. Entangle: Alternatively, you may imbue all plants within range with a degree of mobility, which allows them to entwine around creatures in the area. This usage of the spell duplicates the effect of an entangle spell. Spell resistance does not keep creatures from being entangled. This effect lasts 1 hour per caster level.</t>
  </si>
  <si>
    <t>&lt;p&gt;You imbue inanimate plants with mobility and a semblance of life. Each animated plant then immediately attacks whomever or whatever you initially designate as though it were an animated object of the appropriate size category. You may animate one Large or smaller plant, or a number of larger plants as follows: a Huge plant counts as two Large or smaller plants, a Gargantuan plant as four, and a Colossal plant as eight. You can change the designated target or targets as a move action, as if directing an active spell.&lt;/p&gt;&lt;p&gt;Use the statistics for animated objects (see &lt;i&gt;Pathfinder RPG&lt;/i&gt; Bestiary), except that plants smaller than Large don't have hardness.&lt;/p&gt;&lt;p&gt;&lt;i&gt;Animate plants&lt;/i&gt; cannot affect plant creatures, nor does it affect nonliving vegetable material.&lt;/p&gt;&lt;p&gt;&lt;i&gt;Entangle&lt;/i&gt;: Alternatively, you may imbue all plants within range with a degree of mobility, which allows them to entwine around creatures in the area. This usage of the spell duplicates the effect of an &lt;i&gt;entangle&lt;/i&gt; spell. Spell resistance does not keep creatures from being &lt;i&gt;entangle&lt;/i&gt;d. This effect lasts 1 hour per caster level.&lt;/p&gt;</t>
  </si>
  <si>
    <t>&lt;link rel="stylesheet"href="PF.css"&gt;&lt;div class="heading"&gt;&lt;p class="alignleft"&gt;Animate Plants&lt;/p&gt;&lt;div style="clear: both;"&gt;&lt;/div&gt;&lt;/div&gt;&lt;div&gt;&lt;h5&gt;&lt;b&gt;School &lt;/b&gt;transmutation; &lt;b&gt;Level &lt;/b&gt;druid 7&lt;/h5&gt;&lt;/div&gt;&lt;hr/&gt;&lt;div&gt;&lt;h5&gt;&lt;b&gt;CASTING&lt;/b&gt;&lt;/h5&gt;&lt;/div&gt;&lt;hr/&gt;&lt;div&gt;&lt;h5&gt;&lt;b&gt;Casting Time &lt;/b&gt;1 standard action&lt;/h5&gt;&lt;h5&gt;&lt;b&gt;Components &lt;/b&gt;V&lt;/h5&gt;&lt;/div&gt;&lt;hr/&gt;&lt;div&gt;&lt;h5&gt;&lt;b&gt;EFFECT&lt;/b&gt;&lt;/h5&gt;&lt;/div&gt;&lt;hr/&gt;&lt;div&gt;&lt;h5&gt;&lt;b&gt;Range &lt;/b&gt;close (25 ft. + 5 ft./2 levels)&lt;/h5&gt;&lt;h5&gt;&lt;b&gt;Targets &lt;/b&gt;one Large plant per three caster levels or all plants within range; see text&lt;/h5&gt;&lt;h5&gt;&lt;b&gt;Duration &lt;/b&gt;1 round/level or 1 hour/level; see text&lt;/h5&gt;&lt;h5&gt;&lt;b&gt;Saving Throw &lt;/b&gt;none; &lt;b&gt;Spell Resistance &lt;/b&gt;no&lt;/h5&gt;&lt;/div&gt;&lt;hr/&gt;&lt;div&gt;&lt;h5&gt;&lt;b&gt;DESCRIPTION&lt;/b&gt;&lt;/h5&gt;&lt;/div&gt;&lt;hr/&gt;&lt;div&gt;&lt;h4&gt;&lt;p&gt;You imbue inanimate plants with mobility and a semblance of life. Each animated plant then immediately attacks whomever or whatever you initially designate as though it were an animated object of the appropriate size category. You may animate one Large or smaller plant, or a number of larger plants as follows: a Huge plant counts as two Large or smaller plants, a Gargantuan plant as four, and a Colossal plant as eight. You can change the designated target or targets as a move action, as if directing an active spell.&lt;/p&gt;&lt;p&gt;Use the statistics for animated objects (see &lt;i&gt;Pathfinder RPG&lt;/i&gt; Bestiary), except that plants smaller than Large don't have hardness.&lt;/p&gt;&lt;p&gt;&lt;i&gt;Animate plants&lt;/i&gt; cannot affect plant creatures, nor does it affect nonliving vegetable material.&lt;/p&gt;&lt;p&gt;&lt;i&gt;Entangle&lt;/i&gt;: Alternatively, you may imbue all plants within range with a degree of mobility, which allows them to entwine around creatures in the area. This usage of the spell duplicates the effect of an &lt;i&gt;entangle&lt;/i&gt; spell. Spell resistance does not keep creatures from being &lt;i&gt;entangle&lt;/i&gt;d. This effect lasts 1 hour per caster level.&lt;/p&gt;&lt;/h4&gt;&lt;h5&gt;&lt;b&gt;Mythic: &lt;/b&gt;Animated plants you create with this spell get the maximum number of hit points per level, gain a +4 bonus to their Strength ability scores, and have 1-1/2 times the normal number of construction points.&lt;/h5&gt;&lt;/div&gt;</t>
  </si>
  <si>
    <t>Plant</t>
  </si>
  <si>
    <t> One or more plants animate and fight for you.</t>
  </si>
  <si>
    <t>Verdant</t>
  </si>
  <si>
    <t>Animated plants you create with this spell get the maximum number of hit points per level, gain a +4 bonus to their Strength ability scores, and have 1-1/2 times the normal number of construction points.</t>
  </si>
  <si>
    <t>Animate Rope</t>
  </si>
  <si>
    <t>bard 1, sorcerer/wizard 1</t>
  </si>
  <si>
    <t>one rope-like object, length up to 50 ft. + 5 ft./level; see text</t>
  </si>
  <si>
    <t>You can animate a nonliving rope-like object. The maximum length assumes a rope with a 1-inch diameter. Reduce the maximum length by 50% for every additional inch of thickness, and increase it by 50% for each reduction of the rope's diameter by half. The possible commands are "coil" (form a neat, coiled stack), "coil and knot," "loop," "loop and knot," "tie and knot," and the opposites of all of the above ("uncoil," and so forth). You can give one command each round as a move action, as if directing an active spell. The rope can enwrap only a creature or an object within 1 foot of it - it does not snake outward - so it must be thrown near the intended target. Doing so requires a successful ranged touch attack roll (range increment 10 feet). A typical 1-inch-diameter hemp rope has 2 hit points, AC 10, and requires a DC 23 Strength check to burst it. The rope does not deal damage, but it can be used as a trip line or to cause a single opponent that fails a Reflex saving throw to become entangled. A creature capable of spellcasting that is bound by this spell must make a concentration check with a DC of 15 + the spell's level to cast a spell. An entangled creature can slip free with a DC 20 Escape Artist check. The rope itself and any knots tied in it are not magical. The spell cannot affect objects carried or worn by a creature.</t>
  </si>
  <si>
    <t>&lt;p&gt;You can animate a nonliving rope-like object. The maximum length assumes a rope with a 1-inch diameter. Reduce the maximum length by 50% for every additional inch of thickness, and increase it by 50% for each reduction of the rope's diameter by half.&lt;/p&gt;&lt;p&gt;The possible commands are "coil" (form a neat, coiled stack), "coil and knot," "loop," "loop and knot," "tie and knot," and the opposites of all of the above ("uncoil," and so forth). You can give one command each round as a move action, as if directing an active spell.&lt;/p&gt;&lt;p&gt;The rope can enwrap only a creature or an object within 1 foot of it - it does not snake outward - so it must be thrown near the intended target. Doing so requires a successful ranged touch attack roll (range increment 10 feet). A typical 1-inch-diameter hemp rope has 2 hit points, AC 10, and requires a DC 23 Strength check to burst it. The rope does not deal damage, but it can be used as a trip line or to cause a single opponent that fails a Reflex saving throw to become entangled. A creature capable of spellcasting that is bound by this spell must make a concentration check with a DC of 15 + the spell's level to cast a spell. An entangled creature can slip free with a DC 20 Escape Artist check.&lt;/p&gt;&lt;p&gt;The rope itself and any knots tied in it are not magical.&lt;/p&gt;&lt;p&gt;The spell cannot affect objects carried or worn by a creature.&lt;/p&gt;</t>
  </si>
  <si>
    <t>&lt;link rel="stylesheet"href="PF.css"&gt;&lt;div class="heading"&gt;&lt;p class="alignleft"&gt;Animate Rope &lt;/p&gt;&lt;div style="clear: both;"&gt;&lt;/div&gt;&lt;/div&gt;&lt;div&gt;&lt;h5&gt;&lt;b&gt;School &lt;/b&gt;transmutation; &lt;b&gt;Level &lt;/b&gt;bard 1, sorcerer/wizard 1&lt;/h5&gt;&lt;h5&gt;&lt;b&gt;Casting Time &lt;/b&gt;1 standard action&lt;/h5&gt;&lt;h5&gt;&lt;b&gt;Components &lt;/b&gt;V, S&lt;/h5&gt;&lt;h5&gt;&lt;b&gt;Range &lt;/b&gt;medium (100 ft. + 10 ft./level)&lt;/h5&gt;&lt;h5&gt;&lt;b&gt;Targets &lt;/b&gt; one rope-like object, length up to 50 ft. + 5 ft./level; see text&lt;/h5&gt;&lt;h5&gt;&lt;b&gt;Duration &lt;/b&gt;1 round/level&lt;/h5&gt;&lt;h5&gt;&lt;b&gt;Saving Throw &lt;/b&gt;none; &lt;b&gt;Spell Resistance &lt;/b&gt;no&lt;/h5&gt;&lt;/div&gt;&lt;div&gt;&lt;h4&gt;&lt;p&gt;You can animate a nonliving rope-like object. The maximum length assumes a rope with a 1-inch diameter. Reduce the maximum length by 50% for every additional inch of thickness, and increase it by 50% for each reduction of the rope's diameter by half.&lt;/p&gt;&lt;p&gt;The possible commands are "coil" (form a neat, coiled stack), "coil and knot," "loop," "loop and knot," "tie and knot," and the opposites of all of the above ("uncoil," and so forth). You can give one command each round as a move action, as if directing an active spell.&lt;/p&gt;&lt;p&gt;The rope can enwrap only a creature or an object within 1 foot of it - it does not snake outward - so it must be thrown near the intended target. Doing so requires a successful ranged touch attack roll (range increment 10 feet). A typical 1-inch-diameter hemp rope has 2 hit points, AC 10, and requires a DC 23 Strength check to burst it. The rope does not deal damage, but it can be used as a trip line or to cause a single opponent that fails a Reflex saving throw to become entangled. A creature capable of spellcasting that is bound by this spell must make a concentration check with a DC of 15 + the spell's level to cast a spell. An entangled creature can slip free with a DC 20 Escape Artist check.&lt;/p&gt;&lt;p&gt;The rope itself and any knots tied in it are not magical.&lt;/p&gt;&lt;p&gt;The spell cannot affect objects carried or worn by a creature.&lt;/p&gt;&lt;/h4&gt;&lt;/div&gt;</t>
  </si>
  <si>
    <t>Artifice</t>
  </si>
  <si>
    <t>Makes a rope move at your command.</t>
  </si>
  <si>
    <t>Trickery</t>
  </si>
  <si>
    <t>Antilife Shell</t>
  </si>
  <si>
    <t>cleric 6/oracle 6, druid 6</t>
  </si>
  <si>
    <t>1 round</t>
  </si>
  <si>
    <t>10 ft.</t>
  </si>
  <si>
    <t>10-ft.-radius emanation, centered on you</t>
  </si>
  <si>
    <t>You bring into being a mobile, hemispherical energy field that prevents the entrance of most types of living creatures. The effect hedges out animals, aberrations, dragons, fey, giants, humanoids, magical beasts, monstrous humanoids, oozes, plants, and vermin, but not constructs, elementals, outsiders, or undead. This spell may be used only defensively, not aggressively. Forcing an abjuration barrier against creatures that the spell keeps at bay collapses the barrier.</t>
  </si>
  <si>
    <t>&lt;p&gt;You bring into being a mobile, hemispherical energy field that prevents the entrance of most types of living creatures.&lt;/p&gt;&lt;p&gt;The effect hedges out animals, aberrations, dragons, fey, giants, humanoids, magical beasts, monstrous humanoids, oozes, plants, and vermin, but not constructs, elementals, outsiders, or undead.&lt;/p&gt;&lt;p&gt;This spell may be used only defensively, not aggressively. Forcing an abjuration barrier against creatures that the spell keeps at bay collapses the barrier.&lt;/p&gt;</t>
  </si>
  <si>
    <t>&lt;link rel="stylesheet"href="PF.css"&gt;&lt;div class="heading"&gt;&lt;p class="alignleft"&gt;Antilife Shell&lt;/p&gt;&lt;div style="clear: both;"&gt;&lt;/div&gt;&lt;/div&gt;&lt;div&gt;&lt;h5&gt;&lt;b&gt;School &lt;/b&gt;abjuration; &lt;b&gt;Level &lt;/b&gt;cleric 6/oracle 6, druid 6&lt;/h5&gt;&lt;h5&gt;&lt;b&gt;Casting Time &lt;/b&gt;1 round&lt;/h5&gt;&lt;h5&gt;&lt;b&gt;Components &lt;/b&gt;V, S, DF&lt;/h5&gt;&lt;h5&gt;&lt;b&gt;Range &lt;/b&gt;10 ft.&lt;/h5&gt;&lt;h5&gt;&lt;b&gt;Area &lt;/b&gt;10-ft.-radius emanation, centered on you&lt;/h5&gt;&lt;h5&gt;&lt;b&gt;Duration &lt;/b&gt;1 min./level (D)&lt;/h5&gt;&lt;h5&gt;&lt;b&gt;Saving Throw &lt;/b&gt;none; &lt;b&gt;Spell Resistance &lt;/b&gt;yes&lt;/h5&gt;&lt;/div&gt;&lt;div&gt;&lt;h4&gt;&lt;p&gt;You bring into being a mobile, hemispherical energy field that prevents the entrance of most types of living creatures.&lt;/p&gt;&lt;p&gt;The effect hedges out animals, aberrations, dragons, fey, giants, humanoids, magical beasts, monstrous humanoids, oozes, plants, and vermin, but not constructs, elementals, outsiders, or undead.&lt;/p&gt;&lt;p&gt;This spell may be used only defensively, not aggressively. Forcing an abjuration barrier against creatures that the spell keeps at bay collapses the barrier.&lt;/p&gt;&lt;/h4&gt;&lt;/div&gt;</t>
  </si>
  <si>
    <t>Animal, Souls</t>
  </si>
  <si>
    <t>10-ft.-radius field hedges out living creatures.</t>
  </si>
  <si>
    <t>Antimagic Field</t>
  </si>
  <si>
    <t>cleric/oracle 8, sorcerer/wizard 6</t>
  </si>
  <si>
    <t>V, S, M/DF (pinch of powdered iron or iron filings)</t>
  </si>
  <si>
    <t>10 min./level (D)</t>
  </si>
  <si>
    <t>An invisible barrier surrounds you and moves with you. The space within this barrier is impervious to most magical effects, including spells, spell-like abilities, and supernatural abilities. Likewise, it prevents the functioning of any magic items or spells within its confines. An antimagic field suppresses any spell or magical effect used within, brought into, or cast into the area, but does not dispel it. Time spent within an antimagic field counts against the suppressed spell's duration. Summoned creatures of any type wink out if they enter an antimagic field. They reappear in the same spot once the field goes away. Time spent winked out counts normally against the duration of the conjuration that is maintaining the creature. If you cast antimagic field in an area occupied by a summoned creature that has spell resistance, you must make a caster level check (1d20 + caster level) against the creature's spell resistance to make it wink out. (The effects of instantaneous conjurations are not affected by an antimagic field because the conjuration itself is no longer in effect, only its result.) A normal creature can enter the area, as can normal missiles. Furthermore, while a magic sword does not function magically within the area, it is still a sword (and a masterwork sword at that). The spell has no effect on golems and other constructs that are imbued with magic during their creation process and are thereafter self-supporting (unless they have been summoned, in which case they are treated like any other summoned creatures). Elementals, undead, and outsiders are likewise unaffected unless summoned. These creatures' spell-like or supernatural abilities may be temporarily nullified by the field. Dispel magic does not remove the field. Two or more antimagic fields sharing any of the same space have no effect on each other. Certain spells, such as wall of force, prismatic sphere, and prismatic wall, remain unaffected by antimagic field. Artifacts and deities are unaffected by mortal magic such as this. Should a creature be larger than the area enclosed by the barrier, any part of it that lies outside the barrier is unaffected by the field.</t>
  </si>
  <si>
    <t>&lt;p&gt;An invisible barrier surrounds you and moves with you. The space within this barrier is impervious to most magical effects, including spells, spell-like abilities, and supernatural abilities.&lt;/p&gt;&lt;p&gt;Likewise, it prevents the functioning of any magic items or spells within its confines.&lt;/p&gt;&lt;p&gt;An &lt;i&gt;antimagic field&lt;/i&gt; suppresses any spell or magical effect used within, brought into, or cast into the area, but does not dispel it.&lt;/p&gt;&lt;p&gt;Time spent within an &lt;i&gt;antimagic field&lt;/i&gt; counts against the suppressed spell's duration.&lt;/p&gt;&lt;p&gt;Summoned creatures of any type wink out if they enter an &lt;i&gt;antimagic field&lt;/i&gt;. They reappear in the same spot once the field goes away. Time spent winked out counts normally against the duration of the conjuration that is maintaining the creature. If you cast &lt;i&gt;antimagic field&lt;/i&gt; in an area occupied by a summoned creature that has spell resistance, you must make a caster level check (1d20 + caster level) against the creature's spell resistance to make it wink out.&lt;/p&gt;&lt;p&gt;(The effects of instantaneous conjurations are not affected by an &lt;i&gt;antimagic field&lt;/i&gt; because the conjuration itself is no longer in effect, only its result.) A normal creature can enter the area, as can normal missiles.&lt;/p&gt;&lt;p&gt;Furthermore, while a magic sword does not function magically within the area, it is still a sword (and a masterwork sword at that). The spell has no effect on golems and other constructs that are imbued with magic during their creation process and are thereafter self-supporting (unless they have been summoned, in which case they are treated like any other summoned creatures). Elementals, undead, and outsiders are likewise unaffected unless summoned. These creatures' spell-like or supernatural abilities may be temporarily nullified by the field.&lt;/p&gt;&lt;p&gt;&lt;i&gt;Dispel magic&lt;/i&gt; does not remove the field.&lt;/p&gt;&lt;p&gt;Two or more &lt;i&gt;antimagic field&lt;/i&gt;s sharing any of the same space have no effect on each other. Certain spells, such as &lt;i&gt;wall of force&lt;/i&gt;, &lt;i&gt;prismatic sphere&lt;/i&gt;, and &lt;i&gt;prismatic wall&lt;/i&gt;, remain unaffected by &lt;i&gt;antimagic field&lt;/i&gt;.&lt;/p&gt;&lt;p&gt;Artifacts and deities are unaffected by mortal magic such as this.&lt;/p&gt;&lt;p&gt;Should a creature be larger than the area enclosed by the barrier, any part of it that lies outside the barrier is unaffected by the field.&lt;/p&gt;</t>
  </si>
  <si>
    <t>&lt;link rel="stylesheet"href="PF.css"&gt;&lt;div class="heading"&gt;&lt;p class="alignleft"&gt;Antimagic Field&lt;/p&gt;&lt;div style="clear: both;"&gt;&lt;/div&gt;&lt;/div&gt;&lt;div&gt;&lt;h5&gt;&lt;b&gt;School &lt;/b&gt;abjuration; &lt;b&gt;Level &lt;/b&gt;cleric/oracle 8, sorcerer/wizard 6&lt;/h5&gt;&lt;/div&gt;&lt;hr/&gt;&lt;div&gt;&lt;h5&gt;&lt;b&gt;CASTING&lt;/b&gt;&lt;/h5&gt;&lt;/div&gt;&lt;hr/&gt;&lt;div&gt;&lt;h5&gt;&lt;b&gt;Casting Time &lt;/b&gt;1 standard action&lt;/h5&gt;&lt;h5&gt;&lt;b&gt;Components &lt;/b&gt;V, S, M/DF (pinch of powdered iron or iron filings)&lt;/h5&gt;&lt;/div&gt;&lt;hr/&gt;&lt;div&gt;&lt;h5&gt;&lt;b&gt;EFFECT&lt;/b&gt;&lt;/h5&gt;&lt;/div&gt;&lt;hr/&gt;&lt;div&gt;&lt;h5&gt;&lt;b&gt;Range &lt;/b&gt;10 ft.&lt;/h5&gt;&lt;h5&gt;&lt;b&gt;Area &lt;/b&gt;10-ft.-radius emanation, centered on you&lt;/h5&gt;&lt;h5&gt;&lt;b&gt;Duration &lt;/b&gt;10 min./level (D)&lt;/h5&gt;&lt;h5&gt;&lt;b&gt;Saving Throw &lt;/b&gt;none; &lt;b&gt;Spell Resistance &lt;/b&gt;see text&lt;/h5&gt;&lt;/div&gt;&lt;hr/&gt;&lt;div&gt;&lt;h5&gt;&lt;b&gt;DESCRIPTION&lt;/b&gt;&lt;/h5&gt;&lt;/div&gt;&lt;hr/&gt;&lt;div&gt;&lt;h4&gt;&lt;p&gt;An invisible barrier surrounds you and moves with you. The space within this barrier is impervious to most magical effects, including spells, spell-like abilities, and supernatural abilities.&lt;/p&gt;&lt;p&gt;Likewise, it prevents the functioning of any magic items or spells within its confines.&lt;/p&gt;&lt;p&gt;An &lt;i&gt;antimagic field&lt;/i&gt; suppresses any spell or magical effect used within, brought into, or cast into the area, but does not dispel it.&lt;/p&gt;&lt;p&gt;Time spent within an &lt;i&gt;antimagic field&lt;/i&gt; counts against the suppressed spell's duration.&lt;/p&gt;&lt;p&gt;Summoned creatures of any type wink out if they enter an &lt;i&gt;antimagic field&lt;/i&gt;. They reappear in the same spot once the field goes away. Time spent winked out counts normally against the duration of the conjuration that is maintaining the creature. If you cast &lt;i&gt;antimagic field&lt;/i&gt; in an area occupied by a summoned creature that has spell resistance, you must make a caster level check (1d20 + caster level) against the creature's spell resistance to make it wink out.&lt;/p&gt;&lt;p&gt;(The effects of instantaneous conjurations are not affected by an &lt;i&gt;antimagic field&lt;/i&gt; because the conjuration itself is no longer in effect, only its result.) A normal creature can enter the area, as can normal missiles.&lt;/p&gt;&lt;p&gt;Furthermore, while a magic sword does not function magically within the area, it is still a sword (and a masterwork sword at that). The spell has no effect on golems and other constructs that are imbued with magic during their creation process and are thereafter self-supporting (unless they have been summoned, in which case they are treated like any other summoned creatures). Elementals, undead, and outsiders are likewise unaffected unless summoned. These creatures' spell-like or supernatural abilities may be temporarily nullified by the field.&lt;/p&gt;&lt;p&gt;&lt;i&gt;Dispel magic&lt;/i&gt; does not remove the field.&lt;/p&gt;&lt;p&gt;Two or more &lt;i&gt;antimagic field&lt;/i&gt;s sharing any of the same space have no effect on each other. Certain spells, such as &lt;i&gt;wall of force&lt;/i&gt;, &lt;i&gt;prismatic sphere&lt;/i&gt;, and &lt;i&gt;prismatic wall&lt;/i&gt;, remain unaffected by &lt;i&gt;antimagic field&lt;/i&gt;.&lt;/p&gt;&lt;p&gt;Artifacts and deities are unaffected by mortal magic such as this.&lt;/p&gt;&lt;p&gt;Should a creature be larger than the area enclosed by the barrier, any part of it that lies outside the barrier is unaffected by the field.&lt;/p&gt;&lt;/h4&gt;&lt;h5&gt;&lt;b&gt;Mythic: &lt;/b&gt;Select a number of spell schools equal to half your tier. Spells and effects of the chosen schools are unaffected by the antimagic field.&lt;/h5&gt;&lt;/div&gt;</t>
  </si>
  <si>
    <t>Magic, Protection</t>
  </si>
  <si>
    <t>Negates magic within 10 ft.</t>
  </si>
  <si>
    <t>Select a number of spell schools equal to half your tier. Spells and effects of the chosen schools are unaffected by the antimagic field.</t>
  </si>
  <si>
    <t>Antipathy</t>
  </si>
  <si>
    <t>mind-affecting, emotion</t>
  </si>
  <si>
    <t>druid 9, sorcerer/wizard 8, witch 8, summoner 6</t>
  </si>
  <si>
    <t>1 hour</t>
  </si>
  <si>
    <t>V, S, M/DF (a lump of alum soaked in vinegar)</t>
  </si>
  <si>
    <t>one location (up to a 10-ft. cube/level) or one object</t>
  </si>
  <si>
    <t>Will partial</t>
  </si>
  <si>
    <t>You cause an object or location to emanate magical vibrations that repel either a specific kind of intelligent creature or creatures of a particular alignment, as defined by you. The kind of creature to be affected must be named specifically. A creature subtype is not specific enough. Likewise, the specific alignment to be repelled must be named. Creatures of the designated kind or alignment feel an urge to leave the area or to avoid the affected item. A compulsion forces them to abandon the area or item, shunning it and never willingly returning to it while the spell is in effect. A creature that makes a successful saving throw can stay in the area or touch the item but feels uncomfortable doing so. This distracting discomfort reduces the creature's Dexterity score by 4 points. Antipathy counters and dispels sympathy.</t>
  </si>
  <si>
    <t>&lt;p&gt;You cause an object or location to emanate magical vibrations that repel either a specific kind of intelligent creature or creatures of a particular alignment, as defined by you. The kind of creature to be affected must be named specifically. A creature subtype is not specific enough. Likewise, the specific alignment to be repelled must be named.&lt;/p&gt;&lt;p&gt;Creatures of the designated kind or alignment feel an urge to leave the area or to avoid the affected item.&lt;/p&gt;&lt;p&gt;A compulsion forces them to abandon the area or item, shunning it and never willingly returning to it while the spell is in effect. A creature that makes a successful saving throw can stay in the area or touch the item but feels uncomfortable doing so. This distracting discomfort reduces the creature's Dexterity score by 4 points.&lt;/p&gt;&lt;p&gt;&lt;i&gt;Antipathy&lt;/i&gt; counters and dispels &lt;i&gt;sympathy&lt;/i&gt;.&lt;/p&gt;</t>
  </si>
  <si>
    <t>&lt;link rel="stylesheet"href="PF.css"&gt;&lt;div class="heading"&gt;&lt;p class="alignleft"&gt;Antipathy&lt;/p&gt;&lt;div style="clear: both;"&gt;&lt;/div&gt;&lt;/div&gt;&lt;div&gt;&lt;h5&gt;&lt;b&gt;School &lt;/b&gt;enchantment (compulsion) [mind-affecting, emotion]; &lt;b&gt;Level &lt;/b&gt;druid 9, sorcerer/wizard 8, summoner 6, witch 8&lt;/h5&gt;&lt;h5&gt;&lt;b&gt;Casting Time &lt;/b&gt;1 hour&lt;/h5&gt;&lt;h5&gt;&lt;b&gt;Components &lt;/b&gt;V, S, M/DF (a lump of alum soaked in vinegar)&lt;/h5&gt;&lt;h5&gt;&lt;b&gt;Range &lt;/b&gt;close (25 ft. + 5 ft./2 levels)&lt;/h5&gt;&lt;h5&gt;&lt;b&gt;Targets &lt;/b&gt; one location (up to a 10-ft. cube/level) or one object&lt;/h5&gt;&lt;h5&gt;&lt;b&gt;Duration &lt;/b&gt;2 hours/level (D)&lt;/h5&gt;&lt;h5&gt;&lt;b&gt;Saving Throw &lt;/b&gt;Will partial; &lt;b&gt;Spell Resistance &lt;/b&gt;yes&lt;/h5&gt;&lt;/div&gt;&lt;div&gt;&lt;h4&gt;&lt;p&gt;You cause an object or location to emanate magical vibrations that repel either a specific kind of intelligent creature or creatures of a particular alignment, as defined by you. The kind of creature to be affected must be named specifically. A creature subtype is not specific enough. Likewise, the specific alignment to be repelled must be named.&lt;/p&gt;&lt;p&gt;Creatures of the designated kind or alignment feel an urge to leave the area or to avoid the affected item.&lt;/p&gt;&lt;p&gt;A compulsion forces them to abandon the area or item, shunning it and never willingly returning to it while the spell is in effect. A creature that makes a successful saving throw can stay in the area or touch the item but feels uncomfortable doing so. This distracting discomfort reduces the creature's Dexterity score by 4 points.&lt;/p&gt;&lt;p&gt;&lt;i&gt;Antipathy&lt;/i&gt; counters and dispels &lt;i&gt;sympathy&lt;/i&gt;.&lt;/p&gt;&lt;/h4&gt;&lt;/div&gt;</t>
  </si>
  <si>
    <t>Object or location affected by spell repels certain creatures.</t>
  </si>
  <si>
    <t>Peace</t>
  </si>
  <si>
    <t>Antiplant Shell</t>
  </si>
  <si>
    <t>druid 4</t>
  </si>
  <si>
    <t>The antiplant shell spell creates an invisible, mobile barrier that keeps all creatures within the shell protected from attacks by plant creatures or animated plants. As with many abjuration spells, forcing the barrier against creatures that the spell keeps at bay strains and collapses the field.</t>
  </si>
  <si>
    <t>&lt;p&gt;The &lt;i&gt;antiplant shell&lt;/i&gt; spell creates an invisible, mobile barrier that keeps all creatures within the shell protected from attacks by plant creatures or animated plants. As with many abjuration spells, forcing the barrier against creatures that the spell keeps at bay strains and collapses the field.&lt;/p&gt;</t>
  </si>
  <si>
    <t>&lt;link rel="stylesheet"href="PF.css"&gt;&lt;div class="heading"&gt;&lt;p class="alignleft"&gt;Antiplant Shell&lt;/p&gt;&lt;div style="clear: both;"&gt;&lt;/div&gt;&lt;/div&gt;&lt;div&gt;&lt;h5&gt;&lt;b&gt;School &lt;/b&gt;abjuration; &lt;b&gt;Level &lt;/b&gt;druid 4&lt;/h5&gt;&lt;h5&gt;&lt;b&gt;Casting Time &lt;/b&gt;1 standard action&lt;/h5&gt;&lt;h5&gt;&lt;b&gt;Components &lt;/b&gt;V, S, DF&lt;/h5&gt;&lt;h5&gt;&lt;b&gt;Range &lt;/b&gt;10 ft.&lt;/h5&gt;&lt;h5&gt;&lt;b&gt;Area &lt;/b&gt;10-ft.-radius emanation, centered on you&lt;/h5&gt;&lt;h5&gt;&lt;b&gt;Duration &lt;/b&gt;1 min./level (D)&lt;/h5&gt;&lt;h5&gt;&lt;b&gt;Saving Throw &lt;/b&gt;none; &lt;b&gt;Spell Resistance &lt;/b&gt;yes&lt;/h5&gt;&lt;/div&gt;&lt;div&gt;&lt;h4&gt;&lt;p&gt;The &lt;i&gt;antiplant shell&lt;/i&gt; spell creates an invisible, mobile barrier that keeps all creatures within the shell protected from attacks by plant creatures or animated plants. As with many abjuration spells, forcing the barrier against creatures that the spell keeps at bay strains and collapses the field.&lt;/p&gt;&lt;/h4&gt;&lt;/div&gt;</t>
  </si>
  <si>
    <t> Keeps animated plants at bay.</t>
  </si>
  <si>
    <t>Arcane Eye</t>
  </si>
  <si>
    <t>scrying</t>
  </si>
  <si>
    <t>sorcerer/wizard 4, witch 4, alchemist 4</t>
  </si>
  <si>
    <t>10 minutes</t>
  </si>
  <si>
    <t>V, S, M (a bit of bat fur)</t>
  </si>
  <si>
    <t>unlimited</t>
  </si>
  <si>
    <t>magical sensor</t>
  </si>
  <si>
    <t>You create an invisible magical sensor that sends you visual information. You can create the arcane eye at any point you can see, but it can then travel outside your line of sight without hindrance. An arcane eye travels at 30 feet per round (300 feet per minute) if viewing an area ahead as a human would (primarily looking at the floor) or 10 feet per round (100 feet per minute) if examining the ceiling and walls as well as the floor ahead. It sees exactly as you would see if you were there. The eye can travel in any direction as long as the spell lasts. Solid barriers block its passage, but it can pass through a hole or space as small as 1 inch in diameter. The eye can't enter another plane of existence, even through a gate or similar magical portal. You must concentrate to use an arcane eye. If you do not concentrate, the eye is inert until you again concentrate.</t>
  </si>
  <si>
    <t>&lt;p&gt;You create an invisible magical sensor that sends you visual information. You can create the &lt;i&gt;arcane eye&lt;/i&gt; at any point you can see, but it can then travel outside your line of sight without hindrance. An &lt;i&gt;arcane eye&lt;/i&gt; travels at 30 feet per round (300 feet per minute) if viewing an area ahead as a human would (primarily looking at the floor) or 10 feet per round (100 feet per minute) if examining the ceiling and walls as well as the floor ahead. It sees exactly as you would see if you were there.&lt;/p&gt;&lt;p&gt;The eye can travel in any direction as long as the spell lasts. Solid barriers block its passage, but it can pass through a hole or space as small as 1 inch in diameter. The eye can't enter another plane of existence, even through a &lt;i&gt;gate&lt;/i&gt; or similar magical portal.&lt;/p&gt;&lt;p&gt;You must concentrate to use an &lt;i&gt;arcane eye&lt;/i&gt;. If you do not concentrate, the eye is inert until you again concentrate.&lt;/p&gt;</t>
  </si>
  <si>
    <t>&lt;link rel="stylesheet"href="PF.css"&gt;&lt;div class="heading"&gt;&lt;p class="alignleft"&gt;Arcane Eye &lt;/p&gt;&lt;div style="clear: both;"&gt;&lt;/div&gt;&lt;/div&gt;&lt;div&gt;&lt;h5&gt;&lt;b&gt;School &lt;/b&gt;divination (scrying); &lt;b&gt;Level &lt;/b&gt;sorcerer/wizard 4, alchemist 4, witch 4&lt;/h5&gt;&lt;h5&gt;&lt;b&gt;Casting Time &lt;/b&gt;10 minutes&lt;/h5&gt;&lt;h5&gt;&lt;b&gt;Components &lt;/b&gt;V, S, M (a bit of bat fur)&lt;/h5&gt;&lt;h5&gt;&lt;b&gt;Range &lt;/b&gt;unlimited&lt;/h5&gt;&lt;h5&gt;&lt;b&gt;Effect &lt;/b&gt;magical sensor&lt;/h5&gt;&lt;h5&gt;&lt;b&gt;Duration &lt;/b&gt;1 min./level (D)&lt;/h5&gt;&lt;h5&gt;&lt;b&gt;Saving Throw &lt;/b&gt;none; &lt;b&gt;Spell Resistance &lt;/b&gt;no&lt;/h5&gt;&lt;/div&gt;&lt;div&gt;&lt;h4&gt;&lt;p&gt;You create an invisible magical sensor that sends you visual information. You can create the &lt;i&gt;arcane eye&lt;/i&gt; at any point you can see, but it can then travel outside your line of sight without hindrance. An &lt;i&gt;arcane eye&lt;/i&gt; travels at 30 feet per round (300 feet per minute) if viewing an area ahead as a human would (primarily looking at the floor) or 10 feet per round (100 feet per minute) if examining the ceiling and walls as well as the floor ahead. It sees exactly as you would see if you were there.&lt;/p&gt;&lt;p&gt;The eye can travel in any direction as long as the spell lasts. Solid barriers block its passage, but it can pass through a hole or space as small as 1 inch in diameter. The eye can't enter another plane of existence, even through a &lt;i&gt;gate&lt;/i&gt; or similar magical portal.&lt;/p&gt;&lt;p&gt;You must concentrate to use an &lt;i&gt;arcane eye&lt;/i&gt;. If you do not concentrate, the eye is inert until you again concentrate.&lt;/p&gt;&lt;/h4&gt;&lt;/div&gt;</t>
  </si>
  <si>
    <t> Invisible floating eye moves 30 ft./round.</t>
  </si>
  <si>
    <t>Arcane Lock</t>
  </si>
  <si>
    <t>sorcerer/wizard 2</t>
  </si>
  <si>
    <t>V, S, M (gold dust worth 25 gp)</t>
  </si>
  <si>
    <t>door, chest, or portal touched, up to 30 sq. ft./level in size</t>
  </si>
  <si>
    <t>permanent</t>
  </si>
  <si>
    <t>An arcane lock spell cast upon a door, chest, or portal magically locks it. You can freely pass your own arcane lock without affecting it. If the locked object has a lock, the DC to open that lock increases by 10 while it remains attached to the object. If the object does not have a lock, this spell creates one that can only be opened with a DC 20 Disable Device skill check. A door or object secured with this spell can be opened only by breaking in or with a successful dispel magic or knock spell. Add 10 to the normal DC to break open a door or portal affected by this spell. A knock spell does not remove an arcane lock; it only suppresses the effect for 10 minutes.</t>
  </si>
  <si>
    <t>&lt;p&gt;An &lt;i&gt;arcane lock&lt;/i&gt; spell cast upon a door, chest, or portal magically locks it. You can freely pass your own arcane lock without affecting it. If the locked object has a lock, the DC to open that lock increases by 10 while it remains attached to the object. If the object does not have a lock, this spell creates one that can only be opened with a DC 20 Disable Device skill check. A door or object secured with this spell can be opened only by breaking in or with a successful &lt;i&gt;dispel magic&lt;/i&gt; or &lt;i&gt;knock&lt;/i&gt; spell. Add 10 to the normal DC to break open a door or portal affected by this spell. A &lt;i&gt;knock&lt;/i&gt; spell does not remove an &lt;i&gt;arcane lock&lt;/i&gt;; it only suppresses the effect for 10 minutes.&lt;/p&gt;</t>
  </si>
  <si>
    <t>&lt;link rel="stylesheet"href="PF.css"&gt;&lt;div class="heading"&gt;&lt;p class="alignleft"&gt;Arcane Lock&lt;/p&gt;&lt;div style="clear: both;"&gt;&lt;/div&gt;&lt;/div&gt;&lt;div&gt;&lt;h5&gt;&lt;b&gt;School &lt;/b&gt;abjuration; &lt;b&gt;Level &lt;/b&gt;sorcerer/wizard 2&lt;/h5&gt;&lt;h5&gt;&lt;b&gt;Casting Time &lt;/b&gt;1 standard action&lt;/h5&gt;&lt;h5&gt;&lt;b&gt;Components &lt;/b&gt;V, S, M (gold dust worth 25 gp)&lt;/h5&gt;&lt;h5&gt;&lt;b&gt;Range &lt;/b&gt;touch&lt;/h5&gt;&lt;h5&gt;&lt;b&gt;Targets &lt;/b&gt; door, chest, or portal touched, up to 30 sq. ft./level in size&lt;/h5&gt;&lt;h5&gt;&lt;b&gt;Duration &lt;/b&gt;permanent&lt;/h5&gt;&lt;h5&gt;&lt;b&gt;Saving Throw &lt;/b&gt;none; &lt;b&gt;Spell Resistance &lt;/b&gt;no&lt;/h5&gt;&lt;/div&gt;&lt;div&gt;&lt;h4&gt;&lt;p&gt;An &lt;i&gt;arcane lock&lt;/i&gt; spell cast upon a door, chest, or portal magically locks it. You can freely pass your own arcane lock without affecting it. If the locked object has a lock, the DC to open that lock increases by 10 while it remains attached to the object. If the object does not have a lock, this spell creates one that can only be opened with a DC 20 Disable Device skill check. A door or object secured with this spell can be opened only by breaking in or with a successful &lt;i&gt;dispel magic&lt;/i&gt; or &lt;i&gt;knock&lt;/i&gt; spell. Add 10 to the normal DC to break open a door or portal affected by this spell. A &lt;i&gt;knock&lt;/i&gt; spell does not remove an &lt;i&gt;arcane lock&lt;/i&gt;; it only suppresses the effect for 10 minutes.&lt;/p&gt;&lt;/h4&gt;&lt;/div&gt;</t>
  </si>
  <si>
    <t>Wards</t>
  </si>
  <si>
    <t> Magically locks a portal or chest.</t>
  </si>
  <si>
    <t>Arcane Mark</t>
  </si>
  <si>
    <t>universal</t>
  </si>
  <si>
    <t>sorcerer/wizard 0, summoner 0, magus 0</t>
  </si>
  <si>
    <t>one personal rune or mark, all of which must fit within 1 sq. ft.</t>
  </si>
  <si>
    <t>This spell allows you to inscribe your personal rune or mark, which can consist of no more than six characters. The writing can be visible or invisible. An arcane mark spell enables you to etch the rune upon any substance without harm to the material upon which it is placed. If an invisible mark is made, a detect magic spell causes it to glow and be visible, though not necessarily understandable. See invisibility, true seeing, a gem of seeing, or a robe of eyes likewise allows the user to see an invisible arcane mark. A read magic spell reveals the words, if any. The mark cannot be dispelled, but it can be removed by the caster or by an erase spell. If an arcane mark is placed on a living being, the effect gradually fades in about a month. Arcane mark must be cast on an object prior to casting instant summons on the same object (see that spell DESCRIPTION for details).</t>
  </si>
  <si>
    <t>&lt;p&gt;This spell allows you to inscribe your personal rune or mark, which can consist of no more than six characters. The writing can be visible or invisible. An &lt;i&gt;arcane mark&lt;/i&gt; spell enables you to etch the rune upon any substance without harm to the material upon which it is placed. If an invisible mark is made, a &lt;i&gt;detect magic&lt;/i&gt; spell causes it to glow and be visible, though not necessarily understandable.&lt;/p&gt;&lt;p&gt;&lt;i&gt;See invisibility&lt;/i&gt;, &lt;i&gt;true seeing&lt;/i&gt;, a &lt;i&gt;gem of seeing&lt;/i&gt;, or a &lt;i&gt;robe of eyes&lt;/i&gt; likewise allows the user to see an invisible &lt;i&gt;arcane mark&lt;/i&gt;. A &lt;i&gt;read magic&lt;/i&gt; spell reveals the words, if any. The mark cannot be dispelled, but it can be removed by the caster or by an &lt;i&gt;erase&lt;/i&gt; spell.&lt;/p&gt;&lt;p&gt;If an &lt;i&gt;arcane mark&lt;/i&gt; is placed on a living being, the effect gradually fades in about a month.&lt;/p&gt;&lt;p&gt;&lt;i&gt;Arcane mark&lt;/i&gt; must be cast on an object prior to casting &lt;i&gt;instant summons&lt;/i&gt; on the same object (see that spell description for details).&lt;/p&gt;</t>
  </si>
  <si>
    <t>&lt;link rel="stylesheet"href="PF.css"&gt;&lt;div class="heading"&gt;&lt;p class="alignleft"&gt;Arcane Mark&lt;/p&gt;&lt;div style="clear: both;"&gt;&lt;/div&gt;&lt;/div&gt;&lt;div&gt;&lt;h5&gt;&lt;b&gt;School &lt;/b&gt;universal; &lt;b&gt;Level &lt;/b&gt;sorcerer/wizard 0, summoner 0, magus 0&lt;/h5&gt;&lt;h5&gt;&lt;b&gt;Casting Time &lt;/b&gt;1 standard action&lt;/h5&gt;&lt;h5&gt;&lt;b&gt;Components &lt;/b&gt;V, S&lt;/h5&gt;&lt;h5&gt;&lt;b&gt;Range &lt;/b&gt;touch&lt;/h5&gt;&lt;h5&gt;&lt;b&gt;Effect &lt;/b&gt;one personal rune or mark, all of which must fit within 1 sq. ft.&lt;/h5&gt;&lt;h5&gt;&lt;b&gt;Duration &lt;/b&gt;permanent&lt;/h5&gt;&lt;h5&gt;&lt;b&gt;Saving Throw &lt;/b&gt;none; &lt;b&gt;Spell Resistance &lt;/b&gt;no&lt;/h5&gt;&lt;/div&gt;&lt;div&gt;&lt;h4&gt;&lt;p&gt;This spell allows you to inscribe your personal rune or mark, which can consist of no more than six characters. The writing can be visible or invisible. An &lt;i&gt;arcane mark&lt;/i&gt; spell enables you to etch the rune upon any substance without harm to the material upon which it is placed. If an invisible mark is made, a &lt;i&gt;detect magic&lt;/i&gt; spell causes it to glow and be visible, though not necessarily understandable.&lt;/p&gt;&lt;p&gt;&lt;i&gt;See invisibility&lt;/i&gt;, &lt;i&gt;true seeing&lt;/i&gt;, a &lt;i&gt;gem of seeing&lt;/i&gt;, or a &lt;i&gt;robe of eyes&lt;/i&gt; likewise allows the user to see an invisible &lt;i&gt;arcane mark&lt;/i&gt;. A &lt;i&gt;read magic&lt;/i&gt; spell reveals the words, if any. The mark cannot be dispelled, but it can be removed by the caster or by an &lt;i&gt;erase&lt;/i&gt; spell.&lt;/p&gt;&lt;p&gt;If an &lt;i&gt;arcane mark&lt;/i&gt; is placed on a living being, the effect gradually fades in about a month.&lt;/p&gt;&lt;p&gt;&lt;i&gt;Arcane mark&lt;/i&gt; must be cast on an object prior to casting &lt;i&gt;instant summons&lt;/i&gt; on the same object (see that spell description for details).&lt;/p&gt;&lt;/h4&gt;&lt;/div&gt;</t>
  </si>
  <si>
    <t> Inscribes a personal rune on an object or creature (visible or invisible).</t>
  </si>
  <si>
    <t>Arcane Sight</t>
  </si>
  <si>
    <t>sorcerer/wizard 3, witch 3, inquisitor 3, alchemist 3, magus 3</t>
  </si>
  <si>
    <t>This spell makes your eyes glow blue and allows you to see magical auras within 120 feet of you. The effect is similar to that of a detect magic spell, but arcane sight does not require concentration and discerns aura location and power more quickly. You know the location and power of all magical auras within your sight. An aura's power depends on a spell's functioning level or an item's caster level, as noted in the DESCRIPTION of the detect magic spell. If the items or creatures bearing the auras are in line of sight, you can make Spellcraft skill checks to determine the school of magic involved in each. (Make one check per aura; DC 15 + spell level, or 15 + half caster level for a nonspell effect.) If you concentrate on a specific creature within 120 feet of you as a standard action, you can determine whether it has any spellcasting or spell-like abilities, whether these are arcane or divine (spell-like abilities register as arcane), and the strength of the most powerful spell or spell-like ability the creature currently has available for use. As with detect magic, you can use this spell to identify the properties of magic items, but not artifacts. Arcane sight can be made permanent with a permanency spell.</t>
  </si>
  <si>
    <t>&lt;p&gt;This spell makes your eyes glow blue and allows you to see magical auras within 120 feet of you. The effect is similar to that of a &lt;i&gt;detect magic&lt;/i&gt; spell, but &lt;i&gt;arcane sight&lt;/i&gt; does not require concentration and discerns aura location and power more quickly.&lt;/p&gt;&lt;p&gt;You know the location and power of all magical auras within your sight. An aura's power depends on a spell's functioning level or an item's caster level, as noted in the description of the &lt;i&gt;detect magic&lt;/i&gt; spell. If the items or creatures bearing the auras are in line of sight, you can make Spellcraft skill checks to determine the school of magic involved in each. (Make one check per aura; DC 15 + spell level, or 15 + half caster level for a nonspell effect.) If you concentrate on a specific creature within 120 feet of you as a standard action, you can determine whether it has any spellcasting or spell-like abilities, whether these are arcane or divine (spell-like abilities register as arcane), and the strength of the most powerful spell or spell-like ability the creature currently has available for use.&lt;/p&gt;&lt;p&gt;As with &lt;i&gt;detect magic&lt;/i&gt;, you can use this spell to identify the properties of magic items, but not artifacts.&lt;/p&gt;&lt;p&gt;&lt;i&gt;Arcane sight&lt;/i&gt; can be made permanent with a &lt;i&gt;permanency&lt;/i&gt; spell.&lt;/p&gt;</t>
  </si>
  <si>
    <t>&lt;link rel="stylesheet"href="PF.css"&gt;&lt;div class="heading"&gt;&lt;p class="alignleft"&gt;Arcane Sight &lt;/p&gt;&lt;div style="clear: both;"&gt;&lt;/div&gt;&lt;/div&gt;&lt;div&gt;&lt;h5&gt;&lt;b&gt;School &lt;/b&gt;divination; &lt;b&gt;Level &lt;/b&gt;sorcerer/wizard 3, alchemist 3, witch 3, inquisitor 3&lt;/h5&gt;&lt;h5&gt;&lt;b&gt;Casting Time &lt;/b&gt;1 standard action&lt;/h5&gt;&lt;h5&gt;&lt;b&gt;Components &lt;/b&gt;V, S&lt;/h5&gt;&lt;h5&gt;&lt;b&gt;Range &lt;/b&gt;personal&lt;/h5&gt;&lt;h5&gt;&lt;b&gt;Targets &lt;/b&gt; you&lt;/h5&gt;&lt;h5&gt;&lt;b&gt;Duration &lt;/b&gt;1 min./level (D)&lt;/h5&gt;&lt;/div&gt;&lt;div&gt;&lt;h4&gt;&lt;p&gt;This spell makes your eyes glow blue and allows you to see magical auras within 120 feet of you. The effect is similar to that of a &lt;i&gt;detect magic&lt;/i&gt; spell, but &lt;i&gt;arcane sight&lt;/i&gt; does not require concentration and discerns aura location and power more quickly.&lt;/p&gt;&lt;p&gt;You know the location and power of all magical auras within your sight. An aura's power depends on a spell's functioning level or an item's caster level, as noted in the description of the &lt;i&gt;detect magic&lt;/i&gt; spell. If the items or creatures bearing the auras are in line of sight, you can make Spellcraft skill checks to determine the school of magic involved in each. (Make one check per aura; DC 15 + spell level, or 15 + half caster level for a nonspell effect.) If you concentrate on a specific creature within 120 feet of you as a standard action, you can determine whether it has any spellcasting or spell-like abilities, whether these are arcane or divine (spell-like abilities register as arcane), and the strength of the most powerful spell or spell-like ability the creature currently has available for use.&lt;/p&gt;&lt;p&gt;As with &lt;i&gt;detect magic&lt;/i&gt;, you can use this spell to identify the properties of magic items, but not artifacts.&lt;/p&gt;&lt;p&gt;&lt;i&gt;Arcane sight&lt;/i&gt; can be made permanent with a &lt;i&gt;permanency&lt;/i&gt; spell.&lt;/p&gt;&lt;/h4&gt;&lt;/div&gt;</t>
  </si>
  <si>
    <t> Magical auras become visible to you.</t>
  </si>
  <si>
    <t>Arcane Sight, Greater</t>
  </si>
  <si>
    <t>sorcerer/wizard 7, witch 7</t>
  </si>
  <si>
    <t>This spell functions like arcane sight, except that you automatically know which spells or magical effects are active upon any individual or object you see. Unlike arcane sight, this spell cannot be made permanent with a permanency spell.</t>
  </si>
  <si>
    <t>&lt;p&gt;This spell functions like &lt;i&gt;arcane sight&lt;/i&gt;, except that you automatically know which spells or magical effects are active upon any individual or object you see.&lt;/p&gt;&lt;p&gt;Unlike &lt;i&gt;arcane sight&lt;/i&gt;, this spell cannot be made permanent with a &lt;i&gt;permanency&lt;/i&gt; spell.&lt;/p&gt;</t>
  </si>
  <si>
    <t>&lt;link rel="stylesheet"href="PF.css"&gt;&lt;div class="heading"&gt;&lt;p class="alignleft"&gt;Arcane Sight, Greater &lt;/p&gt;&lt;div style="clear: both;"&gt;&lt;/div&gt;&lt;/div&gt;&lt;div&gt;&lt;h5&gt;&lt;b&gt;School &lt;/b&gt;divination; &lt;b&gt;Level &lt;/b&gt;sorcerer/wizard 7, witch 7&lt;/h5&gt;&lt;h5&gt;&lt;b&gt;Casting Time &lt;/b&gt;1 standard action&lt;/h5&gt;&lt;h5&gt;&lt;b&gt;Components &lt;/b&gt;V, S&lt;/h5&gt;&lt;h5&gt;&lt;b&gt;Range &lt;/b&gt;personal&lt;/h5&gt;&lt;h5&gt;&lt;b&gt;Targets &lt;/b&gt; you&lt;/h5&gt;&lt;h5&gt;&lt;b&gt;Duration &lt;/b&gt;1 min./level (D)&lt;/h5&gt;&lt;/div&gt;&lt;div&gt;&lt;h4&gt;&lt;p&gt;This spell functions like &lt;i&gt;arcane sight&lt;/i&gt;, except that you automatically know which spells or magical effects are active upon any individual or object you see.&lt;/p&gt;&lt;p&gt;Unlike &lt;i&gt;arcane sight&lt;/i&gt;, this spell cannot be made permanent with a &lt;i&gt;permanency&lt;/i&gt; spell.&lt;/p&gt;&lt;/h4&gt;&lt;/div&gt;</t>
  </si>
  <si>
    <t> As arcane sight, but also reveals magic effects on creatures and objects.</t>
  </si>
  <si>
    <t>Astral Projection</t>
  </si>
  <si>
    <t>cleric 9/oracle 9, sorcerer/wizard 9, witch 9</t>
  </si>
  <si>
    <t>30 minutes</t>
  </si>
  <si>
    <t>V, S, M (1,000 gp jacinth)</t>
  </si>
  <si>
    <t>you plus one additional willing creature touched per two caster levels</t>
  </si>
  <si>
    <t>By freeing your spirit from your physical body, this spell allows you to project an astral body onto another plane altogether. You can bring the astral forms of other willing creatures with you, provided that these subjects are linked in a circle with you at the time of the casting. These fellow travelers are dependent upon you and must accompany you at all times. If something happens to you during the journey, your companions are stranded wherever you left them. You project your astral self onto the Astral Plane, leaving your physical body behind on the Material Plane in a state of suspended animation. The spell projects an astral copy of you and all you wear or carry onto the Astral Plane. Since the Astral Plane touches upon other planes, you can travel astrally to any of these other planes as you will. To enter one, you leave the Astral Plane, forming a new physical body (and equipment) on the plane of existence you have chosen to enter. While you are on the Astral Plane, your astral body is connected at all times to your physical body by an incorporeal silver cord. If the cord is broken, you are killed, astrally and physically. Luckily, very few things can destroy a silver cord. When a second body is formed on a different plane, the silver cord remains invisibly attached to the new body. If the second body or the astral form is slain, the cord simply returns to your body where it rests on the Material Plane, thereby reviving it from its state of suspended animation. This is a traumatic affair, however, and you gain two permanent negative levels if your second body or astral form is slain. Although astral projections are able to function on the Astral Plane, their actions affect only creatures existing on the Astral Plane; a physical body must be materialized on other planes. You and your companions may travel through the Astral Plane indefinitely. Your bodies simply wait behind in a state of suspended animation until you choose to return your spirits to them. The spell lasts until you desire to end it, or until it is terminated by some outside means, such as dispel magic cast upon either the physical body or the astral form, the breaking of the silver cord, or the destruction of your body back on the Material Plane (which kills you). When this spell ends, your astral body and all of its gear, vanishes.</t>
  </si>
  <si>
    <t>&lt;p&gt;By freeing your spirit from your physical body, this spell allows you to project an astral body onto another plane altogether. You can bring the astral forms of other willing creatures with you, provided that these subjects are linked in a circle with you at the time of the casting. These fellow travelers are dependent upon you and must accompany you at all times. If something happens to you during the journey, your companions are stranded wherever you left them.&lt;/p&gt;&lt;p&gt;You project your astral self onto the Astral Plane, leaving your physical body behind on the Material Plane in a state of suspended animation. The spell projects an astral copy of you and all you wear or carry onto the Astral Plane. Since the Astral Plane touches upon other planes, you can travel astrally to any of these other planes as you will. To enter one, you leave the Astral Plane, forming a new physical body (and equipment) on the plane of existence you have chosen to enter.&lt;/p&gt;&lt;p&gt;While you are on the Astral Plane, your astral body is connected at all times to your physical body by an incorporeal silver cord. If the cord is broken, you are killed, astrally and physically. Luckily, very few things can destroy a silver cord. When a second body is formed on a different plane, the silver cord remains invisibly attached to the new body. If the second body or the astral form is slain, the cord simply returns to your body where it rests on the Material Plane, thereby reviving it from its state of suspended animation. This is a traumatic affair, however, and you gain two permanent negative levels if your second body or astral form is slain. Although astral projections are able to function on the Astral Plane, their actions affect only creatures existing on the Astral Plane; a physical body must be materialized on other planes.&lt;/p&gt;&lt;p&gt;You and your companions may travel through the Astral Plane indefinitely. Your bodies simply wait behind in a state of suspended animation until you choose to return your spirits to them. The spell lasts until you desire to end it, or until it is terminated by some outside means, such as &lt;i&gt;dispel magic&lt;/i&gt; cast upon either the physical body or the astral form, the breaking of the silver cord, or the destruction of your body back on the Material Plane (which kills you).&lt;/p&gt;&lt;p&gt;When this spell ends, your astral body and all of its gear, vanishes.&lt;/p&gt;</t>
  </si>
  <si>
    <t>&lt;link rel="stylesheet"href="PF.css"&gt;&lt;div class="heading"&gt;&lt;p class="alignleft"&gt;Astral Projection&lt;/p&gt;&lt;div style="clear: both;"&gt;&lt;/div&gt;&lt;/div&gt;&lt;div&gt;&lt;h5&gt;&lt;b&gt;School &lt;/b&gt;necromancy; &lt;b&gt;Level &lt;/b&gt;cleric 9/oracle 9, sorcerer/wizard 9, witch 9&lt;/h5&gt;&lt;h5&gt;&lt;b&gt;Casting Time &lt;/b&gt;30 minutes&lt;/h5&gt;&lt;h5&gt;&lt;b&gt;Components &lt;/b&gt;V, S, M (1,000 gp jacinth)&lt;/h5&gt;&lt;h5&gt;&lt;b&gt;Range &lt;/b&gt;touch&lt;/h5&gt;&lt;h5&gt;&lt;b&gt;Targets &lt;/b&gt; you plus one additional willing creature touched per two caster levels&lt;/h5&gt;&lt;h5&gt;&lt;b&gt;Duration &lt;/b&gt;see text&lt;/h5&gt;&lt;h5&gt;&lt;b&gt;Saving Throw &lt;/b&gt;none; &lt;b&gt;Spell Resistance &lt;/b&gt;yes&lt;/h5&gt;&lt;/div&gt;&lt;div&gt;&lt;h4&gt;&lt;p&gt;By freeing your spirit from your physical body, this spell allows you to project an astral body onto another plane altogether. You can bring the astral forms of other willing creatures with you, provided that these subjects are linked in a circle with you at the time of the casting. These fellow travelers are dependent upon you and must accompany you at all times. If something happens to you during the journey, your companions are stranded wherever you left them.&lt;/p&gt;&lt;p&gt;You project your astral self onto the Astral Plane, leaving your physical body behind on the Material Plane in a state of suspended animation. The spell projects an astral copy of you and all you wear or carry onto the Astral Plane. Since the Astral Plane touches upon other planes, you can travel astrally to any of these other planes as you will. To enter one, you leave the Astral Plane, forming a new physical body (and equipment) on the plane of existence you have chosen to enter.&lt;/p&gt;&lt;p&gt;While you are on the Astral Plane, your astral body is connected at all times to your physical body by an incorporeal silver cord. If the cord is broken, you are killed, astrally and physically. Luckily, very few things can destroy a silver cord. When a second body is formed on a different plane, the silver cord remains invisibly attached to the new body. If the second body or the astral form is slain, the cord simply returns to your body where it rests on the Material Plane, thereby reviving it from its state of suspended animation. This is a traumatic affair, however, and you gain two permanent negative levels if your second body or astral form is slain. Although astral projections are able to function on the Astral Plane, their actions affect only creatures existing on the Astral Plane; a physical body must be materialized on other planes.&lt;/p&gt;&lt;p&gt;You and your companions may travel through the Astral Plane indefinitely. Your bodies simply wait behind in a state of suspended animation until you choose to return your spirits to them. The spell lasts until you desire to end it, or until it is terminated by some outside means, such as &lt;i&gt;dispel magic&lt;/i&gt; cast upon either the physical body or the astral form, the breaking of the silver cord, or the destruction of your body back on the Material Plane (which kills you).&lt;/p&gt;&lt;p&gt;When this spell ends, your astral body and all of its gear, vanishes.&lt;/p&gt;&lt;/h4&gt;&lt;/div&gt;</t>
  </si>
  <si>
    <t>Travel</t>
  </si>
  <si>
    <t>Projects you and others onto Astral Plane.</t>
  </si>
  <si>
    <t>Dreamspun</t>
  </si>
  <si>
    <t>Stars</t>
  </si>
  <si>
    <t>Atonement</t>
  </si>
  <si>
    <t>cleric 5/oracle 5, druid 5, inquisitor 5</t>
  </si>
  <si>
    <t>V, S, M (burning incense), F (a set of prayer beads or other prayer device worth at least 500 gp), DF</t>
  </si>
  <si>
    <t>This spell removes the burden of misdeeds from the subject. The creature seeking atonement must be truly repentant and desirous of setting right its misdeeds. If the atoning creature committed the evil act unwittingly or under some form of compulsion, atonement operates normally at no cost to you. However, in the case of a creature atoning for deliberate misdeeds, you must intercede with your deity (requiring you to expend 2,500 gp in rare incense and offerings). Atonement may be cast for one of several purposes, depending on the version selected. Reverse Magical Alignment Change: If a creature has had its alignment magically changed, atonement returns its alignment to its original status at no additional cost. Restore Class: A paladin, or other class, who has lost her class features due to violating the alignment restrictions of her class may have her class features restored by this spell. Restore Cleric or Druid Spell Powers: A cleric or druid who has lost the ability to cast spells by incurring the anger of her deity may regain that ability by seeking atonement from another cleric of the same deity or another druid. If the transgression was intentional, the casting cleric must expend 2,500 gp in rare incense and offerings for her god's intercession. Redemption or Temptation: You may cast this spell upon a creature of an opposing alignment in order to offer it a chance to change its alignment to match yours. The prospective subject must be present for the entire casting process. Upon completion of the spell, the subject freely chooses whether it retains its original alignment or acquiesces to your offer and changes to your alignment. No duress, compulsion, or magical influence can force the subject to take advantage of the opportunity offered if it is unwilling to abandon its old alignment. This use of the spell does not work on outsiders or any creature incapable of changing its alignment naturally. Though the spell DESCRIPTION refers to evil acts, atonement can be used on any creature that has performed acts against its alignment, regardless of the actual alignment in question. Note: Normally, changing alignment is up to the player. This use of atonement offers a method for a character to change his or her alignment drastically, suddenly, and definitively.</t>
  </si>
  <si>
    <t>&lt;p&gt;This spell removes the burden of misdeeds from the subject. The creature seeking atonement must be truly repentant and desirous of setting right its misdeeds. If the atoning creature committed the evil act unwittingly or under some form of compulsion, &lt;i&gt;atonement&lt;/i&gt; operates normally at no cost to you. However, in the case of a creature atoning for deliberate misdeeds, you must intercede with your deity (requiring you to expend 2,500 gp in rare incense and offerings). &lt;i&gt;Atonement&lt;/i&gt; may be cast for one of several purposes, depending on the version selected.&lt;/p&gt;&lt;p&gt;&lt;i&gt;Reverse Magical Alignment Change&lt;/i&gt;: If a creature has had its alignment magically changed, atonement returns its alignment to its original status at no additional cost.&lt;/p&gt;&lt;p&gt;&lt;i&gt;Restore Class&lt;/i&gt;: A paladin, or other class, who has lost her class features due to violating the alignment restrictions of her class may have her class features restored by this spell.&lt;/p&gt;&lt;p&gt;&lt;i&gt;Restore Cleric or Druid Spell Powers&lt;/i&gt;: A cleric or druid who has lost the ability to cast spells by incurring the anger of her deity may regain that ability by seeking &lt;i&gt;atonement&lt;/i&gt; from another cleric of the same deity or another druid. If the transgression was intentional, the casting cleric must expend 2,500 gp in rare incense and offerings for her god's intercession.&lt;/p&gt;&lt;p&gt;&lt;i&gt;Redemption or Temptation&lt;/i&gt;: You may cast this spell upon a creature of an opposing alignment in order to offer it a chance to change its alignment to match yours. The prospective subject must be present for the entire casting process. Upon completion of the spell, the subject freely chooses whether it retains its original alignment or acquiesces to your offer and changes to your alignment. No duress, compulsion, or magical influence can force the subject to take advantage of the opportunity offered if it is unwilling to abandon its old alignment. This use of the spell does not work on outsiders or any creature incapable of changing its alignment naturally.&lt;/p&gt;&lt;p&gt;Though the spell descriptionrefers to evil acts, &lt;i&gt;atonement&lt;/i&gt; can be used on any creature that has performed acts against its alignment, regardless of the actual alignment in question.&lt;/p&gt;&lt;p&gt;Note: Normally, changing alignment is up to the player. This use of &lt;i&gt;atonement&lt;/i&gt; offers a method for a character to change his or her alignment drastically, suddenly, and definitively.&lt;/p&gt;</t>
  </si>
  <si>
    <t>&lt;link rel="stylesheet"href="PF.css"&gt;&lt;div class="heading"&gt;&lt;p class="alignleft"&gt;Atonement&lt;/p&gt;&lt;div style="clear: both;"&gt;&lt;/div&gt;&lt;/div&gt;&lt;div&gt;&lt;h5&gt;&lt;b&gt;School &lt;/b&gt;abjuration; &lt;b&gt;Level &lt;/b&gt;cleric 5/oracle 5, druid 5, inquisitor 5&lt;/h5&gt;&lt;h5&gt;&lt;b&gt;Casting Time &lt;/b&gt;1 hour&lt;/h5&gt;&lt;h5&gt;&lt;b&gt;Components &lt;/b&gt;V, S, M (burning incense), F (a set of prayer beads or other prayer device worth at least 500 gp), DF&lt;/h5&gt;&lt;h5&gt;&lt;b&gt;Range &lt;/b&gt;touch&lt;/h5&gt;&lt;h5&gt;&lt;b&gt;Targets &lt;/b&gt; living creature touched&lt;/h5&gt;&lt;h5&gt;&lt;b&gt;Duration &lt;/b&gt;instantaneous&lt;/h5&gt;&lt;h5&gt;&lt;b&gt;Saving Throw &lt;/b&gt;none; &lt;b&gt;Spell Resistance &lt;/b&gt;yes&lt;/h5&gt;&lt;/div&gt;&lt;div&gt;&lt;h4&gt;&lt;p&gt;This spell removes the burden of misdeeds from the subject. The creature seeking atonement must be truly repentant and desirous of setting right its misdeeds. If the atoning creature committed the evil act unwittingly or under some form of compulsion, &lt;i&gt;atonement&lt;/i&gt; operates normally at no cost to you. However, in the case of a creature atoning for deliberate misdeeds, you must intercede with your deity (requiring you to expend 2,500 gp in rare incense and offerings). &lt;i&gt;Atonement&lt;/i&gt; may be cast for one of several purposes, depending on the version selected.&lt;/p&gt;&lt;p&gt;&lt;i&gt;Reverse Magical Alignment Change&lt;/i&gt;: If a creature has had its alignment magically changed, atonement returns its alignment to its original status at no additional cost.&lt;/p&gt;&lt;p&gt;&lt;i&gt;Restore Class&lt;/i&gt;: A paladin, or other class, who has lost her class features due to violating the alignment restrictions of her class may have her class features restored by this spell.&lt;/p&gt;&lt;p&gt;&lt;i&gt;Restore Cleric or Druid Spell Powers&lt;/i&gt;: A cleric or druid who has lost the ability to cast spells by incurring the anger of her deity may regain that ability by seeking &lt;i&gt;atonement&lt;/i&gt; from another cleric of the same deity or another druid. If the transgression was intentional, the casting cleric must expend 2,500 gp in rare incense and offerings for her god's intercession.&lt;/p&gt;&lt;p&gt;&lt;i&gt;Redemption or Temptation&lt;/i&gt;: You may cast this spell upon a creature of an opposing alignment in order to offer it a chance to change its alignment to match yours. The prospective subject must be present for the entire casting process. Upon completion of the spell, the subject freely chooses whether it retains its original alignment or acquiesces to your offer and changes to your alignment. No duress, compulsion, or magical influence can force the subject to take advantage of the opportunity offered if it is unwilling to abandon its old alignment. This use of the spell does not work on outsiders or any creature incapable of changing its alignment naturally.&lt;/p&gt;&lt;p&gt;Though the spell descriptionrefers to evil acts, &lt;i&gt;atonement&lt;/i&gt; can be used on any creature that has performed acts against its alignment, regardless of the actual alignment in question.&lt;/p&gt;&lt;p&gt;Note: Normally, changing alignment is up to the player. This use of &lt;i&gt;atonement&lt;/i&gt; offers a method for a character to change his or her alignment drastically, suddenly, and definitively.&lt;/p&gt;&lt;/h4&gt;&lt;/div&gt;</t>
  </si>
  <si>
    <t>Purity</t>
  </si>
  <si>
    <t> Removes burden of misdeeds from subject.</t>
  </si>
  <si>
    <t>Augury</t>
  </si>
  <si>
    <t>cleric 2/oracle 2, witch 2</t>
  </si>
  <si>
    <t>V, S, M (incense worth at least 25 gp), F (a set of marked sticks or bones worth at least 25 gp)</t>
  </si>
  <si>
    <t>An augury can tell you whether a particular action will bring good or bad results for you in the immediate future. The base chance for receiving a meaningful reply is 70% + 1% per caster level, to a maximum of 90%; this roll is made secretly. A question may be so straightforward that a successful result is automatic, or so vague as to have no chance of success. If the augury succeeds, you get one of four results: Weal (if the action will probably bring good results). Woe (for bad results). Weal and woe (for both). Nothing (for actions that don't have especially good or bad results). If the spell fails, you get the "nothing" result. A cleric who gets the "nothing" result has no way to tell whether it was the consequence of a failed or successful augury. The augury can see into the future only about half an hour, so anything that might happen after that does not affect the result. Thus, the result might not take into account the long-term consequences of a contemplated action. All auguries cast by the same person about the same topic use the same die result as the first casting.</t>
  </si>
  <si>
    <t>&lt;p&gt;An &lt;i&gt;augury&lt;/i&gt; can tell you whether a particular action will bring good or bad results for you in the immediate future.&lt;/p&gt;&lt;p&gt;The base chance for receiving a meaningful reply is 70% + 1% per caster level, to a maximum of 90%; this roll is made secretly. A question may be so straightforward that a successful result is automatic, or so vague as to have no chance of success. If the &lt;i&gt;augury&lt;/i&gt; succeeds, you get one of four results: &lt;ul&gt;&lt;li&gt;Weal (if the action will probably bring good results). &lt;li&gt;Woe (for bad results). &lt;li&gt;Weal and woe (for both). &lt;li&gt;Nothing (for actions that don't have especially good or bad results).&lt;/ul&gt;&lt;/p&gt;&lt;p&gt;If the spell fails, you get the "nothing" result. A cleric who gets the "nothing" result has no way to tell whether it was the consequence of a failed or successful &lt;i&gt;augury&lt;/i&gt;.&lt;/p&gt;&lt;p&gt;The &lt;i&gt;augury&lt;/i&gt; can see into the future only about half an hour, so anything that might happen after that does not affect the result. Thus, the result might not take into account the long-term consequences of a contemplated action. All &lt;i&gt;auguries&lt;/i&gt; cast by the same person about the same topic use the same die result as the first casting.&lt;/p&gt;</t>
  </si>
  <si>
    <t>&lt;link rel="stylesheet"href="PF.css"&gt;&lt;div class="heading"&gt;&lt;p class="alignleft"&gt;Augury&lt;/p&gt;&lt;div style="clear: both;"&gt;&lt;/div&gt;&lt;/div&gt;&lt;div&gt;&lt;h5&gt;&lt;b&gt;School &lt;/b&gt;divination; &lt;b&gt;Level &lt;/b&gt;cleric 2/oracle 2, witch 2&lt;/h5&gt;&lt;h5&gt;&lt;b&gt;Casting Time &lt;/b&gt;1 minute&lt;/h5&gt;&lt;h5&gt;&lt;b&gt;Components &lt;/b&gt;V, S, M (incense worth at least 25 gp), F (a set of marked sticks or bones worth at least 25 gp)&lt;/h5&gt;&lt;h5&gt;&lt;b&gt;Range &lt;/b&gt;personal&lt;/h5&gt;&lt;h5&gt;&lt;b&gt;Targets &lt;/b&gt; you&lt;/h5&gt;&lt;h5&gt;&lt;b&gt;Duration &lt;/b&gt;instantaneous&lt;/h5&gt;&lt;/div&gt;&lt;div&gt;&lt;h4&gt;&lt;p&gt;An &lt;i&gt;augury&lt;/i&gt; can tell you whether a particular action will bring good or bad results for you in the immediate future.&lt;/p&gt;&lt;p&gt;The base chance for receiving a meaningful reply is 70% + 1% per caster level, to a maximum of 90%; this roll is made secretly. A question may be so straightforward that a successful result is automatic, or so vague as to have no chance of success. If the &lt;i&gt;augury&lt;/i&gt; succeeds, you get one of four results: &lt;ul&gt;&lt;li&gt;Weal (if the action will probably bring good results). &lt;li&gt;Woe (for bad results). &lt;li&gt;Weal and woe (for both). &lt;li&gt;Nothing (for actions that don't have especially good or bad results).&lt;/ul&gt;&lt;/p&gt;&lt;p&gt;If the spell fails, you get the "nothing" result. A cleric who gets the "nothing" result has no way to tell whether it was the consequence of a failed or successful &lt;i&gt;augury&lt;/i&gt;.&lt;/p&gt;&lt;p&gt;The &lt;i&gt;augury&lt;/i&gt; can see into the future only about half an hour, so anything that might happen after that does not affect the result. Thus, the result might not take into account the long-term consequences of a contemplated action. All &lt;i&gt;auguries&lt;/i&gt; cast by the same person about the same topic use the same die result as the first casting.&lt;/p&gt;&lt;/h4&gt;&lt;/div&gt;</t>
  </si>
  <si>
    <t>Fate</t>
  </si>
  <si>
    <t> Learns whether an action will be good or bad.</t>
  </si>
  <si>
    <t>Awaken</t>
  </si>
  <si>
    <t>druid 5</t>
  </si>
  <si>
    <t>24 hours</t>
  </si>
  <si>
    <t>V, S, M (herbs and oils worth 2,000 gp), DF</t>
  </si>
  <si>
    <t>animal or tree touched</t>
  </si>
  <si>
    <t>You awaken a tree or animal to human-like sentience. To succeed, you must make a Will save (DC 10 + the animal's current HD, or the HD the tree will have once awakened). The awakened animal or tree is friendly toward you. You have no special empathy or connection with a creature you awaken, although it serves you in specific tasks or endeavors if you communicate your desires to it. If you cast awaken again, any previously awakened creatures remain friendly to you, but they no longer undertake tasks for you unless it is in their best interests. An awakened tree has characteristics as if it were an animated object, except that it gains the plant type and its Intelligence, Wisdom, and Charisma scores are each 3d6. An awakened plant gains the ability to move its limbs, roots, vines, creepers, and so forth, and it has senses similar to a human's. An awakened animal gets 3d6 Intelligence, +1d3 Charisma, and +2 HD. Its type becomes magical beast (augmented animal). An awakened animal can't serve as an animal companion, familiar, or special mount. An awakened tree or animal can speak one language that you know, plus one additional language that you know per point of Intelligence bonus (if any). This spell does not function on an animal or plant with an Intelligence greater than 2.</t>
  </si>
  <si>
    <t>&lt;p&gt;You awaken a tree or animal to human-like sentience. To succeed, you must make a Will save (DC 10 + the animal's current HD, or the HD the tree will have once awakened). The awakened animal or tree is friendly toward you. You have no special empathy or connection with a creature you awaken, although it serves you in specific tasks or endeavors if you communicate your desires to it. If you cast &lt;i&gt;awaken&lt;/i&gt; again, any previously awakened creatures remain friendly to you, but they no longer undertake tasks for you unless it is in their best interests.&lt;/p&gt;&lt;p&gt;An awakened tree has characteristics as if it were an animated object, except that it gains the plant type and its Intelligence, Wisdom, and Charisma scores are each 3d6. An awakened plant gains the ability to move its limbs, roots, vines, creepers, and so forth, and it has senses similar to a human's.&lt;/p&gt;&lt;p&gt;An awakened animal gets 3d6 Intelligence, +1d3 Charisma, and +2 HD. Its type becomes magical beast (augmented animal). An awakened animal can't serve as an animal companion, familiar, or special mount.&lt;/p&gt;&lt;p&gt;An awakened tree or animal can speak one language that you know, plus one additional language that you know per point of Intelligence bonus (if any). This spell does not function on an animal or plant with an Intelligence greater than 2.&lt;/p&gt;</t>
  </si>
  <si>
    <t>&lt;link rel="stylesheet"href="PF.css"&gt;&lt;div class="heading"&gt;&lt;p class="alignleft"&gt;Awaken&lt;/p&gt;&lt;div style="clear: both;"&gt;&lt;/div&gt;&lt;/div&gt;&lt;div&gt;&lt;h5&gt;&lt;b&gt;School &lt;/b&gt;transmutation; &lt;b&gt;Level &lt;/b&gt;druid 5&lt;/h5&gt;&lt;h5&gt;&lt;b&gt;Casting Time &lt;/b&gt;24 hours&lt;/h5&gt;&lt;h5&gt;&lt;b&gt;Components &lt;/b&gt;V, S, M (herbs and oils worth 2,000 gp), DF&lt;/h5&gt;&lt;h5&gt;&lt;b&gt;Range &lt;/b&gt;touch&lt;/h5&gt;&lt;h5&gt;&lt;b&gt;Targets &lt;/b&gt; animal or tree touched&lt;/h5&gt;&lt;h5&gt;&lt;b&gt;Duration &lt;/b&gt;instantaneous&lt;/h5&gt;&lt;h5&gt;&lt;b&gt;Saving Throw &lt;/b&gt;Will negates; &lt;b&gt;Spell Resistance &lt;/b&gt;yes&lt;/h5&gt;&lt;/div&gt;&lt;div&gt;&lt;h4&gt;&lt;p&gt;You awaken a tree or animal to human-like sentience. To succeed, you must make a Will save (DC 10 + the animal's current HD, or the HD the tree will have once awakened). The awakened animal or tree is friendly toward you. You have no special empathy or connection with a creature you awaken, although it serves you in specific tasks or endeavors if you communicate your desires to it. If you cast &lt;i&gt;awaken&lt;/i&gt; again, any previously awakened creatures remain friendly to you, but they no longer undertake tasks for you unless it is in their best interests.&lt;/p&gt;&lt;p&gt;An awakened tree has characteristics as if it were an animated object, except that it gains the plant type and its Intelligence, Wisdom, and Charisma scores are each 3d6. An awakened plant gains the ability to move its limbs, roots, vines, creepers, and so forth, and it has senses similar to a human's.&lt;/p&gt;&lt;p&gt;An awakened animal gets 3d6 Intelligence, +1d3 Charisma, and +2 HD. Its type becomes magical beast (augmented animal). An awakened animal can't serve as an animal companion, familiar, or special mount.&lt;/p&gt;&lt;p&gt;An awakened tree or animal can speak one language that you know, plus one additional language that you know per point of Intelligence bonus (if any). This spell does not function on an animal or plant with an Intelligence greater than 2.&lt;/p&gt;&lt;/h4&gt;&lt;/div&gt;</t>
  </si>
  <si>
    <t> Animal or tree gains human intellect.</t>
  </si>
  <si>
    <t>Bane</t>
  </si>
  <si>
    <t>fear, mind-affecting</t>
  </si>
  <si>
    <t>antipaladin 1, cleric/oracle 1, inquisitor 1</t>
  </si>
  <si>
    <t>50 ft.</t>
  </si>
  <si>
    <t>50-ft.-radius burst, centered on you</t>
  </si>
  <si>
    <t>Bane fills your enemies with fear and doubt. Each affected creature takes a -1 penalty on attack rolls and a -1 penalty on saving throws against fear effects. Bane counters and dispels bless.</t>
  </si>
  <si>
    <t>&lt;p&gt;&lt;i&gt;Bane&lt;/i&gt; fills your enemies with fear and doubt. Each affected creature takes a -1 penalty on attack rolls and a -1 penalty on saving throws against fear effects. &lt;i&gt;Bane&lt;/i&gt; counters and dispels &lt;i&gt;bless&lt;/i&gt;.&lt;/p&gt;</t>
  </si>
  <si>
    <t>&lt;link rel="stylesheet"href="PF.css"&gt;&lt;div class="heading"&gt;&lt;p class="alignleft"&gt;Bane&lt;/p&gt;&lt;div style="clear: both;"&gt;&lt;/div&gt;&lt;/div&gt;&lt;div&gt;&lt;h5&gt;&lt;b&gt;School &lt;/b&gt;enchantment (compulsion) [fear, mind-affecting]; &lt;b&gt;Level &lt;/b&gt;antipaladin 1, cleric/oracle 1, inquisitor 1&lt;/h5&gt;&lt;/div&gt;&lt;hr/&gt;&lt;div&gt;&lt;h5&gt;&lt;b&gt;CASTING&lt;/b&gt;&lt;/h5&gt;&lt;/div&gt;&lt;hr/&gt;&lt;div&gt;&lt;h5&gt;&lt;b&gt;Casting Time &lt;/b&gt;1 standard action&lt;/h5&gt;&lt;h5&gt;&lt;b&gt;Components &lt;/b&gt;V, S, DF&lt;/h5&gt;&lt;/div&gt;&lt;hr/&gt;&lt;div&gt;&lt;h5&gt;&lt;b&gt;EFFECT&lt;/b&gt;&lt;/h5&gt;&lt;/div&gt;&lt;hr/&gt;&lt;div&gt;&lt;h5&gt;&lt;b&gt;Range &lt;/b&gt;50 ft.&lt;/h5&gt;&lt;h5&gt;&lt;b&gt;Area &lt;/b&gt;50-ft.-radius burst, centered on you&lt;/h5&gt;&lt;h5&gt;&lt;b&gt;Duration &lt;/b&gt;1 min./level&lt;/h5&gt;&lt;h5&gt;&lt;b&gt;Saving Throw &lt;/b&gt;Will negates; &lt;b&gt;Spell Resistance &lt;/b&gt;yes&lt;/h5&gt;&lt;/div&gt;&lt;hr/&gt;&lt;div&gt;&lt;h5&gt;&lt;b&gt;DESCRIPTION&lt;/b&gt;&lt;/h5&gt;&lt;/div&gt;&lt;hr/&gt;&lt;div&gt;&lt;h4&gt;&lt;p&gt;&lt;i&gt;Bane&lt;/i&gt; fills your enemies with fear and doubt. Each affected creature takes a -1 penalty on attack rolls and a -1 penalty on saving throws against fear effects. &lt;i&gt;Bane&lt;/i&gt; counters and dispels &lt;i&gt;bless&lt;/i&gt;.&lt;/p&gt;&lt;/h4&gt;&lt;h5&gt;&lt;b&gt;Mythic: &lt;/b&gt;The saving throw changes to Fortitude (partial) and Will (partial). A creature that fails the Fortitude save automatically fails the Will save. A target with the shapechanger subtype that fails its save can't use its shapechanging to shift out of its new form. A creature that succeeds at the Fortitude save is partially transformed into the intended animal. For 1 minute per level, it takes on cosmetic features appropriate to that animal and becomes one size category closer to the animal's size.&lt;/h5&gt;&lt;h5&gt;&lt;b&gt;Augmented (9th)&lt;/b&gt;: If you expend four uses of mythic power, the spell affects all other creatures with 8 Hit Dice or fewer in a 1-mile radius. Affected creatures transform into Small or smaller animals appropriate to the local environment. You can select a number of creatures up to your tier to not be affected.&lt;/h5&gt;&lt;/div&gt;</t>
  </si>
  <si>
    <t>Curse</t>
  </si>
  <si>
    <t> Enemies take –1 on attack rolls and saves against fear.</t>
  </si>
  <si>
    <t>The saving throw changes to Fortitude (partial) and Will (partial). A creature that fails the Fortitude save automatically fails the Will save. A target with the shapechanger subtype that fails its save can't use its shapechanging to shift out of its new form. A creature that succeeds at the Fortitude save is partially transformed into the intended animal. For 1 minute per level, it takes on cosmetic features appropriate to that animal and becomes one size category closer to the animal's size.</t>
  </si>
  <si>
    <t>Augmented (9th): If you expend four uses of mythic power, the spell affects all other creatures with 8 Hit Dice or fewer in a 1-mile radius. Affected creatures transform into Small or smaller animals appropriate to the local environment. You can select a number of creatures up to your tier to not be affected.</t>
  </si>
  <si>
    <t>Banishment</t>
  </si>
  <si>
    <t>cleric 6/oracle 6, sorcerer/wizard 7, summoner 5, inquisitor 5</t>
  </si>
  <si>
    <t>V, S, F (see text)</t>
  </si>
  <si>
    <t>one or more extraplanar creatures, no two of which can be more than 30 ft. apart</t>
  </si>
  <si>
    <t>A banishment spell is a more powerful version of the dismissal spell. It enables you to force extraplanar creatures out of your home plane. As many as 2 Hit Dice of creatures per caster level can be banished. You can improve the spell's chance of success by presenting at least one object or substance that the target hates, fears, or otherwise opposes. For each such object or substance, you gain a +1 bonus on your caster level check to overcome the target's Spell Resistance (if any), and the saving throw DC increases by 2. Certain rare items might work twice as well as a normal item for the purpose of the bonuses (each providing a +2 bonus on the caster level check against Spell Resistance and increasing the save DC by 4).</t>
  </si>
  <si>
    <t>&lt;p&gt;A &lt;i&gt;banishment&lt;/i&gt; spell is a more powerful version of the &lt;i&gt;dismissal&lt;/i&gt; spell. It enables you to force extraplanar creatures out of your home plane. As many as 2 Hit Dice of creatures per caster level can be banished.&lt;/p&gt;&lt;p&gt;You can improve the spell's chance of success by presenting at least one object or substance that the target hates, fears, or otherwise opposes. For each such object or substance, you gain a +1 bonus on your caster level check to overcome the target's Spell Resistance (if any), and the saving throw DC increases by 2.&lt;/p&gt;&lt;p&gt;Certain rare items might work twice as well as a normal item for the purpose of the bonuses (each providing a +2 bonus on the caster level check against Spell Resistance and increasing the save DC by 4).&lt;/p&gt;</t>
  </si>
  <si>
    <t>&lt;link rel="stylesheet"href="PF.css"&gt;&lt;div class="heading"&gt;&lt;p class="alignleft"&gt;Banishment &lt;/p&gt;&lt;div style="clear: both;"&gt;&lt;/div&gt;&lt;/div&gt;&lt;div&gt;&lt;h5&gt;&lt;b&gt;School &lt;/b&gt;abjuration; &lt;b&gt;Level &lt;/b&gt;cleric 6/oracle 6, sorcerer/wizard 7, summoner 5, inquisitor 5&lt;/h5&gt;&lt;h5&gt;&lt;b&gt;Casting Time &lt;/b&gt;1 standard action&lt;/h5&gt;&lt;h5&gt;&lt;b&gt;Components &lt;/b&gt;V, S, F (see text)&lt;/h5&gt;&lt;h5&gt;&lt;b&gt;Range &lt;/b&gt;close (25 ft. + 5 ft./2 levels)&lt;/h5&gt;&lt;h5&gt;&lt;b&gt;Targets &lt;/b&gt; one or more extraplanar creatures, no two of which can be more than 30 ft. apart&lt;/h5&gt;&lt;h5&gt;&lt;b&gt;Duration &lt;/b&gt;instantaneous&lt;/h5&gt;&lt;h5&gt;&lt;b&gt;Saving Throw &lt;/b&gt;Will negates; &lt;b&gt;Spell Resistance &lt;/b&gt;yes&lt;/h5&gt;&lt;/div&gt;&lt;div&gt;&lt;h4&gt;&lt;p&gt;A &lt;i&gt;banishment&lt;/i&gt; spell is a more powerful version of the &lt;i&gt;dismissal&lt;/i&gt; spell. It enables you to force extraplanar creatures out of your home plane. As many as 2 Hit Dice of creatures per caster level can be banished.&lt;/p&gt;&lt;p&gt;You can improve the spell's chance of success by presenting at least one object or substance that the target hates, fears, or otherwise opposes. For each such object or substance, you gain a +1 bonus on your caster level check to overcome the target's Spell Resistance (if any), and the saving throw DC increases by 2.&lt;/p&gt;&lt;p&gt;Certain rare items might work twice as well as a normal item for the purpose of the bonuses (each providing a +2 bonus on the caster level check against Spell Resistance and increasing the save DC by 4).&lt;/p&gt;&lt;/h4&gt;&lt;/div&gt;</t>
  </si>
  <si>
    <t>Banishes 2 HD/level of extraplanar creatures.</t>
  </si>
  <si>
    <t>Celestial</t>
  </si>
  <si>
    <t>Boundaries</t>
  </si>
  <si>
    <t>Barkskin</t>
  </si>
  <si>
    <t>druid 2, ranger 2, summoner 2, alchemist 2</t>
  </si>
  <si>
    <t>Barkskin toughens a creature's skin. The effect grants a +2 enhancement bonus to the creature's existing natural armor bonus. This enhancement bonus increases by 1 for every three caster levels above 3rd, to a maximum of +5 at 12th level. The enhancement bonus provided by barkskin stacks with the target's natural armor bonus, but not with other enhancement bonuses to natural armor. A creature without natural armor has an effective natural armor bonus of +0.</t>
  </si>
  <si>
    <t>&lt;p&gt;&lt;i&gt;Barkskin&lt;/i&gt; toughens a creature's skin. The effect grants a +2 enhancement bonus to the creature's existing natural armor bonus. This enhancement bonus increases by 1 for every three caster levels above 3rd, to a maximum of +5 at 12th level.&lt;/p&gt;&lt;p&gt;The enhancement bonus provided by &lt;i&gt;barkskin&lt;/i&gt; stacks with the target's natural armor bonus, but not with other enhancement bonuses to natural armor. A creature without natural armor has an effective natural armor bonus of +0.&lt;/p&gt;</t>
  </si>
  <si>
    <t>&lt;link rel="stylesheet"href="PF.css"&gt;&lt;div class="heading"&gt;&lt;p class="alignleft"&gt;Barkskin&lt;/p&gt;&lt;div style="clear: both;"&gt;&lt;/div&gt;&lt;/div&gt;&lt;div&gt;&lt;h5&gt;&lt;b&gt;School &lt;/b&gt;transmutation; &lt;b&gt;Level &lt;/b&gt;druid 2, ranger 2, summoner 2, alchemist 2&lt;/h5&gt;&lt;/div&gt;&lt;hr/&gt;&lt;div&gt;&lt;h5&gt;&lt;b&gt;CASTING&lt;/b&gt;&lt;/h5&gt;&lt;/div&gt;&lt;hr/&gt;&lt;div&gt;&lt;h5&gt;&lt;b&gt;Casting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&lt;/b&gt;living creature touched&lt;/h5&gt;&lt;h5&gt;&lt;b&gt;Duration &lt;/b&gt;10 min./level&lt;/h5&gt;&lt;h5&gt;&lt;b&gt;Saving Throw &lt;/b&gt;none; &lt;b&gt;Spell Resistance &lt;/b&gt;yes (harmless)&lt;/h5&gt;&lt;/div&gt;&lt;hr/&gt;&lt;div&gt;&lt;h5&gt;&lt;b&gt;DESCRIPTION&lt;/b&gt;&lt;/h5&gt;&lt;/div&gt;&lt;hr/&gt;&lt;div&gt;&lt;h4&gt;&lt;p&gt;&lt;i&gt;Barkskin&lt;/i&gt; toughens a creature's skin. The effect grants a +2 enhancement bonus to the creature's existing natural armor bonus. This enhancement bonus increases by 1 for every three caster levels above 3rd, to a maximum of +5 at 12th level.&lt;/p&gt;&lt;p&gt;The enhancement bonus provided by &lt;i&gt;barkskin&lt;/i&gt; stacks with the target's natural armor bonus, but not with other enhancement bonuses to natural armor. A creature without natural armor has an effective natural armor bonus of +0.&lt;/p&gt;&lt;/h4&gt;&lt;h5&gt;&lt;b&gt;Mythic: &lt;/b&gt;The target also gains DR/magic equal to the double the enhancement bonus the spell provides to the target's natural armor bonus.&lt;/h5&gt;&lt;h5&gt;&lt;b&gt;Augmented (6th)&lt;/b&gt;: If you expend two uses of mythic power, the spell grants DR/epic rather than DR/magic.&lt;/h5&gt;&lt;/div&gt;</t>
  </si>
  <si>
    <t>Defense, Plant</t>
  </si>
  <si>
    <t>Grants +2 (or higher) enhancement to natural armor.</t>
  </si>
  <si>
    <t>The target also gains DR/magic equal to the double the enhancement bonus the spell provides to the target's natural armor bonus.</t>
  </si>
  <si>
    <t>Augmented (6th): If you expend two uses of mythic power, the spell grants DR/epic rather than DR/magic.</t>
  </si>
  <si>
    <t>Bear's Endurance</t>
  </si>
  <si>
    <t>cleric 2/oracle 2, druid 2, ranger 2, sorcerer/wizard 2, summoner 2, alchemist 2, magus 2</t>
  </si>
  <si>
    <t>V, S, M/DF (a few hairs, or a pinch of dung, from a bear)</t>
  </si>
  <si>
    <t>creature touched</t>
  </si>
  <si>
    <t>Will negates (harmless)</t>
  </si>
  <si>
    <t>The affected creature gains greater vitality and stamina. The spell grants the subject a +4 enhancement bonus to Constitution, which adds the usual benefits to hit points, Fortitude saves, Constitution checks, and so forth. Hit points gained by a temporary increase in Constitution score are not temporary hit points. They go away when the subject's Constitution drops back to normal. They are not lost first as temporary hit points are.</t>
  </si>
  <si>
    <t>&lt;p&gt;The affected creature gains greater vitality and stamina. The spell grants the subject a +4 enhancement bonus to Constitution, which adds the usual benefits to hit points, Fortitude saves, Constitution checks, and so forth. Hit points gained by a temporary increase in Constitution score are not temporary hit points. They go away when the subject's Constitution drops back to normal. They are not lost first as temporary hit points are.&lt;/p&gt;</t>
  </si>
  <si>
    <t>&lt;link rel="stylesheet"href="PF.css"&gt;&lt;div class="heading"&gt;&lt;p class="alignleft"&gt;Bear's Endurance &lt;/p&gt;&lt;div style="clear: both;"&gt;&lt;/div&gt;&lt;/div&gt;&lt;div&gt;&lt;h5&gt;&lt;b&gt;School &lt;/b&gt;transmutation; &lt;b&gt;Level &lt;/b&gt;cleric 2/oracle 2, druid 2, ranger 2, sorcerer/wizard 2, alchemist 2, summoner 2&lt;/h5&gt;&lt;h5&gt;&lt;b&gt;Casting Time &lt;/b&gt;1 standard action&lt;/h5&gt;&lt;h5&gt;&lt;b&gt;Components &lt;/b&gt;V, S, M/DF (a few hairs, or a pinch of dung, from a bear)&lt;/h5&gt;&lt;h5&gt;&lt;b&gt;Range &lt;/b&gt;touch&lt;/h5&gt;&lt;h5&gt;&lt;b&gt;Targets &lt;/b&gt; creature touched&lt;/h5&gt;&lt;h5&gt;&lt;b&gt;Duration &lt;/b&gt;1 min./level&lt;/h5&gt;&lt;h5&gt;&lt;b&gt;Saving Throw &lt;/b&gt;Will negates (harmless); &lt;b&gt;Spell Resistance &lt;/b&gt;yes&lt;/h5&gt;&lt;/div&gt;&lt;div&gt;&lt;h4&gt;&lt;p&gt;The affected creature gains greater vitality and stamina. The spell grants the subject a +4 enhancement bonus to Constitution, which adds the usual benefits to hit points, Fortitude saves, Constitution checks, and so forth. Hit points gained by a temporary increase in Constitution score are not temporary hit points. They go away when the subject's Constitution drops back to normal. They are not lost first as temporary hit points are.&lt;/p&gt;&lt;/h4&gt;&lt;/div&gt;</t>
  </si>
  <si>
    <t>Subject gains +4 to Con for 1 min./level.</t>
  </si>
  <si>
    <t>Endurance, Transformation</t>
  </si>
  <si>
    <t>Bear's Endurance, Mass</t>
  </si>
  <si>
    <t>cleric 6/oracle 6, druid 6, sorcerer/wizard 6, summoner 4, magus 6</t>
  </si>
  <si>
    <t>creature one creature/level, no two of which can be more than 30 ft. apart</t>
  </si>
  <si>
    <t>Mass bear's endurance works like bear's endurance, except that it affects multiple creatures.</t>
  </si>
  <si>
    <t>&lt;p&gt;&lt;i&gt;Mass bear's endurance&lt;/i&gt; works like &lt;i&gt;bear's endurance&lt;/i&gt;, except that it affects multiple creatures.&lt;/p&gt;</t>
  </si>
  <si>
    <t>&lt;link rel="stylesheet"href="PF.css"&gt;&lt;div class="heading"&gt;&lt;p class="alignleft"&gt;Bear's Endurance, Mass&lt;/p&gt;&lt;div style="clear: both;"&gt;&lt;/div&gt;&lt;/div&gt;&lt;div&gt;&lt;h5&gt;&lt;b&gt;School &lt;/b&gt;transmutation; &lt;b&gt;Level &lt;/b&gt;cleric 6/oracle 6, druid 6, sorcerer/wizard 6, summoner 4, magus 6&lt;/h5&gt;&lt;h5&gt;&lt;b&gt;Casting Time &lt;/b&gt;1 standard action&lt;/h5&gt;&lt;h5&gt;&lt;b&gt;Components &lt;/b&gt;V, S, M/DF (a few hairs, or a pinch of dung, from a bear)&lt;/h5&gt;&lt;h5&gt;&lt;b&gt;Range &lt;/b&gt;close (25 ft. + 5 ft./2 levels)&lt;/h5&gt;&lt;h5&gt;&lt;b&gt;Targets &lt;/b&gt; creature one creature/level, no two of which can be more than 30 ft. apart&lt;/h5&gt;&lt;h5&gt;&lt;b&gt;Duration &lt;/b&gt;1 min./level&lt;/h5&gt;&lt;h5&gt;&lt;b&gt;Saving Throw &lt;/b&gt;Will negates (harmless); &lt;b&gt;Spell Resistance &lt;/b&gt;yes&lt;/h5&gt;&lt;/div&gt;&lt;div&gt;&lt;h4&gt;&lt;p&gt;&lt;i&gt;Mass bear's endurance&lt;/i&gt; works like &lt;i&gt;bear's endurance&lt;/i&gt;, except that it affects multiple creatures.&lt;/p&gt;&lt;/h4&gt;&lt;/div&gt;</t>
  </si>
  <si>
    <t>As bear’s endurance, affects 1 subject/level.</t>
  </si>
  <si>
    <t>Endurance</t>
  </si>
  <si>
    <t>Beast Shape I</t>
  </si>
  <si>
    <t>sorcerer/wizard 3, alchemist 3, magus 3</t>
  </si>
  <si>
    <t>When you cast this spell, you can assume the form of any Small or Medium creature of the animal type. If the form you assume has any of the following abilities, you gain the listed ability: climb 30 feet, fly 30 feet (average maneuverability), swim 30 feet, darkvision 60 feet, low-light vision, and scent. Small animal: If the form you take is that of a Small animal, you gain a +2 size bonus to your Dexterity and a +1 natural armor bonus. Medium animal: If the form you take is that of a Medium animal, you gain a +2 size bonus to your Strength and a +2 natural armor bonus.</t>
  </si>
  <si>
    <t>&lt;p&gt;When you cast this spell, you can assume the form of any Small or Medium creature of the animal type. If the form you assume has any of the following abilities, you gain the listed ability: climb 30 feet, fly 30 feet (average maneuverability), swim 30 feet, darkvision 60 feet, low-light vision, and scent.&lt;/p&gt;&lt;p&gt;&lt;i&gt;Small animal&lt;/i&gt;: If the form you take is that of a Small animal, you gain a +2 size bonus to your Dexterity and a +1 natural armor bonus.&lt;/p&gt;&lt;p&gt;&lt;i&gt;Medium animal&lt;/i&gt;: If the form you take is that of a Medium animal, you gain a +2 size bonus to your Strength and a +2 natural armor bonus.&lt;/p&gt;</t>
  </si>
  <si>
    <t>&lt;link rel="stylesheet"href="PF.css"&gt;&lt;div class="heading"&gt;&lt;p class="alignleft"&gt;Beast Shape I&lt;/p&gt;&lt;div style="clear: both;"&gt;&lt;/div&gt;&lt;/div&gt;&lt;div&gt;&lt;h5&gt;&lt;b&gt;School &lt;/b&gt;transmutation (polymorph); &lt;b&gt;Level &lt;/b&gt;sorcerer/wizard 3, alchemist 3, magus 3&lt;/h5&gt;&lt;h5&gt;&lt;b&gt;Casting Time &lt;/b&gt;1 standard action&lt;/h5&gt;&lt;h5&gt;&lt;b&gt;Components &lt;/b&gt;V, S, M (a piece of the creature whose form you plan to assume)&lt;/h5&gt;&lt;h5&gt;&lt;b&gt;Range &lt;/b&gt;personal&lt;/h5&gt;&lt;h5&gt;&lt;b&gt;Targets &lt;/b&gt; you&lt;/h5&gt;&lt;h5&gt;&lt;b&gt;Duration &lt;/b&gt;1 min./level (D)&lt;/h5&gt;&lt;/div&gt;&lt;div&gt;&lt;h4&gt;&lt;p&gt;When you cast this spell, you can assume the form of any Small or Medium creature of the animal type. If the form you assume has any of the following abilities, you gain the listed ability: climb 30 feet, fly 30 feet (average maneuverability), swim 30 feet, darkvision 60 feet, low-light vision, and scent.&lt;/p&gt;&lt;p&gt;&lt;i&gt;Small animal&lt;/i&gt;: If the form you take is that of a Small animal, you gain a +2 size bonus to your Dexterity and a +1 natural armor bonus.&lt;/p&gt;&lt;p&gt;&lt;i&gt;Medium animal&lt;/i&gt;: If the form you take is that of a Medium animal, you gain a +2 size bonus to your Strength and a +2 natural armor bonus.&lt;/p&gt;&lt;/h4&gt;&lt;/div&gt;</t>
  </si>
  <si>
    <t>Fur</t>
  </si>
  <si>
    <t> You take the form and some of the powers of a Small or Medium animal.</t>
  </si>
  <si>
    <t>Transformation</t>
  </si>
  <si>
    <t>Beast Shape II</t>
  </si>
  <si>
    <t>sorcerer/wizard 4, alchemist 4, magus 4</t>
  </si>
  <si>
    <t>This spell functions as beast shape I, except that it also allows you to assume the form of a Tiny or Large creature of the animal type. If the form you assume has any of the following abilities, you gain the listed ability: climb 60 feet, fly 60 feet (good maneuverability), swim 60 feet, darkvision 60 feet, low-light vision, scent, grab, pounce, and trip. Tiny animal: If the form you take is that of a Tiny animal, you gain a +4 size bonus to your Dexterity, a -2 penalty to your Strength, and a +1 natural armor bonus. Small animal: If the form you take is that of a Small animal, you gain a +2 size bonus to your Dexterity and a +1 natural armor bonus. Medium animal: If the form you take is that of a Medium animal, you gain a +2 size bonus to your Strength and a +2 natural armor bonus. Large animal: If the form you take is that of a Large animal, you gain a +4 size bonus to your Strength, a -2 penalty to your Dexterity, and a +4 natural armor bonus.</t>
  </si>
  <si>
    <t>&lt;p&gt;This spell functions as beast shape I, except that it also allows you to assume the form of a Tiny or Large creature of the animal type. If the form you assume has any of the following abilities, you gain the listed ability: climb 60 feet, fly 60 feet (good maneuverability), swim 60 feet, darkvision 60 feet, low-light vision, scent, grab, pounce, and trip.&lt;/p&gt;&lt;p&gt;&lt;i&gt;Tiny&lt;/i&gt; animal: If the form you take is that of a Tiny animal, you gain a +4 size bonus to your Dexterity, a -2 penalty to your Strength, and a +1 natural armor bonus.&lt;/p&gt;&lt;p&gt;&lt;i&gt;Small animal&lt;/i&gt;: If the form you take is that of a Small animal, you gain a +2 size bonus to your Dexterity and a +1 natural armor bonus.&lt;/p&gt;&lt;p&gt;&lt;i&gt;Medium animal&lt;/i&gt;: If the form you take is that of a Medium animal, you gain a +2 size bonus to your Strength and a +2 natural armor bonus.&lt;/p&gt;&lt;p&gt;&lt;i&gt;Large animal&lt;/i&gt;: If the form you take is that of a Large animal, you gain a +4 size bonus to your Strength, a -2 penalty to your Dexterity, and a +4 natural armor bonus.&lt;/p&gt;</t>
  </si>
  <si>
    <t>&lt;link rel="stylesheet"href="PF.css"&gt;&lt;div class="heading"&gt;&lt;p class="alignleft"&gt;Beast Shape II&lt;/p&gt;&lt;div style="clear: both;"&gt;&lt;/div&gt;&lt;/div&gt;&lt;div&gt;&lt;h5&gt;&lt;b&gt;School &lt;/b&gt;transmutation (polymorph); &lt;b&gt;Level &lt;/b&gt;sorcerer/wizard 4, alchemist 4, magus 4&lt;/h5&gt;&lt;h5&gt;&lt;b&gt;Casting Time &lt;/b&gt;1 standard action&lt;/h5&gt;&lt;h5&gt;&lt;b&gt;Components &lt;/b&gt;V, S, M (a piece of the creature whose form you plan to assume)&lt;/h5&gt;&lt;h5&gt;&lt;b&gt;Range &lt;/b&gt;personal&lt;/h5&gt;&lt;h5&gt;&lt;b&gt;Targets &lt;/b&gt; you&lt;/h5&gt;&lt;h5&gt;&lt;b&gt;Duration &lt;/b&gt;1 min./level (D)&lt;/h5&gt;&lt;/div&gt;&lt;div&gt;&lt;h4&gt;&lt;p&gt;This spell functions as beast shape I, except that it also allows you to assume the form of a Tiny or Large creature of the animal type. If the form you assume has any of the following abilities, you gain the listed ability: climb 60 feet, fly 60 feet (good maneuverability), swim 60 feet, darkvision 60 feet, low-light vision, scent, grab, pounce, and trip.&lt;/p&gt;&lt;p&gt;&lt;i&gt;Tiny&lt;/i&gt; animal: If the form you take is that of a Tiny animal, you gain a +4 size bonus to your Dexterity, a -2 penalty to your Strength, and a +1 natural armor bonus.&lt;/p&gt;&lt;p&gt;&lt;i&gt;Small animal&lt;/i&gt;: If the form you take is that of a Small animal, you gain a +2 size bonus to your Dexterity and a +1 natural armor bonus.&lt;/p&gt;&lt;p&gt;&lt;i&gt;Medium animal&lt;/i&gt;: If the form you take is that of a Medium animal, you gain a +2 size bonus to your Strength and a +2 natural armor bonus.&lt;/p&gt;&lt;p&gt;&lt;i&gt;Large animal&lt;/i&gt;: If the form you take is that of a Large animal, you gain a +4 size bonus to your Strength, a -2 penalty to your Dexterity, and a +4 natural armor bonus.&lt;/p&gt;&lt;/h4&gt;&lt;/div&gt;</t>
  </si>
  <si>
    <t> You take the form and some of the powers of a Tiny or Large animal.</t>
  </si>
  <si>
    <t>Beast Shape III</t>
  </si>
  <si>
    <t>sorcerer/wizard 5, alchemist 5, magus 5</t>
  </si>
  <si>
    <t>This spell functions as beast shape II, except that it also allows you to assume the form of a Diminutive or Huge creature of the animal type. This spell also allows you to take on the form of a Small or Medium creature of the magical beast type. If the form you assume has any of the following abilities, you gain the listed ability: burrow 30 feet, climb 90 feet, fly 90 feet (good maneuverability), swim 90 feet, blindsense 30 feet, darkvision 60 feet, low-light vision, scent, constrict, ferocity, grab, jet, poison, pounce, rake, trample, trip, and web. Diminutive animal: If the form you take is that of a Diminutive animal, you gain a +6 size bonus to your Dexterity, a -4 penalty to your Strength, and a +1 natural armor bonus. Tiny animal: If the form you take is that of a Tiny animal, you gain a +4 size bonus to your Dexterity, a -2 penalty to your Strength, and a +1 natural armor bonus. Small animal: If the form you take is that of a Small animal, you gain a +2 size bonus to your Dexterity and a +1 natural armor bonus. Medium animal: If the form you take is that of a Medium animal, you gain a +2 size bonus to your Strength and a +2 natural armor bonus. Large animal: If the form you take is that of a Large animal, you gain a +4 size bonus to your Strength, a -2 penalty to your Dexterity, and a +4 natural armor bonus. Huge animal: If the form you take is that of a Huge animal, you gain a +6 size bonus to your Strength, a -4 penalty to your Dexterity, and a +6 natural armor bonus. Small magical beast: If the form you take is that of a Small magical beast, you gain a +4 size bonus to your Dexterity, and a +2 natural armor bonus. Medium magical beast: If the form you take is that of a Medium magical beast, you gain a +4 size bonus to your Strength, and a +4 natural armor bonus.</t>
  </si>
  <si>
    <t>&lt;p&gt;This spell functions as &lt;i&gt;beast shape II&lt;/i&gt;, except that it also allows you to assume the form of a Diminutive or Huge creature of the animal type. This spell also allows you to take on the form of a Small or Medium creature of the magical beast type. If the form you assume has any of the following abilities, you gain the listed ability: burrow 30 feet, climb 90 feet, fly 90 feet (good maneuverability), swim 90 feet, blindsense 30 feet, darkvision 60 feet, low-light vision, scent, constrict, ferocity, grab, jet, poison, pounce, rake, trample, trip, and web.&lt;/p&gt;&lt;p&gt;&lt;i&gt;Diminutive animal&lt;/i&gt;: If the form you take is that of a Diminutive animal, you gain a +6 size bonus to your Dexterity, a -4 penalty to your Strength, and a +1 natural armor bonus.&lt;/p&gt;&lt;p&gt;&lt;i&gt;Tiny animal&lt;/i&gt;: If the form you take is that of a Tiny animal, you gain a +4 size bonus to your Dexterity, a -2 penalty to your Strength, and a +1 natural armor bonus.&lt;/p&gt;&lt;p&gt;&lt;i&gt;Small animal&lt;/i&gt;: If the form you take is that of a Small animal, you gain a +2 size bonus to your Dexterity and a +1 natural armor bonus.&lt;/p&gt;&lt;p&gt;&lt;i&gt;Medium animal&lt;/i&gt;: If the form you take is that of a Medium animal, you gain a +2 size bonus to your Strength and a +2 natural armor bonus.&lt;/p&gt;&lt;p&gt;&lt;i&gt;Large animal&lt;/i&gt;: If the form you take is that of a Large animal, you gain a +4 size bonus to your Strength, a -2 penalty to your Dexterity, and a +4 natural armor bonus.&lt;/p&gt;&lt;p&gt;&lt;i&gt;Huge animal&lt;/i&gt;: If the form you take is that of a Huge animal, you gain a +6 size bonus to your Strength, a -4 penalty to your Dexterity, and a +6 natural armor bonus.&lt;/p&gt;&lt;p&gt;&lt;i&gt;Small magical beast&lt;/i&gt;: If the form you take is that of a Small magical beast, you gain a +4 size bonus to your Dexterity, and a +2 natural armor bonus.&lt;/p&gt;&lt;p&gt;&lt;i&gt;Medium magical beast&lt;/i&gt;: If the form you take is that of a Medium magical beast, you gain a +4 size bonus to your Strength, and a +4 natural armor bonus.&lt;/p&gt;</t>
  </si>
  <si>
    <t>&lt;link rel="stylesheet"href="PF.css"&gt;&lt;div class="heading"&gt;&lt;p class="alignleft"&gt;Beast Shape III&lt;/p&gt;&lt;div style="clear: both;"&gt;&lt;/div&gt;&lt;/div&gt;&lt;div&gt;&lt;h5&gt;&lt;b&gt;School &lt;/b&gt;transmutation (polymorph); &lt;b&gt;Level &lt;/b&gt;sorcerer/wizard 5, alchemist 5, magus 5&lt;/h5&gt;&lt;h5&gt;&lt;b&gt;Casting Time &lt;/b&gt;1 standard action&lt;/h5&gt;&lt;h5&gt;&lt;b&gt;Components &lt;/b&gt;V, S, M (a piece of the creature whose form you plan to assume)&lt;/h5&gt;&lt;h5&gt;&lt;b&gt;Range &lt;/b&gt;personal&lt;/h5&gt;&lt;h5&gt;&lt;b&gt;Targets &lt;/b&gt; you&lt;/h5&gt;&lt;h5&gt;&lt;b&gt;Duration &lt;/b&gt;1 min./level (D)&lt;/h5&gt;&lt;/div&gt;&lt;div&gt;&lt;h4&gt;&lt;p&gt;This spell functions as &lt;i&gt;beast shape II&lt;/i&gt;, except that it also allows you to assume the form of a Diminutive or Huge creature of the animal type. This spell also allows you to take on the form of a Small or Medium creature of the magical beast type. If the form you assume has any of the following abilities, you gain the listed ability: burrow 30 feet, climb 90 feet, fly 90 feet (good maneuverability), swim 90 feet, blindsense 30 feet, darkvision 60 feet, low-light vision, scent, constrict, ferocity, grab, jet, poison, pounce, rake, trample, trip, and web.&lt;/p&gt;&lt;p&gt;&lt;i&gt;Diminutive animal&lt;/i&gt;: If the form you take is that of a Diminutive animal, you gain a +6 size bonus to your Dexterity, a -4 penalty to your Strength, and a +1 natural armor bonus.&lt;/p&gt;&lt;p&gt;&lt;i&gt;Tiny animal&lt;/i&gt;: If the form you take is that of a Tiny animal, you gain a +4 size bonus to your Dexterity, a -2 penalty to your Strength, and a +1 natural armor bonus.&lt;/p&gt;&lt;p&gt;&lt;i&gt;Small animal&lt;/i&gt;: If the form you take is that of a Small animal, you gain a +2 size bonus to your Dexterity and a +1 natural armor bonus.&lt;/p&gt;&lt;p&gt;&lt;i&gt;Medium animal&lt;/i&gt;: If the form you take is that of a Medium animal, you gain a +2 size bonus to your Strength and a +2 natural armor bonus.&lt;/p&gt;&lt;p&gt;&lt;i&gt;Large animal&lt;/i&gt;: If the form you take is that of a Large animal, you gain a +4 size bonus to your Strength, a -2 penalty to your Dexterity, and a +4 natural armor bonus.&lt;/p&gt;&lt;p&gt;&lt;i&gt;Huge animal&lt;/i&gt;: If the form you take is that of a Huge animal, you gain a +6 size bonus to your Strength, a -4 penalty to your Dexterity, and a +6 natural armor bonus.&lt;/p&gt;&lt;p&gt;&lt;i&gt;Small magical beast&lt;/i&gt;: If the form you take is that of a Small magical beast, you gain a +4 size bonus to your Dexterity, and a +2 natural armor bonus.&lt;/p&gt;&lt;p&gt;&lt;i&gt;Medium magical beast&lt;/i&gt;: If the form you take is that of a Medium magical beast, you gain a +4 size bonus to your Strength, and a +4 natural armor bonus.&lt;/p&gt;&lt;/h4&gt;&lt;/div&gt;</t>
  </si>
  <si>
    <t>Animal, Saurian</t>
  </si>
  <si>
    <t> You take the form of a Diminutive or Huge animal, or Small or Medium magical beast.</t>
  </si>
  <si>
    <t>Beast Shape IV</t>
  </si>
  <si>
    <t>sorcerer/wizard 6, alchemist 6, magus 6</t>
  </si>
  <si>
    <t>This spell functions as beast shape III except that it also allows you to assume the form of a Tiny or Large creature of the magical beast type. If the form you assume has any of the following abilities, you gain the listed ability: burrow 60 feet, climb 90 feet, fly 120 feet (good maneuverability), swim 120 feet, blindsense 60 feet, darkvision 90 feet, low-light vision, scent, tremorsense 60 feet, breath weapon, constrict, ferocity, grab, jet, poison, pounce, rake, rend, roar, spikes, trample, trip, and web. If the creature has immunity or resistance to any elements, you gain resistance 20 to those elements. If the creature has vulnerability to an element, you gain that vulnerability. Diminutive animal: If the form you take is that of a Diminutive animal, you gain a +6 size bonus to your Dexterity, a -4 penalty to your Strength, and a +1 natural armor bonus. Tiny animal: If the form you take is that of a Tiny animal, you gain a +4 size bonus to your Dexterity, a -2 penalty to your Strength, and a +1 natural armor bonus. Small animal: If the form you take is that of a Small animal, you gain a +2 size bonus to your Dexterity and a +1 natural armor bonus. Medium animal: If the form you take is that of a Medium animal, you gain a +2 size bonus to your Strength and a +2 natural armor bonus. Large animal: If the form you take is that of a Large animal, you gain a +4 size bonus to your Strength, a -2 penalty to your Dexterity, and a +4 natural armor bonus. Huge animal: If the form you take is that of a Huge animal, you gain a +6 size bonus to your Strength, a -4 penalty to your Dexterity, and a +6 natural armor bonus. Tiny magical beast: If the form you take is that of a Tiny magical beast, you gain a -2 penalty to your Strength, a +8 size bonus to your Dexterity, and a +3 natural armor bonus. Small magical beast: If the form you take is that of a Small magical beast, you gain a +4 size bonus to your Dexterity, and a +2 natural armor bonus. Medium magical beast: If the form you take is that of a Medium magical beast, you gain a +4 size bonus to your Strength, and a +4 natural armor bonus. Large magical beast: If the form you take is that of a Large magical beast, you gain a +6 size bonus to your Strength, a -2 penalty on your Dexterity, a +2 size bonus to your Constitution, and a +6 natural armor bonus.</t>
  </si>
  <si>
    <t>&lt;p&gt;This spell functions as &lt;i&gt;beast shape III&lt;/i&gt; except that it also allows you to assume the form of a Tiny or Large creature of the magical beast type. If the form you assume has any of the following abilities, you gain the listed ability: burrow 60 feet, climb 90 feet, fly 120 feet (good maneuverability), swim 120 feet, blindsense 60 feet, darkvision 90 feet, low-light vision, scent, tremorsense 60 feet, breath weapon, constrict, ferocity, grab, jet, poison, pounce, rake, rend, roar, spikes, trample, trip, and web. If the creature has immunity or resistance to any elements, you gain resistance 20 to those elements. If the creature has vulnerability to an element, you gain that vulnerability.&lt;/p&gt;&lt;p&gt;&lt;i&gt;Diminutive animal&lt;/i&gt;: If the form you take is that of a Diminutive animal, you gain a +6 size bonus to your Dexterity, a -4 penalty to your Strength, and a +1 natural armor bonus.&lt;/p&gt;&lt;p&gt;&lt;i&gt;Tiny animal&lt;/i&gt;: If the form you take is that of a Tiny animal, you gain a +4 size bonus to your Dexterity, a -2 penalty to your Strength, and a +1 natural armor bonus.&lt;/p&gt;&lt;p&gt;&lt;i&gt;Small animal&lt;/i&gt;: If the form you take is that of a Small animal, you gain a +2 size bonus to your Dexterity and a +1 natural armor bonus.&lt;/p&gt;&lt;p&gt;&lt;i&gt;Medium animal&lt;/i&gt;: If the form you take is that of a Medium animal, you gain a +2 size bonus to your Strength and a +2 natural armor bonus.&lt;/p&gt;&lt;p&gt;&lt;i&gt;Large animal&lt;/i&gt;: If the form you take is that of a Large animal, you gain a +4 size bonus to your Strength, a -2 penalty to your Dexterity, and a +4 natural armor bonus.&lt;/p&gt;&lt;p&gt;&lt;i&gt;Huge animal&lt;/i&gt;: If the form you take is that of a Huge animal, you gain a +6 size bonus to your Strength, a -4 penalty to your Dexterity, and a +6 natural armor bonus.&lt;/p&gt;&lt;p&gt;&lt;i&gt;Tiny magical beast&lt;/i&gt;: If the form you take is that of a Tiny magical beast, you gain a -2 penalty to your Strength, a +8 size bonus to your Dexterity, and a +3 natural armor bonus.&lt;/p&gt;&lt;p&gt;&lt;i&gt;Small magical beast&lt;/i&gt;: If the form you take is that of a Small magical beast, you gain a +4 size bonus to your Dexterity, and a +2 natural armor bonus.&lt;/p&gt;&lt;p&gt;&lt;i&gt;Medium magical beast&lt;/i&gt;: If the form you take is that of a Medium magical beast, you gain a +4 size bonus to your Strength, and a +4 natural armor bonus.&lt;/p&gt;&lt;p&gt;&lt;i&gt;Large magical beast&lt;/i&gt;: If the form you take is that of a Large magical beast, you gain a +6 size bonus to your Strength, a -2 penalty on your Dexterity, a +2 size bonus to your Constitution, and a +6 natural armor bonus.&lt;/p&gt;</t>
  </si>
  <si>
    <t>&lt;link rel="stylesheet"href="PF.css"&gt;&lt;div class="heading"&gt;&lt;p class="alignleft"&gt;Beast Shape IV&lt;/p&gt;&lt;div style="clear: both;"&gt;&lt;/div&gt;&lt;/div&gt;&lt;div&gt;&lt;h5&gt;&lt;b&gt;School &lt;/b&gt;transmutation (polymorph); &lt;b&gt;Level &lt;/b&gt;sorcerer/wizard 6, alchemist 6, magus 6&lt;/h5&gt;&lt;h5&gt;&lt;b&gt;Casting Time &lt;/b&gt;1 standard action&lt;/h5&gt;&lt;h5&gt;&lt;b&gt;Components &lt;/b&gt;V, S, M (a piece of the creature whose form you plan to assume)&lt;/h5&gt;&lt;h5&gt;&lt;b&gt;Range &lt;/b&gt;personal&lt;/h5&gt;&lt;h5&gt;&lt;b&gt;Targets &lt;/b&gt; you&lt;/h5&gt;&lt;h5&gt;&lt;b&gt;Duration &lt;/b&gt;1 min./level (D)&lt;/h5&gt;&lt;/div&gt;&lt;div&gt;&lt;h4&gt;&lt;p&gt;This spell functions as &lt;i&gt;beast shape III&lt;/i&gt; except that it also allows you to assume the form of a Tiny or Large creature of the magical beast type. If the form you assume has any of the following abilities, you gain the listed ability: burrow 60 feet, climb 90 feet, fly 120 feet (good maneuverability), swim 120 feet, blindsense 60 feet, darkvision 90 feet, low-light vision, scent, tremorsense 60 feet, breath weapon, constrict, ferocity, grab, jet, poison, pounce, rake, rend, roar, spikes, trample, trip, and web. If the creature has immunity or resistance to any elements, you gain resistance 20 to those elements. If the creature has vulnerability to an element, you gain that vulnerability.&lt;/p&gt;&lt;p&gt;&lt;i&gt;Diminutive animal&lt;/i&gt;: If the form you take is that of a Diminutive animal, you gain a +6 size bonus to your Dexterity, a -4 penalty to your Strength, and a +1 natural armor bonus.&lt;/p&gt;&lt;p&gt;&lt;i&gt;Tiny animal&lt;/i&gt;: If the form you take is that of a Tiny animal, you gain a +4 size bonus to your Dexterity, a -2 penalty to your Strength, and a +1 natural armor bonus.&lt;/p&gt;&lt;p&gt;&lt;i&gt;Small animal&lt;/i&gt;: If the form you take is that of a Small animal, you gain a +2 size bonus to your Dexterity and a +1 natural armor bonus.&lt;/p&gt;&lt;p&gt;&lt;i&gt;Medium animal&lt;/i&gt;: If the form you take is that of a Medium animal, you gain a +2 size bonus to your Strength and a +2 natural armor bonus.&lt;/p&gt;&lt;p&gt;&lt;i&gt;Large animal&lt;/i&gt;: If the form you take is that of a Large animal, you gain a +4 size bonus to your Strength, a -2 penalty to your Dexterity, and a +4 natural armor bonus.&lt;/p&gt;&lt;p&gt;&lt;i&gt;Huge animal&lt;/i&gt;: If the form you take is that of a Huge animal, you gain a +6 size bonus to your Strength, a -4 penalty to your Dexterity, and a +6 natural armor bonus.&lt;/p&gt;&lt;p&gt;&lt;i&gt;Tiny magical beast&lt;/i&gt;: If the form you take is that of a Tiny magical beast, you gain a -2 penalty to your Strength, a +8 size bonus to your Dexterity, and a +3 natural armor bonus.&lt;/p&gt;&lt;p&gt;&lt;i&gt;Small magical beast&lt;/i&gt;: If the form you take is that of a Small magical beast, you gain a +4 size bonus to your Dexterity, and a +2 natural armor bonus.&lt;/p&gt;&lt;p&gt;&lt;i&gt;Medium magical beast&lt;/i&gt;: If the form you take is that of a Medium magical beast, you gain a +4 size bonus to your Strength, and a +4 natural armor bonus.&lt;/p&gt;&lt;p&gt;&lt;i&gt;Large magical beast&lt;/i&gt;: If the form you take is that of a Large magical beast, you gain a +6 size bonus to your Strength, a -2 penalty on your Dexterity, a +2 size bonus to your Constitution, and a +6 natural armor bonus.&lt;/p&gt;&lt;/h4&gt;&lt;/div&gt;</t>
  </si>
  <si>
    <t> You take the form of a Diminutive to Huge animal or a Tiny to Large magical beast.</t>
  </si>
  <si>
    <t>Aquatic</t>
  </si>
  <si>
    <t>Bestow Curse</t>
  </si>
  <si>
    <t>cleric 3/oracle 3, sorcerer/wizard 4, witch 3, antipaladin 3</t>
  </si>
  <si>
    <t>You place a curse on the subject. Choose one of the following. -6 decrease to an ability score (minimum 1). -4 penalty on attack rolls, saves, ability checks, and skill checks. Each turn, the target has a 50% chance to act normally; otherwise, it takes no action. You may also invent your own curse, but it should be no more powerful than those described above. The curse bestowed by this spell cannot be dispelled, but it can be removed with a break enchantment, limited wish, miracle, remove curse, or wish spell. Bestow curse counters remove curse.</t>
  </si>
  <si>
    <t>&lt;p&gt;You place a curse on the subject. Choose one of the following.&lt;/p&gt;&lt;p&gt;&lt;ul&gt;&lt;li&gt;-6 decrease to an ability score (minimum 1). &lt;li&gt;-4 penalty on attack rolls, saves, ability checks, and skill checks. &lt;li&gt;Each turn, the target has a 50% chance to act normally; otherwise, it takes no action.&lt;/p&gt;&lt;p&gt;&lt;/ul&gt;You may also invent your own curse, but it should be no more powerful than those described above.&lt;/p&gt;&lt;p&gt;The curse bestowed by this spell cannot be dispelled, but it can be removed with a &lt;i&gt;break enchantment&lt;/i&gt;, &lt;i&gt;limited wish&lt;/i&gt;, &lt;i&gt;miracle&lt;/i&gt;, &lt;i&gt;remove curse&lt;/i&gt;, or &lt;i&gt;wish&lt;/i&gt; spell.&lt;/p&gt;&lt;p&gt;&lt;i&gt;Bestow curse&lt;/i&gt; counters &lt;i&gt;remove curse&lt;/i&gt;.&lt;/p&gt;</t>
  </si>
  <si>
    <t>&lt;link rel="stylesheet"href="PF.css"&gt;&lt;div class="heading"&gt;&lt;p class="alignleft"&gt;Bestow Curse &lt;/p&gt;&lt;div style="clear: both;"&gt;&lt;/div&gt;&lt;/div&gt;&lt;div&gt;&lt;h5&gt;&lt;b&gt;School &lt;/b&gt;necromancy [curse]; &lt;b&gt;Level &lt;/b&gt;cleric 3/oracle 3, sorcerer/wizard 4, witch 3, antipaladin 3&lt;/h5&gt;&lt;h5&gt;&lt;b&gt;Casting Time &lt;/b&gt;1 standard action&lt;/h5&gt;&lt;h5&gt;&lt;b&gt;Components &lt;/b&gt;V, S&lt;/h5&gt;&lt;h5&gt;&lt;b&gt;Range &lt;/b&gt;touch&lt;/h5&gt;&lt;h5&gt;&lt;b&gt;Targets &lt;/b&gt; creature touched&lt;/h5&gt;&lt;h5&gt;&lt;b&gt;Duration &lt;/b&gt;permanent&lt;/h5&gt;&lt;h5&gt;&lt;b&gt;Saving Throw &lt;/b&gt;Will negates; &lt;b&gt;Spell Resistance &lt;/b&gt;yes&lt;/h5&gt;&lt;/div&gt;&lt;div&gt;&lt;h4&gt;&lt;p&gt;You place a curse on the subject. Choose one of the following.&lt;/p&gt;&lt;p&gt;&lt;ul&gt;&lt;li&gt;-6 decrease to an ability score (minimum 1). &lt;li&gt;-4 penalty on attack rolls, saves, ability checks, and skill checks. &lt;li&gt;Each turn, the target has a 50% chance to act normally; otherwise, it takes no action.&lt;/p&gt;&lt;p&gt;&lt;/ul&gt;You may also invent your own curse, but it should be no more powerful than those described above.&lt;/p&gt;&lt;p&gt;The curse bestowed by this spell cannot be dispelled, but it can be removed with a &lt;i&gt;break enchantment&lt;/i&gt;, &lt;i&gt;limited wish&lt;/i&gt;, &lt;i&gt;miracle&lt;/i&gt;, &lt;i&gt;remove curse&lt;/i&gt;, or &lt;i&gt;wish&lt;/i&gt; spell.&lt;/p&gt;&lt;p&gt;&lt;i&gt;Bestow curse&lt;/i&gt; counters &lt;i&gt;remove curse&lt;/i&gt;.&lt;/p&gt;&lt;/h4&gt;&lt;/div&gt;</t>
  </si>
  <si>
    <t>–6 to an ability score; –4 on attack rolls, saves, and checks; or 50% chance of losing each action.</t>
  </si>
  <si>
    <t>Accursed</t>
  </si>
  <si>
    <t>Binding</t>
  </si>
  <si>
    <t>sorcerer/wizard 8, summoner 6</t>
  </si>
  <si>
    <t>V, S, M (opals worth 500 gp per HD of the target creature, plus other components as specified below)</t>
  </si>
  <si>
    <t>one living creature</t>
  </si>
  <si>
    <t>Will negates; see text</t>
  </si>
  <si>
    <t>A binding spell creates a magical restraint to hold a creature. The target gets an initial saving throw only if its Hit Dice equal at least half your caster level. You may have as many as six assistants help you with the spell. For each assistant who casts suggestion, your caster level for this casting of binding increases by 1. For each assistant who casts dominate animal, dominate person, or dominate monster, your caster level for this casting of binding increases by a number equal to a third of that assistant's level, provided that the spell's target is appropriate for a binding spell. Since the assistants' spells are cast simply to improve your caster level for the purpose of the binding spell, saving throws and spell resistance against the assistants' spells are irrelevant. Your caster level determines whether the target gets an initial Will saving throw and how long the binding lasts. All binding spells are dismissible. Regardless of the version of binding you cast, you can specify triggering conditions that end the spell and release the creature whenever they occur. These triggers can be as simple or elaborate as you desire, but the condition must be reasonable and have a likelihood of coming to pass. The conditions can be based on a creature's name, identity, or alignment, but otherwise must be based on observable actions or qualities. Intangibles such as level, class, Hit Dice, or hit points don't qualify. Once the spell is cast, its triggering conditions cannot be changed. Setting a release condition increases the save DC (assuming a saving throw is allowed) by 2. If you cast any of the first three versions of binding (those with limited durations), you may cast additional binding spells to prolong the effect, overlapping the durations. If you do so, the target gets a saving throw at the end of the first spell's duration, even if your caster level was high enough to disallow an initial saving throw. If the creature's save succeeds, all binding spells it has received are broken. The binding spell has six versions. Choose one of the following versions when you cast the spell. Chaining: The subject is confined by restraints that generate an antipathy spell affecting all creatures who approach the subject, except you. The duration is 1 year per caster level. The subject of this form of binding is confined to the spot it occupied when it received the spell. Casting this version requires a chain that is long enough to wrap around the creature three times. Slumber: This version causes the subject to become comatose for as long as 1 year per caster level. The subject does not need to eat or drink while slumbering, nor does it age. This form of binding is slightly easier to resist. Reduce the spell's save DC by 1. Casting this version requires a jar of sand or rose petals. This is a sleep effect. Bound Slumber: This combination of chaining and slumber lasts for as long as 1 month per caster level. Reduce the save DC by 2. Casting this version requires both a long chain and a jar of sand or rose petals. This is a sleep effect. Hedged Prison: The subject is transported to or otherwise brought within a confined area from which it cannot wander by any means. This effect is permanent. Reduce the save DC by 3. Casting this version requires a tiny golden cage worth 100 gp that is consumed when the spell is cast. Metamorphosis: The subject assumes gaseous form, except for its head or face. It is held harmless in a jar or other container, which may be transparent if you so choose. The creature remains aware of its surroundings and can speak, but it cannot leave the container, attack, or use any of its powers or abilities. The binding is permanent. The subject does not need to breathe, eat, or drink while metamorphosed, nor does it age. Reduce the save DC by 4. Minimus Containment: The subject is shrunk to a height of 1 inch or less and held within some gem, jar, or similar object. The binding is permanent. The subject does not need to breathe, eat, or drink while contained, nor does it age. Reduce the save DC by 4. You can't dispel a binding spell with dispel magic or a similar effect, though an antimagic field or mage's disjunction affects it normally. A bound extraplanar creature cannot be sent back to its home plane by dismissal, banishment, or a similar effect.</t>
  </si>
  <si>
    <t>&lt;p&gt;A &lt;i&gt;binding&lt;/i&gt; spell creates a magical restraint to hold a creature. The target gets an initial saving throw only if its Hit Dice equal at least half your caster level.&lt;/p&gt;&lt;p&gt;You may have as many as six assistants help you with the spell. For each assistant who casts &lt;i&gt;suggestion&lt;/i&gt;, your caster level for this casting of &lt;i&gt;binding&lt;/i&gt; increases by 1. For each assistant who casts &lt;i&gt;dominate animal&lt;/i&gt;, &lt;i&gt;dominate person&lt;/i&gt;, or &lt;i&gt;dominate monster&lt;/i&gt;, your caster level for this casting of binding increases by a number equal to a third of that assistant's level, provided that the spell's target is appropriate for a &lt;i&gt;binding&lt;/i&gt; spell. Since the assistants' spells are cast simply to improve your caster level for the purpose of the &lt;i&gt;binding&lt;/i&gt; spell, saving throws and spell resistance against the assistants' spells are irrelevant. Your caster level determines whether the target gets an initial Will saving throw and how long the &lt;i&gt;binding&lt;/i&gt; lasts. All &lt;i&gt;binding&lt;/i&gt; spells are dismissible.&lt;/p&gt;&lt;p&gt;Regardless of the version of &lt;i&gt;binding&lt;/i&gt; you cast, you can specify triggering conditions that end the spell and release the creature whenever they occur. These triggers can be as simple or elaborate as you desire, but the condition must be reasonable and have a likelihood of coming to pass. The conditions can be based on a creature's name, identity, or alignment, but otherwise must be based on observable actions or qualities. Intangibles such as level, class, Hit Dice, or hit points don't qualify. Once the spell is cast, its triggering conditions cannot be changed. Setting a release condition increases the save DC (assuming a saving throw is allowed) by 2.&lt;/p&gt;&lt;p&gt;If you cast any of the first three versions of &lt;i&gt;binding&lt;/i&gt; (those with limited durations), you may cast additional &lt;i&gt;binding&lt;/i&gt; spells to prolong the effect, overlapping the durations. If you do so, the target gets a saving throw at the end of the first spell's duration, even if your caster level was high enough to disallow an initial saving throw. If the creature's save succeeds, all &lt;i&gt;binding&lt;/i&gt; spells it has received are broken.&lt;/p&gt;&lt;p&gt;The &lt;i&gt;binding&lt;/i&gt; spell has six versions. Choose one of the following versions when you cast the spell.&lt;/p&gt;&lt;p&gt;&lt;i&gt;Chaining&lt;/i&gt;: The subject is confined by restraints that generate an &lt;i&gt;antipathy&lt;/i&gt; spell affecting all creatures who approach the subject, except you. The duration is 1 year per caster level. The subject of this form of &lt;i&gt;binding&lt;/i&gt; is confined to the spot it occupied when it received the spell. Casting this version requires a chain that is long enough to wrap around the creature three times.&lt;/p&gt;&lt;p&gt;&lt;i&gt;Slumber&lt;/i&gt;: This version causes the subject to become comatose for as long as 1 year per caster level. The subject does not need to eat or drink while slumbering, nor does it age. This form of &lt;i&gt;binding&lt;/i&gt; is slightly easier to resist. Reduce the spell's save DC by 1. Casting this version requires a jar of sand or rose petals. This is a &lt;i&gt;sleep&lt;/i&gt; effect.&lt;/p&gt;&lt;p&gt;&lt;i&gt;Bound Slumber&lt;/i&gt;: This combination of chaining and slumber lasts for as long as 1 month per caster level. Reduce the save DC by 2. Casting this version requires both a long chain and a jar of sand or rose petals. This is a &lt;i&gt;sleep&lt;/i&gt; effect.&lt;/p&gt;&lt;p&gt;&lt;i&gt;Hedged Prison&lt;/i&gt;: The subject is transported to or otherwise brought within a confined area from which it cannot wander by any means. This effect is permanent. Reduce the save DC by 3. Casting this version requires a tiny golden cage worth 100 gp that is consumed when the spell is cast.&lt;/p&gt;&lt;p&gt;&lt;i&gt;Metamorphosis&lt;/i&gt;: The subject assumes &lt;i&gt;gaseous form&lt;/i&gt;, except for its head or face. It is held harmless in a jar or other container, which may be transparent if you so choose. The creature remains aware of its surroundings and can speak, but it cannot leave the container, attack, or use any of its powers or abilities. The &lt;i&gt;binding&lt;/i&gt; is permanent. The subject does not need to breathe, eat, or drink while metamorphosed, nor does it age. Reduce the save DC by 4.&lt;/p&gt;&lt;p&gt;&lt;i&gt;Minimus Containment&lt;/i&gt;: The subject is shrunk to a height of 1 inch or less and held within some gem, jar, or similar object. The &lt;i&gt;binding&lt;/i&gt; is permanent. The subject does not need to breathe, eat, or drink while contained, nor does it age. Reduce the save DC by 4.&lt;/p&gt;&lt;p&gt;You can't dispel a &lt;i&gt;binding&lt;/i&gt; spell with &lt;i&gt;dispel magic&lt;/i&gt; or a similar effect, though an &lt;i&gt;antimagic field&lt;/i&gt; or &lt;i&gt;mage's disjunction&lt;/i&gt; affects it normally. A bound extraplanar creature cannot be sent back to its home plane by &lt;i&gt;dismissal&lt;/i&gt;, &lt;i&gt;banishment&lt;/i&gt;, or a similar effect.&lt;/p&gt;</t>
  </si>
  <si>
    <t>&lt;link rel="stylesheet"href="PF.css"&gt;&lt;div class="heading"&gt;&lt;p class="alignleft"&gt;Binding&lt;/p&gt;&lt;div style="clear: both;"&gt;&lt;/div&gt;&lt;/div&gt;&lt;div&gt;&lt;h5&gt;&lt;b&gt;School &lt;/b&gt;enchantment (compulsion) [mind-affecting]; &lt;b&gt;Level &lt;/b&gt;sorcerer/wizard 8, summoner 6&lt;/h5&gt;&lt;h5&gt;&lt;b&gt;Casting Time &lt;/b&gt;1 minute&lt;/h5&gt;&lt;h5&gt;&lt;b&gt;Components &lt;/b&gt;V, S, M (opals worth 500 gp per HD of the target creature, plus other components as specified below)&lt;/h5&gt;&lt;h5&gt;&lt;b&gt;Range &lt;/b&gt;close (25 ft. + 5 ft./2 levels)&lt;/h5&gt;&lt;h5&gt;&lt;b&gt;Targets &lt;/b&gt; one living creature&lt;/h5&gt;&lt;h5&gt;&lt;b&gt;Duration &lt;/b&gt;see text (D)&lt;/h5&gt;&lt;h5&gt;&lt;b&gt;Saving Throw &lt;/b&gt;Will negates; see text; &lt;b&gt;Spell Resistance &lt;/b&gt;yes&lt;/h5&gt;&lt;/div&gt;&lt;div&gt;&lt;h4&gt;&lt;p&gt;A &lt;i&gt;binding&lt;/i&gt; spell creates a magical restraint to hold a creature. The target gets an initial saving throw only if its Hit Dice equal at least half your caster level.&lt;/p&gt;&lt;p&gt;You may have as many as six assistants help you with the spell. For each assistant who casts &lt;i&gt;suggestion&lt;/i&gt;, your caster level for this casting of &lt;i&gt;binding&lt;/i&gt; increases by 1. For each assistant who casts &lt;i&gt;dominate animal&lt;/i&gt;, &lt;i&gt;dominate person&lt;/i&gt;, or &lt;i&gt;dominate monster&lt;/i&gt;, your caster level for this casting of binding increases by a number equal to a third of that assistant's level, provided that the spell's target is appropriate for a &lt;i&gt;binding&lt;/i&gt; spell. Since the assistants' spells are cast simply to improve your caster level for the purpose of the &lt;i&gt;binding&lt;/i&gt; spell, saving throws and spell resistance against the assistants' spells are irrelevant. Your caster level determines whether the target gets an initial Will saving throw and how long the &lt;i&gt;binding&lt;/i&gt; lasts. All &lt;i&gt;binding&lt;/i&gt; spells are dismissible.&lt;/p&gt;&lt;p&gt;Regardless of the version of &lt;i&gt;binding&lt;/i&gt; you cast, you can specify triggering conditions that end the spell and release the creature whenever they occur. These triggers can be as simple or elaborate as you desire, but the condition must be reasonable and have a likelihood of coming to pass. The conditions can be based on a creature's name, identity, or alignment, but otherwise must be based on observable actions or qualities. Intangibles such as level, class, Hit Dice, or hit points don't qualify. Once the spell is cast, its triggering conditions cannot be changed. Setting a release condition increases the save DC (assuming a saving throw is allowed) by 2.&lt;/p&gt;&lt;p&gt;If you cast any of the first three versions of &lt;i&gt;binding&lt;/i&gt; (those with limited durations), you may cast additional &lt;i&gt;binding&lt;/i&gt; spells to prolong the effect, overlapping the durations. If you do so, the target gets a saving throw at the end of the first spell's duration, even if your caster level was high enough to disallow an initial saving throw. If the creature's save succeeds, all &lt;i&gt;binding&lt;/i&gt; spells it has received are broken.&lt;/p&gt;&lt;p&gt;The &lt;i&gt;binding&lt;/i&gt; spell has six versions. Choose one of the following versions when you cast the spell.&lt;/p&gt;&lt;p&gt;&lt;i&gt;Chaining&lt;/i&gt;: The subject is confined by restraints that generate an &lt;i&gt;antipathy&lt;/i&gt; spell affecting all creatures who approach the subject, except you. The duration is 1 year per caster level. The subject of this form of &lt;i&gt;binding&lt;/i&gt; is confined to the spot it occupied when it received the spell. Casting this version requires a chain that is long enough to wrap around the creature three times.&lt;/p&gt;&lt;p&gt;&lt;i&gt;Slumber&lt;/i&gt;: This version causes the subject to become comatose for as long as 1 year per caster level. The subject does not need to eat or drink while slumbering, nor does it age. This form of &lt;i&gt;binding&lt;/i&gt; is slightly easier to resist. Reduce the spell's save DC by 1. Casting this version requires a jar of sand or rose petals. This is a &lt;i&gt;sleep&lt;/i&gt; effect.&lt;/p&gt;&lt;p&gt;&lt;i&gt;Bound Slumber&lt;/i&gt;: This combination of chaining and slumber lasts for as long as 1 month per caster level. Reduce the save DC by 2. Casting this version requires both a long chain and a jar of sand or rose petals. This is a &lt;i&gt;sleep&lt;/i&gt; effect.&lt;/p&gt;&lt;p&gt;&lt;i&gt;Hedged Prison&lt;/i&gt;: The subject is transported to or otherwise brought within a confined area from which it cannot wander by any means. This effect is permanent. Reduce the save DC by 3. Casting this version requires a tiny golden cage worth 100 gp that is consumed when the spell is cast.&lt;/p&gt;&lt;p&gt;&lt;i&gt;Metamorphosis&lt;/i&gt;: The subject assumes &lt;i&gt;gaseous form&lt;/i&gt;, except for its head or face. It is held harmless in a jar or other container, which may be transparent if you so choose. The creature remains aware of its surroundings and can speak, but it cannot leave the container, attack, or use any of its powers or abilities. The &lt;i&gt;binding&lt;/i&gt; is permanent. The subject does not need to breathe, eat, or drink while metamorphosed, nor does it age. Reduce the save DC by 4.&lt;/p&gt;&lt;p&gt;&lt;i&gt;Minimus Containment&lt;/i&gt;: The subject is shrunk to a height of 1 inch or less and held within some gem, jar, or similar object. The &lt;i&gt;binding&lt;/i&gt; is permanent. The subject does not need to breathe, eat, or drink while contained, nor does it age. Reduce the save DC by 4.&lt;/p&gt;&lt;p&gt;You can't dispel a &lt;i&gt;binding&lt;/i&gt; spell with &lt;i&gt;dispel magic&lt;/i&gt; or a similar effect, though an &lt;i&gt;antimagic field&lt;/i&gt; or &lt;i&gt;mage's disjunction&lt;/i&gt; affects it normally. A bound extraplanar creature cannot be sent back to its home plane by &lt;i&gt;dismissal&lt;/i&gt;, &lt;i&gt;banishment&lt;/i&gt;, or a similar effect.&lt;/p&gt;&lt;/h4&gt;&lt;/div&gt;</t>
  </si>
  <si>
    <t> Utilizes an array of techniques to imprison a creature.</t>
  </si>
  <si>
    <t>Black Tentacles</t>
  </si>
  <si>
    <t>sorcerer/wizard 4, witch 4, summoner 3, magus 4</t>
  </si>
  <si>
    <t>V, S, M (octopus or squid tentacle)</t>
  </si>
  <si>
    <t>20-ft.-radius spread</t>
  </si>
  <si>
    <t>1 round/level (D)</t>
  </si>
  <si>
    <t>This spell causes a field of rubbery black tentacles to appear, burrowing up from the floor and reaching for any creature in the area. Every creature within the area of the spell is the target of a combat maneuver check made to grapple each round at the beginning of your turn, including the round that black tentacles is cast. Creatures that enter the area of effect are also automatically attacked. The tentacles do not provoke attacks of opportunity. When determining the tentacles' CMB, the tentacles use your caster level as their base attack bonus and receive a +4 bonus due to their Strength and a +1 size bonus. Roll only once for the entire spell effect each round and apply the result to all creatures in the area of effect. If the tentacles succeed in grappling a foe, that foe takes 1d6+4 points of damage and gains the grappled condition. Grappled opponents cannot move without first breaking the grapple. All other movement is prohibited unless the creature breaks the grapple first. The black tentacles spell receives a +5 bonus on grapple checks made against opponents it is already grappling, but cannot move foes or pin foes. Each round that black tentacles succeeds on a grapple check, it deals an additional 1d6+4 points of damage. The CMD of black tentacles, for the purposes of escaping the grapple, is equal to 10 + its CMB. The tentacles created by this spell cannot be damaged, but they can be dispelled as normal. The entire area of effect is considered difficult terrain while the tentacles last.</t>
  </si>
  <si>
    <t>&lt;p&gt;This spell causes a field of rubbery &lt;i&gt;black tentacles&lt;/i&gt; to appear, burrowing up from the floor and reaching for any creature in the area.&lt;/p&gt;&lt;p&gt;Every creature within the area of the spell is the target of a combat maneuver check made to grapple each round at the beginning of your turn, including the round that &lt;i&gt;black tentacles&lt;/i&gt; is cast. Creatures that enter the area of effect are also automatically attacked. The tentacles do not provoke attacks of opportunity. When determining the tentacles' CMB, the tentacles use your caster level as their base attack bonus and receive a +4 bonus due to their Strength and a +1 size bonus. Roll only once for the entire spell effect each round and apply the result to all creatures in the area of effect.&lt;/p&gt;&lt;p&gt;If the tentacles succeed in grappling a foe, that foe takes 1d6+4 points of damage and gains the grappled condition. Grappled opponents cannot move without first breaking the grapple. All other movement is prohibited unless the creature breaks the grapple first. The &lt;i&gt;black tentacles&lt;/i&gt; spell receives a +5 bonus on grapple checks made against opponents it is already grappling, but cannot move foes or pin foes. Each round that &lt;i&gt;black tentacles&lt;/i&gt; succeeds on a grapple check, it deals an additional 1d6+4 points of damage. The CMD of &lt;i&gt;black tentacles&lt;/i&gt;, for the purposes of escaping the grapple, is equal to 10 + its CMB.&lt;/p&gt;&lt;p&gt;The tentacles created by this spell cannot be damaged, but they can be dispelled as normal. The entire area of effect is considered difficult terrain while the tentacles last.&lt;/p&gt;</t>
  </si>
  <si>
    <t>&lt;link rel="stylesheet"href="PF.css"&gt;&lt;div class="heading"&gt;&lt;p class="alignleft"&gt;Black Tentacles&lt;/p&gt;&lt;div style="clear: both;"&gt;&lt;/div&gt;&lt;/div&gt;&lt;div&gt;&lt;h5&gt;&lt;b&gt;School &lt;/b&gt;conjuration (creation); &lt;b&gt;Level &lt;/b&gt;sorcerer/wizard 4, witch 4, summoner 3, magus 4&lt;/h5&gt;&lt;/div&gt;&lt;hr/&gt;&lt;div&gt;&lt;h5&gt;&lt;b&gt;CASTING&lt;/b&gt;&lt;/h5&gt;&lt;/div&gt;&lt;hr/&gt;&lt;div&gt;&lt;h5&gt;&lt;b&gt;Casting Time &lt;/b&gt;1 standard action&lt;/h5&gt;&lt;h5&gt;&lt;b&gt;Components &lt;/b&gt;V, S, M (octopus or squid tentacle)&lt;/h5&gt;&lt;/div&gt;&lt;hr/&gt;&lt;div&gt;&lt;h5&gt;&lt;b&gt;EFFECT&lt;/b&gt;&lt;/h5&gt;&lt;/div&gt;&lt;hr/&gt;&lt;div&gt;&lt;h5&gt;&lt;b&gt;Range &lt;/b&gt;medium (100 ft. + 10 ft./level)&lt;/h5&gt;&lt;h5&gt;&lt;b&gt;Area &lt;/b&gt;20-ft.-radius spread&lt;/h5&gt;&lt;h5&gt;&lt;b&gt;Duration &lt;/b&gt;1 round/level (D)&lt;/h5&gt;&lt;h5&gt;&lt;b&gt;Saving Throw &lt;/b&gt;none; &lt;b&gt;Spell Resistance &lt;/b&gt;no&lt;/h5&gt;&lt;/div&gt;&lt;hr/&gt;&lt;div&gt;&lt;h5&gt;&lt;b&gt;DESCRIPTION&lt;/b&gt;&lt;/h5&gt;&lt;/div&gt;&lt;hr/&gt;&lt;div&gt;&lt;h4&gt;&lt;p&gt;This spell causes a field of rubbery &lt;i&gt;black tentacles&lt;/i&gt; to appear, burrowing up from the floor and reaching for any creature in the area.&lt;/p&gt;&lt;p&gt;Every creature within the area of the spell is the target of a combat maneuver check made to grapple each round at the beginning of your turn, including the round that &lt;i&gt;black tentacles&lt;/i&gt; is cast. Creatures that enter the area of effect are also automatically attacked. The tentacles do not provoke attacks of opportunity. When determining the tentacles' CMB, the tentacles use your caster level as their base attack bonus and receive a +4 bonus due to their Strength and a +1 size bonus. Roll only once for the entire spell effect each round and apply the result to all creatures in the area of effect.&lt;/p&gt;&lt;p&gt;If the tentacles succeed in grappling a foe, that foe takes 1d6+4 points of damage and gains the grappled condition. Grappled opponents cannot move without first breaking the grapple. All other movement is prohibited unless the creature breaks the grapple first. The &lt;i&gt;black tentacles&lt;/i&gt; spell receives a +5 bonus on grapple checks made against opponents it is already grappling, but cannot move foes or pin foes. Each round that &lt;i&gt;black tentacles&lt;/i&gt; succeeds on a grapple check, it deals an additional 1d6+4 points of damage. The CMD of &lt;i&gt;black tentacles&lt;/i&gt;, for the purposes of escaping the grapple, is equal to 10 + its CMB.&lt;/p&gt;&lt;p&gt;The tentacles created by this spell cannot be damaged, but they can be dispelled as normal. The entire area of effect is considered difficult terrain while the tentacles last.&lt;/p&gt;&lt;/h4&gt;&lt;h5&gt;&lt;b&gt;Mythic: &lt;/b&gt;Add your tier to the base attack bonus of the tentacles. The tentacles also deal an additional 2d6 points of acid damage with a successful grapple.&lt;/h5&gt;&lt;h5&gt;&lt;b&gt;Augmented (6th)&lt;/b&gt;: If you expend two uses of mythic power, the spell creates twice as many tentacles in the same area, meaning each creature in the area is attacked twice per round. The tentacles can grapple creatures that are immune to grappling if that immunity is from a non-mythic source, but combat maneuver checks to grapple such creatures take a -5 penalty.&lt;/h5&gt;&lt;/div&gt;</t>
  </si>
  <si>
    <t> Tentacles grapple all creatures within a 20-ft. spread.</t>
  </si>
  <si>
    <t>Aberrant</t>
  </si>
  <si>
    <t>Occult</t>
  </si>
  <si>
    <t>Add your tier to the base attack bonus of the tentacles. The tentacles also deal an additional 2d6 points of acid damage with a successful grapple.</t>
  </si>
  <si>
    <t>Augmented (6th): If you expend two uses of mythic power, the spell creates twice as many tentacles in the same area, meaning each creature in the area is attacked twice per round. The tentacles can grapple creatures that are immune to grappling if that immunity is from a non-mythic source, but combat maneuver checks to grapple such creatures take a -5 penalty.</t>
  </si>
  <si>
    <t>Blade Barrier</t>
  </si>
  <si>
    <t>evocation</t>
  </si>
  <si>
    <t>cleric/oracle 6, inquisitor 6</t>
  </si>
  <si>
    <t>wall of whirling blades up to 20 ft. long/level, or a ringed wall of whirling blades with a radius of up to 5 ft. per two levels; either form is 20 ft. high</t>
  </si>
  <si>
    <t>1 min./level (D)</t>
  </si>
  <si>
    <t>Reflex half or Reflex negates; see text</t>
  </si>
  <si>
    <t>An immobile, vertical curtain of whirling blades shaped of pure force springs into existence. Any creature passing through the wall takes 1d6 points of damage per caster level (maximum 15d6), with a Reflex save for half damage. If you evoke the barrier so that it appears where creatures are, each creature takes damage as if passing through the wall. Each such creature can avoid the wall (ending up on the side of its choice) and thus take no damage by making a successful Reflex save. A blade barrier provides cover (+4 bonus to AC, +2 bonus on Reflex saves) against attacks made through it.</t>
  </si>
  <si>
    <t>&lt;p&gt;An immobile, vertical curtain of whirling blades shaped of pure force springs into existence. Any creature passing through the wall takes 1d6 points of damage per caster level (maximum 15d6), with a Reflex save for half damage.&lt;/p&gt;&lt;p&gt;If you evoke the barrier so that it appears where creatures are, each creature takes damage as if passing through the wall.&lt;/p&gt;&lt;p&gt;Each such creature can avoid the wall (ending up on the side of its choice) and thus take no damage by making a successful Reflex save.&lt;/p&gt;&lt;p&gt;A &lt;i&gt;blade barrier&lt;/i&gt; provides cover (+4 bonus to AC, +2 bonus on Reflex saves) against attacks made through it.&lt;/p&gt;</t>
  </si>
  <si>
    <t>&lt;link rel="stylesheet"href="PF.css"&gt;&lt;div class="heading"&gt;&lt;p class="alignleft"&gt;Blade Barrier&lt;/p&gt;&lt;div style="clear: both;"&gt;&lt;/div&gt;&lt;/div&gt;&lt;div&gt;&lt;h5&gt;&lt;b&gt;School &lt;/b&gt;evocation [force]; &lt;b&gt;Level &lt;/b&gt;cleric/oracle 6, inquisitor 6&lt;/h5&gt;&lt;/div&gt;&lt;hr/&gt;&lt;div&gt;&lt;h5&gt;&lt;b&gt;CASTING&lt;/b&gt;&lt;/h5&gt;&lt;/div&gt;&lt;hr/&gt;&lt;div&gt;&lt;h5&gt;&lt;b&gt;Casting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ft./level)&lt;/h5&gt;&lt;h5&gt;&lt;b&gt;Effect &lt;/b&gt;wall of whirling blades up to 20 ft. long/level, or a ringed wall of whirling blades with a radius of up to 5 ft. per two levels; either form is 20 ft. high&lt;/h5&gt;&lt;h5&gt;&lt;b&gt;Duration &lt;/b&gt;1 min./level (D)&lt;/h5&gt;&lt;h5&gt;&lt;b&gt;Saving Throw &lt;/b&gt;Reflex half or Reflex negates; see text; &lt;b&gt;Spell Resistance &lt;/b&gt;yes&lt;/h5&gt;&lt;/div&gt;&lt;hr/&gt;&lt;div&gt;&lt;h5&gt;&lt;b&gt;DESCRIPTION&lt;/b&gt;&lt;/h5&gt;&lt;/div&gt;&lt;hr/&gt;&lt;div&gt;&lt;h4&gt;&lt;p&gt;An immobile, vertical curtain of whirling blades shaped of pure force springs into existence. Any creature passing through the wall takes 1d6 points of damage per caster level (maximum 15d6), with a Reflex save for half damage.&lt;/p&gt;&lt;p&gt;If you evoke the barrier so that it appears where creatures are, each creature takes damage as if passing through the wall.&lt;/p&gt;&lt;p&gt;Each such creature can avoid the wall (ending up on the side of its choice) and thus take no damage by making a successful Reflex save.&lt;/p&gt;&lt;p&gt;A &lt;i&gt;blade barrier&lt;/i&gt; provides cover (+4 bonus to AC, +2 bonus on Reflex saves) against attacks made through it.&lt;/p&gt;&lt;/h4&gt;&lt;h5&gt;&lt;b&gt;Mythic: &lt;/b&gt;You may cast this spell as an immediate action. The barrier's damage increases to 1d8 per caster level (maximum 20d8).&lt;/h5&gt;&lt;h5&gt;&lt;b&gt;Augmented (3rd)&lt;/b&gt;: If you expend two uses of mythic power, you can spend a move action to move the barrier up to 10 feet in any direction. The shape (flat or ring) and orientation (vertical or horizontal) of the wall must remain the same. If you move the barrier through a creature's space, it can attempt a saving throw to avoid the wall, as if you had created it where the creature is.&lt;/h5&gt;&lt;/div&gt;</t>
  </si>
  <si>
    <t>Good, War</t>
  </si>
  <si>
    <t> Wall of blades deals 1d6/level damage.</t>
  </si>
  <si>
    <t>You may cast this spell as an immediate action. The barrier's damage increases to 1d8 per caster level (maximum 20d8).</t>
  </si>
  <si>
    <t>Augmented (3rd): If you expend two uses of mythic power, you can spend a move action to move the barrier up to 10 feet in any direction. The shape (flat or ring) and orientation (vertical or horizontal) of the wall must remain the same. If you move the barrier through a creature's space, it can attempt a saving throw to avoid the wall, as if you had created it where the creature is.</t>
  </si>
  <si>
    <t>Blasphemy</t>
  </si>
  <si>
    <t>evil, sonic</t>
  </si>
  <si>
    <t>cleric/oracle 7, inquisitor 6</t>
  </si>
  <si>
    <t>40 ft.</t>
  </si>
  <si>
    <t>nonevil creatures in a 40-ft.-radius spread centered on you</t>
  </si>
  <si>
    <t>Any nonevil creature within the area of a blasphemy spell suffers the following ill effects. HD Effect Equal to caster level Dazed Up to caster level -1 Weakened, dazed Up to caster level -5 Paralyzed, weakened, dazed Up to caster level -10 Killed, paralyzed, weakened, dazed The effects are cumulative and concurrent. A successful Will save reduces or eliminates these effects. Creatures affected by multiple effects make only one save and apply the result to all the effects. Dazed: The creature can take no actions for 1 round, though it defends itself normally. Save negates. Weakened: The creature's Strength score decreases by 2d6 points for 2d4 rounds. Save for half. Paralyzed: The creature is paralyzed and helpless for 1d10 minutes. Save reduces the paralyzed effect to 1 round. Killed: Living creatures die. Undead creatures are destroyed. Save negates. If the save is successful, the creature instead takes 3d6 points of damage + 1 point per caster level (maximum +25). Furthermore, if you are on your home plane when you cast this spell, nonevil extraplanar creatures within the area are instantly banished back to their home planes. Creatures so banished cannot return for at least 24 hours. This effect takes place regardless of whether the creatures hear the blasphemy or not. The banishment effect allows a Will save (at a -4 penalty) to negate. Creatures whose Hit Dice exceed your caster level are unaffected by blasphemy.</t>
  </si>
  <si>
    <t>&lt;p&gt;Any nonevil creature within the area of a &lt;i&gt;blasphemy&lt;/i&gt; spell suffers the following ill effects. &lt;table border ='1'&gt;&lt;tr&gt;&lt;th&gt;HD&lt;/th&gt;&lt;th&gt;Effect&lt;/th&gt;&lt;/tr&gt;&lt;tr&gt;&lt;td&gt;Equal to caster level&lt;/td&gt;&lt;td&gt;Dazed&lt;/td&gt;&lt;/tr&gt;&lt;tr&gt;&lt;td&gt;Up to caster level -1&lt;/td&gt;&lt;td&gt;Weakened, dazed&lt;/td&gt;&lt;/tr&gt;&lt;tr&gt;&lt;td&gt;Up to caster level -5&lt;/td&gt;&lt;td&gt;Paralyzed, weakened, dazed&lt;/td&gt;&lt;/tr&gt;&lt;tr&gt;&lt;td&gt;Up to caster level -10&lt;/td&gt;&lt;td&gt;Killed, paralyzed, weakened, dazed&lt;/td&gt;&lt;/tr&gt;&lt;/table&gt; The effects are cumulative and concurrent. A successful Will save reduces or eliminates these effects. Creatures affected by multiple effects make only one save and apply the result to all the effects.&lt;/p&gt;&lt;p&gt;&lt;i&gt;Dazed&lt;/i&gt;: The creature can take no actions for 1 round, though it defends itself normally. Save negates.&lt;/p&gt;&lt;p&gt;&lt;i&gt;Weakened&lt;/i&gt;: The creature's Strength score decreases by 2d6 points for 2d4 rounds. Save for half.&lt;/p&gt;&lt;p&gt;&lt;i&gt;Paralyzed&lt;/i&gt;: The creature is paralyzed and helpless for 1d10 minutes. Save reduces the paralyzed effect to 1 round.&lt;/p&gt;&lt;p&gt;&lt;i&gt;Killed&lt;/i&gt;: Living creatures die. Undead creatures are destroyed. Save negates. If the save is successful, the creature instead takes 3d6 points of damage + 1 point per caster level (maximum +25).&lt;/p&gt;&lt;p&gt;Furthermore, if you are on your home plane when you cast this spell, nonevil extraplanar creatures within the area are instantly banished back to their home planes. Creatures so banished cannot return for at least 24 hours. This effect takes place regardless of whether the creatures hear the &lt;i&gt;blasphemy&lt;/i&gt; or not. The banishment effect allows a Will save (at a -4 penalty) to negate.&lt;/p&gt;&lt;p&gt;Creatures whose Hit Dice exceed your caster level are unaffected by &lt;i&gt;blasphemy&lt;/i&gt;.&lt;/p&gt;</t>
  </si>
  <si>
    <t>&lt;link rel="stylesheet"href="PF.css"&gt;&lt;div class="heading"&gt;&lt;p class="alignleft"&gt;Blasphemy&lt;/p&gt;&lt;div style="clear: both;"&gt;&lt;/div&gt;&lt;/div&gt;&lt;div&gt;&lt;h5&gt;&lt;b&gt;School &lt;/b&gt;evocation [evil, sonic]; &lt;b&gt;Level &lt;/b&gt;cleric/oracle 7, inquisitor 6&lt;/h5&gt;&lt;/div&gt;&lt;hr/&gt;&lt;div&gt;&lt;h5&gt;&lt;b&gt;CASTING&lt;/b&gt;&lt;/h5&gt;&lt;/div&gt;&lt;hr/&gt;&lt;div&gt;&lt;h5&gt;&lt;b&gt;Casting Time &lt;/b&gt;1 standard action&lt;/h5&gt;&lt;h5&gt;&lt;b&gt;Components &lt;/b&gt;V&lt;/h5&gt;&lt;/div&gt;&lt;hr/&gt;&lt;div&gt;&lt;h5&gt;&lt;b&gt;EFFECT&lt;/b&gt;&lt;/h5&gt;&lt;/div&gt;&lt;hr/&gt;&lt;div&gt;&lt;h5&gt;&lt;b&gt;Range &lt;/b&gt;40 ft.&lt;/h5&gt;&lt;h5&gt;&lt;b&gt;Area &lt;/b&gt;nonevil creatures in a 40-ft.-radius spread centered on you&lt;/h5&gt;&lt;h5&gt;&lt;b&gt;Duration &lt;/b&gt;instantaneous&lt;/h5&gt;&lt;h5&gt;&lt;b&gt;Saving Throw &lt;/b&gt;Will partial; &lt;b&gt;Spell Resistance &lt;/b&gt;yes&lt;/h5&gt;&lt;/div&gt;&lt;hr/&gt;&lt;div&gt;&lt;h5&gt;&lt;b&gt;DESCRIPTION&lt;/b&gt;&lt;/h5&gt;&lt;/div&gt;&lt;hr/&gt;&lt;div&gt;&lt;h4&gt;&lt;p&gt;Any nonevil creature within the area of a &lt;i&gt;blasphemy&lt;/i&gt; spell suffers the following ill effects. &lt;table border ='1'&gt;&lt;tr&gt;&lt;th&gt;HD&lt;/th&gt;&lt;th&gt;Effect&lt;/th&gt;&lt;/tr&gt;&lt;tr&gt;&lt;td&gt;Equal to caster level&lt;/td&gt;&lt;td&gt;Dazed&lt;/td&gt;&lt;/tr&gt;&lt;tr&gt;&lt;td&gt;Up to caster level -1&lt;/td&gt;&lt;td&gt;Weakened, dazed&lt;/td&gt;&lt;/tr&gt;&lt;tr&gt;&lt;td&gt;Up to caster level -5&lt;/td&gt;&lt;td&gt;Paralyzed, weakened, dazed&lt;/td&gt;&lt;/tr&gt;&lt;tr&gt;&lt;td&gt;Up to caster level -10&lt;/td&gt;&lt;td&gt;Killed, paralyzed, weakened, dazed&lt;/td&gt;&lt;/tr&gt;&lt;/table&gt; The effects are cumulative and concurrent. A successful Will save reduces or eliminates these effects. Creatures affected by multiple effects make only one save and apply the result to all the effects.&lt;/p&gt;&lt;p&gt;&lt;i&gt;Dazed&lt;/i&gt;: The creature can take no actions for 1 round, though it defends itself normally. Save negates.&lt;/p&gt;&lt;p&gt;&lt;i&gt;Weakened&lt;/i&gt;: The creature's Strength score decreases by 2d6 points for 2d4 rounds. Save for half.&lt;/p&gt;&lt;p&gt;&lt;i&gt;Paralyzed&lt;/i&gt;: The creature is paralyzed and helpless for 1d10 minutes. Save reduces the paralyzed effect to 1 round.&lt;/p&gt;&lt;p&gt;&lt;i&gt;Killed&lt;/i&gt;: Living creatures die. Undead creatures are destroyed. Save negates. If the save is successful, the creature instead takes 3d6 points of damage + 1 point per caster level (maximum +25).&lt;/p&gt;&lt;p&gt;Furthermore, if you are on your home plane when you cast this spell, nonevil extraplanar creatures within the area are instantly banished back to their home planes. Creatures so banished cannot return for at least 24 hours. This effect takes place regardless of whether the creatures hear the &lt;i&gt;blasphemy&lt;/i&gt; or not. The banishment effect allows a Will save (at a -4 penalty) to negate.&lt;/p&gt;&lt;p&gt;Creatures whose Hit Dice exceed your caster level are unaffected by &lt;i&gt;blasphemy&lt;/i&gt;.&lt;/p&gt;&lt;/h4&gt;&lt;h5&gt;&lt;b&gt;Mythic: &lt;/b&gt;When determining the spell's effect on non-mythic creatures, add your tier to your caster level. Nonevil creatures that fail the save take a -4 penalty on attack rolls and saving throws, and their spell resistance decreases by 5 for as long as the spell's other effects last.&lt;/h5&gt;&lt;/div&gt;</t>
  </si>
  <si>
    <t>Evil</t>
  </si>
  <si>
    <t> Kills, paralyzes, weakens, or dazes nonevil subjects.</t>
  </si>
  <si>
    <t>When determining the spell's effect on non-mythic creatures, add your tier to your caster level. Nonevil creatures that fail the save take a -4 penalty on attack rolls and saving throws, and their spell resistance decreases by 5 for as long as the spell's other effects last.</t>
  </si>
  <si>
    <t>Bleed</t>
  </si>
  <si>
    <t>cleric/oracle 0, inquisitor 0, sorcerer/wizard 0, witch 0</t>
  </si>
  <si>
    <t>You cause a living creature that is below 0 hit points but stabilized to resume dying. Upon casting this spell, you target a living creature that has -1 or fewer hit points. That creature begins dying, taking 1 point of damage per round. The creature can be stabilized later normally. This spell causes a creature that is dying to take 1 point of damage.</t>
  </si>
  <si>
    <t>&lt;p&gt;You cause a living creature that is below 0 hit points but stabilized to resume dying. Upon casting this spell, you target a living creature that has -1 or fewer hit points. That creature begins dying, taking 1 point of damage per round. The creature can be stabilized later normally. This spell causes a creature that is dying to take 1 point of damage.&lt;/p&gt;</t>
  </si>
  <si>
    <t>&lt;link rel="stylesheet"href="PF.css"&gt;&lt;div class="heading"&gt;&lt;p class="alignleft"&gt;Bleed&lt;/p&gt;&lt;div style="clear: both;"&gt;&lt;/div&gt;&lt;/div&gt;&lt;div&gt;&lt;h5&gt;&lt;b&gt;School &lt;/b&gt;necromancy; &lt;b&gt;Level &lt;/b&gt;cleric/oracle 0, inquisitor 0, sorcerer/wizard 0, witch 0&lt;/h5&gt;&lt;/div&gt;&lt;hr/&gt;&lt;div&gt;&lt;h5&gt;&lt;b&gt;CASTING&lt;/b&gt;&lt;/h5&gt;&lt;/div&gt;&lt;hr/&gt;&lt;div&gt;&lt;h5&gt;&lt;b&gt;Casting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living creature&lt;/h5&gt;&lt;h5&gt;&lt;b&gt;Duration &lt;/b&gt;instantaneous&lt;/h5&gt;&lt;h5&gt;&lt;b&gt;Saving Throw &lt;/b&gt;Will negates; &lt;b&gt;Spell Resistance &lt;/b&gt;yes&lt;/h5&gt;&lt;/div&gt;&lt;hr/&gt;&lt;div&gt;&lt;h5&gt;&lt;b&gt;DESCRIPTION&lt;/b&gt;&lt;/h5&gt;&lt;/div&gt;&lt;hr/&gt;&lt;div&gt;&lt;h4&gt;&lt;p&gt;You cause a living creature that is below 0 hit points but stabilized to resume dying. Upon casting this spell, you target a living creature that has -1 or fewer hit points. That creature begins dying, taking 1 point of damage per round. The creature can be stabilized later normally. This spell causes a creature that is dying to take 1 point of damage.&lt;/p&gt;&lt;/h4&gt;&lt;/div&gt;</t>
  </si>
  <si>
    <t>Cause a stabilized creature to resume dying.</t>
  </si>
  <si>
    <t>Bless</t>
  </si>
  <si>
    <t>cleric/oracle 1, paladin 1, inquisitor 1</t>
  </si>
  <si>
    <t>The caster and all allies within a 50-ft. burst, centered on the caster</t>
  </si>
  <si>
    <t>Bless fills your allies with courage. Each ally gains a +1 morale bonus on attack rolls and on saving throws against fear effects. Bless counters and dispels bane.</t>
  </si>
  <si>
    <t>&lt;p&gt;&lt;i&gt;Bless&lt;/i&gt; fills your allies with courage. Each ally gains a +1 morale bonus on attack rolls and on saving throws against fear effects.&lt;/p&gt;&lt;p&gt;&lt;i&gt;Bless&lt;/i&gt; counters and dispels &lt;i&gt;bane&lt;/i&gt;.&lt;/p&gt;</t>
  </si>
  <si>
    <t>&lt;link rel="stylesheet"href="PF.css"&gt;&lt;div class="heading"&gt;&lt;p class="alignleft"&gt;Bless&lt;/p&gt;&lt;div style="clear: both;"&gt;&lt;/div&gt;&lt;/div&gt;&lt;div&gt;&lt;h5&gt;&lt;b&gt;School &lt;/b&gt;enchantment (compulsion) [mind-affecting]; &lt;b&gt;Level &lt;/b&gt;cleric/oracle 1, paladin 1, inquisitor 1&lt;/h5&gt;&lt;/div&gt;&lt;hr/&gt;&lt;div&gt;&lt;h5&gt;&lt;b&gt;CASTING&lt;/b&gt;&lt;/h5&gt;&lt;/div&gt;&lt;hr/&gt;&lt;div&gt;&lt;h5&gt;&lt;b&gt;Casting Time &lt;/b&gt;1 standard action&lt;/h5&gt;&lt;h5&gt;&lt;b&gt;Components &lt;/b&gt;V, S, DF&lt;/h5&gt;&lt;/div&gt;&lt;hr/&gt;&lt;div&gt;&lt;h5&gt;&lt;b&gt;EFFECT&lt;/b&gt;&lt;/h5&gt;&lt;/div&gt;&lt;hr/&gt;&lt;div&gt;&lt;h5&gt;&lt;b&gt;Range &lt;/b&gt;50 ft.&lt;/h5&gt;&lt;h5&gt;&lt;b&gt;Area &lt;/b&gt;The caster and all allies within a 50-ft. burst, centered on the caster&lt;/h5&gt;&lt;h5&gt;&lt;b&gt;Duration &lt;/b&gt;1 min./level&lt;/h5&gt;&lt;h5&gt;&lt;b&gt;Saving Throw &lt;/b&gt;none; &lt;b&gt;Spell Resistance &lt;/b&gt;yes (harmless)&lt;/h5&gt;&lt;/div&gt;&lt;hr/&gt;&lt;div&gt;&lt;h5&gt;&lt;b&gt;DESCRIPTION&lt;/b&gt;&lt;/h5&gt;&lt;/div&gt;&lt;hr/&gt;&lt;div&gt;&lt;h4&gt;&lt;p&gt;&lt;i&gt;Bless&lt;/i&gt; fills your allies with courage. Each ally gains a +1 morale bonus on attack rolls and on saving throws against fear effects.&lt;/p&gt;&lt;p&gt;&lt;i&gt;Bless&lt;/i&gt; counters and dispels &lt;i&gt;bane&lt;/i&gt;.&lt;/p&gt;&lt;/h4&gt;&lt;h5&gt;&lt;b&gt;Mythic: &lt;/b&gt;The +1 morale bonus applies on attack rolls, weapon damage rolls, and all saving throws. Once during the spell's duration, an affected creature can roll an attack roll or saving throw twice and take the higher result. The target must decide to use this ability before the first roll is attempted.&lt;/h5&gt;&lt;/div&gt;</t>
  </si>
  <si>
    <t>Community, Leadership, Resolve</t>
  </si>
  <si>
    <t>Allies gain +1 on attack rolls and saves against fear.</t>
  </si>
  <si>
    <t>The +1 morale bonus applies on attack rolls, weapon damage rolls, and all saving throws. Once during the spell's duration, an affected creature can roll an attack roll or saving throw twice and take the higher result. The target must decide to use this ability before the first roll is attempted.</t>
  </si>
  <si>
    <t>Bless Water</t>
  </si>
  <si>
    <t>cleric 1/oracle 1, paladin 1, inquisitor 1</t>
  </si>
  <si>
    <t>V, S, M (5 pounds of powdered silver worth 25 gp)</t>
  </si>
  <si>
    <t>flask of water touched</t>
  </si>
  <si>
    <t>Will negates (object)</t>
  </si>
  <si>
    <t>yes (object)</t>
  </si>
  <si>
    <t>This transmutation imbues a flask (1 pint) of water with positive energy, turning it into holy water.</t>
  </si>
  <si>
    <t>&lt;p&gt;This transmutation imbues a flask (1 pint) of water with positive energy, turning it into holy water.&lt;/p&gt;</t>
  </si>
  <si>
    <t>&lt;link rel="stylesheet"href="PF.css"&gt;&lt;div class="heading"&gt;&lt;p class="alignleft"&gt;Bless Water&lt;/p&gt;&lt;div style="clear: both;"&gt;&lt;/div&gt;&lt;/div&gt;&lt;div&gt;&lt;h5&gt;&lt;b&gt;School &lt;/b&gt;transmutation [good]; &lt;b&gt;Level &lt;/b&gt;cleric 1/oracle 1, paladin 1, inquisitor 1&lt;/h5&gt;&lt;h5&gt;&lt;b&gt;Casting Time &lt;/b&gt;1 minute&lt;/h5&gt;&lt;h5&gt;&lt;b&gt;Components &lt;/b&gt;V, S, M (5 pounds of powdered silver worth 25 gp)&lt;/h5&gt;&lt;h5&gt;&lt;b&gt;Range &lt;/b&gt;touch&lt;/h5&gt;&lt;h5&gt;&lt;b&gt;Targets &lt;/b&gt; flask of water touched&lt;/h5&gt;&lt;h5&gt;&lt;b&gt;Duration &lt;/b&gt;instantaneous&lt;/h5&gt;&lt;h5&gt;&lt;b&gt;Saving Throw &lt;/b&gt;Will negates (object); &lt;b&gt;Spell Resistance &lt;/b&gt;yes (object)&lt;/h5&gt;&lt;/div&gt;&lt;div&gt;&lt;h4&gt;&lt;p&gt;This transmutation imbues a flask (1 pint) of water with positive energy, turning it into holy water.&lt;/p&gt;&lt;/h4&gt;&lt;/div&gt;</t>
  </si>
  <si>
    <t>Divine</t>
  </si>
  <si>
    <t>Makes holy water.</t>
  </si>
  <si>
    <t>Water</t>
  </si>
  <si>
    <t>Bless Weapon</t>
  </si>
  <si>
    <t>paladin 1</t>
  </si>
  <si>
    <t>weapon touched</t>
  </si>
  <si>
    <t>This transmutation makes a weapon strike true against evil foes. The weapon is treated as having a +1 enhancement bonus for the purpose of bypassing the DR of evil creatures or striking evil incorporeal creatures (though the spell doesn't grant an actual enhancement bonus). The weapon also becomes good-aligned, which means it can bypass the DR of certain creatures. (This effect overrides and suppresses any other alignment the weapon might have.) Individual arrows or bolts can be transmuted, but affected projectile weapons (such as bows) don't confer the benefit to the projectiles they shoot. In addition, all critical hit rolls against evil foes are automatically successful, so every threat is a critical hit. This last effect does not apply to any weapon that already has a magical effect related to critical hits, such as a keen weapon or a vorpal sword.</t>
  </si>
  <si>
    <t>&lt;p&gt;This transmutation makes a weapon strike true against evil foes. The weapon is treated as having a +1 enhancement bonus for the purpose of bypassing the DR of evil creatures or striking evil incorporeal creatures (though the spell doesn't grant an actual enhancement bonus). The weapon also becomes good-aligned, which means it can bypass the DR of certain creatures. (This effect overrides and suppresses any other alignment the weapon might have.) Individual arrows or bolts can be transmuted, but affected projectile weapons (such as bows) don't confer the benefit to the projectiles they shoot.&lt;/p&gt;&lt;p&gt;In addition, all critical hit rolls against evil foes are automatically successful, so every threat is a critical hit. This last effect does not apply to any weapon that already has a magical effect related to critical hits, such as a &lt;i&gt;keen&lt;/i&gt; weapon or a &lt;i&gt;vorpal sword&lt;/i&gt;.&lt;/p&gt;</t>
  </si>
  <si>
    <t>&lt;link rel="stylesheet"href="PF.css"&gt;&lt;div class="heading"&gt;&lt;p class="alignleft"&gt;Bless Weapon&lt;/p&gt;&lt;div style="clear: both;"&gt;&lt;/div&gt;&lt;/div&gt;&lt;div&gt;&lt;h5&gt;&lt;b&gt;School &lt;/b&gt;transmutation; &lt;b&gt;Level &lt;/b&gt;paladin 1&lt;/h5&gt;&lt;h5&gt;&lt;b&gt;Casting Time &lt;/b&gt;1 standard action&lt;/h5&gt;&lt;h5&gt;&lt;b&gt;Components &lt;/b&gt;V, S&lt;/h5&gt;&lt;h5&gt;&lt;b&gt;Range &lt;/b&gt;touch&lt;/h5&gt;&lt;h5&gt;&lt;b&gt;Targets &lt;/b&gt; weapon touched&lt;/h5&gt;&lt;h5&gt;&lt;b&gt;Duration &lt;/b&gt;1 min./level&lt;/h5&gt;&lt;h5&gt;&lt;b&gt;Saving Throw &lt;/b&gt;none; &lt;b&gt;Spell Resistance &lt;/b&gt;no&lt;/h5&gt;&lt;/div&gt;&lt;div&gt;&lt;h4&gt;&lt;p&gt;This transmutation makes a weapon strike true against evil foes. The weapon is treated as having a +1 enhancement bonus for the purpose of bypassing the DR of evil creatures or striking evil incorporeal creatures (though the spell doesn't grant an actual enhancement bonus). The weapon also becomes good-aligned, which means it can bypass the DR of certain creatures. (This effect overrides and suppresses any other alignment the weapon might have.) Individual arrows or bolts can be transmuted, but affected projectile weapons (such as bows) don't confer the benefit to the projectiles they shoot.&lt;/p&gt;&lt;p&gt;In addition, all critical hit rolls against evil foes are automatically successful, so every threat is a critical hit. This last effect does not apply to any weapon that already has a magical effect related to critical hits, such as a &lt;i&gt;keen&lt;/i&gt; weapon or a &lt;i&gt;vorpal sword&lt;/i&gt;.&lt;/p&gt;&lt;/h4&gt;&lt;/div&gt;</t>
  </si>
  <si>
    <t>Glory</t>
  </si>
  <si>
    <t> Weapon strikes true against evil foes.</t>
  </si>
  <si>
    <t>Blight</t>
  </si>
  <si>
    <t>druid 4, sorcerer/wizard 5, witch 5</t>
  </si>
  <si>
    <t>Fortitude half; see text</t>
  </si>
  <si>
    <t>This spell withers a single plant of any size. An affected plant creature takes 1d6 points of damage per level (maximum 15d6) and may attempt a Fortitude saving throw for half damage. A plant that isn't a creature doesn't receive a save and immediately withers and dies. This spell has no effect on the soil or surrounding plant life.</t>
  </si>
  <si>
    <t>&lt;p&gt;This spell withers a single plant of any size. An affected plant creature takes 1d6 points of damage per level (maximum 15d6) and may attempt a Fortitude saving throw for half damage. A plant that isn't a creature doesn't receive a save and immediately withers and dies.&lt;/p&gt;&lt;p&gt;This spell has no effect on the soil or surrounding plant life.&lt;/p&gt;</t>
  </si>
  <si>
    <t>&lt;link rel="stylesheet"href="PF.css"&gt;&lt;div class="heading"&gt;&lt;p class="alignleft"&gt;Blight&lt;/p&gt;&lt;div style="clear: both;"&gt;&lt;/div&gt;&lt;/div&gt;&lt;div&gt;&lt;h5&gt;&lt;b&gt;School &lt;/b&gt;necromancy; &lt;b&gt;Level &lt;/b&gt;druid 4, sorcerer/wizard 5, witch 5&lt;/h5&gt;&lt;h5&gt;&lt;b&gt;Casting Time &lt;/b&gt;1 standard action&lt;/h5&gt;&lt;h5&gt;&lt;b&gt;Components &lt;/b&gt;V, S, DF&lt;/h5&gt;&lt;h5&gt;&lt;b&gt;Range &lt;/b&gt;touch&lt;/h5&gt;&lt;h5&gt;&lt;b&gt;Duration &lt;/b&gt;instantaneous&lt;/h5&gt;&lt;h5&gt;&lt;b&gt;Saving Throw &lt;/b&gt;Fortitude half; see text; &lt;b&gt;Spell Resistance &lt;/b&gt;yes&lt;/h5&gt;&lt;/div&gt;&lt;div&gt;&lt;h4&gt;&lt;p&gt;This spell withers a single plant of any size. An affected plant creature takes 1d6 points of damage per level (maximum 15d6) and may attempt a Fortitude saving throw for half damage. A plant that isn't a creature doesn't receive a save and immediately withers and dies.&lt;/p&gt;&lt;p&gt;This spell has no effect on the soil or surrounding plant life.&lt;/p&gt;&lt;/h4&gt;&lt;/div&gt;</t>
  </si>
  <si>
    <t>Seasons, Radiation</t>
  </si>
  <si>
    <t>Withers one plant or deals 1d6/level damage to plant creature.</t>
  </si>
  <si>
    <t>Blindness/Deafness</t>
  </si>
  <si>
    <t>antipaladin 2, bard 2, cleric/oracle 3, sorcerer/wizard 2, witch 2</t>
  </si>
  <si>
    <t>permanent (D)</t>
  </si>
  <si>
    <t>You call upon the powers of unlife to render the subject blinded or deafened, as you choose.</t>
  </si>
  <si>
    <t>&lt;p&gt;You call upon the powers of unlife to render the subject blinded or deafened, as you choose.&lt;/p&gt;</t>
  </si>
  <si>
    <t>&lt;link rel="stylesheet"href="PF.css"&gt;&lt;div class="heading"&gt;&lt;p class="alignleft"&gt;Blindness/Deafness&lt;/p&gt;&lt;div style="clear: both;"&gt;&lt;/div&gt;&lt;/div&gt;&lt;div&gt;&lt;h5&gt;&lt;b&gt;School &lt;/b&gt;necromancy; &lt;b&gt;Level &lt;/b&gt;antipaladin 2, bard 2, cleric/oracle 3, sorcerer/wizard 2, witch 2&lt;/h5&gt;&lt;/div&gt;&lt;hr/&gt;&lt;div&gt;&lt;h5&gt;&lt;b&gt;CASTING&lt;/b&gt;&lt;/h5&gt;&lt;/div&gt;&lt;hr/&gt;&lt;div&gt;&lt;h5&gt;&lt;b&gt;Casting Time &lt;/b&gt;1 standard action&lt;/h5&gt;&lt;h5&gt;&lt;b&gt;Components &lt;/b&gt;V&lt;/h5&gt;&lt;/div&gt;&lt;hr/&gt;&lt;div&gt;&lt;h5&gt;&lt;b&gt;EFFECT&lt;/b&gt;&lt;/h5&gt;&lt;/div&gt;&lt;hr/&gt;&lt;div&gt;&lt;h5&gt;&lt;b&gt;Range &lt;/b&gt;medium (100 ft. + 10 ft./level)&lt;/h5&gt;&lt;h5&gt;&lt;b&gt;Targets &lt;/b&gt;one living creature&lt;/h5&gt;&lt;h5&gt;&lt;b&gt;Duration &lt;/b&gt;permanent (D)&lt;/h5&gt;&lt;h5&gt;&lt;b&gt;Saving Throw &lt;/b&gt;Fortitude negates; &lt;b&gt;Spell Resistance &lt;/b&gt;yes&lt;/h5&gt;&lt;/div&gt;&lt;hr/&gt;&lt;div&gt;&lt;h5&gt;&lt;b&gt;DESCRIPTION&lt;/b&gt;&lt;/h5&gt;&lt;/div&gt;&lt;hr/&gt;&lt;div&gt;&lt;h4&gt;&lt;p&gt;You call upon the powers of unlife to render the subject blinded or deafened, as you choose.&lt;/p&gt;&lt;/h4&gt;&lt;h5&gt;&lt;b&gt;Mythic: &lt;/b&gt;You can cause the target to be both blinded and deafened at the same time. The target must attempt a saving throw against each effect separately.&lt;/h5&gt;&lt;/div&gt;</t>
  </si>
  <si>
    <t>Darkness</t>
  </si>
  <si>
    <t>Makes subject blind or deaf.</t>
  </si>
  <si>
    <t>You can cause the target to be both blinded and deafened at the same time. The target must attempt a saving throw against each effect separately.</t>
  </si>
  <si>
    <t>Blink</t>
  </si>
  <si>
    <t>bard 3, sorcerer/wizard 3, magus 3</t>
  </si>
  <si>
    <t>You "blink" quickly back and forth between the Material Plane and the Ethereal Plane and look as though you're winking in and out of reality at random. Blink has several effects, as follows. Physical attacks against you have a 50% miss chance, and the Blind-Fight feat doesn't help opponents, since you're ethereal and not merely invisible. If the attack is capable of striking ethereal creatures, the miss chance is only 20% (for concealment). If the attacker can see invisible creatures, the miss chance is also only 20%. (For an attacker who can both see and strike ethereal creatures, there is no miss chance.) Likewise, your own attacks have a 20% miss chance, since you sometimes go ethereal just as you are about to strike. Any individually targeted spell has a 50% chance to fail against you while you're blinking unless your attacker can target invisible, ethereal creatures. Your own spells have a 20% chance to activate just as you go ethereal, in which case they typically do not affect the Material Plane (but they might affect targets on the Ethereal Plane). While blinking, you take only half damage from area attacks (but full damage from those that extend onto the Ethereal Plane). Although you are only partially visible, you are not considered invisible and targets retain their Dexterity bonus to AC against your attacks. You do receive a +2 bonus on attack rolls made against enemies that cannot see invisible creatures. You take only half damage from falling, since you fall only while you are material. While blinking, you can step through (but not see through) solid objects. For each 5 feet of solid material you walk through, there is a 50% chance that you become material. If this occurs, you are shunted off to the nearest open space and take 1d6 points of damage per 5 feet so traveled. Since you spend about half your time on the Ethereal Plane, you can see and even attack ethereal creatures. You interact with ethereal creatures roughly the same way you interact with material ones. An ethereal creature is invisible, incorporeal, and capable of moving in any direction, even up or down. As an incorporeal creature, you can move through solid objects, including living creatures. An ethereal creature can see and hear the Material Plane, but everything looks gray and insubstantial. Sight and hearing on the Material Plane are limited to 60 feet. Force effects and abjurations affect you normally. Their effects extend onto the Ethereal Plane from the Material Plane, but not vice versa. An ethereal creature can't attack material creatures, and spells you cast while ethereal affect only other ethereal things. Certain material creatures or objects have attacks or effects that work on the Ethereal Plane. Treat other ethereal creatures and objects as material.</t>
  </si>
  <si>
    <t>&lt;p&gt;You "blink" quickly back and forth between the Material Plane and the Ethereal Plane and look as though you're winking in and out of reality at random. &lt;i&gt;Blink&lt;/i&gt; has several effects, as follows.&lt;/p&gt;&lt;p&gt;Physical attacks against you have a 50% miss chance, and the Blind-Fight feat doesn't help opponents, since you're ethereal and not merely invisible. If the attack is capable of striking ethereal creatures, the miss chance is only 20% (for concealment).&lt;/p&gt;&lt;p&gt;If the attacker can see invisible creatures, the miss chance is also only 20%. (For an attacker who can both see and strike ethereal creatures, there is no miss chance.) Likewise, your own attacks have a 20% miss chance, since you sometimes go ethereal just as you are about to strike.&lt;/p&gt;&lt;p&gt;Any individually targeted spell has a 50% chance to fail against you while you're blinking unless your attacker can target invisible, ethereal creatures. Your own spells have a 20% chance to activate just as you go ethereal, in which case they typically do not affect the Material Plane (but they might affect targets on the Ethereal Plane).&lt;/p&gt;&lt;p&gt;While blinking, you take only half damage from area attacks (but full damage from those that extend onto the Ethereal Plane).&lt;/p&gt;&lt;p&gt;Although you are only partially visible, you are not considered invisible and targets retain their Dexterity bonus to AC against your attacks. You do receive a +2 bonus on attack rolls made against enemies that cannot see invisible creatures.&lt;/p&gt;&lt;p&gt;You take only half damage from falling, since you fall only while you are material.&lt;/p&gt;&lt;p&gt;While blinking, you can step through (but not see through) solid objects. For each 5 feet of solid material you walk through, there is a 50% chance that you become material. If this occurs, you are shunted off to the nearest open space and take 1d6 points of damage per 5 feet so traveled.&lt;/p&gt;&lt;p&gt;Since you spend about half your time on the Ethereal Plane, you can see and even attack ethereal creatures. You interact with ethereal creatures roughly the same way you interact with material ones.&lt;/p&gt;&lt;p&gt;An ethereal creature is invisible, incorporeal, and capable of moving in any direction, even up or down. As an incorporeal creature, you can move through solid objects, including living creatures.&lt;/p&gt;&lt;p&gt;An ethereal creature can see and hear the Material Plane, but everything looks gray and insubstantial. Sight and hearing on the Material Plane are limited to 60 feet.&lt;/p&gt;&lt;p&gt;Force effects and abjurations affect you normally. Their effects extend onto the Ethereal Plane from the Material Plane, but not vice versa. An ethereal creature can't attack material creatures, and spells you cast while ethereal affect only other ethereal things.&lt;/p&gt;&lt;p&gt;Certain material creatures or objects have attacks or effects that work on the Ethereal Plane. Treat other ethereal creatures and objects as material.&lt;/p&gt;</t>
  </si>
  <si>
    <t>&lt;link rel="stylesheet"href="PF.css"&gt;&lt;div class="heading"&gt;&lt;p class="alignleft"&gt;Blink&lt;/p&gt;&lt;div style="clear: both;"&gt;&lt;/div&gt;&lt;/div&gt;&lt;div&gt;&lt;h5&gt;&lt;b&gt;School &lt;/b&gt;transmutation; &lt;b&gt;Level &lt;/b&gt;bard 3, sorcerer/wizard 3, magus 3&lt;/h5&gt;&lt;/div&gt;&lt;hr/&gt;&lt;div&gt;&lt;h5&gt;&lt;b&gt;CASTING&lt;/b&gt;&lt;/h5&gt;&lt;/div&gt;&lt;hr/&gt;&lt;div&gt;&lt;h5&gt;&lt;b&gt;Casting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 (D)&lt;/h5&gt;&lt;/div&gt;&lt;hr/&gt;&lt;div&gt;&lt;h5&gt;&lt;b&gt;DESCRIPTION&lt;/b&gt;&lt;/h5&gt;&lt;/div&gt;&lt;hr/&gt;&lt;div&gt;&lt;h4&gt;&lt;p&gt;You "blink" quickly back and forth between the Material Plane and the Ethereal Plane and look as though you're winking in and out of reality at random. &lt;i&gt;Blink&lt;/i&gt; has several effects, as follows.&lt;/p&gt;&lt;p&gt;Physical attacks against you have a 50% miss chance, and the Blind-Fight feat doesn't help opponents, since you're ethereal and not merely invisible. If the attack is capable of striking ethereal creatures, the miss chance is only 20% (for concealment).&lt;/p&gt;&lt;p&gt;If the attacker can see invisible creatures, the miss chance is also only 20%. (For an attacker who can both see and strike ethereal creatures, there is no miss chance.) Likewise, your own attacks have a 20% miss chance, since you sometimes go ethereal just as you are about to strike.&lt;/p&gt;&lt;p&gt;Any individually targeted spell has a 50% chance to fail against you while you're blinking unless your attacker can target invisible, ethereal creatures. Your own spells have a 20% chance to activate just as you go ethereal, in which case they typically do not affect the Material Plane (but they might affect targets on the Ethereal Plane).&lt;/p&gt;&lt;p&gt;While blinking, you take only half damage from area attacks (but full damage from those that extend onto the Ethereal Plane).&lt;/p&gt;&lt;p&gt;Although you are only partially visible, you are not considered invisible and targets retain their Dexterity bonus to AC against your attacks. You do receive a +2 bonus on attack rolls made against enemies that cannot see invisible creatures.&lt;/p&gt;&lt;p&gt;You take only half damage from falling, since you fall only while you are material.&lt;/p&gt;&lt;p&gt;While blinking, you can step through (but not see through) solid objects. For each 5 feet of solid material you walk through, there is a 50% chance that you become material. If this occurs, you are shunted off to the nearest open space and take 1d6 points of damage per 5 feet so traveled.&lt;/p&gt;&lt;p&gt;Since you spend about half your time on the Ethereal Plane, you can see and even attack ethereal creatures. You interact with ethereal creatures roughly the same way you interact with material ones.&lt;/p&gt;&lt;p&gt;An ethereal creature is invisible, incorporeal, and capable of moving in any direction, even up or down. As an incorporeal creature, you can move through solid objects, including living creatures.&lt;/p&gt;&lt;p&gt;An ethereal creature can see and hear the Material Plane, but everything looks gray and insubstantial. Sight and hearing on the Material Plane are limited to 60 feet.&lt;/p&gt;&lt;p&gt;Force effects and abjurations affect you normally. Their effects extend onto the Ethereal Plane from the Material Plane, but not vice versa. An ethereal creature can't attack material creatures, and spells you cast while ethereal affect only other ethereal things.&lt;/p&gt;&lt;p&gt;Certain material creatures or objects have attacks or effects that work on the Ethereal Plane. Treat other ethereal creatures and objects as material.&lt;/p&gt;&lt;/h4&gt;&lt;h5&gt;&lt;b&gt;Mythic: &lt;/b&gt;You may spend a move action to remain corporeal or incorporeal until the end of your turn (you automatically resume blinking at the end of your turn).&lt;/h5&gt;&lt;h5&gt;&lt;b&gt;Augmented (3rd)&lt;/b&gt;: If you expend two uses of mythic power, you can spend either a swift action or a move action to remain corporeal or incorporeal until the end of your turn.&lt;/h5&gt;&lt;/div&gt;</t>
  </si>
  <si>
    <t>You randomly vanish and reappear for 1 round/level.</t>
  </si>
  <si>
    <t>Starsoul</t>
  </si>
  <si>
    <t>Deception</t>
  </si>
  <si>
    <t>You may spend a move action to remain corporeal or incorporeal until the end of your turn (you automatically resume blinking at the end of your turn).</t>
  </si>
  <si>
    <t>Augmented (3rd): If you expend two uses of mythic power, you can spend either a swift action or a move action to remain corporeal or incorporeal until the end of your turn.</t>
  </si>
  <si>
    <t>Blur</t>
  </si>
  <si>
    <t>illusion</t>
  </si>
  <si>
    <t>glamer</t>
  </si>
  <si>
    <t>bard 2, sorcerer/wizard 2, summoner 2, alchemist 2, magus 2</t>
  </si>
  <si>
    <t>The subject's outline appears blurred, shifting, and wavering. This distortion grants the subject concealment (20% miss chance). A see invisibility spell does not counteract the blur effect, but a true seeing spell does. Opponents that cannot see the subject ignore the spell's effect (though fighting an unseen opponent carries penalties of its own).</t>
  </si>
  <si>
    <t>&lt;p&gt;The subject's outline appears blurred, shifting, and wavering. This distortion grants the subject concealment (20% miss chance).&lt;/p&gt;&lt;p&gt;A &lt;i&gt;see invisibility&lt;/i&gt; spell does not counteract the &lt;i&gt;blur&lt;/i&gt; effect, but a &lt;i&gt;true seeing&lt;/i&gt; spell does.&lt;/p&gt;&lt;p&gt;Opponents that cannot see the subject ignore the spell's effect (though fighting an unseen opponent carries penalties of its own).&lt;/p&gt;</t>
  </si>
  <si>
    <t>&lt;link rel="stylesheet"href="PF.css"&gt;&lt;div class="heading"&gt;&lt;p class="alignleft"&gt;Blur&lt;/p&gt;&lt;div style="clear: both;"&gt;&lt;/div&gt;&lt;/div&gt;&lt;div&gt;&lt;h5&gt;&lt;b&gt;School &lt;/b&gt;illusion (glamer); &lt;b&gt;Level &lt;/b&gt;bard 2, sorcerer/wizard 2, alchemist 2, summoner 2&lt;/h5&gt;&lt;h5&gt;&lt;b&gt;Casting Time &lt;/b&gt;1 standard action&lt;/h5&gt;&lt;h5&gt;&lt;b&gt;Components &lt;/b&gt;V&lt;/h5&gt;&lt;h5&gt;&lt;b&gt;Range &lt;/b&gt;touch&lt;/h5&gt;&lt;h5&gt;&lt;b&gt;Targets &lt;/b&gt; creature touched&lt;/h5&gt;&lt;h5&gt;&lt;b&gt;Duration &lt;/b&gt;1 min./level (D)&lt;/h5&gt;&lt;h5&gt;&lt;b&gt;Saving Throw &lt;/b&gt;Will negates (harmless); &lt;b&gt;Spell Resistance &lt;/b&gt;yes (harmless)&lt;/h5&gt;&lt;/div&gt;&lt;div&gt;&lt;h4&gt;&lt;p&gt;The subject's outline appears blurred, shifting, and wavering. This distortion grants the subject concealment (20% miss chance).&lt;/p&gt;&lt;p&gt;A &lt;i&gt;see invisibility&lt;/i&gt; spell does not counteract the &lt;i&gt;blur&lt;/i&gt; effect, but a &lt;i&gt;true seeing&lt;/i&gt; spell does.&lt;/p&gt;&lt;p&gt;Opponents that cannot see the subject ignore the spell's effect (though fighting an unseen opponent carries penalties of its own).&lt;/p&gt;&lt;/h4&gt;&lt;/div&gt;</t>
  </si>
  <si>
    <t>Attacks miss subject 20% of the time.</t>
  </si>
  <si>
    <t>Destined</t>
  </si>
  <si>
    <t>Break Enchantment</t>
  </si>
  <si>
    <t>bard 4, cleric/oracle 5, paladin 4, sorcerer/wizard 5, witch 5, inquisitor 5</t>
  </si>
  <si>
    <t>up to one creature per level, all within 30 ft. of each other</t>
  </si>
  <si>
    <t>This spell frees victims from enchantments, transmutations, and curses. Break enchantment can reverse even an instantaneous effect. For each such effect, you make a caster level check (1d20 + caster level, maximum +15) against a DC of 11 + caster level of the effect. Success means that the creature is free of the spell, curse, or effect. For a cursed magic item, the DC is equal to the DC of the curse. If the spell is one that cannot be dispelled by dispel magic or stone to flesh, break enchantment works only if that spell is 5th level or lower. If the effect comes from a permanent magic item, break enchantment does not remove the curse from the item, but it does free the victim from the item's effects.</t>
  </si>
  <si>
    <t>&lt;p&gt;This spell frees victims from enchantments, transmutations, and curses. &lt;i&gt;Break enchantment&lt;/i&gt; can reverse even an instantaneous effect. For each such effect, you make a caster level check (1d20 + caster level, maximum +15) against a DC of 11 + caster level of the effect. Success means that the creature is free of the spell, curse, or effect. For a cursed magic item, the DC is equal to the DC of the curse.&lt;/p&gt;&lt;p&gt;If the spell is one that cannot be dispelled by &lt;i&gt;dispel magic&lt;/i&gt; or &lt;i&gt;stone to flesh&lt;/i&gt;, &lt;i&gt;break enchantment&lt;/i&gt; works only if that spell is 5th level or lower.&lt;/p&gt;&lt;p&gt;If the effect comes from a permanent magic item, &lt;i&gt;break enchantment&lt;/i&gt; does not remove the curse from the item, but it does free the victim from the item's effects.&lt;/p&gt;</t>
  </si>
  <si>
    <t>&lt;link rel="stylesheet"href="PF.css"&gt;&lt;div class="heading"&gt;&lt;p class="alignleft"&gt;Break Enchantment&lt;/p&gt;&lt;div style="clear: both;"&gt;&lt;/div&gt;&lt;/div&gt;&lt;div&gt;&lt;h5&gt;&lt;b&gt;School &lt;/b&gt;abjuration; &lt;b&gt;Level &lt;/b&gt;bard 4, cleric/oracle 5, paladin 4, sorcerer/wizard 5, witch 5, inquisitor 5&lt;/h5&gt;&lt;/div&gt;&lt;hr/&gt;&lt;div&gt;&lt;h5&gt;&lt;b&gt;CASTING&lt;/b&gt;&lt;/h5&gt;&lt;/div&gt;&lt;hr/&gt;&lt;div&gt;&lt;h5&gt;&lt;b&gt;Casting Time &lt;/b&gt;1 minute&lt;/h5&gt;&lt;h5&gt;&lt;b&gt;Components &lt;/b&gt;V, S&lt;/h5&gt;&lt;/div&gt;&lt;hr/&gt;&lt;div&gt;&lt;h5&gt;&lt;b&gt;EFFECT&lt;/b&gt;&lt;/h5&gt;&lt;/div&gt;&lt;hr/&gt;&lt;div&gt;&lt;h5&gt;&lt;b&gt;Range &lt;/b&gt;close (25 ft. + 5 ft./2 levels)&lt;/h5&gt;&lt;h5&gt;&lt;b&gt;Targets &lt;/b&gt;up to one creature per level, all within 30 ft. of each other&lt;/h5&gt;&lt;h5&gt;&lt;b&gt;Duration &lt;/b&gt;instantaneous&lt;/h5&gt;&lt;h5&gt;&lt;b&gt;Saving Throw &lt;/b&gt;see text; &lt;b&gt;Spell Resistance &lt;/b&gt;no&lt;/h5&gt;&lt;/div&gt;&lt;hr/&gt;&lt;div&gt;&lt;h5&gt;&lt;b&gt;DESCRIPTION&lt;/b&gt;&lt;/h5&gt;&lt;/div&gt;&lt;hr/&gt;&lt;div&gt;&lt;h4&gt;&lt;p&gt;This spell frees victims from enchantments, transmutations, and curses. &lt;i&gt;Break enchantment&lt;/i&gt; can reverse even an instantaneous effect. For each such effect, you make a caster level check (1d20 + caster level, maximum +15) against a DC of 11 + caster level of the effect. Success means that the creature is free of the spell, curse, or effect. For a cursed magic item, the DC is equal to the DC of the curse.&lt;/p&gt;&lt;p&gt;If the spell is one that cannot be dispelled by &lt;i&gt;dispel magic&lt;/i&gt; or &lt;i&gt;stone to flesh&lt;/i&gt;, &lt;i&gt;break enchantment&lt;/i&gt; works only if that spell is 5th level or lower.&lt;/p&gt;&lt;p&gt;If the effect comes from a permanent magic item, &lt;i&gt;break enchantment&lt;/i&gt; does not remove the curse from the item, but it does free the victim from the item's effects.&lt;/p&gt;&lt;/h4&gt;&lt;h5&gt;&lt;b&gt;Mythic: &lt;/b&gt;Against non-mythic effects, the spell automatically succeeds without requiring a caster level check. Against mythic effects, add your tier to your caster level check. The maximum level of spell this spell can remove is 5 + half your tier.&lt;/h5&gt;&lt;h5&gt;&lt;b&gt;Augmented (7th)&lt;/b&gt;: If you expend two uses of mythic power, you can apply a removed enchantment, transmutation, or curse to the creature that originally cast it. The creature must be a valid target of the spell and on the same plane as you, and it gets a saving throw at the effect's original DC.&lt;/h5&gt;&lt;/div&gt;</t>
  </si>
  <si>
    <t>Liberation, Luck, Restoration</t>
  </si>
  <si>
    <t>Frees subjects from enchantments, transmutations, and curses.</t>
  </si>
  <si>
    <t>Against non-mythic effects, the spell automatically succeeds without requiring a caster level check. Against mythic effects, add your tier to your caster level check. The maximum level of spell this spell can remove is 5 + half your tier.</t>
  </si>
  <si>
    <t>Augmented (7th): If you expend two uses of mythic power, you can apply a removed enchantment, transmutation, or curse to the creature that originally cast it. The creature must be a valid target of the spell and on the same plane as you, and it gets a saving throw at the effect's original DC.</t>
  </si>
  <si>
    <t>Breath Of Life</t>
  </si>
  <si>
    <t>healing</t>
  </si>
  <si>
    <t>cleric/oracle 5</t>
  </si>
  <si>
    <t>Will negates (harmless) or Will half, see text</t>
  </si>
  <si>
    <t>yes (harmless) or yes, see text</t>
  </si>
  <si>
    <t>This spell cures 5d8 points of damage + 1 point per caster level (maximum +25). Unlike other spells that heal damage, breath of life can bring recently slain creatures back to life. If cast upon a creature that has died within 1 round, apply the healing from this spell to the creature. If the healed creature's hit point total is at a negative amount less than its Constitution score, it comes back to life and stabilizes at its new hit point total. If the creature's hit point total is at a negative amount equal to or greater than its Constitution score, the creature remains dead. Creatures brought back to life through breath of life gain a temporary negative level that lasts for 1 day. Creatures slain by death effects cannot be saved by breath of life. Like cure spells, breath of life deals damage to undead creatures rather than curing them, and cannot bring them back to life.</t>
  </si>
  <si>
    <t>&lt;p&gt;This spell cures 5d8 points of damage + 1 point per caster level (maximum +25).&lt;/p&gt;&lt;p&gt;Unlike other spells that heal damage, &lt;i&gt;breath of life&lt;/i&gt; can bring recently slain creatures back to life. If cast upon a creature that has died within 1 round, apply the healing from this spell to the creature. If the healed creature's hit point total is at a negative amount less than its Constitution score, it comes back to life and stabilizes at its new hit point total. If the creature's hit point total is at a negative amount equal to or greater than its Constitution score, the creature remains dead. Creatures brought back to life through &lt;i&gt;breath of life&lt;/i&gt; gain a temporary negative level that lasts for 1 day.&lt;/p&gt;&lt;p&gt;Creatures slain by death effects cannot be saved by &lt;i&gt;breath of life&lt;/i&gt;.&lt;/p&gt;&lt;p&gt;Like cure spells, &lt;i&gt;breath of life&lt;/i&gt; deals damage to undead creatures rather than curing them, and cannot bring them back to life.&lt;/p&gt;</t>
  </si>
  <si>
    <t>&lt;link rel="stylesheet"href="PF.css"&gt;&lt;div class="heading"&gt;&lt;p class="alignleft"&gt;Breath Of Life&lt;/p&gt;&lt;div style="clear: both;"&gt;&lt;/div&gt;&lt;/div&gt;&lt;div&gt;&lt;h5&gt;&lt;b&gt;School &lt;/b&gt;conjuration (healing); &lt;b&gt;Level &lt;/b&gt;cleric/oracle 5&lt;/h5&gt;&lt;/div&gt;&lt;hr/&gt;&lt;div&gt;&lt;h5&gt;&lt;b&gt;CASTING&lt;/b&gt;&lt;/h5&gt;&lt;/div&gt;&lt;hr/&gt;&lt;div&gt;&lt;h5&gt;&lt;b&gt;Casting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&lt;/b&gt;instantaneous&lt;/h5&gt;&lt;h5&gt;&lt;b&gt;Saving Throw &lt;/b&gt;Will negates (harmless) or Will half, see text; &lt;b&gt;Spell Resistance &lt;/b&gt;yes (harmless) or yes, see text&lt;/h5&gt;&lt;/div&gt;&lt;hr/&gt;&lt;div&gt;&lt;h5&gt;&lt;b&gt;DESCRIPTION&lt;/b&gt;&lt;/h5&gt;&lt;/div&gt;&lt;hr/&gt;&lt;div&gt;&lt;h4&gt;&lt;p&gt;This spell cures 5d8 points of damage + 1 point per caster level (maximum +25).&lt;/p&gt;&lt;p&gt;Unlike other spells that heal damage, &lt;i&gt;breath of life&lt;/i&gt; can bring recently slain creatures back to life. If cast upon a creature that has died within 1 round, apply the healing from this spell to the creature. If the healed creature's hit point total is at a negative amount less than its Constitution score, it comes back to life and stabilizes at its new hit point total. If the creature's hit point total is at a negative amount equal to or greater than its Constitution score, the creature remains dead. Creatures brought back to life through &lt;i&gt;breath of life&lt;/i&gt; gain a temporary negative level that lasts for 1 day.&lt;/p&gt;&lt;p&gt;Creatures slain by death effects cannot be saved by &lt;i&gt;breath of life&lt;/i&gt;.&lt;/p&gt;&lt;p&gt;Like cure spells, &lt;i&gt;breath of life&lt;/i&gt; deals damage to undead creatures rather than curing them, and cannot bring them back to life.&lt;/p&gt;&lt;/h4&gt;&lt;h5&gt;&lt;b&gt;Mythic: &lt;/b&gt;The spell heals 5d12 points of damage + 1 point per caster level (maximum +25). It can revive a creature that died of hp damage within the past 2 rounds. If the target was slain by a death effect that allows a saving throw, this spell allows the creature to attempt another save against that effect. If this save is successful, the creature is revived with -10 hp plus the amount healed by this spell.&lt;/h5&gt;&lt;h5&gt;&lt;b&gt;Augmented (9th)&lt;/b&gt;: If you expend two uses of mythic power, you can target up to one creature per caster level within 30 feet of you. Alternatively, you can target one creature that has been dead for a number of rounds up to your caster level.&lt;/h5&gt;&lt;/div&gt;</t>
  </si>
  <si>
    <t>Healing</t>
  </si>
  <si>
    <t> Cures 5d8 damage + 1/level and restores life to recently slain creatures.</t>
  </si>
  <si>
    <t>The spell heals 5d12 points of damage + 1 point per caster level (maximum +25). It can revive a creature that died of hp damage within the past 2 rounds. If the target was slain by a death effect that allows a saving throw, this spell allows the creature to attempt another save against that effect. If this save is successful, the creature is revived with -10 hp plus the amount healed by this spell.</t>
  </si>
  <si>
    <t>Augmented (9th): If you expend two uses of mythic power, you can target up to one creature per caster level within 30 feet of you. Alternatively, you can target one creature that has been dead for a number of rounds up to your caster level.</t>
  </si>
  <si>
    <t>Bull's Strength</t>
  </si>
  <si>
    <t>cleric 2/oracle 2, druid 2, paladin 2, sorcerer/wizard 2, summoner 2, alchemist 2, antipaladin 2, magus 2</t>
  </si>
  <si>
    <t>V, S, M/DF (a few hairs, or a pinch of dung, from a bull)</t>
  </si>
  <si>
    <t>The subject becomes stronger. The spell grants a +4 enhancement bonus to Strength, adding the usual benefits to melee attack rolls, melee damage rolls, and other uses of the Strength modifier.</t>
  </si>
  <si>
    <t>&lt;p&gt;The subject becomes stronger. The spell grants a +4 enhancement bonus to Strength, adding the usual benefits to melee attack rolls, melee damage rolls, and other uses of the Strength modifier.&lt;/p&gt;</t>
  </si>
  <si>
    <t>&lt;link rel="stylesheet"href="PF.css"&gt;&lt;div class="heading"&gt;&lt;p class="alignleft"&gt;Bull's Strength&lt;/p&gt;&lt;div style="clear: both;"&gt;&lt;/div&gt;&lt;/div&gt;&lt;div&gt;&lt;h5&gt;&lt;b&gt;School &lt;/b&gt;transmutation; &lt;b&gt;Level &lt;/b&gt;cleric 2/oracle 2, druid 2, paladin 2, sorcerer/wizard 2, summoner 2, alchemist 2, antipaladin 2, magus 2&lt;/h5&gt;&lt;h5&gt;&lt;b&gt;Casting Time &lt;/b&gt;1 standard action&lt;/h5&gt;&lt;h5&gt;&lt;b&gt;Components &lt;/b&gt;V, S, M/DF (a few hairs, or a pinch of dung, from a bull)&lt;/h5&gt;&lt;h5&gt;&lt;b&gt;Range &lt;/b&gt;touch&lt;/h5&gt;&lt;h5&gt;&lt;b&gt;Targets &lt;/b&gt; creature touched&lt;/h5&gt;&lt;h5&gt;&lt;b&gt;Duration &lt;/b&gt;1 min./level&lt;/h5&gt;&lt;h5&gt;&lt;b&gt;Saving Throw &lt;/b&gt;Will negates (harmless); &lt;b&gt;Spell Resistance &lt;/b&gt;yes (harmless)&lt;/h5&gt;&lt;/div&gt;&lt;div&gt;&lt;h4&gt;&lt;p&gt;The subject becomes stronger. The spell grants a +4 enhancement bonus to Strength, adding the usual benefits to melee attack rolls, melee damage rolls, and other uses of the Strength modifier.&lt;/p&gt;&lt;/h4&gt;&lt;/div&gt;</t>
  </si>
  <si>
    <t>Rage, Strength</t>
  </si>
  <si>
    <t>Subject gains +4 to Str for 1 min./level.</t>
  </si>
  <si>
    <t>Abyssal, Orc</t>
  </si>
  <si>
    <t>Strength</t>
  </si>
  <si>
    <t>Bull's Strength, Mass</t>
  </si>
  <si>
    <t>one creature/level, no two of which can be more than 30 ft. apart</t>
  </si>
  <si>
    <t>This spell functions like bull's strength, except that it affects multiple creatures.</t>
  </si>
  <si>
    <t>&lt;p&gt;This spell functions like &lt;i&gt;bull's strength&lt;/i&gt;, except that it affects multiple creatures.&lt;/p&gt;</t>
  </si>
  <si>
    <t>&lt;link rel="stylesheet"href="PF.css"&gt;&lt;div class="heading"&gt;&lt;p class="alignleft"&gt;Bull's Strength, Mass&lt;/p&gt;&lt;div style="clear: both;"&gt;&lt;/div&gt;&lt;/div&gt;&lt;div&gt;&lt;h5&gt;&lt;b&gt;School &lt;/b&gt;transmutation; &lt;b&gt;Level &lt;/b&gt;cleric 6/oracle 6, druid 6, sorcerer/wizard 6, summoner 4, magus 6&lt;/h5&gt;&lt;h5&gt;&lt;b&gt;Casting Time &lt;/b&gt;1 standard action&lt;/h5&gt;&lt;h5&gt;&lt;b&gt;Components &lt;/b&gt;V, S, M/DF (a few hairs, or a pinch of dung, from a bull)&lt;/h5&gt;&lt;h5&gt;&lt;b&gt;Range &lt;/b&gt;close (25 ft. + 5 ft./2 levels)&lt;/h5&gt;&lt;h5&gt;&lt;b&gt;Targets &lt;/b&gt; one creature/level, no two of which can be more than 30 ft. apart&lt;/h5&gt;&lt;h5&gt;&lt;b&gt;Duration &lt;/b&gt;1 min./level&lt;/h5&gt;&lt;h5&gt;&lt;b&gt;Saving Throw &lt;/b&gt;Will negates (harmless); &lt;b&gt;Spell Resistance &lt;/b&gt;yes (harmless)&lt;/h5&gt;&lt;/div&gt;&lt;div&gt;&lt;h4&gt;&lt;p&gt;This spell functions like &lt;i&gt;bull's strength&lt;/i&gt;, except that it affects multiple creatures.&lt;/p&gt;&lt;/h4&gt;&lt;/div&gt;</t>
  </si>
  <si>
    <t>Ferocity</t>
  </si>
  <si>
    <t>As bull’s strength, affects 1 subject/level.</t>
  </si>
  <si>
    <t>Devotion, Strength</t>
  </si>
  <si>
    <t>Burning Hands</t>
  </si>
  <si>
    <t>sorcerer/wizard 1, witch 1, magus 1</t>
  </si>
  <si>
    <t>15 ft.</t>
  </si>
  <si>
    <t>cone-shaped burst</t>
  </si>
  <si>
    <t>Reflex half</t>
  </si>
  <si>
    <t>A cone of searing flame shoots from your fingertips. Any creature in the area of the flames takes 1d4 points of fire damage per caster level (maximum 5d4). Flammable materials burn if the flames touch them. A character can extinguish burning items as a full-round action.</t>
  </si>
  <si>
    <t>&lt;p&gt;A cone of searing flame shoots from your fingertips. Any creature in the area of the flames takes 1d4 points of fire damage per caster level (maximum 5d4). Flammable materials burn if the flames touch them. A character can extinguish burning items as a full-round action.&lt;/p&gt;</t>
  </si>
  <si>
    <t>&lt;link rel="stylesheet"href="PF.css"&gt;&lt;div class="heading"&gt;&lt;p class="alignleft"&gt;Burning Hands&lt;/p&gt;&lt;div style="clear: both;"&gt;&lt;/div&gt;&lt;/div&gt;&lt;div&gt;&lt;h5&gt;&lt;b&gt;School &lt;/b&gt;evocation [fire]; &lt;b&gt;Level &lt;/b&gt;sorcerer/wizard 1, witch 1, magus 1&lt;/h5&gt;&lt;/div&gt;&lt;hr/&gt;&lt;div&gt;&lt;h5&gt;&lt;b&gt;CASTING&lt;/b&gt;&lt;/h5&gt;&lt;/div&gt;&lt;hr/&gt;&lt;div&gt;&lt;h5&gt;&lt;b&gt;Casting Time &lt;/b&gt;1 standard action&lt;/h5&gt;&lt;h5&gt;&lt;b&gt;Components &lt;/b&gt;V, S&lt;/h5&gt;&lt;/div&gt;&lt;hr/&gt;&lt;div&gt;&lt;h5&gt;&lt;b&gt;EFFECT&lt;/b&gt;&lt;/h5&gt;&lt;/div&gt;&lt;hr/&gt;&lt;div&gt;&lt;h5&gt;&lt;b&gt;Range &lt;/b&gt;15 ft.&lt;/h5&gt;&lt;h5&gt;&lt;b&gt;Area &lt;/b&gt;cone-shaped burst&lt;/h5&gt;&lt;h5&gt;&lt;b&gt;Duration &lt;/b&gt;instantaneous&lt;/h5&gt;&lt;h5&gt;&lt;b&gt;Saving Throw &lt;/b&gt;Reflex half; &lt;b&gt;Spell Resistance &lt;/b&gt;yes&lt;/h5&gt;&lt;/div&gt;&lt;hr/&gt;&lt;div&gt;&lt;h5&gt;&lt;b&gt;DESCRIPTION&lt;/b&gt;&lt;/h5&gt;&lt;/div&gt;&lt;hr/&gt;&lt;div&gt;&lt;h4&gt;&lt;p&gt;A cone of searing flame shoots from your fingertips. Any creature in the area of the flames takes 1d4 points of fire damage per caster level (maximum 5d4). Flammable materials burn if the flames touch them. A character can extinguish burning items as a full-round action.&lt;/p&gt;&lt;/h4&gt;&lt;h5&gt;&lt;b&gt;Mythic: &lt;/b&gt;The range increases to 20 feet, and the damage dealt increases to 1d6 points of fire damage per caster level (maximum 5d6).&lt;/h5&gt;&lt;/div&gt;</t>
  </si>
  <si>
    <t>Fire</t>
  </si>
  <si>
    <t> 1d4/level fire damage (max 5d4).</t>
  </si>
  <si>
    <t>Elemental, Orc</t>
  </si>
  <si>
    <t>Vengeance</t>
  </si>
  <si>
    <t>The range increases to 20 feet, and the damage dealt increases to 1d6 points of fire damage per caster level (maximum 5d6).</t>
  </si>
  <si>
    <t>Call Lightning</t>
  </si>
  <si>
    <t>druid 3</t>
  </si>
  <si>
    <t>one or more 30-ft.-long vertical lines of lightning</t>
  </si>
  <si>
    <t>Immediately upon completion of the spell, and once per round thereafter, you may call down a 5-foot-wide, 30-foot-long, vertical bolt of lightning that deals 3d6 points of electricity damage. The bolt of lightning flashes down in a vertical stroke at whatever target point you choose within the spell's range (measured from your position at the time). Any creature in the target square or in the path of the bolt is affected. You need not call a bolt of lightning immediately; other actions, even spellcasting, can be performed first. Each round after the first you may use a standard action (concentrating on the spell) to call a bolt. You may call a total number of bolts equal to your caster level (maximum 10 bolts). If you are outdoors and in a stormy area-a rain shower, clouds and wind, hot and cloudy conditions, or even a tornado (including a whirlwind formed by a djinni or an air elemental of at least Large size)-each bolt deals 3d10 points of electricity damage instead of 3d6. This spell functions indoors or underground but not underwater.</t>
  </si>
  <si>
    <t>&lt;p&gt;Immediately upon completion of the spell, and once per round thereafter, you may call down a 5-foot-wide, 30-foot-long, vertical bolt of lightning that deals 3d6 points of electricity damage. The bolt of lightning flashes down in a vertical stroke at whatever target point you choose within the spell's range (measured from your position at the time). Any creature in the target square or in the path of the bolt is affected.&lt;/p&gt;&lt;p&gt;You need not call a bolt of lightning immediately; other actions, even spellcasting, can be performed first. Each round after the first you may use a standard action (concentrating on the spell) to call a bolt. You may call a total number of bolts equal to your caster level (maximum 10 bolts).&lt;/p&gt;&lt;p&gt;If you are outdoors and in a stormy area-a rain shower, clouds and wind, hot and cloudy conditions, or even a tornado (including a whirlwind formed by a djinni or an air elemental of at least Large size)-each bolt deals 3d10 points of electricity damage instead of 3d6.&lt;/p&gt;&lt;p&gt;This spell functions indoors or underground but not underwater.&lt;/p&gt;</t>
  </si>
  <si>
    <t>&lt;link rel="stylesheet"href="PF.css"&gt;&lt;div class="heading"&gt;&lt;p class="alignleft"&gt;Call Lightning&lt;/p&gt;&lt;div style="clear: both;"&gt;&lt;/div&gt;&lt;/div&gt;&lt;div&gt;&lt;h5&gt;&lt;b&gt;School &lt;/b&gt;evocation [electricity]; &lt;b&gt;Level &lt;/b&gt;druid 3&lt;/h5&gt;&lt;/div&gt;&lt;hr/&gt;&lt;div&gt;&lt;h5&gt;&lt;b&gt;CASTING&lt;/b&gt;&lt;/h5&gt;&lt;/div&gt;&lt;hr/&gt;&lt;div&gt;&lt;h5&gt;&lt;b&gt;Casting Time &lt;/b&gt;1 round&lt;/h5&gt;&lt;h5&gt;&lt;b&gt;Components &lt;/b&gt;V, S&lt;/h5&gt;&lt;/div&gt;&lt;hr/&gt;&lt;div&gt;&lt;h5&gt;&lt;b&gt;EFFECT&lt;/b&gt;&lt;/h5&gt;&lt;/div&gt;&lt;hr/&gt;&lt;div&gt;&lt;h5&gt;&lt;b&gt;Range &lt;/b&gt;medium (100 ft. + 10 ft./level)&lt;/h5&gt;&lt;h5&gt;&lt;b&gt;Effect &lt;/b&gt;one or more 30-ft.-long vertical lines of lightning&lt;/h5&gt;&lt;h5&gt;&lt;b&gt;Duration &lt;/b&gt;1 min./level&lt;/h5&gt;&lt;h5&gt;&lt;b&gt;Saving Throw &lt;/b&gt;Reflex half; &lt;b&gt;Spell Resistance &lt;/b&gt;yes&lt;/h5&gt;&lt;/div&gt;&lt;hr/&gt;&lt;div&gt;&lt;h5&gt;&lt;b&gt;DESCRIPTION&lt;/b&gt;&lt;/h5&gt;&lt;/div&gt;&lt;hr/&gt;&lt;div&gt;&lt;h4&gt;&lt;p&gt;Immediately upon completion of the spell, and once per round thereafter, you may call down a 5-foot-wide, 30-foot-long, vertical bolt of lightning that deals 3d6 points of electricity damage. The bolt of lightning flashes down in a vertical stroke at whatever target point you choose within the spell's range (measured from your position at the time). Any creature in the target square or in the path of the bolt is affected.&lt;/p&gt;&lt;p&gt;You need not call a bolt of lightning immediately; other actions, even spellcasting, can be performed first. Each round after the first you may use a standard action (concentrating on the spell) to call a bolt. You may call a total number of bolts equal to your caster level (maximum 10 bolts).&lt;/p&gt;&lt;p&gt;If you are outdoors and in a stormy area-a rain shower, clouds and wind, hot and cloudy conditions, or even a tornado (including a whirlwind formed by a djinni or an air elemental of at least Large size)-each bolt deals 3d10 points of electricity damage instead of 3d6.&lt;/p&gt;&lt;p&gt;This spell functions indoors or underground but not underwater.&lt;/p&gt;&lt;/h4&gt;&lt;h5&gt;&lt;b&gt;Mythic: &lt;/b&gt;Each lightning bolt's damage increases to 3d10 points of damage (or 5d10 points outdoors in stormy weather). Half of this damage is electricity damage, and the other half is sonic. Creatures that succeed at their saving throws are dazzled and deafened for 1 round. Those that fail at their saving throws are dazzled and deafened for 1 minute.&lt;/h5&gt;&lt;/div&gt;</t>
  </si>
  <si>
    <t>Catastrophe, Weather</t>
  </si>
  <si>
    <t> Calls down lightning bolts (3d6 per bolt) from sky.</t>
  </si>
  <si>
    <t>Each lightning bolt's damage increases to 3d10 points of damage (or 5d10 points outdoors in stormy weather). Half of this damage is electricity damage, and the other half is sonic. Creatures that succeed at their saving throws are dazzled and deafened for 1 round. Those that fail at their saving throws are dazzled and deafened for 1 minute.</t>
  </si>
  <si>
    <t>Call Lightning Storm</t>
  </si>
  <si>
    <t>This spell functions like call lightning, except that each bolt deals 5d6 points of electricity damage (or 5d10 if created outdoors in a stormy area), and you may call a maximum of 15 bolts.</t>
  </si>
  <si>
    <t>&lt;p&gt;This spell functions like &lt;i&gt;call lightning&lt;/i&gt;, except that each bolt deals 5d6 points of electricity damage (or 5d10 if created outdoors in a stormy area), and you may call a maximum of 15 bolts.&lt;/p&gt;</t>
  </si>
  <si>
    <t>&lt;link rel="stylesheet"href="PF.css"&gt;&lt;div class="heading"&gt;&lt;p class="alignleft"&gt;Call Lightning Storm&lt;/p&gt;&lt;div style="clear: both;"&gt;&lt;/div&gt;&lt;/div&gt;&lt;div&gt;&lt;h5&gt;&lt;b&gt;School &lt;/b&gt;evocation [electricity]; &lt;b&gt;Level &lt;/b&gt;druid 5&lt;/h5&gt;&lt;h5&gt;&lt;b&gt;Casting Time &lt;/b&gt;1 round&lt;/h5&gt;&lt;h5&gt;&lt;b&gt;Components &lt;/b&gt;V, S&lt;/h5&gt;&lt;h5&gt;&lt;b&gt;Range &lt;/b&gt;long (400 ft. + 40 ft./level)&lt;/h5&gt;&lt;h5&gt;&lt;b&gt;Effect &lt;/b&gt;one or more 30-ft.-long vertical lines of lightning&lt;/h5&gt;&lt;h5&gt;&lt;b&gt;Duration &lt;/b&gt;1 min./level&lt;/h5&gt;&lt;h5&gt;&lt;b&gt;Saving Throw &lt;/b&gt;Reflex half; &lt;b&gt;Spell Resistance &lt;/b&gt;yes&lt;/h5&gt;&lt;/div&gt;&lt;div&gt;&lt;h4&gt;&lt;p&gt;This spell functions like &lt;i&gt;call lightning&lt;/i&gt;, except that each bolt deals 5d6 points of electricity damage (or 5d10 if created outdoors in a stormy area), and you may call a maximum of 15 bolts.&lt;/p&gt;&lt;/h4&gt;&lt;/div&gt;</t>
  </si>
  <si>
    <t>Storms</t>
  </si>
  <si>
    <t> As call lightning, but 5d6 damage per bolt.</t>
  </si>
  <si>
    <t>Calm Animals</t>
  </si>
  <si>
    <t>druid 1, ranger 1</t>
  </si>
  <si>
    <t>animals within 30 ft. of each other</t>
  </si>
  <si>
    <t>This spell soothes and quiets animals, rendering them docile and harmless. Only ordinary animals (those with Intelligence scores of 1 or 2) can be affected by this spell. All the subjects must be of the same kind, and no two may be more than 30 feet apart. The maximum number of HD of animals you can affect is equal to 2d4 + caster level. The affected creatures remain where they are and do not attack or flee. They are not helpless and defend themselves normally if attacked. Any threat breaks the spell on the threatened creatures.</t>
  </si>
  <si>
    <t>&lt;p&gt;This spell soothes and quiets animals, rendering them docile and harmless. Only ordinary animals (those with Intelligence scores of 1 or 2) can be affected by this spell. All the subjects must be of the same kind, and no two may be more than 30 feet apart. The maximum number of HD of animals you can affect is equal to 2d4 + caster level.&lt;/p&gt;&lt;p&gt;The affected creatures remain where they are and do not attack or flee. They are not helpless and defend themselves normally if attacked. Any threat breaks the spell on the threatened creatures.&lt;/p&gt;</t>
  </si>
  <si>
    <t>&lt;link rel="stylesheet"href="PF.css"&gt;&lt;div class="heading"&gt;&lt;p class="alignleft"&gt;Calm Animals&lt;/p&gt;&lt;div style="clear: both;"&gt;&lt;/div&gt;&lt;/div&gt;&lt;div&gt;&lt;h5&gt;&lt;b&gt;School &lt;/b&gt;enchantment (compulsion) [mind-affecting, emotion]; &lt;b&gt;Level &lt;/b&gt;druid 1, ranger 1&lt;/h5&gt;&lt;h5&gt;&lt;b&gt;Casting Time &lt;/b&gt;1 standard action&lt;/h5&gt;&lt;h5&gt;&lt;b&gt;Components &lt;/b&gt;V, S&lt;/h5&gt;&lt;h5&gt;&lt;b&gt;Range &lt;/b&gt;close (25 ft. + 5 ft./2 levels)&lt;/h5&gt;&lt;h5&gt;&lt;b&gt;Targets &lt;/b&gt; animals within 30 ft. of each other&lt;/h5&gt;&lt;h5&gt;&lt;b&gt;Duration &lt;/b&gt;1 min./level&lt;/h5&gt;&lt;h5&gt;&lt;b&gt;Saving Throw &lt;/b&gt;Will negates; &lt;b&gt;Spell Resistance &lt;/b&gt;yes&lt;/h5&gt;&lt;/div&gt;&lt;div&gt;&lt;h4&gt;&lt;p&gt;This spell soothes and quiets animals, rendering them docile and harmless. Only ordinary animals (those with Intelligence scores of 1 or 2) can be affected by this spell. All the subjects must be of the same kind, and no two may be more than 30 feet apart. The maximum number of HD of animals you can affect is equal to 2d4 + caster level.&lt;/p&gt;&lt;p&gt;The affected creatures remain where they are and do not attack or flee. They are not helpless and defend themselves normally if attacked. Any threat breaks the spell on the threatened creatures.&lt;/p&gt;&lt;/h4&gt;&lt;/div&gt;</t>
  </si>
  <si>
    <t>Animal</t>
  </si>
  <si>
    <t>Calms 2d4 + level HD of animals.</t>
  </si>
  <si>
    <t>Calm Emotions</t>
  </si>
  <si>
    <t>bard 2, cleric 2/oracle 2, inquisitor 2</t>
  </si>
  <si>
    <t>creatures in a 20-ft.-radius spread</t>
  </si>
  <si>
    <t>concentration, up to 1 round/level</t>
  </si>
  <si>
    <t>This spell calms agitated creatures. You have no control over the affected creatures, but calm emotions can stop raging creatures from fighting or joyous ones from reveling. Creatures so affected cannot take violent actions (although they can defend themselves) or do anything destructive. Any aggressive action against or damage dealt to a calmed creature immediately breaks the spell on all calmed creatures. This spell automatically suppresses (but does not dispel) any morale bonuses granted by spells such as bless, good hope, and rage, and also negates a bard's ability to inspire courage or a barbarian's rage ability. It also suppresses any fear effects and removes the confused condition from all targets. While the spell lasts, a suppressed spell, condition, or effect has no effect. When the calm emotions spell ends, the original spell or effect takes hold of the creature again, provided that its duration has not expired in the meantime.</t>
  </si>
  <si>
    <t>&lt;p&gt;This spell calms agitated creatures. You have no control over the affected creatures, but &lt;i&gt;calm emotions&lt;/i&gt; can stop raging creatures from fighting or joyous ones from reveling. Creatures so affected cannot take violent actions (although they can defend themselves) or do anything destructive. Any aggressive action against or damage dealt to a calmed creature immediately breaks the spell on all calmed creatures.&lt;/p&gt;&lt;p&gt;This spell automatically suppresses (but does not dispel) any morale bonuses granted by spells such as &lt;i&gt;bless&lt;/i&gt;, &lt;i&gt;good hope&lt;/i&gt;, and &lt;i&gt;rage&lt;/i&gt;, and also negates a bard's ability to inspire courage or a barbarian's rage ability. It also suppresses any fear effects and removes the confused condition from all targets. While the spell lasts, a suppressed spell, condition, or effect has no effect. When the &lt;i&gt;calm emotions spell&lt;/i&gt; ends, the original spell or effect takes hold of the creature again, provided that its duration has not expired in the meantime.&lt;/p&gt;</t>
  </si>
  <si>
    <t>&lt;link rel="stylesheet"href="PF.css"&gt;&lt;div class="heading"&gt;&lt;p class="alignleft"&gt;Calm Emotions&lt;/p&gt;&lt;div style="clear: both;"&gt;&lt;/div&gt;&lt;/div&gt;&lt;div&gt;&lt;h5&gt;&lt;b&gt;School &lt;/b&gt;enchantment (compulsion) [mind-affecting, emotion]; &lt;b&gt;Level &lt;/b&gt;bard 2, cleric 2/oracle 2, inquisitor 2&lt;/h5&gt;&lt;h5&gt;&lt;b&gt;Casting Time &lt;/b&gt;1 standard action&lt;/h5&gt;&lt;h5&gt;&lt;b&gt;Components &lt;/b&gt;V, S, DF&lt;/h5&gt;&lt;h5&gt;&lt;b&gt;Range &lt;/b&gt;medium (100 ft. + 10 ft./level)&lt;/h5&gt;&lt;h5&gt;&lt;b&gt;Area &lt;/b&gt;creatures in a 20-ft.-radius spread&lt;/h5&gt;&lt;h5&gt;&lt;b&gt;Duration &lt;/b&gt;concentration, up to 1 round/level (D)&lt;/h5&gt;&lt;h5&gt;&lt;b&gt;Saving Throw &lt;/b&gt;Will negates; &lt;b&gt;Spell Resistance &lt;/b&gt;yes&lt;/h5&gt;&lt;/div&gt;&lt;div&gt;&lt;h4&gt;&lt;p&gt;This spell calms agitated creatures. You have no control over the affected creatures, but &lt;i&gt;calm emotions&lt;/i&gt; can stop raging creatures from fighting or joyous ones from reveling. Creatures so affected cannot take violent actions (although they can defend themselves) or do anything destructive. Any aggressive action against or damage dealt to a calmed creature immediately breaks the spell on all calmed creatures.&lt;/p&gt;&lt;p&gt;This spell automatically suppresses (but does not dispel) any morale bonuses granted by spells such as &lt;i&gt;bless&lt;/i&gt;, &lt;i&gt;good hope&lt;/i&gt;, and &lt;i&gt;rage&lt;/i&gt;, and also negates a bard's ability to inspire courage or a barbarian's rage ability. It also suppresses any fear effects and removes the confused condition from all targets. While the spell lasts, a suppressed spell, condition, or effect has no effect. When the &lt;i&gt;calm emotions spell&lt;/i&gt; ends, the original spell or effect takes hold of the creature again, provided that its duration has not expired in the meantime.&lt;/p&gt;&lt;/h4&gt;&lt;/div&gt;</t>
  </si>
  <si>
    <t>Charm, Family</t>
  </si>
  <si>
    <t>Calms creatures, negating emotion effects.</t>
  </si>
  <si>
    <t>Enchantment, Peace</t>
  </si>
  <si>
    <t>Cat's Grace</t>
  </si>
  <si>
    <t>bard 2, druid 2, ranger 2, sorcerer/wizard 2, summoner 2, alchemist 2, magus 2</t>
  </si>
  <si>
    <t>V, S, M (pinch of cat fur)</t>
  </si>
  <si>
    <t>The transmuted creature becomes more graceful, agile, and coordinated. The spell grants a +4 enhancement bonus to Dexterity, adding the usual benefits to AC, Reflex saves, and other uses of the Dexterity modifier.</t>
  </si>
  <si>
    <t>&lt;p&gt;The transmuted creature becomes more graceful, agile, and coordinated. The spell grants a +4 enhancement bonus to Dexterity, adding the usual benefits to AC, Reflex saves, and other uses of the Dexterity modifier.&lt;/p&gt;</t>
  </si>
  <si>
    <t>&lt;link rel="stylesheet"href="PF.css"&gt;&lt;div class="heading"&gt;&lt;p class="alignleft"&gt;Cat's Grace&lt;/p&gt;&lt;div style="clear: both;"&gt;&lt;/div&gt;&lt;/div&gt;&lt;div&gt;&lt;h5&gt;&lt;b&gt;School &lt;/b&gt;transmutation; &lt;b&gt;Level &lt;/b&gt;bard 2, druid 2, ranger 2, sorcerer/wizard 2, alchemist 2, summoner 2&lt;/h5&gt;&lt;h5&gt;&lt;b&gt;Casting Time &lt;/b&gt;1 standard action&lt;/h5&gt;&lt;h5&gt;&lt;b&gt;Components &lt;/b&gt;V, S, M (pinch of cat fur)&lt;/h5&gt;&lt;h5&gt;&lt;b&gt;Range &lt;/b&gt;touch&lt;/h5&gt;&lt;h5&gt;&lt;b&gt;Targets &lt;/b&gt; creature touched&lt;/h5&gt;&lt;h5&gt;&lt;b&gt;Duration &lt;/b&gt;1 min./level&lt;/h5&gt;&lt;h5&gt;&lt;b&gt;Saving Throw &lt;/b&gt;Will negates (harmless); &lt;b&gt;Spell Resistance &lt;/b&gt;yes&lt;/h5&gt;&lt;/div&gt;&lt;div&gt;&lt;h4&gt;&lt;p&gt;The transmuted creature becomes more graceful, agile, and coordinated. The spell grants a +4 enhancement bonus to Dexterity, adding the usual benefits to AC, Reflex saves, and other uses of the Dexterity modifier.&lt;/p&gt;&lt;/h4&gt;&lt;/div&gt;</t>
  </si>
  <si>
    <t>Subject gains +4 to Dex for 1 min./level.</t>
  </si>
  <si>
    <t>Agility</t>
  </si>
  <si>
    <t>Cat's Grace, Mass</t>
  </si>
  <si>
    <t>bard 6, druid 6, sorcerer/wizard 6, summoner 4, magus 6</t>
  </si>
  <si>
    <t>This spell functions like cat's grace, except that it affects multiple creatures.</t>
  </si>
  <si>
    <t>&lt;p&gt;This spell functions like &lt;i&gt;cat's grace&lt;/i&gt;, except that it affects multiple creatures.&lt;/p&gt;</t>
  </si>
  <si>
    <t>&lt;link rel="stylesheet"href="PF.css"&gt;&lt;div class="heading"&gt;&lt;p class="alignleft"&gt;Cat's Grace, Mass&lt;/p&gt;&lt;div style="clear: both;"&gt;&lt;/div&gt;&lt;/div&gt;&lt;div&gt;&lt;h5&gt;&lt;b&gt;School &lt;/b&gt;transmutation; &lt;b&gt;Level &lt;/b&gt;bard 6, druid 6, sorcerer/wizard 6, , summoner 4&lt;/h5&gt;&lt;h5&gt;&lt;b&gt;Casting Time &lt;/b&gt;1 standard action&lt;/h5&gt;&lt;h5&gt;&lt;b&gt;Components &lt;/b&gt;V, S, M (pinch of cat fur)&lt;/h5&gt;&lt;h5&gt;&lt;b&gt;Range &lt;/b&gt;close (25 ft. + 5 ft./2 levels)&lt;/h5&gt;&lt;h5&gt;&lt;b&gt;Targets &lt;/b&gt; one creature/level, no two of which can be more than 30 ft. apart&lt;/h5&gt;&lt;h5&gt;&lt;b&gt;Duration &lt;/b&gt;1 min./level&lt;/h5&gt;&lt;h5&gt;&lt;b&gt;Saving Throw &lt;/b&gt;Will negates (harmless); &lt;b&gt;Spell Resistance &lt;/b&gt;yes&lt;/h5&gt;&lt;/div&gt;&lt;div&gt;&lt;h4&gt;&lt;p&gt;This spell functions like &lt;i&gt;cat's grace&lt;/i&gt;, except that it affects multiple creatures.&lt;/p&gt;&lt;/h4&gt;&lt;/div&gt;</t>
  </si>
  <si>
    <t>As cat’s grace, affects 1 subject/level.</t>
  </si>
  <si>
    <t>Cause Fear</t>
  </si>
  <si>
    <t>emotion, fear, mind-affecting</t>
  </si>
  <si>
    <t>antipaladin 1, bard 1, cleric/oracle 1, inquisitor 1, sorcerer/wizard 1, witch 1</t>
  </si>
  <si>
    <t>one living creature with 5 or fewer HD</t>
  </si>
  <si>
    <t>1d4 rounds or 1 round; see text</t>
  </si>
  <si>
    <t>The affected creature becomes frightened. If the subject succeeds on a Will save, it is shaken for 1 round. Creatures with 6 or more HD are immune to this effect. Cause fear counters and dispels remove fear.</t>
  </si>
  <si>
    <t>&lt;p&gt;The affected creature becomes frightened. If the subject succeeds on a Will save, it is shaken for 1 round. Creatures with 6 or more HD are immune to this effect. Cause fear counters and dispels remove fear.&lt;/p&gt;</t>
  </si>
  <si>
    <t>&lt;link rel="stylesheet"href="PF.css"&gt;&lt;div class="heading"&gt;&lt;p class="alignleft"&gt;Cause Fear&lt;/p&gt;&lt;div style="clear: both;"&gt;&lt;/div&gt;&lt;/div&gt;&lt;div&gt;&lt;h5&gt;&lt;b&gt;School &lt;/b&gt;necromancy [emotion, fear, mind-affecting]; &lt;b&gt;Level &lt;/b&gt;antipaladin 1, bard 1, cleric/oracle 1, inquisitor 1, sorcerer/wizard 1, witch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living creature with 5 or fewer HD&lt;/h5&gt;&lt;h5&gt;&lt;b&gt;Duration &lt;/b&gt;1d4 rounds or 1 round; see text&lt;/h5&gt;&lt;h5&gt;&lt;b&gt;Saving Throw &lt;/b&gt;Will partial; &lt;b&gt;Spell Resistance &lt;/b&gt;yes&lt;/h5&gt;&lt;/div&gt;&lt;hr/&gt;&lt;div&gt;&lt;h5&gt;&lt;b&gt;DESCRIPTION&lt;/b&gt;&lt;/h5&gt;&lt;/div&gt;&lt;hr/&gt;&lt;div&gt;&lt;h4&gt;&lt;p&gt;The affected creature becomes frightened. If the subject succeeds on a Will save, it is shaken for 1 round. Creatures with 6 or more HD are immune to this effect. Cause fear counters and dispels remove fear.&lt;/p&gt;&lt;/h4&gt;&lt;/div&gt;</t>
  </si>
  <si>
    <t>Daemon, Death</t>
  </si>
  <si>
    <t>One creature of 5 HD or less flees for 1d4 rounds.</t>
  </si>
  <si>
    <t>Abyssal</t>
  </si>
  <si>
    <t>Chain Lightning</t>
  </si>
  <si>
    <t>sorcerer/wizard 6, witch 7, magus 6</t>
  </si>
  <si>
    <t>V, S, F (a bit of fur; a piece of amber, glass, or a crystal rod; plus one silver pin per caster level)</t>
  </si>
  <si>
    <t>one primary target, plus one secondary target/level (each of which must be within 30 ft. of the primary target)</t>
  </si>
  <si>
    <t>This spell creates an electrical discharge that begins as a single stroke commencing from your fingertips. Unlike lightning bolt, chain lightning strikes one object or creature initially, then arcs to other targets. The bolt deals 1d6 points of electricity damage per caster level (maximum 20d6) to the primary target. After it strikes, lightning can arc to a number of secondary targets equal to your caster level (maximum 20). The secondary bolts each strike one target and deal as much damage as the primary bolt. Each target can attempt a Reflex saving throw for half damage. The Reflex DC to halve the damage of the secondary bolts is 2 lower than the DC to halve the damage of the primary bolt. You choose secondary targets as you like, but they must all be within 30 feet of the primary target, and no target can be struck more than once. You can choose to affect fewer secondary targets than the maximum.</t>
  </si>
  <si>
    <t>&lt;p&gt;This spell creates an electrical discharge that begins as a single stroke commencing from your fingertips. Unlike &lt;i&gt;lightning bolt&lt;/i&gt;, &lt;i&gt;chain lightning&lt;/i&gt; strikes one object or creature initially, then arcs to other targets.&lt;/p&gt;&lt;p&gt;The bolt deals 1d6 points of electricity damage per caster level (maximum 20d6) to the primary target. After it strikes, lightning can arc to a number of secondary targets equal to your caster level (maximum 20). The secondary bolts each strike one target and deal as much damage as the primary bolt.&lt;/p&gt;&lt;p&gt;Each target can attempt a Reflex saving throw for half damage.&lt;/p&gt;&lt;p&gt;The Reflex DC to halve the damage of the secondary bolts is 2 lower than the DC to halve the damage of the primary bolt. You choose secondary targets as you like, but they must all be within 30 feet of the primary target, and no target can be struck more than once. You can choose to affect fewer secondary targets than the maximum.&lt;/p&gt;</t>
  </si>
  <si>
    <t>&lt;link rel="stylesheet"href="PF.css"&gt;&lt;div class="heading"&gt;&lt;p class="alignleft"&gt;Chain Lightning&lt;/p&gt;&lt;div style="clear: both;"&gt;&lt;/div&gt;&lt;/div&gt;&lt;div&gt;&lt;h5&gt;&lt;b&gt;School &lt;/b&gt;evocation [electricity]; &lt;b&gt;Level &lt;/b&gt;sorcerer/wizard 6, witch 7, magus 6&lt;/h5&gt;&lt;/div&gt;&lt;hr/&gt;&lt;div&gt;&lt;h5&gt;&lt;b&gt;CASTING&lt;/b&gt;&lt;/h5&gt;&lt;/div&gt;&lt;hr/&gt;&lt;div&gt;&lt;h5&gt;&lt;b&gt;Casting Time &lt;/b&gt;1 standard action&lt;/h5&gt;&lt;h5&gt;&lt;b&gt;Components &lt;/b&gt;V, S, F (a bit of fur; a piece of amber, glass, or a crystal rod; plus one silver pin per caster level)&lt;/h5&gt;&lt;/div&gt;&lt;hr/&gt;&lt;div&gt;&lt;h5&gt;&lt;b&gt;EFFECT&lt;/b&gt;&lt;/h5&gt;&lt;/div&gt;&lt;hr/&gt;&lt;div&gt;&lt;h5&gt;&lt;b&gt;Range &lt;/b&gt;long (400 ft. + 40 ft./level)&lt;/h5&gt;&lt;h5&gt;&lt;b&gt;Targets &lt;/b&gt;one primary target, plus one secondary target/level (each of which must be within 30 ft. of the primary target)&lt;/h5&gt;&lt;h5&gt;&lt;b&gt;Duration &lt;/b&gt;instantaneous&lt;/h5&gt;&lt;h5&gt;&lt;b&gt;Saving Throw &lt;/b&gt;Reflex half; &lt;b&gt;Spell Resistance &lt;/b&gt;yes&lt;/h5&gt;&lt;/div&gt;&lt;hr/&gt;&lt;div&gt;&lt;h5&gt;&lt;b&gt;DESCRIPTION&lt;/b&gt;&lt;/h5&gt;&lt;/div&gt;&lt;hr/&gt;&lt;div&gt;&lt;h4&gt;&lt;p&gt;This spell creates an electrical discharge that begins as a single stroke commencing from your fingertips. Unlike &lt;i&gt;lightning bolt&lt;/i&gt;, &lt;i&gt;chain lightning&lt;/i&gt; strikes one object or creature initially, then arcs to other targets.&lt;/p&gt;&lt;p&gt;The bolt deals 1d6 points of electricity damage per caster level (maximum 20d6) to the primary target. After it strikes, lightning can arc to a number of secondary targets equal to your caster level (maximum 20). The secondary bolts each strike one target and deal as much damage as the primary bolt.&lt;/p&gt;&lt;p&gt;Each target can attempt a Reflex saving throw for half damage.&lt;/p&gt;&lt;p&gt;The Reflex DC to halve the damage of the secondary bolts is 2 lower than the DC to halve the damage of the primary bolt. You choose secondary targets as you like, but they must all be within 30 feet of the primary target, and no target can be struck more than once. You can choose to affect fewer secondary targets than the maximum.&lt;/p&gt;&lt;/h4&gt;&lt;h5&gt;&lt;b&gt;Mythic: &lt;/b&gt;This spell deals 1d10 points of damage per caster level (maximum 20d10) and the save DC isn't reduced for secondary targets. Secondary targets have to be within 30 feet of any other target, not necessarily the primary target.&lt;/h5&gt;&lt;/div&gt;</t>
  </si>
  <si>
    <t> 1d6/level damage and 1 secondary bolt/level.</t>
  </si>
  <si>
    <t>Djinni, Stormborn</t>
  </si>
  <si>
    <t>This spell deals 1d10 points of damage per caster level (maximum 20d10) and the save DC isn't reduced for secondary targets. Secondary targets have to be within 30 feet of any other target, not necessarily the primary target.</t>
  </si>
  <si>
    <t>Changestaff</t>
  </si>
  <si>
    <t>V, S, F (a quarterstaff that has been carved and polished for 28 days)</t>
  </si>
  <si>
    <t>your touched staff</t>
  </si>
  <si>
    <t>1 hour/level (D)</t>
  </si>
  <si>
    <t>You change a specially prepared quarterstaff into a Huge treant-like creature (see the Pathfinder RPG Bestiary), about 24 feet tall. When you plant the end of the staff in the ground and speak a special command to conclude the casting of the spell, your staff turns into a creature that looks and fights just like a treant. The staff-treant defends you and obeys any spoken commands. However, it is by no means a true treant; it cannot converse with actual treants or control trees. If the staff-treant is reduced to 0 or fewer hit points, it crumbles to powder and the staff is destroyed. Otherwise, the staff returns to its normal form when the spell duration expires (or when the spell is dismissed), and it can be used as the focus for another casting of the spell. The staff-treant is always at full strength when created, despite any wounds it may have incurred the last time it appeared.</t>
  </si>
  <si>
    <t>&lt;p&gt;You change a specially prepared quarterstaff into a Huge treant-like creature (see the &lt;i&gt;Pathfinder RPG&lt;/i&gt; Bestiary), about 24 feet tall.&lt;/p&gt;&lt;p&gt;When you plant the end of the staff in the ground and speak a special command to conclude the casting of the spell, your staff turns into a creature that looks and fights just like a treant.&lt;/p&gt;&lt;p&gt;The staff-treant defends you and obeys any spoken commands.&lt;/p&gt;&lt;p&gt;However, it is by no means a true treant; it cannot converse with actual treants or control trees. If the staff-treant is reduced to 0 or fewer hit points, it crumbles to powder and the staff is destroyed.&lt;/p&gt;&lt;p&gt;Otherwise, the staff returns to its normal form when the spell duration expires (or when the spell is dismissed), and it can be used as the focus for another casting of the spell. The staff-treant is always at full strength when created, despite any wounds it may have incurred the last time it appeared.&lt;/p&gt;</t>
  </si>
  <si>
    <t>&lt;link rel="stylesheet"href="PF.css"&gt;&lt;div class="heading"&gt;&lt;p class="alignleft"&gt;Changestaff&lt;/p&gt;&lt;div style="clear: both;"&gt;&lt;/div&gt;&lt;/div&gt;&lt;div&gt;&lt;h5&gt;&lt;b&gt;School &lt;/b&gt;transmutation; &lt;b&gt;Level &lt;/b&gt;druid 7&lt;/h5&gt;&lt;/div&gt;&lt;hr/&gt;&lt;div&gt;&lt;h5&gt;&lt;b&gt;CASTING&lt;/b&gt;&lt;/h5&gt;&lt;/div&gt;&lt;hr/&gt;&lt;div&gt;&lt;h5&gt;&lt;b&gt;Casting Time &lt;/b&gt;1 round&lt;/h5&gt;&lt;h5&gt;&lt;b&gt;Components &lt;/b&gt;V, S, F (a quarterstaff that has been carved and polished for 28 days)&lt;/h5&gt;&lt;/div&gt;&lt;hr/&gt;&lt;div&gt;&lt;h5&gt;&lt;b&gt;EFFECT&lt;/b&gt;&lt;/h5&gt;&lt;/div&gt;&lt;hr/&gt;&lt;div&gt;&lt;h5&gt;&lt;b&gt;Range &lt;/b&gt;touch&lt;/h5&gt;&lt;h5&gt;&lt;b&gt;Targets &lt;/b&gt;your touched staff&lt;/h5&gt;&lt;h5&gt;&lt;b&gt;Duration &lt;/b&gt;1 hour/level (D)&lt;/h5&gt;&lt;h5&gt;&lt;b&gt;Saving Throw &lt;/b&gt;none; &lt;b&gt;Spell Resistance &lt;/b&gt;no&lt;/h5&gt;&lt;/div&gt;&lt;hr/&gt;&lt;div&gt;&lt;h5&gt;&lt;b&gt;DESCRIPTION&lt;/b&gt;&lt;/h5&gt;&lt;/div&gt;&lt;hr/&gt;&lt;div&gt;&lt;h4&gt;&lt;p&gt;You change a specially prepared quarterstaff into a Huge treant-like creature (see the &lt;i&gt;Pathfinder RPG&lt;/i&gt; Bestiary), about 24 feet tall.&lt;/p&gt;&lt;p&gt;When you plant the end of the staff in the ground and speak a special command to conclude the casting of the spell, your staff turns into a creature that looks and fights just like a treant.&lt;/p&gt;&lt;p&gt;The staff-treant defends you and obeys any spoken commands.&lt;/p&gt;&lt;p&gt;However, it is by no means a true treant; it cannot converse with actual treants or control trees. If the staff-treant is reduced to 0 or fewer hit points, it crumbles to powder and the staff is destroyed.&lt;/p&gt;&lt;p&gt;Otherwise, the staff returns to its normal form when the spell duration expires (or when the spell is dismissed), and it can be used as the focus for another casting of the spell. The staff-treant is always at full strength when created, despite any wounds it may have incurred the last time it appeared.&lt;/p&gt;&lt;/h4&gt;&lt;h5&gt;&lt;b&gt;Mythic: &lt;/b&gt;The treant-like creature created with this spell is considered a mythic creature, and it gains DR 10/epic and slashing instead of gaining DR 10/slashing.&lt;/h5&gt;&lt;h5&gt;&lt;b&gt;Augmented (7th)&lt;/b&gt;: If you expend two uses of mythic power, the creature gains the savage mythic template (see page 224).&lt;/h5&gt;&lt;/div&gt;</t>
  </si>
  <si>
    <t> Your staff becomes a treant on command.</t>
  </si>
  <si>
    <t>The treant-like creature created with this spell is considered a mythic creature, and it gains DR 10/epic and slashing instead of gaining DR 10/slashing.</t>
  </si>
  <si>
    <t>Augmented (7th): If you expend two uses of mythic power, the creature gains the savage mythic template (see page 224).</t>
  </si>
  <si>
    <t>Chaos Hammer</t>
  </si>
  <si>
    <t>cleric/oracle 4, inquisitor 4</t>
  </si>
  <si>
    <t>20-ft.-radius burst</t>
  </si>
  <si>
    <t>instantaneous (1d6 rounds); see text</t>
  </si>
  <si>
    <t>Will partial; see text</t>
  </si>
  <si>
    <t>You unleash chaotic power to smite your enemies. The power takes the form of a multicolored explosion of leaping, ricocheting energy. Only lawful and neutral (not chaotic) creatures are harmed by the spell. The spell deals 1d8 points of damage per two caster levels (maximum 5d8) to lawful creatures (or 1d6 points of damage per caster level, maximum 10d6, to lawful outsiders) and slows them for 1d6 rounds (see the slow spell). A successful Will save reduces the damage by half and negates the slow effect. The spell deals only half damage against creatures who are neither lawful nor chaotic, and they are not slowed. Such a creature can reduce the damage by half again (down to one-quarter) with a successful Will save.</t>
  </si>
  <si>
    <t>&lt;p&gt;You unleash chaotic power to smite your enemies. The power takes the form of a multicolored explosion of leaping, ricocheting energy. Only lawful and neutral (not chaotic) creatures are harmed by the spell.&lt;/p&gt;&lt;p&gt;The spell deals 1d8 points of damage per two caster levels (maximum 5d8) to lawful creatures (or 1d6 points of damage per caster level, maximum 10d6, to lawful outsiders) and &lt;i&gt;slow&lt;/i&gt;s them for 1d6 rounds (see the &lt;i&gt;slow&lt;/i&gt; spell). A successful Will save reduces the damage by half and negates the &lt;i&gt;slow&lt;/i&gt; effect.&lt;/p&gt;&lt;p&gt;The spell deals only half damage against creatures who are neither lawful nor chaotic, and they are not &lt;i&gt;slow&lt;/i&gt;ed. Such a creature can reduce the damage by half again (down to one-quarter) with a successful Will save.&lt;/p&gt;</t>
  </si>
  <si>
    <t>&lt;link rel="stylesheet"href="PF.css"&gt;&lt;div class="heading"&gt;&lt;p class="alignleft"&gt;Chaos Hammer&lt;/p&gt;&lt;div style="clear: both;"&gt;&lt;/div&gt;&lt;/div&gt;&lt;div&gt;&lt;h5&gt;&lt;b&gt;School &lt;/b&gt;evocation [chaotic]; &lt;b&gt;Level &lt;/b&gt;cleric/oracle 4, inquisitor 4&lt;/h5&gt;&lt;/div&gt;&lt;hr/&gt;&lt;div&gt;&lt;h5&gt;&lt;b&gt;CASTING&lt;/b&gt;&lt;/h5&gt;&lt;/div&gt;&lt;hr/&gt;&lt;div&gt;&lt;h5&gt;&lt;b&gt;Casting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ft./level)&lt;/h5&gt;&lt;h5&gt;&lt;b&gt;Area &lt;/b&gt;20-ft.-radius burst&lt;/h5&gt;&lt;h5&gt;&lt;b&gt;Duration &lt;/b&gt;instantaneous (1d6 rounds); see text&lt;/h5&gt;&lt;h5&gt;&lt;b&gt;Saving Throw &lt;/b&gt;Will partial; see text; &lt;b&gt;Spell Resistance &lt;/b&gt;yes&lt;/h5&gt;&lt;/div&gt;&lt;hr/&gt;&lt;div&gt;&lt;h5&gt;&lt;b&gt;DESCRIPTION&lt;/b&gt;&lt;/h5&gt;&lt;/div&gt;&lt;hr/&gt;&lt;div&gt;&lt;h4&gt;&lt;p&gt;You unleash chaotic power to smite your enemies. The power takes the form of a multicolored explosion of leaping, ricocheting energy. Only lawful and neutral (not chaotic) creatures are harmed by the spell.&lt;/p&gt;&lt;p&gt;The spell deals 1d8 points of damage per two caster levels (maximum 5d8) to lawful creatures (or 1d6 points of damage per caster level, maximum 10d6, to lawful outsiders) and &lt;i&gt;slow&lt;/i&gt;s them for 1d6 rounds (see the &lt;i&gt;slow&lt;/i&gt; spell). A successful Will save reduces the damage by half and negates the &lt;i&gt;slow&lt;/i&gt; effect.&lt;/p&gt;&lt;p&gt;The spell deals only half damage against creatures who are neither lawful nor chaotic, and they are not &lt;i&gt;slow&lt;/i&gt;ed. Such a creature can reduce the damage by half again (down to one-quarter) with a successful Will save.&lt;/p&gt;&lt;/h4&gt;&lt;h5&gt;&lt;b&gt;Mythic: &lt;/b&gt;The damage dealt to lawful outsiders increases to 1d10 points of damage per caster level (maximum 10d10), and the damage dealt to other lawful creatures increases to 1d12 points of damage per 2 caster levels (maximum 5d12). The duration of slow increases to 2d6 rounds. Lawful creatures that succeed at their saves are slowed for 1 round.&lt;/h5&gt;&lt;/div&gt;</t>
  </si>
  <si>
    <t> Harms and slows lawful creatures (1d8 damage/2 levels).</t>
  </si>
  <si>
    <t>The damage dealt to lawful outsiders increases to 1d10 points of damage per caster level (maximum 10d10), and the damage dealt to other lawful creatures increases to 1d12 points of damage per 2 caster levels (maximum 5d12). The duration of slow increases to 2d6 rounds. Lawful creatures that succeed at their saves are slowed for 1 round.</t>
  </si>
  <si>
    <t>Charm Person</t>
  </si>
  <si>
    <t>charm</t>
  </si>
  <si>
    <t>bard 1, sorcerer/wizard 1, witch 1</t>
  </si>
  <si>
    <t>one humanoid creature</t>
  </si>
  <si>
    <t>This charm makes a humanoid creature regard you as its trusted friend and ally (treat the target's attitude as friendly). If the creature is currently being threatened or attacked by you or your allies, however, it receives a +5 bonus on its saving throw. The spell does not enable you to control the charmed person as if it were an automaton, but it perceives your words and actions in the most favorable way. You can try to give the subject orders, but you must win an opposed Charisma check to convince it to do anything it wouldn't ordinarily do. (Retries are not allowed.) An affected creature never obeys suicidal or obviously harmful orders, but it might be convinced that something very dangerous is worth doing. Any act by you or your apparent allies that threatens the charmed person breaks the spell. You must speak the person's language to communicate your commands, or else be good at pantomiming.</t>
  </si>
  <si>
    <t>&lt;p&gt;This charm makes a humanoid creature regard you as its trusted friend and ally (treat the target's attitude as friendly). If the creature is currently being threatened or attacked by you or your allies, however, it receives a +5 bonus on its saving throw.&lt;/p&gt;&lt;p&gt;The spell does not enable you to control the charmed person as if it were an automaton, but it perceives your words and actions in the most favorable way. You can try to give the subject orders, but you must win an opposed Charisma check to convince it to do anything it wouldn't ordinarily do. (Retries are not allowed.) An affected creature never obeys suicidal or obviously harmful orders, but it might be convinced that something very dangerous is worth doing. Any act by you or your apparent allies that threatens the charmed person breaks the spell. You must speak the person's language to communicate your commands, or else be good at pantomiming.&lt;/p&gt;</t>
  </si>
  <si>
    <t>&lt;link rel="stylesheet"href="PF.css"&gt;&lt;div class="heading"&gt;&lt;p class="alignleft"&gt;Charm Person&lt;/p&gt;&lt;div style="clear: both;"&gt;&lt;/div&gt;&lt;/div&gt;&lt;div&gt;&lt;h5&gt;&lt;b&gt;School &lt;/b&gt;enchantment (charm) [mind-affecting]; &lt;b&gt;Level &lt;/b&gt;bard 1, sorcerer/wizard 1, witch 1&lt;/h5&gt;&lt;h5&gt;&lt;b&gt;Casting Time &lt;/b&gt;1 standard action&lt;/h5&gt;&lt;h5&gt;&lt;b&gt;Components &lt;/b&gt;V, S&lt;/h5&gt;&lt;h5&gt;&lt;b&gt;Range &lt;/b&gt;close (25 ft. + 5 ft./2 levels)&lt;/h5&gt;&lt;h5&gt;&lt;b&gt;Targets &lt;/b&gt; one humanoid creature&lt;/h5&gt;&lt;h5&gt;&lt;b&gt;Duration &lt;/b&gt;1 hour/level&lt;/h5&gt;&lt;h5&gt;&lt;b&gt;Saving Throw &lt;/b&gt;Will negates; &lt;b&gt;Spell Resistance &lt;/b&gt;yes&lt;/h5&gt;&lt;/div&gt;&lt;div&gt;&lt;h4&gt;&lt;p&gt;This charm makes a humanoid creature regard you as its trusted friend and ally (treat the target's attitude as friendly). If the creature is currently being threatened or attacked by you or your allies, however, it receives a +5 bonus on its saving throw.&lt;/p&gt;&lt;p&gt;The spell does not enable you to control the charmed person as if it were an automaton, but it perceives your words and actions in the most favorable way. You can try to give the subject orders, but you must win an opposed Charisma check to convince it to do anything it wouldn't ordinarily do. (Retries are not allowed.) An affected creature never obeys suicidal or obviously harmful orders, but it might be convinced that something very dangerous is worth doing. Any act by you or your apparent allies that threatens the charmed person breaks the spell. You must speak the person's language to communicate your commands, or else be good at pantomiming.&lt;/p&gt;&lt;/h4&gt;&lt;/div&gt;</t>
  </si>
  <si>
    <t>Charm</t>
  </si>
  <si>
    <t>Makes one person your friend.</t>
  </si>
  <si>
    <t>Rakshasa</t>
  </si>
  <si>
    <t>Charm Animal</t>
  </si>
  <si>
    <t>one animal</t>
  </si>
  <si>
    <t>This spell functions like charm person, except that it affects a creature of the animal type.</t>
  </si>
  <si>
    <t>&lt;p&gt;This spell functions like &lt;i&gt;charm person&lt;/i&gt;, except that it affects a creature of the animal type.&lt;/p&gt;</t>
  </si>
  <si>
    <t>&lt;link rel="stylesheet"href="PF.css"&gt;&lt;div class="heading"&gt;&lt;p class="alignleft"&gt;Charm Animal&lt;/p&gt;&lt;div style="clear: both;"&gt;&lt;/div&gt;&lt;/div&gt;&lt;div&gt;&lt;h5&gt;&lt;b&gt;School &lt;/b&gt;enchantment (charm) [mind-affecting]; &lt;b&gt;Level &lt;/b&gt;druid 1, ranger 1&lt;/h5&gt;&lt;h5&gt;&lt;b&gt;Casting Time &lt;/b&gt;1 standard action&lt;/h5&gt;&lt;h5&gt;&lt;b&gt;Components &lt;/b&gt;V, S&lt;/h5&gt;&lt;h5&gt;&lt;b&gt;Range &lt;/b&gt;close (25 ft. + 5 ft./2 levels)&lt;/h5&gt;&lt;h5&gt;&lt;b&gt;Targets &lt;/b&gt; one animal&lt;/h5&gt;&lt;h5&gt;&lt;b&gt;Duration &lt;/b&gt;1 hour/level&lt;/h5&gt;&lt;h5&gt;&lt;b&gt;Saving Throw &lt;/b&gt;Will negates; &lt;b&gt;Spell Resistance &lt;/b&gt;yes&lt;/h5&gt;&lt;/div&gt;&lt;div&gt;&lt;h4&gt;&lt;p&gt;This spell functions like &lt;i&gt;charm person&lt;/i&gt;, except that it affects a creature of the animal type.&lt;/p&gt;&lt;/h4&gt;&lt;/div&gt;</t>
  </si>
  <si>
    <t>Makes one animal your friend.</t>
  </si>
  <si>
    <t>Pestilence</t>
  </si>
  <si>
    <t>Charm Monster</t>
  </si>
  <si>
    <t>bard 3, sorcerer/wizard 4, witch 4, summoner 3</t>
  </si>
  <si>
    <t>This spell functions like charm person, except that the effect is not restricted by creature type or size.</t>
  </si>
  <si>
    <t>&lt;p&gt;This spell functions like &lt;i&gt;charm person&lt;/i&gt;, except that the effect is not restricted by creature type or size.&lt;/p&gt;</t>
  </si>
  <si>
    <t>&lt;link rel="stylesheet"href="PF.css"&gt;&lt;div class="heading"&gt;&lt;p class="alignleft"&gt;Charm Monster&lt;/p&gt;&lt;div style="clear: both;"&gt;&lt;/div&gt;&lt;/div&gt;&lt;div&gt;&lt;h5&gt;&lt;b&gt;School &lt;/b&gt;enchantment (charm) [mind-affecting]; &lt;b&gt;Level &lt;/b&gt;bard 3, sorcerer/wizard 4, summoner 3, witch 4&lt;/h5&gt;&lt;h5&gt;&lt;b&gt;Casting Time &lt;/b&gt;1 standard action&lt;/h5&gt;&lt;h5&gt;&lt;b&gt;Components &lt;/b&gt;V, S&lt;/h5&gt;&lt;h5&gt;&lt;b&gt;Range &lt;/b&gt;close (25 ft. + 5 ft./2 levels)&lt;/h5&gt;&lt;h5&gt;&lt;b&gt;Targets &lt;/b&gt; one living creature&lt;/h5&gt;&lt;h5&gt;&lt;b&gt;Duration &lt;/b&gt;1 day/level&lt;/h5&gt;&lt;h5&gt;&lt;b&gt;Saving Throw &lt;/b&gt;Will negates; &lt;b&gt;Spell Resistance &lt;/b&gt;yes&lt;/h5&gt;&lt;/div&gt;&lt;div&gt;&lt;h4&gt;&lt;p&gt;This spell functions like &lt;i&gt;charm person&lt;/i&gt;, except that the effect is not restricted by creature type or size.&lt;/p&gt;&lt;/h4&gt;&lt;/div&gt;</t>
  </si>
  <si>
    <t>Makes monster believe it is your ally.</t>
  </si>
  <si>
    <t>Infernal, Oni</t>
  </si>
  <si>
    <t>Charm Monster, Mass</t>
  </si>
  <si>
    <t>bard 6, sorcerer/wizard 8, witch 8, summoner 6</t>
  </si>
  <si>
    <t>One or more creatures, no two of which can be more than 30 ft. apart</t>
  </si>
  <si>
    <t>This spell functions like charm monster, except that mass charm monster affects a number of creatures whose combined HD do not exceed twice your level, or at least one creature regardless of HD. If there are more potential targets than you can affect, you choose them one at a time until you must choose a creature with too many HD to affect.</t>
  </si>
  <si>
    <t>&lt;p&gt;This spell functions like &lt;i&gt;charm monster&lt;/i&gt;, except that mass charm monster affects a number of creatures whose combined HD do not exceed twice your level, or at least one creature regardless of HD. If there are more potential targets than you can affect, you choose them one at a time until you must choose a creature with too many HD to affect.&lt;/p&gt;</t>
  </si>
  <si>
    <t>&lt;link rel="stylesheet"href="PF.css"&gt;&lt;div class="heading"&gt;&lt;p class="alignleft"&gt;Charm Monster, Mass&lt;/p&gt;&lt;div style="clear: both;"&gt;&lt;/div&gt;&lt;/div&gt;&lt;div&gt;&lt;h5&gt;&lt;b&gt;School &lt;/b&gt;enchantment (charm) [mind-affecting]; &lt;b&gt;Level &lt;/b&gt;bard 6, sorcerer/wizard 8, summoner 6, summoner 8&lt;/h5&gt;&lt;h5&gt;&lt;b&gt;Casting Time &lt;/b&gt;1 standard action&lt;/h5&gt;&lt;h5&gt;&lt;b&gt;Components &lt;/b&gt;V&lt;/h5&gt;&lt;h5&gt;&lt;b&gt;Range &lt;/b&gt;close (25 ft. + 5 ft./2 levels)&lt;/h5&gt;&lt;h5&gt;&lt;b&gt;Targets &lt;/b&gt; One or more creatures, no two of which can be more than 30 ft. apart&lt;/h5&gt;&lt;h5&gt;&lt;b&gt;Duration &lt;/b&gt;1 day/level&lt;/h5&gt;&lt;h5&gt;&lt;b&gt;Saving Throw &lt;/b&gt;Will negates; &lt;b&gt;Spell Resistance &lt;/b&gt;yes&lt;/h5&gt;&lt;/div&gt;&lt;div&gt;&lt;h4&gt;&lt;p&gt;This spell functions like &lt;i&gt;charm monster&lt;/i&gt;, except that mass charm monster affects a number of creatures whose combined HD do not exceed twice your level, or at least one creature regardless of HD. If there are more potential targets than you can affect, you choose them one at a time until you must choose a creature with too many HD to affect.&lt;/p&gt;&lt;/h4&gt;&lt;/div&gt;</t>
  </si>
  <si>
    <t>As charm monster, but all within 30 ft.</t>
  </si>
  <si>
    <t>Chill Metal</t>
  </si>
  <si>
    <t>druid 2</t>
  </si>
  <si>
    <t>metal equipment of one creature per two levels, no two of which can be more than 30 ft. apart; or 25 lbs. of metal/level, none of which can be more than 30 ft. away from any of the rest</t>
  </si>
  <si>
    <t>7 rounds</t>
  </si>
  <si>
    <t>Chill metal makes metal extremely cold. Unattended, nonmagical metal gets no saving throw. Magical metal is allowed a saving throw against the spell. An item in a creature's possession uses the creature's saving throw bonus unless its own is higher. A creature takes cold damage if its equipment is chilled. It takes full damage if its armor, shield, or weapon is affected. The creature takes minimum damage (1 point or 2 points; see the table) if it's not wearing or wielding such an item. On the first round of the spell, the metal becomes chilly and uncomfortable to touch but deals no damage. The same effect also occurs on the last round of the spell's duration. During the second (and also the next-to-last) round, icy coldness causes pain and damage. In the third, fourth, and fifth rounds, the metal is freezing cold, and causes more damage, as shown on the table below. Round Metal Temperature Damage 1 Cold None 2 Icy 1d4 points 3-5 Freezing 2d4 points 6 Icy 1d4 points 7 Cold None Any heat intense enough to damage the creature negates cold damage from the spell (and vice versa) on a point-for-point basis. Underwater, chill metal deals no damage, but ice immediately forms around the affected metal, making it float if unattended. Chill metal counters and dispels heat metal.</t>
  </si>
  <si>
    <t>&lt;p&gt;&lt;i&gt;Chill metal&lt;/i&gt; makes metal extremely cold. Unattended, nonmagical metal gets no saving throw. Magical metal is allowed a saving throw against the spell. An item in a creature's possession uses the creature's saving throw bonus unless its own is higher.&lt;/p&gt;&lt;p&gt;A creature takes cold damage if its equipment is chilled. It takes full damage if its armor, shield, or weapon is affected. The creature takes minimum damage (1 point or 2 points; see the table) if it's not wearing or wielding such an item.&lt;/p&gt;&lt;p&gt;On the first round of the spell, the metal becomes chilly and uncomfortable to touch but deals no damage. The same effect also occurs on the last round of the spell's duration. During the second (and also the next-to-last) round, icy coldness causes pain and damage. In the third, fourth, and fifth rounds, the metal is freezing cold, and causes more damage, as shown on the table below.&lt;/p&gt; &lt;table border ='1'&gt;&lt;tr&gt;&lt;th&gt;&lt;table&gt;&lt;tr&gt;&lt;th&gt;Round&lt;/th&gt;&lt;th&gt;Metal Temperature&lt;/th&gt;&lt;th&gt;Damage&lt;/th&gt;&lt;/tr&gt; &lt;tr&gt;&lt;td&gt;1&lt;/td&gt;&lt;td&gt;Cold&lt;/td&gt;&lt;td&gt;None&lt;/td&gt;&lt;/tr&gt; &lt;tr&gt;&lt;td&gt;2&lt;/td&gt;&lt;td&gt;Icy&lt;/td&gt;&lt;td&gt;1d4 points&lt;/td&gt;&lt;/tr&gt; &lt;tr&gt;&lt;td&gt;3-5&lt;/td&gt;&lt;td&gt;Freezing&lt;/td&gt;&lt;td&gt;2d4 points&lt;/td&gt;&lt;/tr&gt; &lt;tr&gt;&lt;td&gt;6&lt;/td&gt;&lt;td&gt;Icy&lt;/td&gt;&lt;td&gt;1d4 points&lt;/td&gt;&lt;/tr&gt; &lt;tr&gt;&lt;td&gt;7&lt;/td&gt;&lt;td&gt;Cold&lt;/td&gt;&lt;td&gt;None&lt;/td&gt;&lt;/tr&gt; &lt;/table&gt;&lt;/td&gt;&lt;/tr&gt;&lt;tr&gt;&lt;td&gt;2&lt;/td&gt;&lt;td&gt;Icy 1d4 points&lt;/td&gt;&lt;/tr&gt;&lt;tr&gt;&lt;td&gt;3-5&lt;/td&gt;&lt;td&gt;Freezing 2d4 points&lt;/td&gt;&lt;/tr&gt;&lt;tr&gt;&lt;td&gt;6&lt;/td&gt;&lt;td&gt;Icy 1d4 points&lt;/td&gt;&lt;/tr&gt;&lt;tr&gt;&lt;td&gt;7&lt;/td&gt;&lt;td&gt;Cold None&lt;/td&gt;&lt;/tr&gt;&lt;/table&gt; Any heat intense enough to damage the creature negates cold damage from the spell (and vice versa) on a point-for-point basis.&lt;/p&gt;&lt;p&gt;Underwater, &lt;i&gt;chill metal&lt;/i&gt; deals no damage, but ice immediately forms around the affected metal, making it float if unattended.&lt;/p&gt;&lt;p&gt;&lt;i&gt;Chill metal&lt;/i&gt; counters and dispels &lt;i&gt;heat metal&lt;/i&gt;.&lt;/p&gt;</t>
  </si>
  <si>
    <t>&lt;link rel="stylesheet"href="PF.css"&gt;&lt;div class="heading"&gt;&lt;p class="alignleft"&gt;Chill Metal&lt;/p&gt;&lt;div style="clear: both;"&gt;&lt;/div&gt;&lt;/div&gt;&lt;div&gt;&lt;h5&gt;&lt;b&gt;School &lt;/b&gt;transmutation [cold]; &lt;b&gt;Level &lt;/b&gt;druid 2&lt;/h5&gt;&lt;/div&gt;&lt;hr/&gt;&lt;div&gt;&lt;h5&gt;&lt;b&gt;CASTING&lt;/b&gt;&lt;/h5&gt;&lt;/div&gt;&lt;hr/&gt;&lt;div&gt;&lt;h5&gt;&lt;b&gt;Casting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levels)&lt;/h5&gt;&lt;h5&gt;&lt;b&gt;Targets &lt;/b&gt;metal equipment of one creature per two levels, no two of which can be more than 30 ft. apart; or 25 lbs. of metal/level, none of which can be more than 30 ft. away from any of the rest&lt;/h5&gt;&lt;h5&gt;&lt;b&gt;Duration &lt;/b&gt;7 rounds&lt;/h5&gt;&lt;h5&gt;&lt;b&gt;Saving Throw &lt;/b&gt;Will negates (object); &lt;b&gt;Spell Resistance &lt;/b&gt;yes (object)&lt;/h5&gt;&lt;/div&gt;&lt;hr/&gt;&lt;div&gt;&lt;h5&gt;&lt;b&gt;DESCRIPTION&lt;/b&gt;&lt;/h5&gt;&lt;/div&gt;&lt;hr/&gt;&lt;div&gt;&lt;h4&gt;&lt;p&gt;&lt;i&gt;Chill metal&lt;/i&gt; makes metal extremely cold. Unattended, nonmagical metal gets no saving throw. Magical metal is allowed a saving throw against the spell. An item in a creature's possession uses the creature's saving throw bonus unless its own is higher.&lt;/p&gt;&lt;p&gt;A creature takes cold damage if its equipment is chilled. It takes full damage if its armor, shield, or weapon is affected. The creature takes minimum damage (1 point or 2 points; see the table) if it's not wearing or wielding such an item.&lt;/p&gt;&lt;p&gt;On the first round of the spell, the metal becomes chilly and uncomfortable to touch but deals no damage. The same effect also occurs on the last round of the spell's duration. During the second (and also the next-to-last) round, icy coldness causes pain and damage. In the third, fourth, and fifth rounds, the metal is freezing cold, and causes more damage, as shown on the table below. &lt;table border ='1'&gt;&lt;tr&gt;&lt;th&gt;Round&lt;/th&gt;&lt;th&gt;Metal Temperature Damage&lt;/th&gt;&lt;/tr&gt;&lt;tr&gt;&lt;td&gt;1&lt;/td&gt;&lt;td&gt;Cold None&lt;/td&gt;&lt;/tr&gt;&lt;tr&gt;&lt;td&gt;2&lt;/td&gt;&lt;td&gt;Icy 1d4 points&lt;/td&gt;&lt;/tr&gt;&lt;tr&gt;&lt;td&gt;3-5&lt;/td&gt;&lt;td&gt;Freezing 2d4 points&lt;/td&gt;&lt;/tr&gt;&lt;tr&gt;&lt;td&gt;6&lt;/td&gt;&lt;td&gt;Icy 1d4 points&lt;/td&gt;&lt;/tr&gt;&lt;tr&gt;&lt;td&gt;7&lt;/td&gt;&lt;td&gt;Cold None&lt;/td&gt;&lt;/tr&gt;&lt;/table&gt; Any heat intense enough to damage the creature negates cold damage from the spell (and vice versa) on a point-for-point basis.&lt;/p&gt;&lt;p&gt;Underwater, &lt;i&gt;chill metal&lt;/i&gt; deals no damage, but ice immediately forms around the affected metal, making it float if unattended.&lt;/p&gt;&lt;p&gt;&lt;i&gt;Chill metal&lt;/i&gt; counters and dispels &lt;i&gt;heat metal&lt;/i&gt;.&lt;/p&gt;&lt;/h4&gt;&lt;h5&gt;&lt;b&gt;Mythic: &lt;/b&gt;The damage dealt increases to 1d8 points of cold damage on rounds 2 and 6, and to 2d8 points of cold damage on rounds 3 through 5. Each round a creature takes cold damage from this spell, it also takes 1 point of Dexterity damage (Fortitude negates).&lt;/h5&gt;&lt;/div&gt;</t>
  </si>
  <si>
    <t> Cold metal damages those who touch it.</t>
  </si>
  <si>
    <t>The damage dealt increases to 1d8 points of cold damage on rounds 2 and 6, and to 2d8 points of cold damage on rounds 3 through 5. Each round a creature takes cold damage from this spell, it also takes 1 point of Dexterity damage (Fortitude negates).</t>
  </si>
  <si>
    <t>Chill Touch</t>
  </si>
  <si>
    <t>creature or creatures touched (up to one/level)</t>
  </si>
  <si>
    <t>Fortitude partial or Will negates; see text</t>
  </si>
  <si>
    <t>A touch from your hand, which glows with blue energy, disrupts the life force of living creatures. Each touch channels negative energy that deals 1d6 points of damage. The touched creature also takes 1 point of Strength damage unless it makes a successful Fortitude saving throw. You can use this melee touch attack up to one time per level. An undead creature you touch takes no damage of either sort, but it must make a successful Will saving throw or flee as if panicked for 1d4 rounds + 1 round per caster level.</t>
  </si>
  <si>
    <t>&lt;p&gt;A touch from your hand, which glows with blue energy, disrupts the life force of living creatures. Each touch channels negative energy that deals 1d6 points of damage. The touched creature also takes 1 point of Strength damage unless it makes a successful Fortitude saving throw. You can use this melee touch attack up to one time per level.&lt;/p&gt;&lt;p&gt;An undead creature you touch takes no damage of either sort, but it must make a successful Will saving throw or flee as if panicked for 1d4 rounds + 1 round per caster level.&lt;/p&gt;</t>
  </si>
  <si>
    <t>&lt;link rel="stylesheet"href="PF.css"&gt;&lt;div class="heading"&gt;&lt;p class="alignleft"&gt;Chill Touch&lt;/p&gt;&lt;div style="clear: both;"&gt;&lt;/div&gt;&lt;/div&gt;&lt;div&gt;&lt;h5&gt;&lt;b&gt;School &lt;/b&gt;necromancy; &lt;b&gt;Level &lt;/b&gt;sorcerer/wizard 1, witch 1, magus 1&lt;/h5&gt;&lt;h5&gt;&lt;b&gt;Casting Time &lt;/b&gt;1 standard action&lt;/h5&gt;&lt;h5&gt;&lt;b&gt;Components &lt;/b&gt;V, S&lt;/h5&gt;&lt;h5&gt;&lt;b&gt;Range &lt;/b&gt;touch&lt;/h5&gt;&lt;h5&gt;&lt;b&gt;Targets &lt;/b&gt; creature or creatures touched (up to one/level)&lt;/h5&gt;&lt;h5&gt;&lt;b&gt;Duration &lt;/b&gt;instantaneous&lt;/h5&gt;&lt;h5&gt;&lt;b&gt;Saving Throw &lt;/b&gt;Fortitude partial or Will negates; see text; &lt;b&gt;Spell Resistance &lt;/b&gt;yes&lt;/h5&gt;&lt;/div&gt;&lt;div&gt;&lt;h4&gt;&lt;p&gt;A touch from your hand, which glows with blue energy, disrupts the life force of living creatures. Each touch channels negative energy that deals 1d6 points of damage. The touched creature also takes 1 point of Strength damage unless it makes a successful Fortitude saving throw. You can use this melee touch attack up to one time per level.&lt;/p&gt;&lt;p&gt;An undead creature you touch takes no damage of either sort, but it must make a successful Will saving throw or flee as if panicked for 1d4 rounds + 1 round per caster level.&lt;/p&gt;&lt;/h4&gt;&lt;/div&gt;</t>
  </si>
  <si>
    <t> One touch/level deals 1d6 damage and possibly 1 Str damage.</t>
  </si>
  <si>
    <t>Circle Of Death</t>
  </si>
  <si>
    <t>sorcerer/wizard 6, inquisitor 6</t>
  </si>
  <si>
    <t>V, S, M (a crushed black pearl worth 500 gp)</t>
  </si>
  <si>
    <t>several living creatures within a 40-ft.-radius burst</t>
  </si>
  <si>
    <t>Circle of death snuffs out the life force of living creatures, killing them instantly. The spell slays 1d4 HD worth of living creatures per caster level (maximum 20d4). Creatures with the fewest HD are affected first; among creatures with equal HD, those who are closest to the burst's point of origin are affected first. No creature of 9 or more HD can be affected, and HD that are not sufficient to affect a creature are wasted.</t>
  </si>
  <si>
    <t>&lt;p&gt;&lt;i&gt;Circle of death&lt;/i&gt; snuffs out the life force of living creatures, killing them instantly. The spell slays 1d4 HD worth of living creatures per caster level (maximum 20d4). Creatures with the fewest HD are affected first; among creatures with equal HD, those who are closest to the burst's point of origin are affected first. No creature of 9 or more HD can be affected, and HD that are not sufficient to affect a creature are wasted.&lt;/p&gt;</t>
  </si>
  <si>
    <t>&lt;link rel="stylesheet"href="PF.css"&gt;&lt;div class="heading"&gt;&lt;p class="alignleft"&gt;Circle Of Death&lt;/p&gt;&lt;div style="clear: both;"&gt;&lt;/div&gt;&lt;/div&gt;&lt;div&gt;&lt;h5&gt;&lt;b&gt;School &lt;/b&gt;necromancy [death]; &lt;b&gt;Level &lt;/b&gt;sorcerer/wizard 6, inquisitor 6&lt;/h5&gt;&lt;/div&gt;&lt;hr/&gt;&lt;div&gt;&lt;h5&gt;&lt;b&gt;CASTING&lt;/b&gt;&lt;/h5&gt;&lt;/div&gt;&lt;hr/&gt;&lt;div&gt;&lt;h5&gt;&lt;b&gt;Casting Time &lt;/b&gt;1 standard action&lt;/h5&gt;&lt;h5&gt;&lt;b&gt;Components &lt;/b&gt;V, S, M (a crushed black pearl worth 500 gp)&lt;/h5&gt;&lt;/div&gt;&lt;hr/&gt;&lt;div&gt;&lt;h5&gt;&lt;b&gt;EFFECT&lt;/b&gt;&lt;/h5&gt;&lt;/div&gt;&lt;hr/&gt;&lt;div&gt;&lt;h5&gt;&lt;b&gt;Range &lt;/b&gt;medium (100 ft. + 10 ft./level)&lt;/h5&gt;&lt;h5&gt;&lt;b&gt;Area &lt;/b&gt;several living creatures within a 40-ft.-radius burst&lt;/h5&gt;&lt;h5&gt;&lt;b&gt;Duration &lt;/b&gt;instantaneous&lt;/h5&gt;&lt;h5&gt;&lt;b&gt;Saving Throw &lt;/b&gt;Fortitude negates; &lt;b&gt;Spell Resistance &lt;/b&gt;yes&lt;/h5&gt;&lt;/div&gt;&lt;hr/&gt;&lt;div&gt;&lt;h5&gt;&lt;b&gt;DESCRIPTION&lt;/b&gt;&lt;/h5&gt;&lt;/div&gt;&lt;hr/&gt;&lt;div&gt;&lt;h4&gt;&lt;p&gt;&lt;i&gt;Circle of death&lt;/i&gt; snuffs out the life force of living creatures, killing them instantly. The spell slays 1d4 HD worth of living creatures per caster level (maximum 20d4). Creatures with the fewest HD are affected first; among creatures with equal HD, those who are closest to the burst's point of origin are affected first. No creature of 9 or more HD can be affected, and HD that are not sufficient to affect a creature are wasted.&lt;/p&gt;&lt;/h4&gt;&lt;h5&gt;&lt;b&gt;Mythic: &lt;/b&gt;The number of Hit Dice worth of creatures killed by the spell increases to 1d6 per caster level (maximum 20d6). Add your tier to the maximum HD of creatures that can be affected by the spell. (For example, at 3rd tier, a creature with 12 HD cannot be affected.)&lt;/h5&gt;&lt;h5&gt;&lt;b&gt;Augmented (6th)&lt;/b&gt;: If you expend two uses of mythic power, creatures that succeed at their saves against this spell take 1d6 points of damage per tier.&lt;/h5&gt;&lt;/div&gt;</t>
  </si>
  <si>
    <t> Kills 1d4/level HD of creatures.</t>
  </si>
  <si>
    <t>Death</t>
  </si>
  <si>
    <t>The number of Hit Dice worth of creatures killed by the spell increases to 1d6 per caster level (maximum 20d6). Add your tier to the maximum HD of creatures that can be affected by the spell. (For example, at 3rd tier, a creature with 12 HD cannot be affected.)</t>
  </si>
  <si>
    <t>Augmented (6th): If you expend two uses of mythic power, creatures that succeed at their saves against this spell take 1d6 points of damage per tier.</t>
  </si>
  <si>
    <t>Clairaudience/Clairvoyance</t>
  </si>
  <si>
    <t>bard 3, sorcerer/wizard 3, witch 3</t>
  </si>
  <si>
    <t>V, S, F/DF (a small horn or a glass eye)</t>
  </si>
  <si>
    <t>Clairaudience/clairvoyance creates an invisible magical sensor at a specific location that enables you to hear or see (your choice) almost as if you were there. You don't need line of sight or line of effect, but the locale must be known--a place familiar to you, or an obvious one. Once you have selected the locale, the sensor doesn't move, but you can rotate it in all directions to view the area as desired. Unlike other scrying spells, this spell does not allow magically or supernaturally enhanced senses to work through it. If the chosen locale is magically dark, you see nothing. If it is naturally pitch black, you can see in a 10-foot radius around the center of the spell's effect. Clairaudience/clairvoyance functions only on the plane of existence you are currently occupying.</t>
  </si>
  <si>
    <t>&lt;p&gt;&lt;i&gt;Clairaudience/clairvoyance&lt;/i&gt; creates an invisible magical sensor at a specific location that enables you to hear or see (your choice) almost as if you were there. You don't need line of sight or line of effect, but the locale must be known--a place familiar to you, or an obvious one. Once you have selected the locale, the sensor doesn't move, but you can rotate it in all directions to view the area as desired. Unlike other scrying spells, this spell does not allow magically or supernaturally enhanced senses to work through it. If the chosen locale is magically dark, you see nothing. If it is naturally pitch black, you can see in a 10-foot radius around the center of the spell's effect. &lt;i&gt;Clairaudience/clairvoyance&lt;/i&gt; functions only on the plane of existence you are currently occupying.&lt;/p&gt;</t>
  </si>
  <si>
    <t>&lt;link rel="stylesheet"href="PF.css"&gt;&lt;div class="heading"&gt;&lt;p class="alignleft"&gt;Clairaudience/Clairvoyance&lt;/p&gt;&lt;div style="clear: both;"&gt;&lt;/div&gt;&lt;/div&gt;&lt;div&gt;&lt;h5&gt;&lt;b&gt;School &lt;/b&gt;divination (scrying); &lt;b&gt;Level &lt;/b&gt;bard 3, sorcerer/wizard 3, witch 3, alchemist 2, witch 2, inquisitor 2, witch 8, witch 3&lt;/h5&gt;&lt;h5&gt;&lt;b&gt;Casting Time &lt;/b&gt;10 minutes&lt;/h5&gt;&lt;h5&gt;&lt;b&gt;Components &lt;/b&gt;V, S, F/DF (a small horn or a glass eye)&lt;/h5&gt;&lt;h5&gt;&lt;b&gt;Range &lt;/b&gt;long (400 ft. + 40 ft./level)&lt;/h5&gt;&lt;h5&gt;&lt;b&gt;Effect &lt;/b&gt;magical sensor&lt;/h5&gt;&lt;h5&gt;&lt;b&gt;Duration &lt;/b&gt;1 min./level (D)&lt;/h5&gt;&lt;h5&gt;&lt;b&gt;Saving Throw &lt;/b&gt;none; &lt;b&gt;Spell Resistance &lt;/b&gt;no&lt;/h5&gt;&lt;/div&gt;&lt;div&gt;&lt;h4&gt;&lt;p&gt;&lt;i&gt;Clairaudience/clairvoyance&lt;/i&gt; creates an invisible magical sensor at a specific location that enables you to hear or see (your choice) almost as if you were there. You don't need line of sight or line of effect, but the locale must be known--a place familiar to you, or an obvious one. Once you have selected the locale, the sensor doesn't move, but you can rotate it in all directions to view the area as desired. Unlike other scrying spells, this spell does not allow magically or supernaturally enhanced senses to work through it. If the chosen locale is magically dark, you see nothing. If it is naturally pitch black, you can see in a 10-foot radius around the center of the spell's effect. &lt;i&gt;Clairaudience/clairvoyance&lt;/i&gt; functions only on the plane of existence you are currently occupying.&lt;/p&gt;&lt;/h4&gt;&lt;/div&gt;</t>
  </si>
  <si>
    <t>Hear or see at a distance for 1 min./level.</t>
  </si>
  <si>
    <t>Clenched Fist</t>
  </si>
  <si>
    <t>sorcerer/wizard 8</t>
  </si>
  <si>
    <t>V, S, F/DF (a leather glove)</t>
  </si>
  <si>
    <t>10-ft. hand</t>
  </si>
  <si>
    <t>This spell functions like interposing hand, except that the hand can also push or strike one opponent that you select. The floating hand can move as far as 60 feet and can attack in the same round. Since this hand is directed by you, its ability to notice or attack invisible or concealed creatures is no better than yours. The hand attacks once per round, and its attack bonus equals your caster level + your Intelligence, Wisdom, or Charisma modifier (for a wizard, cleric, or sorcerer, respectively) + 11 for the hand's Strength score (33), -1 for being Large. The hand deals 1d8+11 points of damage on each attack, and any creature struck must make a Fortitude save (against this spell's save DC) or be stunned for 1 round. Directing the spell to a new target is a move action. The clenched fist can also interpose itself as interposing hand does, or it can bull rush an opponent as forceful hand does. Its CMB for bull rush checks uses your caster level in place of its base attack bonus, with a +11 bonus for its Strength score and a +1 bonus for being Large.</t>
  </si>
  <si>
    <t>&lt;p&gt;This spell functions like &lt;i&gt;interposing hand&lt;/i&gt;, except that the hand can also push or strike one opponent that you select. The floating hand can move as far as 60 feet and can attack in the same round. Since this hand is directed by you, its ability to notice or attack invisible or concealed creatures is no better than yours.&lt;/p&gt;&lt;p&gt;The hand attacks once per round, and its attack bonus equals your caster level + your Intelligence, Wisdom, or Charisma modifier (for a wizard, cleric, or sorcerer, respectively) + 11 for the hand's Strength score (33), -1 for being Large. The hand deals 1d8+11 points of damage on each attack, and any creature struck must make a Fortitude save (against this spell's save DC) or be stunned for 1 round. Directing the spell to a new target is a move action.&lt;/p&gt;&lt;p&gt;The &lt;i&gt;clenched fist&lt;/i&gt; can also interpose itself as &lt;i&gt;interposing hand&lt;/i&gt; does, or it can bull rush an opponent as &lt;i&gt;forceful hand&lt;/i&gt; does. Its CMB for bull rush checks uses your caster level in place of its base attack bonus, with a +11 bonus for its Strength score and a +1 bonus for being Large.&lt;/p&gt;</t>
  </si>
  <si>
    <t>&lt;link rel="stylesheet"href="PF.css"&gt;&lt;div class="heading"&gt;&lt;p class="alignleft"&gt;Clenched Fist&lt;/p&gt;&lt;div style="clear: both;"&gt;&lt;/div&gt;&lt;/div&gt;&lt;div&gt;&lt;h5&gt;&lt;b&gt;School &lt;/b&gt;evocation [force]; &lt;b&gt;Level &lt;/b&gt;sorcerer/wizard 8&lt;/h5&gt;&lt;h5&gt;&lt;b&gt;Casting Time &lt;/b&gt;1 standard action&lt;/h5&gt;&lt;h5&gt;&lt;b&gt;Components &lt;/b&gt;V, S, F/DF (a leather glove)&lt;/h5&gt;&lt;h5&gt;&lt;b&gt;Range &lt;/b&gt;medium (100 ft. + 10 ft./level)&lt;/h5&gt;&lt;h5&gt;&lt;b&gt;Effect &lt;/b&gt;10-ft. hand&lt;/h5&gt;&lt;h5&gt;&lt;b&gt;Duration &lt;/b&gt;1 round/level (D)&lt;/h5&gt;&lt;h5&gt;&lt;b&gt;Saving Throw &lt;/b&gt;none; &lt;b&gt;Spell Resistance &lt;/b&gt;yes&lt;/h5&gt;&lt;/div&gt;&lt;div&gt;&lt;h4&gt;&lt;p&gt;This spell functions like &lt;i&gt;interposing hand&lt;/i&gt;, except that the hand can also push or strike one opponent that you select. The floating hand can move as far as 60 feet and can attack in the same round. Since this hand is directed by you, its ability to notice or attack invisible or concealed creatures is no better than yours.&lt;/p&gt;&lt;p&gt;The hand attacks once per round, and its attack bonus equals your caster level + your Intelligence, Wisdom, or Charisma modifier (for a wizard, cleric, or sorcerer, respectively) + 11 for the hand's Strength score (33), -1 for being Large. The hand deals 1d8+11 points of damage on each attack, and any creature struck must make a Fortitude save (against this spell's save DC) or be stunned for 1 round. Directing the spell to a new target is a move action.&lt;/p&gt;&lt;p&gt;The &lt;i&gt;clenched fist&lt;/i&gt; can also interpose itself as &lt;i&gt;interposing hand&lt;/i&gt; does, or it can bull rush an opponent as &lt;i&gt;forceful hand&lt;/i&gt; does. Its CMB for bull rush checks uses your caster level in place of its base attack bonus, with a +11 bonus for its Strength score and a +1 bonus for being Large.&lt;/p&gt;&lt;/h4&gt;&lt;/div&gt;</t>
  </si>
  <si>
    <t> Large hand provides cover, pushes, or attacks your foes.</t>
  </si>
  <si>
    <t>Cloak of Chaos</t>
  </si>
  <si>
    <t>cleric 8/oracle 8</t>
  </si>
  <si>
    <t>V, S, F (a tiny reliquary worth 500 gp)</t>
  </si>
  <si>
    <t>20 ft.</t>
  </si>
  <si>
    <t>one creature/level in a 20-ft.-radius burst centered on you</t>
  </si>
  <si>
    <t>A random pattern of color surrounds the subjects, protecting them from attacks, granting them resistance to spells cast by lawful creatures, and causing lawful creatures that strike the subjects to become confused. This abjuration has four effects. First, each warded creature gains a +4 deflection bonus to AC and a +4 resistance bonus on saves. Unlike protection from law, the benefit of this spell applies against all attacks, not just against attacks by lawful creatures. Second, each warded creature gains spell resistance 25 against lawful spells and spells cast by lawful creatures. Third, the abjuration protects from possession and mental influence, just as protection from law does. Finally, if a lawful creature succeeds on a melee attack against a warded creature, the offending attacker is confused for 1 round (Will save negates, as with the confusion spell, but against the save DC of cloak of chaos).</t>
  </si>
  <si>
    <t>&lt;p&gt;A random pattern of color surrounds the subjects, protecting them from attacks, granting them resistance to spells cast by lawful creatures, and causing lawful creatures that strike the subjects to become confused. This abjuration has four effects.&lt;/p&gt;&lt;p&gt;First, each warded creature gains a +4 deflection bonus to AC and a +4 resistance bonus on saves. Unlike &lt;i&gt;protection from law&lt;/i&gt;, the benefit of this spell applies against all attacks, not just against attacks by lawful creatures.&lt;/p&gt;&lt;p&gt;Second, each warded creature gains spell resistance 25 against lawful spells and spells cast by lawful creatures.&lt;/p&gt;&lt;p&gt;Third, the abjuration protects from possession and mental influence, just as &lt;i&gt;protection from law&lt;/i&gt; does.&lt;/p&gt;&lt;p&gt;Finally, if a lawful creature succeeds on a melee attack against a warded creature, the offending attacker is confused for 1 round (Will save negates, as with the &lt;i&gt;confusion spell&lt;/i&gt;, but against the save DC of &lt;i&gt;cloak of chaos&lt;/i&gt;).&lt;/p&gt;</t>
  </si>
  <si>
    <t>&lt;link rel="stylesheet"href="PF.css"&gt;&lt;div class="heading"&gt;&lt;p class="alignleft"&gt;Cloak of Chaos&lt;/p&gt;&lt;div style="clear: both;"&gt;&lt;/div&gt;&lt;/div&gt;&lt;div&gt;&lt;h5&gt;&lt;b&gt;School &lt;/b&gt;abjuration [chaotic]; &lt;b&gt;Level &lt;/b&gt;cleric 8/oracle 8&lt;/h5&gt;&lt;h5&gt;&lt;b&gt;Casting Time &lt;/b&gt;1 standard action&lt;/h5&gt;&lt;h5&gt;&lt;b&gt;Components &lt;/b&gt;V, S, F (a tiny reliquary worth 500 gp)&lt;/h5&gt;&lt;h5&gt;&lt;b&gt;Range &lt;/b&gt;20 ft.&lt;/h5&gt;&lt;h5&gt;&lt;b&gt;Targets &lt;/b&gt; one creature/level in a 20-ft.-radius burst centered on you&lt;/h5&gt;&lt;h5&gt;&lt;b&gt;Duration &lt;/b&gt;1 round/level (D)&lt;/h5&gt;&lt;h5&gt;&lt;b&gt;Saving Throw &lt;/b&gt;see text; &lt;b&gt;Spell Resistance &lt;/b&gt;yes (harmless)&lt;/h5&gt;&lt;/div&gt;&lt;div&gt;&lt;h4&gt;&lt;p&gt;A random pattern of color surrounds the subjects, protecting them from attacks, granting them resistance to spells cast by lawful creatures, and causing lawful creatures that strike the subjects to become confused. This abjuration has four effects.&lt;/p&gt;&lt;p&gt;First, each warded creature gains a +4 deflection bonus to AC and a +4 resistance bonus on saves. Unlike &lt;i&gt;protection from law&lt;/i&gt;, the benefit of this spell applies against all attacks, not just against attacks by lawful creatures.&lt;/p&gt;&lt;p&gt;Second, each warded creature gains spell resistance 25 against lawful spells and spells cast by lawful creatures.&lt;/p&gt;&lt;p&gt;Third, the abjuration protects from possession and mental influence, just as &lt;i&gt;protection from law&lt;/i&gt; does.&lt;/p&gt;&lt;p&gt;Finally, if a lawful creature succeeds on a melee attack against a warded creature, the offending attacker is confused for 1 round (Will save negates, as with the &lt;i&gt;confusion spell&lt;/i&gt;, but against the save DC of &lt;i&gt;cloak of chaos&lt;/i&gt;).&lt;/p&gt;&lt;/h4&gt;&lt;/div&gt;</t>
  </si>
  <si>
    <t> +4 to AC, +4 resistance, and SR 25 against lawful spells.</t>
  </si>
  <si>
    <t>Clone</t>
  </si>
  <si>
    <t>sorcerer/wizard 8, witch 8</t>
  </si>
  <si>
    <t>V, S, M (laboratory supplies worth 1,000 gp), F (special laboratory equipment costing 500 gp)</t>
  </si>
  <si>
    <t>0 ft.</t>
  </si>
  <si>
    <t>one clone</t>
  </si>
  <si>
    <t>This spell makes an inert duplicate of a creature. If the original individual has been slain, its soul immediately transfers to the clone, creating a replacement (provided that the soul is free and willing to return). The original's physical remains, should they still exist, become inert and cannot thereafter be restored to life. If the original creature has reached the end of its natural life span (that is, it has died of natural causes), any cloning attempt fails. To create the duplicate, you must have a piece of flesh (not hair, nails, scales, or the like) with a volume of at least 1 cubic inch that was taken from the original creature's living body. The piece of flesh need not be fresh, but it must be kept from rotting. Once the spell is cast, the duplicate must be grown in a laboratory for 2d4 months. When the clone is completed, the original's soul enters it immediately, if that creature is already dead. The clone is physically identical to the original and possesses the same personality and memories as the original. In other respects, treat the clone as if it were the original character raised from the dead, including its gaining of two permanent negative levels, just as if it had been hit by an energy-draining creature. If the subject is 1st level, it takes 2 points of Constitution drain instead (if this would reduce its Con to 0 or less, it can't be cloned). If the original creature gained permanent negative levels since the flesh sample was taken, the clone gains these negative levels as well. The spell duplicates only the original's body and mind, not its equipment. A duplicate can be grown while the original still lives, or when the original soul is unavailable, but the resulting body is merely a soulless bit of inert flesh which rots if not preserved.</t>
  </si>
  <si>
    <t>&lt;p&gt;This spell makes an inert duplicate of a creature. If the original individual has been slain, its soul immediately transfers to the clone, creating a replacement (provided that the soul is free and willing to return). The original's physical remains, should they still exist, become inert and cannot thereafter be restored to life. If the original creature has reached the end of its natural life span (that is, it has died of natural causes), any cloning attempt fails.&lt;/p&gt;&lt;p&gt;To create the duplicate, you must have a piece of flesh (not hair, nails, scales, or the like) with a volume of at least 1 cubic inch that was taken from the original creature's living body. The piece of flesh need not be fresh, but it must be kept from rotting. Once the spell is cast, the duplicate must be grown in a laboratory for 2d4 months.&lt;/p&gt;&lt;p&gt;When the clone is completed, the original's soul enters it immediately, if that creature is already dead. The clone is physically identical to the original and possesses the same personality and memories as the original. In other respects, treat the clone as if it were the original character raised from the dead, including its gaining of two permanent negative levels, just as if it had been hit by an energy-draining creature. If the subject is 1st level, it takes 2 points of Constitution drain instead (if this would reduce its Con to 0 or less, it can't be cloned). If the original creature gained permanent negative levels since the flesh sample was taken, the clone gains these negative levels as well.&lt;/p&gt;&lt;p&gt;The spell duplicates only the original's body and mind, not its equipment. A duplicate can be grown while the original still lives, or when the original soul is unavailable, but the resulting body is merely a soulless bit of inert flesh which rots if not preserved.&lt;/p&gt;</t>
  </si>
  <si>
    <t>&lt;link rel="stylesheet"href="PF.css"&gt;&lt;div class="heading"&gt;&lt;p class="alignleft"&gt;Clone&lt;/p&gt;&lt;div style="clear: both;"&gt;&lt;/div&gt;&lt;/div&gt;&lt;div&gt;&lt;h5&gt;&lt;b&gt;School &lt;/b&gt;necromancy; &lt;b&gt;Level &lt;/b&gt;sorcerer/wizard 8, witch 8&lt;/h5&gt;&lt;h5&gt;&lt;b&gt;Casting Time &lt;/b&gt;10 minutes&lt;/h5&gt;&lt;h5&gt;&lt;b&gt;Components &lt;/b&gt;V, S, M (laboratory supplies worth 1,000 gp), F (special laboratory equipment costing 500 gp)&lt;/h5&gt;&lt;h5&gt;&lt;b&gt;Range &lt;/b&gt;0 ft.&lt;/h5&gt;&lt;h5&gt;&lt;b&gt;Effect &lt;/b&gt;one clone&lt;/h5&gt;&lt;h5&gt;&lt;b&gt;Duration &lt;/b&gt;instantaneous&lt;/h5&gt;&lt;h5&gt;&lt;b&gt;Saving Throw &lt;/b&gt;none; &lt;b&gt;Spell Resistance &lt;/b&gt;no&lt;/h5&gt;&lt;/div&gt;&lt;div&gt;&lt;h4&gt;&lt;p&gt;This spell makes an inert duplicate of a creature. If the original individual has been slain, its soul immediately transfers to the clone, creating a replacement (provided that the soul is free and willing to return). The original's physical remains, should they still exist, become inert and cannot thereafter be restored to life. If the original creature has reached the end of its natural life span (that is, it has died of natural causes), any cloning attempt fails.&lt;/p&gt;&lt;p&gt;To create the duplicate, you must have a piece of flesh (not hair, nails, scales, or the like) with a volume of at least 1 cubic inch that was taken from the original creature's living body. The piece of flesh need not be fresh, but it must be kept from rotting. Once the spell is cast, the duplicate must be grown in a laboratory for 2d4 months.&lt;/p&gt;&lt;p&gt;When the clone is completed, the original's soul enters it immediately, if that creature is already dead. The clone is physically identical to the original and possesses the same personality and memories as the original. In other respects, treat the clone as if it were the original character raised from the dead, including its gaining of two permanent negative levels, just as if it had been hit by an energy-draining creature. If the subject is 1st level, it takes 2 points of Constitution drain instead (if this would reduce its Con to 0 or less, it can't be cloned). If the original creature gained permanent negative levels since the flesh sample was taken, the clone gains these negative levels as well.&lt;/p&gt;&lt;p&gt;The spell duplicates only the original's body and mind, not its equipment. A duplicate can be grown while the original still lives, or when the original soul is unavailable, but the resulting body is merely a soulless bit of inert flesh which rots if not preserved.&lt;/p&gt;&lt;/h4&gt;&lt;/div&gt;</t>
  </si>
  <si>
    <t> Duplicate awakens when original dies.</t>
  </si>
  <si>
    <t>Cloudkill</t>
  </si>
  <si>
    <t>sorcerer/wizard 5, witch 5, magus 5</t>
  </si>
  <si>
    <t>cloud spreads in 20-ft. radius, 20 ft. high</t>
  </si>
  <si>
    <t>Fortitude partial; see text</t>
  </si>
  <si>
    <t>This spell generates a bank of fog, similar to a fog cloud, except that its vapors are yellowish green and poisonous. These vapors automatically kill any living creature with 3 or fewer HD (no save). A living creature with 4 to 6 HD is slain unless it succeeds on a Fortitude save (in which case it takes 1d4 points of Constitution damage on your turn each round while in the cloud). A living creature with more than 6 HD takes 1d4 points of Constitution damage on your turn each round while in the cloud (a successful Fortitude save halves this damage). Holding one's breath doesn't help, but creatures immune to poison are unaffected by the spell. Unlike a fog cloud, the cloudkill moves away from you at 10 feet per round, rolling along the surface of the ground. Figure out the cloud's new spread each round based on its new point of origin, which is 10 feet farther away from the point of origin where you cast the spell. Because the vapors are heavier than air, they sink to the lowest level of the land, even pouring down den or sinkhole openings. It cannot penetrate liquids, nor can it be cast underwater.</t>
  </si>
  <si>
    <t>&lt;p&gt;This spell generates a bank of fog, similar to a &lt;i&gt;fog cloud&lt;/i&gt;, except that its vapors are yellowish green and poisonous. These vapors automatically kill any living creature with 3 or fewer HD (no save).&lt;/p&gt;&lt;p&gt;A living creature with 4 to 6 HD is slain unless it succeeds on a Fortitude save (in which case it takes 1d4 points of Constitution damage on your turn each round while in the cloud).&lt;/p&gt;&lt;p&gt;A living creature with more than 6 HD takes 1d4 points of Constitution damage on your turn each round while in the cloud (a successful Fortitude save halves this damage). Holding one's breath doesn't help, but creatures immune to poison are unaffected by the spell.&lt;/p&gt;&lt;p&gt;Unlike a &lt;i&gt;fog cloud&lt;/i&gt;, the &lt;i&gt;cloudkill&lt;/i&gt; moves away from you at 10 feet per round, rolling along the surface of the ground.&lt;/p&gt;&lt;p&gt;Figure out the cloud's new spread each round based on its new point of origin, which is 10 feet farther away from the point of origin where you cast the spell.&lt;/p&gt;&lt;p&gt;Because the vapors are heavier than air, they sink to the lowest level of the land, even pouring down den or sinkhole openings. It cannot penetrate liquids, nor can it be cast underwater.&lt;/p&gt;</t>
  </si>
  <si>
    <t>&lt;link rel="stylesheet"href="PF.css"&gt;&lt;div class="heading"&gt;&lt;p class="alignleft"&gt;Cloudkill&lt;/p&gt;&lt;div style="clear: both;"&gt;&lt;/div&gt;&lt;/div&gt;&lt;div&gt;&lt;h5&gt;&lt;b&gt;School &lt;/b&gt;conjuration (creation); &lt;b&gt;Level &lt;/b&gt;sorcerer/wizard 5, witch 5, magus 5&lt;/h5&gt;&lt;/div&gt;&lt;hr/&gt;&lt;div&gt;&lt;h5&gt;&lt;b&gt;CASTING&lt;/b&gt;&lt;/h5&gt;&lt;/div&gt;&lt;hr/&gt;&lt;div&gt;&lt;h5&gt;&lt;b&gt;Casting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ft./level)&lt;/h5&gt;&lt;h5&gt;&lt;b&gt;Effect &lt;/b&gt;cloud spreads in 20-ft. radius, 20 ft. high&lt;/h5&gt;&lt;h5&gt;&lt;b&gt;Duration &lt;/b&gt;1 min./level&lt;/h5&gt;&lt;h5&gt;&lt;b&gt;Saving Throw &lt;/b&gt;Fortitude partial; see text; &lt;b&gt;Spell Resistance &lt;/b&gt;no&lt;/h5&gt;&lt;/div&gt;&lt;hr/&gt;&lt;div&gt;&lt;h5&gt;&lt;b&gt;DESCRIPTION&lt;/b&gt;&lt;/h5&gt;&lt;/div&gt;&lt;hr/&gt;&lt;div&gt;&lt;h4&gt;&lt;p&gt;This spell generates a bank of fog, similar to a &lt;i&gt;fog cloud&lt;/i&gt;, except that its vapors are yellowish green and poisonous. These vapors automatically kill any living creature with 3 or fewer HD (no save).&lt;/p&gt;&lt;p&gt;A living creature with 4 to 6 HD is slain unless it succeeds on a Fortitude save (in which case it takes 1d4 points of Constitution damage on your turn each round while in the cloud).&lt;/p&gt;&lt;p&gt;A living creature with more than 6 HD takes 1d4 points of Constitution damage on your turn each round while in the cloud (a successful Fortitude save halves this damage). Holding one's breath doesn't help, but creatures immune to poison are unaffected by the spell.&lt;/p&gt;&lt;p&gt;Unlike a &lt;i&gt;fog cloud&lt;/i&gt;, the &lt;i&gt;cloudkill&lt;/i&gt; moves away from you at 10 feet per round, rolling along the surface of the ground.&lt;/p&gt;&lt;p&gt;Figure out the cloud's new spread each round based on its new point of origin, which is 10 feet farther away from the point of origin where you cast the spell.&lt;/p&gt;&lt;p&gt;Because the vapors are heavier than air, they sink to the lowest level of the land, even pouring down den or sinkhole openings. It cannot penetrate liquids, nor can it be cast underwater.&lt;/p&gt;&lt;/h4&gt;&lt;h5&gt;&lt;b&gt;Mythic: &lt;/b&gt;As a move action, you can move the cloud 10 feet in any direction. Add your tier to the spell's level and Hit Dice categories to determine its effect on creatures. (For example, at 3rd tier a creature with 6 or fewer HD gets no save, one with 7-9 HD must save or die, and one with 10 or more HD must save or take 1d4 points of Con damage.)&lt;/h5&gt;&lt;h5&gt;&lt;b&gt;Augmented (6th)&lt;/b&gt;: If you expend two uses of mythic power, the spell bypasses the poison immunity of living creatures.&lt;/h5&gt;&lt;/div&gt;</t>
  </si>
  <si>
    <t> Kills 3 HD or less; 4–6 HD save or die, 6+ HD take Con damage.</t>
  </si>
  <si>
    <t>Orc</t>
  </si>
  <si>
    <t>As a move action, you can move the cloud 10 feet in any direction. Add your tier to the spell's level and Hit Dice categories to determine its effect on creatures. (For example, at 3rd tier a creature with 6 or fewer HD gets no save, one with 7-9 HD must save or die, and one with 10 or more HD must save or take 1d4 points of Con damage.)</t>
  </si>
  <si>
    <t>Augmented (6th): If you expend two uses of mythic power, the spell bypasses the poison immunity of living creatures.</t>
  </si>
  <si>
    <t>Color Spray</t>
  </si>
  <si>
    <t>pattern</t>
  </si>
  <si>
    <t>sorcerer/wizard 1, magus 1</t>
  </si>
  <si>
    <t>V, S, M (red, yellow, and blue powder or colored sand)</t>
  </si>
  <si>
    <t>instantaneous; see text</t>
  </si>
  <si>
    <t>A vivid cone of clashing colors springs forth from your hand, causing creatures to become stunned, perhaps also blinded, and possibly knocking them unconscious. Each creature within the cone is affected according to its HD. 2 HD or less: The creature is unconscious, blinded, and stunned for 2d4 rounds, then blinded and stunned for 1d4 rounds, and then stunned for 1 round. (Only living creatures are knocked unconscious.) 3 or 4 HD: The creature is blinded and stunned for 1d4 rounds, then stunned for 1 round. 5 or more HD: The creature is stunned for 1 round. Sightless creatures are not affected by color spray.</t>
  </si>
  <si>
    <t>&lt;p&gt;A vivid cone of clashing colors springs forth from your hand, causing creatures to become stunned, perhaps also blinded, and possibly knocking them unconscious. Each creature within the cone is affected according to its HD.&lt;/p&gt;&lt;p&gt;2 HD or less: The creature is unconscious, blinded, and stunned for 2d4 rounds, then blinded and stunned for 1d4 rounds, and then stunned for 1 round. (Only living creatures are knocked unconscious.) 3 or 4 HD: The creature is blinded and stunned for 1d4 rounds, then stunned for 1 round.&lt;/p&gt;&lt;p&gt;5 or more HD: The creature is stunned for 1 round.&lt;/p&gt;&lt;p&gt;Sightless creatures are not affected by &lt;i&gt;color spray&lt;/i&gt;.&lt;/p&gt;</t>
  </si>
  <si>
    <t>&lt;link rel="stylesheet"href="PF.css"&gt;&lt;div class="heading"&gt;&lt;p class="alignleft"&gt;Color Spray&lt;/p&gt;&lt;div style="clear: both;"&gt;&lt;/div&gt;&lt;/div&gt;&lt;div&gt;&lt;h5&gt;&lt;b&gt;School &lt;/b&gt;illusion (pattern) [mind-affecting]; &lt;b&gt;Level &lt;/b&gt;sorcerer/wizard 1, magus 1&lt;/h5&gt;&lt;/div&gt;&lt;hr/&gt;&lt;div&gt;&lt;h5&gt;&lt;b&gt;CASTING&lt;/b&gt;&lt;/h5&gt;&lt;/div&gt;&lt;hr/&gt;&lt;div&gt;&lt;h5&gt;&lt;b&gt;Casting Time &lt;/b&gt;1 standard action&lt;/h5&gt;&lt;h5&gt;&lt;b&gt;Components &lt;/b&gt;V, S, M (red, yellow, and blue powder or colored sand)&lt;/h5&gt;&lt;/div&gt;&lt;hr/&gt;&lt;div&gt;&lt;h5&gt;&lt;b&gt;EFFECT&lt;/b&gt;&lt;/h5&gt;&lt;/div&gt;&lt;hr/&gt;&lt;div&gt;&lt;h5&gt;&lt;b&gt;Range &lt;/b&gt;15 ft.&lt;/h5&gt;&lt;h5&gt;&lt;b&gt;Area &lt;/b&gt;cone-shaped burst&lt;/h5&gt;&lt;h5&gt;&lt;b&gt;Duration &lt;/b&gt;instantaneous; see text&lt;/h5&gt;&lt;h5&gt;&lt;b&gt;Saving Throw &lt;/b&gt;Will negates; &lt;b&gt;Spell Resistance &lt;/b&gt;yes&lt;/h5&gt;&lt;/div&gt;&lt;hr/&gt;&lt;div&gt;&lt;h5&gt;&lt;b&gt;DESCRIPTION&lt;/b&gt;&lt;/h5&gt;&lt;/div&gt;&lt;hr/&gt;&lt;div&gt;&lt;h4&gt;&lt;p&gt;A vivid cone of clashing colors springs forth from your hand, causing creatures to become stunned, perhaps also blinded, and possibly knocking them unconscious. Each creature within the cone is affected according to its HD.&lt;/p&gt;&lt;p&gt;2 HD or less: The creature is unconscious, blinded, and stunned for 2d4 rounds, then blinded and stunned for 1d4 rounds, and then stunned for 1 round. (Only living creatures are knocked unconscious.) 3 or 4 HD: The creature is blinded and stunned for 1d4 rounds, then stunned for 1 round.&lt;/p&gt;&lt;p&gt;5 or more HD: The creature is stunned for 1 round.&lt;/p&gt;&lt;p&gt;Sightless creatures are not affected by &lt;i&gt;color spray&lt;/i&gt;.&lt;/p&gt;&lt;/h4&gt;&lt;h5&gt;&lt;b&gt;Mythic: &lt;/b&gt;The range increases to 30 feet. Add half your tier to the spell's Hit Dice categories to determine its effects on creatures. (At 3rd tier a creature with 3 or fewer HD is unconscious, blinded, and stunned; one with 4 or 5 HD is blinded and stunned, and one with 6 or more HD is stunned.) Creatures that succeed at their saves are dazzled for 1 minute.&lt;/h5&gt;&lt;/div&gt;</t>
  </si>
  <si>
    <t> Knocks unconscious, blinds, and/or stuns weak creatures.</t>
  </si>
  <si>
    <t>The range increases to 30 feet. Add half your tier to the spell's Hit Dice categories to determine its effects on creatures. (At 3rd tier a creature with 3 or fewer HD is unconscious, blinded, and stunned; one with 4 or 5 HD is blinded and stunned, and one with 6 or more HD is stunned.) Creatures that succeed at their saves are dazzled for 1 minute.</t>
  </si>
  <si>
    <t>Command</t>
  </si>
  <si>
    <t>language-dependent, mind-affecting</t>
  </si>
  <si>
    <t>antipaladin 1, cleric/oracle 1, inquisitor 1, witch 1</t>
  </si>
  <si>
    <t>You give the subject a single command, which it obeys to the best of its ability at its earliest opportunity. You may select from the following options. Approach: On its turn, the subject moves toward you as quickly and directly as possible for 1 round. The creature may do nothing but move during its turn, and it provokes attacks of opportunity for this movement as normal. Drop: On its turn, the subject drops whatever it is holding. It can't pick up any dropped item until its next turn. Fall: On its turn, the subject falls to the ground and remains prone for 1 round. It may act normally while prone but takes any appropriate penalties. Flee: On its turn, the subject moves away from you as quickly as possible for 1 round. It may do nothing but move during its turn, and it provokes attacks of opportunity for this movement as normal. Halt: The subject stands in place for 1 round. It may not take any actions but is not considered helpless. If the subject can't carry out your command on its next turn, the spell automatically fails.</t>
  </si>
  <si>
    <t>&lt;p&gt;You give the subject a single command, which it obeys to the best of its ability at its earliest opportunity. You may select from the following options.&lt;/p&gt;&lt;p&gt;&lt;i&gt;Approach&lt;/i&gt;: On its turn, the subject moves toward you as quickly and directly as possible for 1 round. The creature may do nothing but move during its turn, and it provokes attacks of opportunity for this movement as normal.&lt;/p&gt;&lt;p&gt;&lt;i&gt;Drop&lt;/i&gt;: On its turn, the subject drops whatever it is holding. It can't pick up any dropped item until its next turn.&lt;/p&gt;&lt;p&gt;&lt;i&gt;Fall&lt;/i&gt;: On its turn, the subject falls to the ground and remains prone for 1 round. It may act normally while prone but takes any appropriate penalties.&lt;/p&gt;&lt;p&gt;&lt;i&gt;Flee&lt;/i&gt;: On its turn, the subject moves away from you as quickly as possible for 1 round. It may do nothing but move during its turn, and it provokes attacks of opportunity for this movement as normal.&lt;/p&gt;&lt;p&gt;&lt;i&gt;Halt&lt;/i&gt;: The subject stands in place for 1 round. It may not take any actions but is not considered helpless.&lt;/p&gt;&lt;p&gt;If the subject can't carry out your command on its next turn, the spell automatically fails.&lt;/p&gt;</t>
  </si>
  <si>
    <t>&lt;link rel="stylesheet"href="PF.css"&gt;&lt;div class="heading"&gt;&lt;p class="alignleft"&gt;Command&lt;/p&gt;&lt;div style="clear: both;"&gt;&lt;/div&gt;&lt;/div&gt;&lt;div&gt;&lt;h5&gt;&lt;b&gt;School &lt;/b&gt;enchantment (compulsion) [language-dependent, mind-affecting]; &lt;b&gt;Level &lt;/b&gt;antipaladin 1, cleric/oracle 1, inquisitor 1, witch 1&lt;/h5&gt;&lt;/div&gt;&lt;hr/&gt;&lt;div&gt;&lt;h5&gt;&lt;b&gt;CASTING&lt;/b&gt;&lt;/h5&gt;&lt;/div&gt;&lt;hr/&gt;&lt;div&gt;&lt;h5&gt;&lt;b&gt;Casting Time &lt;/b&gt;1 standard action&lt;/h5&gt;&lt;h5&gt;&lt;b&gt;Components &lt;/b&gt;V&lt;/h5&gt;&lt;/div&gt;&lt;hr/&gt;&lt;div&gt;&lt;h5&gt;&lt;b&gt;EFFECT&lt;/b&gt;&lt;/h5&gt;&lt;/div&gt;&lt;hr/&gt;&lt;div&gt;&lt;h5&gt;&lt;b&gt;Range &lt;/b&gt;close (25 ft. + 5 ft./2 levels)&lt;/h5&gt;&lt;h5&gt;&lt;b&gt;Targets &lt;/b&gt;one living creature&lt;/h5&gt;&lt;h5&gt;&lt;b&gt;Duration &lt;/b&gt;1 round&lt;/h5&gt;&lt;h5&gt;&lt;b&gt;Saving Throw &lt;/b&gt;Will negates; &lt;b&gt;Spell Resistance &lt;/b&gt;yes&lt;/h5&gt;&lt;/div&gt;&lt;hr/&gt;&lt;div&gt;&lt;h5&gt;&lt;b&gt;DESCRIPTION&lt;/b&gt;&lt;/h5&gt;&lt;/div&gt;&lt;hr/&gt;&lt;div&gt;&lt;h4&gt;&lt;p&gt;You give the subject a single command, which it obeys to the best of its ability at its earliest opportunity. You may select from the following options.&lt;/p&gt;&lt;p&gt;&lt;i&gt;Approach&lt;/i&gt;: On its turn, the subject moves toward you as quickly and directly as possible for 1 round. The creature may do nothing but move during its turn, and it provokes attacks of opportunity for this movement as normal.&lt;/p&gt;&lt;p&gt;&lt;i&gt;Drop&lt;/i&gt;: On its turn, the subject drops whatever it is holding. It can't pick up any dropped item until its next turn.&lt;/p&gt;&lt;p&gt;&lt;i&gt;Fall&lt;/i&gt;: On its turn, the subject falls to the ground and remains prone for 1 round. It may act normally while prone but takes any appropriate penalties.&lt;/p&gt;&lt;p&gt;&lt;i&gt;Flee&lt;/i&gt;: On its turn, the subject moves away from you as quickly as possible for 1 round. It may do nothing but move during its turn, and it provokes attacks of opportunity for this movement as normal.&lt;/p&gt;&lt;p&gt;&lt;i&gt;Halt&lt;/i&gt;: The subject stands in place for 1 round. It may not take any actions but is not considered helpless.&lt;/p&gt;&lt;p&gt;If the subject can't carry out your command on its next turn, the spell automatically fails.&lt;/p&gt;&lt;/h4&gt;&lt;h5&gt;&lt;b&gt;Mythic: &lt;/b&gt;You can target up to one creature per level, each of which must receive the same command. Creatures that succeed at their saving throws are staggered for 1 round (this is a mind-affecting effect).&lt;/h5&gt;&lt;/div&gt;</t>
  </si>
  <si>
    <t>Devil, Toil</t>
  </si>
  <si>
    <t> One subject obeys selected command for 1 round.</t>
  </si>
  <si>
    <t>Portents</t>
  </si>
  <si>
    <t>You can target up to one creature per level, each of which must receive the same command. Creatures that succeed at their saving throws are staggered for 1 round (this is a mind-affecting effect).</t>
  </si>
  <si>
    <t>Command, Greater</t>
  </si>
  <si>
    <t>cleric 5/oracle 5, inquisitor 5</t>
  </si>
  <si>
    <t>This spell functions like command, except that up to one creature per level may be affected, and the activities continue beyond 1 round. At the start of each commanded creature's action after the first, it gets another Will save to attempt to break free from the spell. Each creature must receive the same command.</t>
  </si>
  <si>
    <t>&lt;p&gt;This spell functions like &lt;i&gt;command&lt;/i&gt;, except that up to one creature per level may be affected, and the activities continue beyond 1 round. At the start of each commanded creature's action after the first, it gets another Will save to attempt to break free from the spell. Each creature must receive the same command.&lt;/p&gt;</t>
  </si>
  <si>
    <t>&lt;link rel="stylesheet"href="PF.css"&gt;&lt;div class="heading"&gt;&lt;p class="alignleft"&gt;Command, Greater&lt;/p&gt;&lt;div style="clear: both;"&gt;&lt;/div&gt;&lt;/div&gt;&lt;div&gt;&lt;h5&gt;&lt;b&gt;School &lt;/b&gt;enchantment (compulsion) [language-dependent, mind-affecting]; &lt;b&gt;Level &lt;/b&gt;cleric 5/oracle 5, inquisitor 5&lt;/h5&gt;&lt;h5&gt;&lt;b&gt;Casting Time &lt;/b&gt;1 standard action&lt;/h5&gt;&lt;h5&gt;&lt;b&gt;Components &lt;/b&gt;V&lt;/h5&gt;&lt;h5&gt;&lt;b&gt;Range &lt;/b&gt;close (25 ft. + 5 ft./2 levels)&lt;/h5&gt;&lt;h5&gt;&lt;b&gt;Targets &lt;/b&gt; one creature/level, no two of which can be more than 30 ft. apart&lt;/h5&gt;&lt;h5&gt;&lt;b&gt;Duration &lt;/b&gt;1 round/level&lt;/h5&gt;&lt;h5&gt;&lt;b&gt;Saving Throw &lt;/b&gt;Will negates; &lt;b&gt;Spell Resistance &lt;/b&gt;yes&lt;/h5&gt;&lt;/div&gt;&lt;div&gt;&lt;h4&gt;&lt;p&gt;This spell functions like &lt;i&gt;command&lt;/i&gt;, except that up to one creature per level may be affected, and the activities continue beyond 1 round. At the start of each commanded creature's action after the first, it gets another Will save to attempt to break free from the spell. Each creature must receive the same command.&lt;/p&gt;&lt;/h4&gt;&lt;/div&gt;</t>
  </si>
  <si>
    <t>Inevitable, Nobility, Tactics</t>
  </si>
  <si>
    <t> As command, but affects one subject/level.</t>
  </si>
  <si>
    <t>Imperious</t>
  </si>
  <si>
    <t>Command Plants</t>
  </si>
  <si>
    <t>druid 4, ranger 3</t>
  </si>
  <si>
    <t>up to 2 HD/level of plant creatures, no two of which can be more than 30 ft. apart</t>
  </si>
  <si>
    <t>This spell allows you some degree of control over one or more plant creatures. Affected plant creatures can understand you, and they perceive your words and actions in the most favorable way (treat their attitude as friendly). They will not attack you while the spell lasts. You can try to give a subject orders, but you must win an opposed Charisma check to convince it to do anything it wouldn't ordinarily do. (Retries are not allowed.) A commanded plant never obeys suicidal or obviously harmful orders, but it might be convinced that something very dangerous is worth doing. You can affect a number of plant creatures whose combined level or HD do not exceed twice your level.</t>
  </si>
  <si>
    <t>&lt;p&gt;This spell allows you some degree of control over one or more plant creatures. Affected plant creatures can understand you, and they perceive your words and actions in the most favorable way (treat their attitude as friendly). They will not attack you while the spell lasts. You can try to give a subject orders, but you must win an opposed Charisma check to convince it to do anything it wouldn't ordinarily do. (Retries are not allowed.) A commanded plant never obeys suicidal or obviously harmful orders, but it might be convinced that something very dangerous is worth doing.&lt;/p&gt;&lt;p&gt;You can affect a number of plant creatures whose combined level or HD do not exceed twice your level.&lt;/p&gt;</t>
  </si>
  <si>
    <t>&lt;link rel="stylesheet"href="PF.css"&gt;&lt;div class="heading"&gt;&lt;p class="alignleft"&gt;Command Plants&lt;/p&gt;&lt;div style="clear: both;"&gt;&lt;/div&gt;&lt;/div&gt;&lt;div&gt;&lt;h5&gt;&lt;b&gt;School &lt;/b&gt;transmutation; &lt;b&gt;Level &lt;/b&gt;druid 4, ranger 3&lt;/h5&gt;&lt;h5&gt;&lt;b&gt;Casting Time &lt;/b&gt;1 standard action&lt;/h5&gt;&lt;h5&gt;&lt;b&gt;Components &lt;/b&gt;V&lt;/h5&gt;&lt;h5&gt;&lt;b&gt;Range &lt;/b&gt;close (25 ft. + 5 ft./2 levels)&lt;/h5&gt;&lt;h5&gt;&lt;b&gt;Targets &lt;/b&gt; up to 2 HD/level of plant creatures, no two of which can be more than 30 ft. apart&lt;/h5&gt;&lt;h5&gt;&lt;b&gt;Duration &lt;/b&gt;1 day/level&lt;/h5&gt;&lt;h5&gt;&lt;b&gt;Saving Throw &lt;/b&gt;Will negates; &lt;b&gt;Spell Resistance &lt;/b&gt;yes&lt;/h5&gt;&lt;/div&gt;&lt;div&gt;&lt;h4&gt;&lt;p&gt;This spell allows you some degree of control over one or more plant creatures. Affected plant creatures can understand you, and they perceive your words and actions in the most favorable way (treat their attitude as friendly). They will not attack you while the spell lasts. You can try to give a subject orders, but you must win an opposed Charisma check to convince it to do anything it wouldn't ordinarily do. (Retries are not allowed.) A commanded plant never obeys suicidal or obviously harmful orders, but it might be convinced that something very dangerous is worth doing.&lt;/p&gt;&lt;p&gt;You can affect a number of plant creatures whose combined level or HD do not exceed twice your level.&lt;/p&gt;&lt;/h4&gt;&lt;/div&gt;</t>
  </si>
  <si>
    <t>Sways the actions of plant creatures.</t>
  </si>
  <si>
    <t>Command Undead</t>
  </si>
  <si>
    <t>V, S, M (a shred of raw meat and a splinter of bone)</t>
  </si>
  <si>
    <t>one undead creature</t>
  </si>
  <si>
    <t>This spell allows you a degree of control over an undead creature. If the subject is intelligent, it perceives your words and actions favorably (treat its attitude as friendly). It will not attack you while the spell lasts. You can give the subject orders, but you must win an opposed Charisma check to convince it to do anything it wouldn't ordinarily do. Retries are not allowed. An intelligent commanded undead never obeys suicidal or obviously harmful orders, but it might be convinced that something very dangerous is worth doing. A nonintelligent undead creature gets no saving throw against this spell. When you control a mindless being, you can communicate only basic commands, such as "come here," "go there," "fight," "stand still," and so on. Nonintelligent undead won't resist suicidal or obviously harmful orders. Any act by you or your apparent allies that threatens the commanded undead (regardless of its Intelligence) breaks the spell. Your commands are not telepathic. The undead creature must be able to hear you.</t>
  </si>
  <si>
    <t>&lt;p&gt;This spell allows you a degree of control over an undead creature. If the subject is intelligent, it perceives your words and actions favorably (treat its attitude as friendly). It will not attack you while the spell lasts. You can give the subject orders, but you must win an opposed Charisma check to convince it to do anything it wouldn't ordinarily do. Retries are not allowed. An intelligent commanded undead never obeys suicidal or obviously harmful orders, but it might be convinced that something very dangerous is worth doing.&lt;/p&gt;&lt;p&gt;A nonintelligent undead creature gets no saving throw against this spell. When you control a mindless being, you can communicate only basic commands, such as "come here," "go there," "fight," "stand still," and so on. Nonintelligent undead won't resist suicidal or obviously harmful orders.&lt;/p&gt;&lt;p&gt;Any act by you or your apparent allies that threatens the commanded undead (regardless of its Intelligence) breaks the spell.&lt;/p&gt;&lt;p&gt;Your commands are not telepathic. The undead creature must be able to hear you.&lt;/p&gt;</t>
  </si>
  <si>
    <t>&lt;link rel="stylesheet"href="PF.css"&gt;&lt;div class="heading"&gt;&lt;p class="alignleft"&gt;Command Undead&lt;/p&gt;&lt;div style="clear: both;"&gt;&lt;/div&gt;&lt;/div&gt;&lt;div&gt;&lt;h5&gt;&lt;b&gt;School &lt;/b&gt;necromancy; &lt;b&gt;Level &lt;/b&gt;sorcerer/wizard 2&lt;/h5&gt;&lt;h5&gt;&lt;b&gt;Casting Time &lt;/b&gt;1 standard action&lt;/h5&gt;&lt;h5&gt;&lt;b&gt;Components &lt;/b&gt;V, S, M (a shred of raw meat and a splinter of bone)&lt;/h5&gt;&lt;h5&gt;&lt;b&gt;Range &lt;/b&gt;close (25 ft. + 5 ft./2 levels)&lt;/h5&gt;&lt;h5&gt;&lt;b&gt;Targets &lt;/b&gt; one undead creature&lt;/h5&gt;&lt;h5&gt;&lt;b&gt;Duration &lt;/b&gt;1 day/level&lt;/h5&gt;&lt;h5&gt;&lt;b&gt;Saving Throw &lt;/b&gt;Will negates; see text; &lt;b&gt;Spell Resistance &lt;/b&gt;yes&lt;/h5&gt;&lt;/div&gt;&lt;div&gt;&lt;h4&gt;&lt;p&gt;This spell allows you a degree of control over an undead creature. If the subject is intelligent, it perceives your words and actions favorably (treat its attitude as friendly). It will not attack you while the spell lasts. You can give the subject orders, but you must win an opposed Charisma check to convince it to do anything it wouldn't ordinarily do. Retries are not allowed. An intelligent commanded undead never obeys suicidal or obviously harmful orders, but it might be convinced that something very dangerous is worth doing.&lt;/p&gt;&lt;p&gt;A nonintelligent undead creature gets no saving throw against this spell. When you control a mindless being, you can communicate only basic commands, such as "come here," "go there," "fight," "stand still," and so on. Nonintelligent undead won't resist suicidal or obviously harmful orders.&lt;/p&gt;&lt;p&gt;Any act by you or your apparent allies that threatens the commanded undead (regardless of its Intelligence) breaks the spell.&lt;/p&gt;&lt;p&gt;Your commands are not telepathic. The undead creature must be able to hear you.&lt;/p&gt;&lt;/h4&gt;&lt;/div&gt;</t>
  </si>
  <si>
    <t>Inevitable</t>
  </si>
  <si>
    <t> Undead creature obeys your commands.</t>
  </si>
  <si>
    <t>Occult, Plague</t>
  </si>
  <si>
    <t>Commune</t>
  </si>
  <si>
    <t>V, S, M (holy or unholy water and incense worth 500 gp), DF</t>
  </si>
  <si>
    <t>You contact your deity--or agents thereof--and ask questions that can be answered by a simple yes or no. (A cleric of no particular deity contacts a philosophically allied deity.) You are allowed one such question per caster level. The answers given are correct within the limits of the entity's knowledge. "Unclear" is a legitimate answer, because powerful beings of the Outer Planes are not necessarily omniscient. In cases where a one-word answer would be misleading or contrary to the deity's interests, a short phrase (five words or less) may be given as an answer instead. The spell, at best, provides information to aid character decisions. The entities contacted structure their answers to further their own purposes. If you lag, discuss the answers, or go off to do anything else, the spell ends.</t>
  </si>
  <si>
    <t>&lt;p&gt;You contact your deity--or agents thereof--and ask questions that can be answered by a simple yes or no. (A cleric of no particular deity contacts a philosophically allied deity.) You are allowed one such question per caster level. The answers given are correct within the limits of the entity's knowledge. "Unclear" is a legitimate answer, because powerful beings of the Outer Planes are not necessarily omniscient. In cases where a one-word answer would be misleading or contrary to the deity's interests, a short phrase (five words or less) may be given as an answer instead.&lt;/p&gt;&lt;p&gt;The spell, at best, provides information to aid character decisions. The entities contacted structure their answers to further their own purposes. If you lag, discuss the answers, or go off to do anything else, the spell ends.&lt;/p&gt;</t>
  </si>
  <si>
    <t>&lt;link rel="stylesheet"href="PF.css"&gt;&lt;div class="heading"&gt;&lt;p class="alignleft"&gt;Commune&lt;/p&gt;&lt;div style="clear: both;"&gt;&lt;/div&gt;&lt;/div&gt;&lt;div&gt;&lt;h5&gt;&lt;b&gt;School &lt;/b&gt;divination; &lt;b&gt;Level &lt;/b&gt;cleric 5/oracle 5, inquisitor 5&lt;/h5&gt;&lt;h5&gt;&lt;b&gt;Casting Time &lt;/b&gt;10 minutes&lt;/h5&gt;&lt;h5&gt;&lt;b&gt;Components &lt;/b&gt;V, S, M (holy or unholy water and incense worth 500 gp), DF&lt;/h5&gt;&lt;h5&gt;&lt;b&gt;Range &lt;/b&gt;personal&lt;/h5&gt;&lt;h5&gt;&lt;b&gt;Targets &lt;/b&gt; you&lt;/h5&gt;&lt;h5&gt;&lt;b&gt;Duration &lt;/b&gt;1 round/level&lt;/h5&gt;&lt;/div&gt;&lt;div&gt;&lt;h4&gt;&lt;p&gt;You contact your deity--or agents thereof--and ask questions that can be answered by a simple yes or no. (A cleric of no particular deity contacts a philosophically allied deity.) You are allowed one such question per caster level. The answers given are correct within the limits of the entity's knowledge. "Unclear" is a legitimate answer, because powerful beings of the Outer Planes are not necessarily omniscient. In cases where a one-word answer would be misleading or contrary to the deity's interests, a short phrase (five words or less) may be given as an answer instead.&lt;/p&gt;&lt;p&gt;The spell, at best, provides information to aid character decisions. The entities contacted structure their answers to further their own purposes. If you lag, discuss the answers, or go off to do anything else, the spell ends.&lt;/p&gt;&lt;/h4&gt;&lt;/div&gt;</t>
  </si>
  <si>
    <t> Deity answers one yes-or-no question/level.</t>
  </si>
  <si>
    <t>Commune with Nature</t>
  </si>
  <si>
    <t>druid 5, ranger 4</t>
  </si>
  <si>
    <t>You become one with nature, attaining knowledge of the surrounding territory. You instantly gain knowledge of as many as three facts from among the following subjects: the ground or terrain, plants, minerals, bodies of water, people, general animal population, presence of woodland creatures, presence of powerful unnatural creatures, or even the general state of the natural setting. In outdoor settings, the spell operates in a radius of 1 mile per caster level. In natural underground settings--caves, caverns, and the like--the spell is less powerful, and its radius is limited to 100 feet per caster level. The spell does not function where nature has been replaced by construction or settlement, such as in dungeons and towns.</t>
  </si>
  <si>
    <t>&lt;p&gt;You become one with nature, attaining knowledge of the surrounding territory. You instantly gain knowledge of as many as three facts from among the following subjects: the ground or terrain, plants, minerals, bodies of water, people, general animal population, presence of woodland creatures, presence of powerful unnatural creatures, or even the general state of the natural setting.&lt;/p&gt;&lt;p&gt;In outdoor settings, the spell operates in a radius of 1 mile per caster level. In natural underground settings--caves, caverns, and the like--the spell is less powerful, and its radius is limited to 100 feet per caster level. The spell does not function where nature has been replaced by construction or settlement, such as in dungeons and towns.&lt;/p&gt;</t>
  </si>
  <si>
    <t>&lt;link rel="stylesheet"href="PF.css"&gt;&lt;div class="heading"&gt;&lt;p class="alignleft"&gt;Commune with Nature&lt;/p&gt;&lt;div style="clear: both;"&gt;&lt;/div&gt;&lt;/div&gt;&lt;div&gt;&lt;h5&gt;&lt;b&gt;School &lt;/b&gt;divination; &lt;b&gt;Level &lt;/b&gt;druid 5, ranger 4&lt;/h5&gt;&lt;h5&gt;&lt;b&gt;Casting Time &lt;/b&gt;10 minutes&lt;/h5&gt;&lt;h5&gt;&lt;b&gt;Components &lt;/b&gt;V, S&lt;/h5&gt;&lt;h5&gt;&lt;b&gt;Range &lt;/b&gt;personal&lt;/h5&gt;&lt;h5&gt;&lt;b&gt;Targets &lt;/b&gt; you&lt;/h5&gt;&lt;h5&gt;&lt;b&gt;Duration &lt;/b&gt;instantaneous&lt;/h5&gt;&lt;/div&gt;&lt;div&gt;&lt;h4&gt;&lt;p&gt;You become one with nature, attaining knowledge of the surrounding territory. You instantly gain knowledge of as many as three facts from among the following subjects: the ground or terrain, plants, minerals, bodies of water, people, general animal population, presence of woodland creatures, presence of powerful unnatural creatures, or even the general state of the natural setting.&lt;/p&gt;&lt;p&gt;In outdoor settings, the spell operates in a radius of 1 mile per caster level. In natural underground settings--caves, caverns, and the like--the spell is less powerful, and its radius is limited to 100 feet per caster level. The spell does not function where nature has been replaced by construction or settlement, such as in dungeons and towns.&lt;/p&gt;&lt;/h4&gt;&lt;/div&gt;</t>
  </si>
  <si>
    <t>Learn about terrain for 1 mile/level.</t>
  </si>
  <si>
    <t>Comprehend Languages</t>
  </si>
  <si>
    <t>bard 1, cleric 1/oracle 1, sorcerer/wizard 1, witch 1, inquisitor 1, alchemist 1</t>
  </si>
  <si>
    <t>V, S, M/DF (pinch of soot and salt)</t>
  </si>
  <si>
    <t>You can understand the spoken words of creatures or read otherwise incomprehensible written messages. The ability to read does not necessarily impart insight into the material, merely its literal meaning. The spell enables you to understand or read an unknown language, not speak or write it. Written material can be read at the rate of one page (250 words) per minute. Magical writing cannot be read, though the spell reveals that it is magical. This spell can be foiled by certain warding magic (such as the secret page and illusory script spells). It does not decipher codes or reveal messages concealed in otherwise normal text. Comprehend languages can be made permanent with a permanency spell.</t>
  </si>
  <si>
    <t>&lt;p&gt;You can understand the spoken words of creatures or read otherwise incomprehensible written messages. The ability to read does not necessarily impart insight into the material, merely its literal meaning. The spell enables you to understand or read an unknown language, not speak or write it.&lt;/p&gt;&lt;p&gt;Written material can be read at the rate of one page (250 words) per minute. Magical writing cannot be read, though the spell reveals that it is magical. This spell can be foiled by certain warding magic (such as the &lt;i&gt;secret page&lt;/i&gt; and &lt;i&gt;illusory script&lt;/i&gt; spells). It does not decipher codes or reveal messages concealed in otherwise normal text.&lt;/p&gt;&lt;p&gt;&lt;i&gt;Comprehend languages&lt;/i&gt; can be made permanent with a &lt;i&gt;permanency&lt;/i&gt; spell.&lt;/p&gt;</t>
  </si>
  <si>
    <t>&lt;link rel="stylesheet"href="PF.css"&gt;&lt;div class="heading"&gt;&lt;p class="alignleft"&gt;Comprehend Languages&lt;/p&gt;&lt;div style="clear: both;"&gt;&lt;/div&gt;&lt;/div&gt;&lt;div&gt;&lt;h5&gt;&lt;b&gt;School &lt;/b&gt;divination; &lt;b&gt;Level &lt;/b&gt;bard 1, cleric 1/oracle 1, sorcerer/wizard 1, alchemist 1, witch 1, inquisitor 1&lt;/h5&gt;&lt;h5&gt;&lt;b&gt;Casting Time &lt;/b&gt;1 standard action&lt;/h5&gt;&lt;h5&gt;&lt;b&gt;Components &lt;/b&gt;V, S, M/DF (pinch of soot and salt)&lt;/h5&gt;&lt;h5&gt;&lt;b&gt;Range &lt;/b&gt;personal&lt;/h5&gt;&lt;h5&gt;&lt;b&gt;Targets &lt;/b&gt; you&lt;/h5&gt;&lt;h5&gt;&lt;b&gt;Duration &lt;/b&gt;10 min./level&lt;/h5&gt;&lt;/div&gt;&lt;div&gt;&lt;h4&gt;&lt;p&gt;You can understand the spoken words of creatures or read otherwise incomprehensible written messages. The ability to read does not necessarily impart insight into the material, merely its literal meaning. The spell enables you to understand or read an unknown language, not speak or write it.&lt;/p&gt;&lt;p&gt;Written material can be read at the rate of one page (250 words) per minute. Magical writing cannot be read, though the spell reveals that it is magical. This spell can be foiled by certain warding magic (such as the &lt;i&gt;secret page&lt;/i&gt; and &lt;i&gt;illusory script&lt;/i&gt; spells). It does not decipher codes or reveal messages concealed in otherwise normal text.&lt;/p&gt;&lt;p&gt;&lt;i&gt;Comprehend languages&lt;/i&gt; can be made permanent with a &lt;i&gt;permanency&lt;/i&gt; spell.&lt;/p&gt;&lt;/h4&gt;&lt;/div&gt;</t>
  </si>
  <si>
    <t>Knowledge, Language</t>
  </si>
  <si>
    <t>You understand all languages.</t>
  </si>
  <si>
    <t>Cone of Cold</t>
  </si>
  <si>
    <t>sorcerer/wizard 5, witch 6, magus 5</t>
  </si>
  <si>
    <t>V, S, M (a small crystal or glass cone)</t>
  </si>
  <si>
    <t>60 ft.</t>
  </si>
  <si>
    <t>Cone of cold creates an area of extreme cold, originating at your hand and extending outward in a cone. It drains heat, dealing 1d6 points of cold damage per caster level (maximum 15d6).</t>
  </si>
  <si>
    <t>&lt;p&gt;&lt;i&gt;Cone of cold&lt;/i&gt; creates an area of extreme cold, originating at your hand and extending outward in a cone. It drains heat, dealing 1d6 points of cold damage per caster level (maximum 15d6).&lt;/p&gt;</t>
  </si>
  <si>
    <t>&lt;link rel="stylesheet"href="PF.css"&gt;&lt;div class="heading"&gt;&lt;p class="alignleft"&gt;Cone of Cold&lt;/p&gt;&lt;div style="clear: both;"&gt;&lt;/div&gt;&lt;/div&gt;&lt;div&gt;&lt;h5&gt;&lt;b&gt;School &lt;/b&gt;evocation [cold]; &lt;b&gt;Level &lt;/b&gt;sorcerer/wizard 5, witch 6, magus 5&lt;/h5&gt;&lt;h5&gt;&lt;b&gt;Casting Time &lt;/b&gt;1 standard action&lt;/h5&gt;&lt;h5&gt;&lt;b&gt;Components &lt;/b&gt;V, S, M (a small crystal or glass cone)&lt;/h5&gt;&lt;h5&gt;&lt;b&gt;Range &lt;/b&gt;60 ft.&lt;/h5&gt;&lt;h5&gt;&lt;b&gt;Area &lt;/b&gt;cone-shaped burst&lt;/h5&gt;&lt;h5&gt;&lt;b&gt;Duration &lt;/b&gt;instantaneous&lt;/h5&gt;&lt;h5&gt;&lt;b&gt;Saving Throw &lt;/b&gt;Reflex half; &lt;b&gt;Spell Resistance &lt;/b&gt;yes&lt;/h5&gt;&lt;/div&gt;&lt;div&gt;&lt;h4&gt;&lt;p&gt;&lt;i&gt;Cone of cold&lt;/i&gt; creates an area of extreme cold, originating at your hand and extending outward in a cone. It drains heat, dealing 1d6 points of cold damage per caster level (maximum 15d6).&lt;/p&gt;&lt;/h4&gt;&lt;/div&gt;</t>
  </si>
  <si>
    <t> 1d6/level cold damage.</t>
  </si>
  <si>
    <t>Boreal, Oni</t>
  </si>
  <si>
    <t>Winter</t>
  </si>
  <si>
    <t>Confusion</t>
  </si>
  <si>
    <t>bard 3, sorcerer/wizard 4, witch 4</t>
  </si>
  <si>
    <t>V, S, M/DF (three nutshells)</t>
  </si>
  <si>
    <t>all creatures in a 15-ft.-radius burst</t>
  </si>
  <si>
    <t>This spell causes confusion in the targets, making them unable to determine their actions. Roll on the following table at the start of each subject's turn each round to see what it does in that round. d% Behavior 01-25 Act normally 26-50 Do nothing but babble incoherently 51-75 Deal 1d8 points of damage + Str modifier to self with item in hand 76-100 Attack nearest creature (for this purpose, a familiar counts as part of the subject's self) A confused character who can't carry out the indicated action does nothing but babble incoherently. Attackers are not at any special advantage when attacking a confused character. Any confused character who is attacked automatically attacks its attackers on its next turn, as long as it is still confused when its turn comes. Note that a confused character will not make attacks of opportunity against any creature that it is not already devoted to attacking (either because of its most recent action or because it has just been attacked).</t>
  </si>
  <si>
    <t>&lt;p&gt;This spell causes confusion in the targets, making them unable to determine their actions. Roll on the following table at the start of each subject's turn each round to see what it does in that round.&lt;/p&gt;&lt;p&gt;&lt;table&gt;&lt;tr&gt;&lt;th&gt;d%&lt;/th&gt;&lt;th&gt;Behavior&lt;/th&gt;&lt;/tr&gt; &lt;tr&gt;&lt;td&gt;01-25&lt;/td&gt;&lt;td&gt;Act normally&lt;/td&gt;&lt;/tr&gt; &lt;tr&gt;&lt;td&gt;26-50&lt;/td&gt;&lt;td&gt;Do nothing but babble incoherently&lt;/td&gt;&lt;/tr&gt; &lt;tr&gt;&lt;td&gt;51-75&lt;/td&gt;&lt;td&gt;Deal 1d8 points of damage + Str modifier to self with item in hand&lt;/td&gt;&lt;/tr&gt; &lt;tr&gt;&lt;td&gt;76-100&lt;/td&gt;&lt;td&gt;Attack nearest creature (for this purpose, a familiar counts as part of the subject's self)&lt;/td&gt;&lt;/tr&gt;&lt;/table&gt; A confused character who can't carry out the indicated action does nothing but babble incoherently. Attackers are not at any special advantage when attacking a confused character. Any confused character who is attacked automatically attacks its attackers on its next turn, as long as it is still confused when its turn comes. Note that a confused character will not make attacks of opportunity against any creature that it is not already devoted to attacking (either because of its most recent action or because it has just been attacked).&lt;/p&gt;</t>
  </si>
  <si>
    <t>&lt;link rel="stylesheet"href="PF.css"&gt;&lt;div class="heading"&gt;&lt;p class="alignleft"&gt;Confusion&lt;/p&gt;&lt;div style="clear: both;"&gt;&lt;/div&gt;&lt;/div&gt;&lt;div&gt;&lt;h5&gt;&lt;b&gt;School &lt;/b&gt;enchantment (compulsion) [mind-affecting]; &lt;b&gt;Level &lt;/b&gt;bard 3, sorcerer/wizard 4, witch 4&lt;/h5&gt;&lt;h5&gt;&lt;b&gt;Casting Time &lt;/b&gt;1 standard action&lt;/h5&gt;&lt;h5&gt;&lt;b&gt;Components &lt;/b&gt;V, S, M/DF (three nutshells)&lt;/h5&gt;&lt;h5&gt;&lt;b&gt;Range &lt;/b&gt;medium (100 ft. + 10 ft./level)&lt;/h5&gt;&lt;h5&gt;&lt;b&gt;Targets &lt;/b&gt; all creatures in a 15-ft.-radius burst&lt;/h5&gt;&lt;h5&gt;&lt;b&gt;Duration &lt;/b&gt;1 round/level&lt;/h5&gt;&lt;h5&gt;&lt;b&gt;Saving Throw &lt;/b&gt;Will negates; &lt;b&gt;Spell Resistance &lt;/b&gt;yes&lt;/h5&gt;&lt;/div&gt;&lt;div&gt;&lt;h4&gt;&lt;p&gt;This spell causes confusion in the targets, making them unable to determine their actions. Roll on the following table at the start of each subject's turn each round to see what it does in that round.&lt;/p&gt;&lt;p&gt;&lt;table&gt;&lt;tr&gt;&lt;th&gt;d%&lt;/th&gt;&lt;th&gt;Behavior&lt;/th&gt;&lt;/tr&gt; &lt;tr&gt;&lt;td&gt;01-25&lt;/td&gt;&lt;td&gt;Act normally&lt;/td&gt;&lt;/tr&gt; &lt;tr&gt;&lt;td&gt;26-50&lt;/td&gt;&lt;td&gt;Do nothing but babble incoherently&lt;/td&gt;&lt;/tr&gt; &lt;tr&gt;&lt;td&gt;51-75&lt;/td&gt;&lt;td&gt;Deal 1d8 points of damage + Str modifier to self with item in hand&lt;/td&gt;&lt;/tr&gt; &lt;tr&gt;&lt;td&gt;76-100&lt;/td&gt;&lt;td&gt;Attack nearest creature (for this purpose, a familiar counts as part of the subject's self)&lt;/td&gt;&lt;/tr&gt;&lt;/table&gt; A confused character who can't carry out the indicated action does nothing but babble incoherently. Attackers are not at any special advantage when attacking a confused character. Any confused character who is attacked automatically attacks its attackers on its next turn, as long as it is still confused when its turn comes. Note that a confused character will not make attacks of opportunity against any creature that it is not already devoted to attacking (either because of its most recent action or because it has just been attacked).&lt;/p&gt;&lt;/h4&gt;&lt;/div&gt;</t>
  </si>
  <si>
    <t>Lust, Madness, Trickery</t>
  </si>
  <si>
    <t>Subjects behave oddly for 1 round/level.</t>
  </si>
  <si>
    <t>Deception, Insanity</t>
  </si>
  <si>
    <t>Confusion, Lesser</t>
  </si>
  <si>
    <t>bard 1</t>
  </si>
  <si>
    <t>This spell causes a single creature to become confused for 1 round.</t>
  </si>
  <si>
    <t>&lt;p&gt;This spell causes a single creature to become confused for 1 round.&lt;/p&gt;</t>
  </si>
  <si>
    <t>&lt;link rel="stylesheet"href="PF.css"&gt;&lt;div class="heading"&gt;&lt;p class="alignleft"&gt;Confusion, Lesser&lt;/p&gt;&lt;div style="clear: both;"&gt;&lt;/div&gt;&lt;/div&gt;&lt;div&gt;&lt;h5&gt;&lt;b&gt;School &lt;/b&gt;enchantment (compulsion) [mind-affecting]; &lt;b&gt;Level &lt;/b&gt;bard 1&lt;/h5&gt;&lt;h5&gt;&lt;b&gt;Casting Time &lt;/b&gt;1 standard action&lt;/h5&gt;&lt;h5&gt;&lt;b&gt;Components &lt;/b&gt;V, S, DF&lt;/h5&gt;&lt;h5&gt;&lt;b&gt;Range &lt;/b&gt;close (25 ft. + 5 ft./2 levels)&lt;/h5&gt;&lt;h5&gt;&lt;b&gt;Targets &lt;/b&gt; one living creature&lt;/h5&gt;&lt;h5&gt;&lt;b&gt;Duration &lt;/b&gt;1 round&lt;/h5&gt;&lt;h5&gt;&lt;b&gt;Saving Throw &lt;/b&gt;Will negates; &lt;b&gt;Spell Resistance &lt;/b&gt;yes&lt;/h5&gt;&lt;/div&gt;&lt;div&gt;&lt;h4&gt;&lt;p&gt;This spell causes a single creature to become confused for 1 round.&lt;/p&gt;&lt;/h4&gt;&lt;/div&gt;</t>
  </si>
  <si>
    <t>Madness, Protean</t>
  </si>
  <si>
    <t> One creature is confused for 1 round.</t>
  </si>
  <si>
    <t>Consecrate</t>
  </si>
  <si>
    <t>cleric/oracle 2, inquisitor 2</t>
  </si>
  <si>
    <t>V, S, M (a vial of holy water and 25 gp worth of silver dust), DF</t>
  </si>
  <si>
    <t>20-ft.-radius emanation</t>
  </si>
  <si>
    <t>This spell blesses an area with positive energy. The DC to resist positive channeled energy within this area gains a +3 sacred bonus. Every undead creature entering a consecrated area suffers minor disruption, suffering a -1 penalty on attack rolls, damage rolls, and saves. Undead cannot be created within or summoned into a consecrated area. If the consecrated area contains an altar, shrine, or other permanent fixture dedicated to your deity, pantheon, or aligned higher power, the modifiers given above are doubled (+6 sacred bonus to positive channeled energy DCs, -2 penalties for undead in the area). You cannot consecrate an area with a similar fixture of a deity other than your own patron. Instead, the consecrate spell curses the area, cutting off its connection with the associated deity or power. This secondary function, if used, does not also grant the bonuses and penalties relating to undead, as given above. Consecrate counters and dispels desecrate.</t>
  </si>
  <si>
    <t>&lt;p&gt;This spell blesses an area with positive energy. The DC to resist positive channeled energy within this area gains a +3 sacred bonus. Every undead creature entering a &lt;i&gt;consecrate&lt;/i&gt;d area suffers minor disruption, suffering a -1 penalty on attack rolls, damage rolls, and saves. Undead cannot be created within or summoned into a &lt;i&gt;consecrate&lt;/i&gt;d area. If the &lt;i&gt;consecrate&lt;/i&gt;d area contains an altar, shrine, or other permanent fixture dedicated to your deity, pantheon, or aligned higher power, the modifiers given above are doubled (+6 sacred bonus to positive channeled energy DCs, -2 penalties for undead in the area).&lt;/p&gt;&lt;p&gt;You cannot &lt;i&gt;consecrate&lt;/i&gt; an area with a similar fixture of a deity other than your own patron. Instead, the &lt;i&gt;consecrate&lt;/i&gt; spell curses the area, cutting off its connection with the associated deity or power.&lt;/p&gt;&lt;p&gt;This secondary function, if used, does not also grant the bonuses and penalties relating to undead, as given above.&lt;/p&gt;&lt;p&gt;&lt;i&gt;Consecrate&lt;/i&gt; counters and dispels &lt;i&gt;desecrate&lt;/i&gt;.&lt;/p&gt;</t>
  </si>
  <si>
    <t>&lt;link rel="stylesheet"href="PF.css"&gt;&lt;div class="heading"&gt;&lt;p class="alignleft"&gt;Consecrate&lt;/p&gt;&lt;div style="clear: both;"&gt;&lt;/div&gt;&lt;/div&gt;&lt;div&gt;&lt;h5&gt;&lt;b&gt;School &lt;/b&gt;evocation [good]; &lt;b&gt;Level &lt;/b&gt;cleric/oracle 2, inquisitor 2&lt;/h5&gt;&lt;/div&gt;&lt;hr/&gt;&lt;div&gt;&lt;h5&gt;&lt;b&gt;CASTING&lt;/b&gt;&lt;/h5&gt;&lt;/div&gt;&lt;hr/&gt;&lt;div&gt;&lt;h5&gt;&lt;b&gt;Casting Time &lt;/b&gt;1 standard action&lt;/h5&gt;&lt;h5&gt;&lt;b&gt;Components &lt;/b&gt;V, S, M (a vial of holy water and 25 gp worth of silver dust), DF&lt;/h5&gt;&lt;/div&gt;&lt;hr/&gt;&lt;div&gt;&lt;h5&gt;&lt;b&gt;EFFECT&lt;/b&gt;&lt;/h5&gt;&lt;/div&gt;&lt;hr/&gt;&lt;div&gt;&lt;h5&gt;&lt;b&gt;Range &lt;/b&gt;close (25 ft. + 5 ft./2 levels)&lt;/h5&gt;&lt;h5&gt;&lt;b&gt;Area &lt;/b&gt;20-ft.-radius emanation&lt;/h5&gt;&lt;h5&gt;&lt;b&gt;Duration &lt;/b&gt;2 hours/level&lt;/h5&gt;&lt;h5&gt;&lt;b&gt;Saving Throw &lt;/b&gt;none; &lt;b&gt;Spell Resistance &lt;/b&gt;no&lt;/h5&gt;&lt;/div&gt;&lt;hr/&gt;&lt;div&gt;&lt;h5&gt;&lt;b&gt;DESCRIPTION&lt;/b&gt;&lt;/h5&gt;&lt;/div&gt;&lt;hr/&gt;&lt;div&gt;&lt;h4&gt;&lt;p&gt;This spell blesses an area with positive energy. The DC to resist positive channeled energy within this area gains a +3 sacred bonus. Every undead creature entering a &lt;i&gt;consecrate&lt;/i&gt;d area suffers minor disruption, suffering a -1 penalty on attack rolls, damage rolls, and saves. Undead cannot be created within or summoned into a &lt;i&gt;consecrate&lt;/i&gt;d area. If the &lt;i&gt;consecrate&lt;/i&gt;d area contains an altar, shrine, or other permanent fixture dedicated to your deity, pantheon, or aligned higher power, the modifiers given above are doubled (+6 sacred bonus to positive channeled energy DCs, -2 penalties for undead in the area).&lt;/p&gt;&lt;p&gt;You cannot &lt;i&gt;consecrate&lt;/i&gt; an area with a similar fixture of a deity other than your own patron. Instead, the &lt;i&gt;consecrate&lt;/i&gt; spell curses the area, cutting off its connection with the associated deity or power.&lt;/p&gt;&lt;p&gt;This secondary function, if used, does not also grant the bonuses and penalties relating to undead, as given above.&lt;/p&gt;&lt;p&gt;&lt;i&gt;Consecrate&lt;/i&gt; counters and dispels &lt;i&gt;desecrate&lt;/i&gt;.&lt;/p&gt;&lt;/h4&gt;&lt;h5&gt;&lt;b&gt;Mythic: &lt;/b&gt;The black pudding has fast healing equal to your tier, as do any puddings that split off from it. The black puddings from this spell never attack you, though they're otherwise uncontrolled and might attack your allies if there are no other obvious opponents.&lt;/h5&gt;&lt;h5&gt;&lt;b&gt;Augmented (6th)&lt;/b&gt;: If you expend two uses of mythic power, the pudding gains the savage mythic template (see page 224). Puddings that split off from the giant pudding don't gain the template.&lt;/h5&gt;&lt;/div&gt;</t>
  </si>
  <si>
    <t> Fills area with positive energy, weakening undead.</t>
  </si>
  <si>
    <t>The black pudding has fast healing equal to your tier, as do any puddings that split off from it. The black puddings from this spell never attack you, though they're otherwise uncontrolled and might attack your allies if there are no other obvious opponents.</t>
  </si>
  <si>
    <t>Augmented (6th): If you expend two uses of mythic power, the pudding gains the savage mythic template (see page 224). Puddings that split off from the giant pudding don't gain the template.</t>
  </si>
  <si>
    <t>Contact Other Plane</t>
  </si>
  <si>
    <t>sorcerer/wizard 5, witch 5, summoner 4, alchemist 5</t>
  </si>
  <si>
    <t>You send your mind to another plane of existence (an Elemental Plane or some plane farther removed) in order to receive advice and information from powers there. See the accompanying table for possible consequences and results of the attempt. The powers reply in a language you understand, but they resent such contact and give only brief answers to your questions. All questions are answered with "yes," "no," "maybe," "never," "irrelevant," or some other one-word answer. You must concentrate on maintaining the spell (a standard action) in order to ask questions at the rate of one per round. A question is answered by the power during the same round. You may ask one question for every two caster levels. Contact with minds far removed from your home plane increases the probability that you will incur a decrease in Intelligence and Charisma due to your brain being overwhelmed, but also increases the chance of the power knowing the answer and answering correctly. Once the Outer Planes are reached, the power of the deity contacted determines the effects. (Random results obtained from the table are subject to the personalities of individual deities.) On rare occasions, this divination may be blocked by an act of certain deities or forces. Avoid Int/Cha Decrease: You must succeed on an Intelligence check against this DC to avoid a decrease in Intelligence and Charisma. If the check fails, your Intelligence and Charisma scores each fall to 8 for the stated duration, and you become unable to cast arcane spells. If you lose Intelligence and Charisma, the effect strikes as soon as the first question is asked, and no answer is received. If a successful contact is made, roll d% to determine the type of answer you gain. True Answer: You get a true, one-word answer. Questions that cannot be answered in this way are answered randomly. Don't Know: The entity tells you that it doesn't know. Lie: The entity intentionally lies to you. Random Answer: The entity tries to lie but doesn't know the answer, so it makes one up. Plane Contacted Avoid Int/Cha Decrease True Answer Don't Know Lie Random Answer Elemental Plane DC 7/1 week 01-34 35-62 63-83 84-100 Positive/Negative Energy Plane DC 8/1 week 01-39 40-65 66-86 87-100 Astral Plane DC 9/1 week 01-44 45-67 68-88 89-100 Outer Plane, demigod DC 10/2 weeks 01-49 50-70 71-91 92-100 Outer Plane, lesser deity DC 12/3 weeks 01-60 61-75 76-95 96-100 Outer Plane, intermediate deity DC 14/4 weeks 01-73 74-81 82-98 99-100 Outer Plane, greater deity</t>
  </si>
  <si>
    <t>&lt;p&gt;You send your mind to another plane of existence (an Elemental Plane or some plane farther removed) in order to receive advice and information from powers there. See the accompanying table for possible consequences and results of the attempt. The powers reply in a language you understand, but they resent such contact and give only brief answers to your questions. All questions are answered with "yes," "no," "maybe," "never," "irrelevant," or some other one-word answer.&lt;/p&gt;&lt;p&gt;You must concentrate on maintaining the spell (a standard action) in order to ask questions at the rate of one per round. A question is answered by the power during the same round. You may ask one question for every two caster levels.&lt;/p&gt;&lt;p&gt;Contact with minds far removed from your home plane increases the probability that you will incur a decrease in Intelligence and Charisma due to your brain being overwhelmed, but also increases the chance of the power knowing the answer and answering correctly. Once the Outer Planes are reached, the power of the deity contacted determines the effects. (Random results obtained from the table are subject to the personalities of individual deities.) On rare occasions, this divination may be blocked by an act of certain deities or forces.&lt;/p&gt;&lt;p&gt;&lt;i&gt;Avoid Int/Cha Decrease&lt;/i&gt;: You must succeed on an Intelligence check against this DC to avoid a decrease in Intelligence and Charisma. If the check fails, your Intelligence and Charisma scores each fall to 8 for the stated duration, and you become unable to cast arcane spells. If you lose Intelligence and Charisma, the effect strikes as soon as the first question is asked, and no answer is received. If a successful contact is made, roll d% to determine the type of answer you gain.&lt;/p&gt;&lt;p&gt;&lt;i&gt;True Answer&lt;/i&gt;: You get a true, one-word answer. Questions that cannot be answered in this way are answered randomly.&lt;/p&gt;&lt;p&gt;&lt;i&gt;Don't Know&lt;/i&gt;: The entity tells you that it doesn't know.&lt;/p&gt;&lt;p&gt;&lt;i&gt;Lie&lt;/i&gt;: The entity intentionally lies to you.&lt;/p&gt;&lt;p&gt;&lt;i&gt;Random Answer&lt;/i&gt;: The entity tries to lie but doesn't know the answer, so it makes one up.&lt;/p&gt;&lt;p&gt; &lt;table&gt; &lt;tr&gt; &lt;td&gt;Contact Other Plane&lt;/td&gt; &lt;/tr&gt; &lt;tr&gt; &lt;th&gt;Plane Contacted&lt;/th&gt; &lt;th&gt;Avoid Int/Cha Decrease&lt;/th&gt; &lt;th&gt;True Answer&lt;/th&gt; &lt;th&gt;Don't Know&lt;/th&gt; &lt;th&gt;Lie&lt;/th&gt; &lt;th&gt;Random Answer&lt;/th&gt; &lt;/tr&gt; &lt;tr&gt; &lt;td&gt;Elemental Plane&lt;/td&gt; &lt;td&gt;DC 7/1 week&lt;/td&gt; &lt;td&gt;01-34&lt;/td&gt; &lt;td&gt;35-62&lt;/td&gt; &lt;td&gt;63-83&lt;/td&gt; &lt;td&gt;84-100&lt;/td&gt; &lt;/tr&gt; &lt;tr&gt; &lt;td&gt;Positive/Negative Energy Plane&lt;/td&gt; &lt;td&gt;DC 8/1 week&lt;/td&gt; &lt;td&gt;01-39&lt;/td&gt; &lt;td&gt;40-65&lt;/td&gt; &lt;td&gt;66-86&lt;/td&gt; &lt;td&gt;87-100&lt;/td&gt; &lt;/tr&gt; &lt;tr&gt; &lt;td&gt;Astral Plane&lt;/td&gt; &lt;td&gt;DC 9/1 week&lt;/td&gt; &lt;td&gt;01-44&lt;/td&gt; &lt;td&gt;45-67&lt;/td&gt; &lt;td&gt;68-88&lt;/td&gt; &lt;td&gt;89-100&lt;/td&gt; &lt;/tr&gt; &lt;tr&gt; &lt;td&gt;Outer Plane, demigod&lt;/td&gt; &lt;td&gt;DC 10/2 weeks&lt;/td&gt; &lt;td&gt;01-49&lt;/td&gt; &lt;td&gt;50-70&lt;/td&gt; &lt;td&gt;71-91&lt;/td&gt; &lt;td&gt;92-100&lt;/td&gt; &lt;/tr&gt; &lt;tr&gt; &lt;td&gt;Outer Plane, lesser deity&lt;/td&gt; &lt;td&gt;DC 12/3 weeks&lt;/td&gt; &lt;td&gt;01-60&lt;/td&gt; &lt;td&gt;61-75&lt;/td&gt; &lt;td&gt;76-95&lt;/td&gt; &lt;td&gt;96-100&lt;/td&gt; &lt;/tr&gt; &lt;tr&gt; &lt;td&gt;Outer Plane, intermediate deity&lt;/td&gt; &lt;td&gt;DC 14/4 weeks&lt;/td&gt; &lt;td&gt;01-73&lt;/td&gt; &lt;td&gt;74-81&lt;/td&gt; &lt;td&gt;82-98&lt;/td&gt; &lt;td&gt;99-100&lt;/td&gt; &lt;/tr&gt; &lt;tr&gt; &lt;td&gt;Outer Plane, greater deity&lt;/td&gt; &lt;td&gt;DC 16/5 weeks&lt;/td&gt; &lt;td&gt;01-88&lt;/td&gt; &lt;td&gt;89-90&lt;/td&gt; &lt;td&gt;91-99&lt;/td&gt; &lt;td&gt;100&lt;/td&gt; &lt;/tr&gt; &lt;/table&gt;&lt;/p&gt;</t>
  </si>
  <si>
    <t>&lt;link rel="stylesheet"href="PF.css"&gt;&lt;div class="heading"&gt;&lt;p class="alignleft"&gt;Contact Other Plane&lt;/p&gt;&lt;div style="clear: both;"&gt;&lt;/div&gt;&lt;/div&gt;&lt;div&gt;&lt;h5&gt;&lt;b&gt;School &lt;/b&gt;divination; &lt;b&gt;Level &lt;/b&gt;sorcerer/wizard 5, alchemist 5, summoner 4, witch 5&lt;/h5&gt;&lt;h5&gt;&lt;b&gt;Casting Time &lt;/b&gt;10 minutes&lt;/h5&gt;&lt;h5&gt;&lt;b&gt;Components &lt;/b&gt;V&lt;/h5&gt;&lt;h5&gt;&lt;b&gt;Range &lt;/b&gt;personal&lt;/h5&gt;&lt;h5&gt;&lt;b&gt;Targets &lt;/b&gt; you&lt;/h5&gt;&lt;h5&gt;&lt;b&gt;Duration &lt;/b&gt;concentration&lt;/h5&gt;&lt;/div&gt;&lt;div&gt;&lt;h4&gt;&lt;p&gt;You send your mind to another plane of existence (an Elemental Plane or some plane farther removed) in order to receive advice and information from powers there. See the accompanying table for possible consequences and results of the attempt. The powers reply in a language you understand, but they resent such contact and give only brief answers to your questions. All questions are answered with "yes," "no," "maybe," "never," "irrelevant," or some other one-word answer.&lt;/p&gt;&lt;p&gt;You must concentrate on maintaining the spell (a standard action) in order to ask questions at the rate of one per round. A question is answered by the power during the same round. You may ask one question for every two caster levels.&lt;/p&gt;&lt;p&gt;Contact with minds far removed from your home plane increases the probability that you will incur a decrease in Intelligence and Charisma due to your brain being overwhelmed, but also increases the chance of the power knowing the answer and answering correctly. Once the Outer Planes are reached, the power of the deity contacted determines the effects. (Random results obtained from the table are subject to the personalities of individual deities.) On rare occasions, this divination may be blocked by an act of certain deities or forces.&lt;/p&gt;&lt;p&gt;&lt;i&gt;Avoid Int/Cha Decrease&lt;/i&gt;: You must succeed on an Intelligence check against this DC to avoid a decrease in Intelligence and Charisma. If the check fails, your Intelligence and Charisma scores each fall to 8 for the stated duration, and you become unable to cast arcane spells. If you lose Intelligence and Charisma, the effect strikes as soon as the first question is asked, and no answer is received. If a successful contact is made, roll d% to determine the type of answer you gain.&lt;/p&gt;&lt;p&gt;&lt;i&gt;True Answer&lt;/i&gt;: You get a true, one-word answer. Questions that cannot be answered in this way are answered randomly.&lt;/p&gt;&lt;p&gt;&lt;i&gt;Don't Know&lt;/i&gt;: The entity tells you that it doesn't know.&lt;/p&gt;&lt;p&gt;&lt;i&gt;Lie&lt;/i&gt;: The entity intentionally lies to you.&lt;/p&gt;&lt;p&gt;&lt;i&gt;Random Answer&lt;/i&gt;: The entity tries to lie but doesn't know the answer, so it makes one up.&lt;/p&gt;&lt;p&gt; &lt;table&gt; &lt;tr&gt; &lt;td&gt;Contact Other Plane&lt;/td&gt; &lt;/tr&gt; &lt;tr&gt; &lt;th&gt;Plane Contacted&lt;/th&gt; &lt;th&gt;Avoid Int/Cha Decrease&lt;/th&gt; &lt;th&gt;True Answer&lt;/th&gt; &lt;th&gt;Don't Know&lt;/th&gt; &lt;th&gt;Lie&lt;/th&gt; &lt;th&gt;Random Answer&lt;/th&gt; &lt;/tr&gt; &lt;tr&gt; &lt;td&gt;Elemental Plane&lt;/td&gt; &lt;td&gt;DC 7/1 week&lt;/td&gt; &lt;td&gt;01-34&lt;/td&gt; &lt;td&gt;35-62&lt;/td&gt; &lt;td&gt;63-83&lt;/td&gt; &lt;td&gt;84-100&lt;/td&gt; &lt;/tr&gt; &lt;tr&gt; &lt;td&gt;Positive/Negative Energy Plane&lt;/td&gt; &lt;td&gt;DC 8/1 week&lt;/td&gt; &lt;td&gt;01-39&lt;/td&gt; &lt;td&gt;40-65&lt;/td&gt; &lt;td&gt;66-86&lt;/td&gt; &lt;td&gt;87-100&lt;/td&gt; &lt;/tr&gt; &lt;tr&gt; &lt;td&gt;Astral Plane&lt;/td&gt; &lt;td&gt;DC 9/1 week&lt;/td&gt; &lt;td&gt;01-44&lt;/td&gt; &lt;td&gt;45-67&lt;/td&gt; &lt;td&gt;68-88&lt;/td&gt; &lt;td&gt;89-100&lt;/td&gt; &lt;/tr&gt; &lt;tr&gt; &lt;td&gt;Outer Plane, demigod&lt;/td&gt; &lt;td&gt;DC 10/2 weeks&lt;/td&gt; &lt;td&gt;01-49&lt;/td&gt; &lt;td&gt;50-70&lt;/td&gt; &lt;td&gt;71-91&lt;/td&gt; &lt;td&gt;92-100&lt;/td&gt; &lt;/tr&gt; &lt;tr&gt; &lt;td&gt;Outer Plane, lesser deity&lt;/td&gt; &lt;td&gt;DC 12/3 weeks&lt;/td&gt; &lt;td&gt;01-60&lt;/td&gt; &lt;td&gt;61-75&lt;/td&gt; &lt;td&gt;76-95&lt;/td&gt; &lt;td&gt;96-100&lt;/td&gt; &lt;/tr&gt; &lt;tr&gt; &lt;td&gt;Outer Plane, intermediate deity&lt;/td&gt; &lt;td&gt;DC 14/4 weeks&lt;/td&gt; &lt;td&gt;01-73&lt;/td&gt; &lt;td&gt;74-81&lt;/td&gt; &lt;td&gt;82-98&lt;/td&gt; &lt;td&gt;99-100&lt;/td&gt; &lt;/tr&gt; &lt;tr&gt; &lt;td&gt;Outer Plane, greater deity&lt;/td&gt; &lt;td&gt;DC 16/5 weeks&lt;/td&gt; &lt;td&gt;01-88&lt;/td&gt; &lt;td&gt;89-90&lt;/td&gt; &lt;td&gt;91-99&lt;/td&gt; &lt;td&gt;100&lt;/td&gt; &lt;/tr&gt; &lt;/table&gt;&lt;/p&gt;&lt;/h4&gt;&lt;/div&gt;</t>
  </si>
  <si>
    <t> Lets you ask question of extraplanar entity.</t>
  </si>
  <si>
    <t>Contagion</t>
  </si>
  <si>
    <t>cleric/oracle 3, druid 3, sorcerer/wizard 4, antipaladin 3</t>
  </si>
  <si>
    <t>The subject contracts one of the following diseases: blinding sickness, bubonic plague, cackle fever, filth fever, leprosy, mindfire, red ache, shakes, or slimy doom. The disease is contracted immediately (the onset period does not apply). Use the disease's listed frequency and save DC to determine further effects. For more information on these diseases, see page 557.</t>
  </si>
  <si>
    <t>&lt;p&gt;The subject contracts one of the following diseases: blinding sickness, bubonic plague, cackle fever, filth fever, leprosy, mindfire, red ache, shakes, or slimy doom. The disease is contracted immediately (the onset period does not apply). Use the disease's listed frequency and save DC to determine further effects. For more information on these diseases, see page 557.&lt;/p&gt;</t>
  </si>
  <si>
    <t>&lt;link rel="stylesheet"href="PF.css"&gt;&lt;div class="heading"&gt;&lt;p class="alignleft"&gt;Contagion&lt;/p&gt;&lt;div style="clear: both;"&gt;&lt;/div&gt;&lt;/div&gt;&lt;div&gt;&lt;h5&gt;&lt;b&gt;School &lt;/b&gt;necromancy [evil]; &lt;b&gt;Level &lt;/b&gt;cleric/oracle 3, druid 3, sorcerer/wizard 4, antipaladin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&lt;/b&gt;living creature touched&lt;/h5&gt;&lt;h5&gt;&lt;b&gt;Duration &lt;/b&gt;instantaneous&lt;/h5&gt;&lt;h5&gt;&lt;b&gt;Saving Throw &lt;/b&gt;Fortitude negates; &lt;b&gt;Spell Resistance &lt;/b&gt;yes&lt;/h5&gt;&lt;/div&gt;&lt;hr/&gt;&lt;div&gt;&lt;h5&gt;&lt;b&gt;DESCRIPTION&lt;/b&gt;&lt;/h5&gt;&lt;/div&gt;&lt;hr/&gt;&lt;div&gt;&lt;h4&gt;&lt;p&gt;The subject contracts one of the following diseases: blinding sickness, bubonic plague, cackle fever, filth fever, leprosy, mindfire, red ache, shakes, or slimy doom. The disease is contracted immediately (the onset period does not apply). Use the disease's listed frequency and save DC to determine further effects. For more information on these diseases, see page 557.&lt;/p&gt;&lt;/h4&gt;&lt;h5&gt;&lt;b&gt;Mythic: &lt;/b&gt;The affected target is highly contagious. Any creature it touches or that touches it with natural weapons or unarmed strikes must save or contract the disease. The save DC for these targets is equal to the spell's DC - 4. The target can't spread this disease to you.&lt;/h5&gt;&lt;h5&gt;&lt;b&gt;Augmented (7th)&lt;/b&gt;: If you expend five uses of mythic power, the spell targets every living creature within a 1-mile radius. You can select one creature per caster level within your line of sight; these creatures are unaffected by the spell.&lt;/h5&gt;&lt;/div&gt;</t>
  </si>
  <si>
    <t>Decay</t>
  </si>
  <si>
    <t>Infects subject with chosen disease.</t>
  </si>
  <si>
    <t>The affected target is highly contagious. Any creature it touches or that touches it with natural weapons or unarmed strikes must save or contract the disease. The save DC for these targets is equal to the spell's DC - 4. The target can't spread this disease to you.</t>
  </si>
  <si>
    <t>Augmented (7th): If you expend five uses of mythic power, the spell targets every living creature within a 1-mile radius. You can select one creature per caster level within your line of sight; these creatures are unaffected by the spell.</t>
  </si>
  <si>
    <t>Contingency</t>
  </si>
  <si>
    <t>sorcerer/wizard 6</t>
  </si>
  <si>
    <t>at least 10 minutes; see text</t>
  </si>
  <si>
    <t>V, S, M (quicksilver and an eyelash of a spell-using creature), F (ivory statuette of you worth 1,500 gp)</t>
  </si>
  <si>
    <t>1 day/level (D) or until discharged</t>
  </si>
  <si>
    <t>You can place another spell upon your person so that it comes into effect under some condition you dictate when casting contingency. The contingency spell and the companion spell are cast at the same time. The 10-minute casting time is the minimum total for both castings; if the companion spell has a casting time longer than 10 minutes, use that instead. You must pay any costs associated with the companion spell when you cast contingency. The spell to be brought into effect by the contingency must be one that affects your person and be of a spell level no higher than one-third your caster level (rounded down, maximum 6th level). The conditions needed to bring the spell into effect must be clear, although they can be general. In all cases, the contingency immediately brings into effect the companion spell, the latter being "cast" instantaneously when the prescribed circumstances occur. If complicated or convoluted conditions are prescribed, the whole spell combination (contingency and the companion magic) may fail when triggered. The companion spell occurs based solely on the stated conditions, regardless of whether you want it to. You can use only one contingency spell at a time; if a second is cast, the first one (if still active) is dispelled.</t>
  </si>
  <si>
    <t>&lt;p&gt;You can place another spell upon your person so that it comes into effect under some condition you dictate when casting &lt;i&gt;contingency&lt;/i&gt;.&lt;/p&gt;&lt;p&gt;The &lt;i&gt;contingency&lt;/i&gt; spell and the companion spell are cast at the same time. The 10-minute casting time is the minimum total for both castings; if the companion spell has a casting time longer than 10 minutes, use that instead. You must pay any costs associated with the companion spell when you cast &lt;i&gt;contingency&lt;/i&gt;.&lt;/p&gt;&lt;p&gt;The spell to be brought into effect by the &lt;i&gt;contingency&lt;/i&gt; must be one that affects your person and be of a spell level no higher than one-third your caster level (rounded down, maximum 6th level).&lt;/p&gt;&lt;p&gt;The conditions needed to bring the spell into effect must be clear, although they can be general. In all cases, the &lt;i&gt;contingency&lt;/i&gt; immediately brings into effect the companion spell, the latter being "cast" instantaneously when the prescribed circumstances occur.&lt;/p&gt;&lt;p&gt;If complicated or convoluted conditions are prescribed, the whole spell combination (&lt;i&gt;contingency&lt;/i&gt; and the companion magic) may fail when triggered. The companion spell occurs based solely on the stated conditions, regardless of whether you want it to.&lt;/p&gt;&lt;p&gt;You can use only one &lt;i&gt;contingency&lt;/i&gt; spell at a time; if a second is cast, the first one (if still active) is dispelled.&lt;/p&gt;</t>
  </si>
  <si>
    <t>&lt;link rel="stylesheet"href="PF.css"&gt;&lt;div class="heading"&gt;&lt;p class="alignleft"&gt;Contingency&lt;/p&gt;&lt;div style="clear: both;"&gt;&lt;/div&gt;&lt;/div&gt;&lt;div&gt;&lt;h5&gt;&lt;b&gt;School &lt;/b&gt;evocation; &lt;b&gt;Level &lt;/b&gt;sorcerer/wizard 6&lt;/h5&gt;&lt;/div&gt;&lt;hr/&gt;&lt;div&gt;&lt;h5&gt;&lt;b&gt;CASTING&lt;/b&gt;&lt;/h5&gt;&lt;/div&gt;&lt;hr/&gt;&lt;div&gt;&lt;h5&gt;&lt;b&gt;Casting Time &lt;/b&gt;at least 10 minutes; see text&lt;/h5&gt;&lt;h5&gt;&lt;b&gt;Components &lt;/b&gt;V, S, M (quicksilver and an eyelash of a spell-using creature), F (ivory statuette of you worth 1,500 gp)&lt;/h5&gt;&lt;/div&gt;&lt;hr/&gt;&lt;div&gt;&lt;h5&gt;&lt;b&gt;EFFECT&lt;/b&gt;&lt;/h5&gt;&lt;/div&gt;&lt;hr/&gt;&lt;div&gt;&lt;h5&gt;&lt;b&gt;Range &lt;/b&gt;personal&lt;/h5&gt;&lt;h5&gt;&lt;b&gt;Targets &lt;/b&gt;you&lt;/h5&gt;&lt;h5&gt;&lt;b&gt;Duration &lt;/b&gt;1 day/level (D) or until discharged&lt;/h5&gt;&lt;/div&gt;&lt;hr/&gt;&lt;div&gt;&lt;h5&gt;&lt;b&gt;DESCRIPTION&lt;/b&gt;&lt;/h5&gt;&lt;/div&gt;&lt;hr/&gt;&lt;div&gt;&lt;h4&gt;&lt;p&gt;You can place another spell upon your person so that it comes into effect under some condition you dictate when casting &lt;i&gt;contingency&lt;/i&gt;.&lt;/p&gt;&lt;p&gt;The &lt;i&gt;contingency&lt;/i&gt; spell and the companion spell are cast at the same time. The 10-minute casting time is the minimum total for both castings; if the companion spell has a casting time longer than 10 minutes, use that instead. You must pay any costs associated with the companion spell when you cast &lt;i&gt;contingency&lt;/i&gt;.&lt;/p&gt;&lt;p&gt;The spell to be brought into effect by the &lt;i&gt;contingency&lt;/i&gt; must be one that affects your person and be of a spell level no higher than one-third your caster level (rounded down, maximum 6th level).&lt;/p&gt;&lt;p&gt;The conditions needed to bring the spell into effect must be clear, although they can be general. In all cases, the &lt;i&gt;contingency&lt;/i&gt; immediately brings into effect the companion spell, the latter being "cast" instantaneously when the prescribed circumstances occur.&lt;/p&gt;&lt;p&gt;If complicated or convoluted conditions are prescribed, the whole spell combination (&lt;i&gt;contingency&lt;/i&gt; and the companion magic) may fail when triggered. The companion spell occurs based solely on the stated conditions, regardless of whether you want it to.&lt;/p&gt;&lt;p&gt;You can use only one &lt;i&gt;contingency&lt;/i&gt; spell at a time; if a second is cast, the first one (if still active) is dispelled.&lt;/p&gt;&lt;/h4&gt;&lt;h5&gt;&lt;b&gt;Mythic: &lt;/b&gt;You can cast this spell on yourself or another willing creature as if the spell had a range of touch. A companion spell placed on another creature must be a spell from you, not from the creature, and affects that creature when triggered. The target can have only one contingency spell upon it at a time unless it also knows mythic contingency. The number of companion spells you can have on yourself is equal to 1 + half your tier.&lt;/h5&gt;&lt;h5&gt;&lt;b&gt;Augmented (5th)&lt;/b&gt;: If you expend two uses of mythic power, the casting time changes to 1 full round plus the casting time of the companion spell, but the duration of mythic contingency decreases to 1 hour per level or until discharged.&lt;/h5&gt;&lt;/div&gt;</t>
  </si>
  <si>
    <t> Sets trigger condition for another spell.</t>
  </si>
  <si>
    <t>You can cast this spell on yourself or another willing creature as if the spell had a range of touch. A companion spell placed on another creature must be a spell from you, not from the creature, and affects that creature when triggered. The target can have only one contingency spell upon it at a time unless it also knows mythic contingency. The number of companion spells you can have on yourself is equal to 1 + half your tier.</t>
  </si>
  <si>
    <t>Augmented (5th): If you expend two uses of mythic power, the casting time changes to 1 full round plus the casting time of the companion spell, but the duration of mythic contingency decreases to 1 hour per level or until discharged.</t>
  </si>
  <si>
    <t>Continual Flame</t>
  </si>
  <si>
    <t>cleric 3/oracle 3, sorcerer/wizard 2, inquisitor 3</t>
  </si>
  <si>
    <t>V, S, M (ruby dust worth 50 gp)</t>
  </si>
  <si>
    <t>object touched Effect magical, heatless flame</t>
  </si>
  <si>
    <t>A flame, equivalent in brightness to a torch, springs forth from an object that you touch. The effect looks like a regular flame, but it creates no heat and doesn't use oxygen. A continual flame can be covered and hidden but not smothered or quenched. Light spells counter and dispel darkness spells of an equal or lower level.</t>
  </si>
  <si>
    <t>&lt;p&gt;A flame, equivalent in brightness to a torch, springs forth from an object that you touch. The effect looks like a regular flame, but it creates no heat and doesn't use oxygen. A &lt;i&gt;continual flame&lt;/i&gt; can be covered and hidden but not smothered or quenched.&lt;/p&gt;&lt;p&gt;Light spells counter and dispel &lt;i&gt;darkness&lt;/i&gt; spells of an equal or lower level.&lt;/p&gt;</t>
  </si>
  <si>
    <t>&lt;link rel="stylesheet"href="PF.css"&gt;&lt;div class="heading"&gt;&lt;p class="alignleft"&gt;Continual Flame&lt;/p&gt;&lt;div style="clear: both;"&gt;&lt;/div&gt;&lt;/div&gt;&lt;div&gt;&lt;h5&gt;&lt;b&gt;School &lt;/b&gt;evocation [light]; &lt;b&gt;Level &lt;/b&gt;cleric 3/oracle 3, sorcerer/wizard 2, inquisitor 3&lt;/h5&gt;&lt;h5&gt;&lt;b&gt;Casting Time &lt;/b&gt;1 standard action&lt;/h5&gt;&lt;h5&gt;&lt;b&gt;Components &lt;/b&gt;V, S, M (ruby dust worth 50 gp)&lt;/h5&gt;&lt;h5&gt;&lt;b&gt;Range &lt;/b&gt;touch&lt;/h5&gt;&lt;h5&gt;&lt;b&gt;Targets &lt;/b&gt; object touched Effect magical, heatless flame&lt;/h5&gt;&lt;h5&gt;&lt;b&gt;Duration &lt;/b&gt;permanent&lt;/h5&gt;&lt;h5&gt;&lt;b&gt;Saving Throw &lt;/b&gt;none; &lt;b&gt;Spell Resistance &lt;/b&gt;no&lt;/h5&gt;&lt;/div&gt;&lt;div&gt;&lt;h4&gt;&lt;p&gt;A flame, equivalent in brightness to a torch, springs forth from an object that you touch. The effect looks like a regular flame, but it creates no heat and doesn't use oxygen. A &lt;i&gt;continual flame&lt;/i&gt; can be covered and hidden but not smothered or quenched.&lt;/p&gt;&lt;p&gt;Light spells counter and dispel &lt;i&gt;darkness&lt;/i&gt; spells of an equal or lower level.&lt;/p&gt;&lt;/h4&gt;&lt;/div&gt;</t>
  </si>
  <si>
    <t>Day</t>
  </si>
  <si>
    <t>Makes a permanent, heatless light.</t>
  </si>
  <si>
    <t>Light</t>
  </si>
  <si>
    <t>Control Plants</t>
  </si>
  <si>
    <t>This spell enables you to control the actions of one or more plant creatures for a short period of time. You command the creatures by voice and they understand you, no matter what language you speak. Even if vocal communication is impossible, the controlled plants do not attack you. At the end of the spell, the subjects revert to their normal behavior. Suicidal or self-destructive commands are simply ignored.</t>
  </si>
  <si>
    <t>&lt;p&gt;This spell enables you to control the actions of one or more plant creatures for a short period of time. You command the creatures by voice and they understand you, no matter what language you speak. Even if vocal communication is impossible, the controlled plants do not attack you. At the end of the spell, the subjects revert to their normal behavior.&lt;/p&gt;&lt;p&gt;Suicidal or self-destructive commands are simply ignored.&lt;/p&gt;</t>
  </si>
  <si>
    <t>&lt;link rel="stylesheet"href="PF.css"&gt;&lt;div class="heading"&gt;&lt;p class="alignleft"&gt;Control Plants&lt;/p&gt;&lt;div style="clear: both;"&gt;&lt;/div&gt;&lt;/div&gt;&lt;div&gt;&lt;h5&gt;&lt;b&gt;School &lt;/b&gt;transmutation; &lt;b&gt;Level &lt;/b&gt;druid 8&lt;/h5&gt;&lt;h5&gt;&lt;b&gt;Casting Time &lt;/b&gt;1 standard action&lt;/h5&gt;&lt;h5&gt;&lt;b&gt;Components &lt;/b&gt;V, S, DF&lt;/h5&gt;&lt;h5&gt;&lt;b&gt;Range &lt;/b&gt;close (25 ft. + 5 ft./2 levels)&lt;/h5&gt;&lt;h5&gt;&lt;b&gt;Targets &lt;/b&gt; up to 2 HD/level of plant creatures, no two of which can be more than 30 ft. apart&lt;/h5&gt;&lt;h5&gt;&lt;b&gt;Duration &lt;/b&gt;1 min./level&lt;/h5&gt;&lt;h5&gt;&lt;b&gt;Saving Throw &lt;/b&gt;Will negates; &lt;b&gt;Spell Resistance &lt;/b&gt;no&lt;/h5&gt;&lt;/div&gt;&lt;div&gt;&lt;h4&gt;&lt;p&gt;This spell enables you to control the actions of one or more plant creatures for a short period of time. You command the creatures by voice and they understand you, no matter what language you speak. Even if vocal communication is impossible, the controlled plants do not attack you. At the end of the spell, the subjects revert to their normal behavior.&lt;/p&gt;&lt;p&gt;Suicidal or self-destructive commands are simply ignored.&lt;/p&gt;&lt;/h4&gt;&lt;/div&gt;</t>
  </si>
  <si>
    <t> Controls actions of one or more plant creatures.</t>
  </si>
  <si>
    <t>Control Undead</t>
  </si>
  <si>
    <t>sorcerer/wizard 7</t>
  </si>
  <si>
    <t>V, S, M (a piece of bone and a piece of raw meat)</t>
  </si>
  <si>
    <t>up to 2 HD/level of undead creatures, no two of which can be more than 30 ft. apart</t>
  </si>
  <si>
    <t>This spell enables you to control undead creatures for a short period of time. You command them by voice and they understand you, no matter what language you speak. Even if vocal communication is impossible, the controlled undead do not attack you. At the end of the spell, the subjects revert to their normal behavior. Intelligent undead creatures remember that you controlled them, and they may seek revenge after the spell's effects end.</t>
  </si>
  <si>
    <t>&lt;p&gt;This spell enables you to control undead creatures for a short period of time. You command them by voice and they understand you, no matter what language you speak. Even if vocal communication is impossible, the controlled undead do not attack you. At the end of the spell, the subjects revert to their normal behavior.&lt;/p&gt;&lt;p&gt;Intelligent undead creatures remember that you controlled them, and they may seek revenge after the spell's effects end.&lt;/p&gt;</t>
  </si>
  <si>
    <t>&lt;link rel="stylesheet"href="PF.css"&gt;&lt;div class="heading"&gt;&lt;p class="alignleft"&gt;Control Undead&lt;/p&gt;&lt;div style="clear: both;"&gt;&lt;/div&gt;&lt;/div&gt;&lt;div&gt;&lt;h5&gt;&lt;b&gt;School &lt;/b&gt;necromancy; &lt;b&gt;Level &lt;/b&gt;sorcerer/wizard 7&lt;/h5&gt;&lt;h5&gt;&lt;b&gt;Casting Time &lt;/b&gt;1 standard action&lt;/h5&gt;&lt;h5&gt;&lt;b&gt;Components &lt;/b&gt;V, S, M (a piece of bone and a piece of raw meat)&lt;/h5&gt;&lt;h5&gt;&lt;b&gt;Range &lt;/b&gt;close (25 ft. + 5 ft./2 levels)&lt;/h5&gt;&lt;h5&gt;&lt;b&gt;Targets &lt;/b&gt; up to 2 HD/level of undead creatures, no two of which can be more than 30 ft. apart&lt;/h5&gt;&lt;h5&gt;&lt;b&gt;Duration &lt;/b&gt;1 min./level&lt;/h5&gt;&lt;h5&gt;&lt;b&gt;Saving Throw &lt;/b&gt;Will negates; &lt;b&gt;Spell Resistance &lt;/b&gt;yes&lt;/h5&gt;&lt;/div&gt;&lt;div&gt;&lt;h4&gt;&lt;p&gt;This spell enables you to control undead creatures for a short period of time. You command them by voice and they understand you, no matter what language you speak. Even if vocal communication is impossible, the controlled undead do not attack you. At the end of the spell, the subjects revert to their normal behavior.&lt;/p&gt;&lt;p&gt;Intelligent undead creatures remember that you controlled them, and they may seek revenge after the spell's effects end.&lt;/p&gt;&lt;/h4&gt;&lt;/div&gt;</t>
  </si>
  <si>
    <t> Undead don't attack you while under your command.</t>
  </si>
  <si>
    <t>Control Water</t>
  </si>
  <si>
    <t>cleric 4/oracle 4, druid 4, sorcerer/wizard 6</t>
  </si>
  <si>
    <t>V, S, M/DF (a pinch of dust for lower water or a drop of water for raise water)</t>
  </si>
  <si>
    <t>water in a volume of 10 ft./level by 10 ft./level by 2 ft./level</t>
  </si>
  <si>
    <t>This spell has two different applications, both of which control water in different ways. The first version of this spell causes water in the area to swiftly evaporate or to sink into the ground below, lowering the water's depth. The second version causes the water to surge and rise, increasing its overall depth and possibly flooding nearby areas. Lower Water: This causes water or similar liquid to reduce its depth by as much as 2 feet per caster level (to a minimum depth of 1 inch). The water is lowered within a squarish depression whose sides are up to caster level Ã— 10 feet long. In extremely large and deep bodies of water, such as a deep ocean, the spell creates a whirlpool that sweeps ships and similar craft downward, putting them at risk and rendering them unable to leave by normal movement for the duration of the spell. When cast on water elementals and other water-based creatures, this spell acts as a slow spell (Will negates). The spell has no effect on other creatures. Raise Water: This causes water or similar liquid to rise in height, just as the lower water version causes it to lower. Boats raised in this way slide down the sides of the hump that the spell creates. If the area affected by the spell includes riverbanks, a beach, or other land nearby, the water can spill over onto dry land. With either version of this spell, you may reduce one horizontal dimension by half and double the other horizontal dimension to change the overall area of effect.</t>
  </si>
  <si>
    <t>&lt;p&gt;This spell has two different applications, both of which control water in different ways. The first version of this spell causes water in the area to swiftly evaporate or to sink into the ground below, lowering the water's depth. The second version causes the water to surge and rise, increasing its overall depth and possibly flooding nearby areas.&lt;/p&gt;&lt;p&gt;&lt;i&gt;Lower Water&lt;/i&gt;: This causes water or similar liquid to reduce its depth by as much as 2 feet per caster level (to a minimum depth of 1 inch). The water is lowered within a squarish depression whose sides are up to caster level x 10 feet long. In extremely large and deep bodies of water, such as a deep ocean, the spell creates a whirlpool that sweeps ships and similar craft downward, putting them at risk and rendering them unable to leave by normal movement for the duration of the spell. When cast on water elementals and other water-based creatures, this spell acts as a &lt;i&gt;slow&lt;/i&gt; spell (Will negates). The spell has no effect on other creatures.&lt;/p&gt;&lt;p&gt;&lt;i&gt;Raise Water&lt;/i&gt;: This causes water or similar liquid to rise in height, just as the &lt;i&gt;lower water&lt;/i&gt; version causes it to lower. Boats raised in this way slide down the sides of the hump that the spell creates. If the area affected by the spell includes riverbanks, a beach, or other land nearby, the water can spill over onto dry land.&lt;/p&gt;&lt;p&gt;With either version of this spell, you may reduce one horizontal dimension by half and double the other horizontal dimension to change the overall area of effect.&lt;/p&gt;</t>
  </si>
  <si>
    <t>&lt;link rel="stylesheet"href="PF.css"&gt;&lt;div class="heading"&gt;&lt;p class="alignleft"&gt;Control Water&lt;/p&gt;&lt;div style="clear: both;"&gt;&lt;/div&gt;&lt;/div&gt;&lt;div&gt;&lt;h5&gt;&lt;b&gt;School &lt;/b&gt;transmutation [water]; &lt;b&gt;Level &lt;/b&gt;cleric 4/oracle 4, druid 4, sorcerer/wizard 6&lt;/h5&gt;&lt;h5&gt;&lt;b&gt;Casting Time &lt;/b&gt;1 standard action&lt;/h5&gt;&lt;h5&gt;&lt;b&gt;Components &lt;/b&gt;V, S, M/DF (a pinch of dust for lower water or a drop of water for raise water)&lt;/h5&gt;&lt;h5&gt;&lt;b&gt;Range &lt;/b&gt;long (400 ft. + 40 ft./level)&lt;/h5&gt;&lt;h5&gt;&lt;b&gt;Area &lt;/b&gt;water in a volume of 10 ft./level by 10 ft./level by 2 ft./level (S)&lt;/h5&gt;&lt;h5&gt;&lt;b&gt;Duration &lt;/b&gt;10 min./level (D)&lt;/h5&gt;&lt;h5&gt;&lt;b&gt;Saving Throw &lt;/b&gt;none; see text; &lt;b&gt;Spell Resistance &lt;/b&gt;no&lt;/h5&gt;&lt;/div&gt;&lt;div&gt;&lt;h4&gt;&lt;p&gt;This spell has two different applications, both of which control water in different ways. The first version of this spell causes water in the area to swiftly evaporate or to sink into the ground below, lowering the water's depth. The second version causes the water to surge and rise, increasing its overall depth and possibly flooding nearby areas.&lt;/p&gt;&lt;p&gt;&lt;i&gt;Lower Water&lt;/i&gt;: This causes water or similar liquid to reduce its depth by as much as 2 feet per caster level (to a minimum depth of 1 inch). The water is lowered within a squarish depression whose sides are up to caster level x 10 feet long. In extremely large and deep bodies of water, such as a deep ocean, the spell creates a whirlpool that sweeps ships and similar craft downward, putting them at risk and rendering them unable to leave by normal movement for the duration of the spell. When cast on water elementals and other water-based creatures, this spell acts as a &lt;i&gt;slow&lt;/i&gt; spell (Will negates). The spell has no effect on other creatures.&lt;/p&gt;&lt;p&gt;&lt;i&gt;Raise Water&lt;/i&gt;: This causes water or similar liquid to rise in height, just as the &lt;i&gt;lower water&lt;/i&gt; version causes it to lower. Boats raised in this way slide down the sides of the hump that the spell creates. If the area affected by the spell includes riverbanks, a beach, or other land nearby, the water can spill over onto dry land.&lt;/p&gt;&lt;p&gt;With either version of this spell, you may reduce one horizontal dimension by half and double the other horizontal dimension to change the overall area of effect.&lt;/p&gt;&lt;/h4&gt;&lt;/div&gt;</t>
  </si>
  <si>
    <t>Raises or lowers bodies of water.</t>
  </si>
  <si>
    <t>Moon, Water</t>
  </si>
  <si>
    <t>Control Weather</t>
  </si>
  <si>
    <t>cleric/oracle 7, druid 7, sorcerer/wizard 7, witch 7</t>
  </si>
  <si>
    <t>10 minutes; see text</t>
  </si>
  <si>
    <t>2 miles</t>
  </si>
  <si>
    <t>2-mile-radius circle, centered on you; see text</t>
  </si>
  <si>
    <t>4d12 hours; see text</t>
  </si>
  <si>
    <t>You change the weather in the local area. It takes 10 minutes to cast the spell and an additional 10 minutes for the effects to manifest. You can call forth weather appropriate to the climate and season of the area you are in. You can also use this spell to cause the weather in the area to become calm and normal for the season. Season Possible Weather Spring Tornado, thunderstorm, sleet storm, or hot weather Summer Torrential rain, heat wave, or hailstorm Autumn Hot or cold weather, fog, or sleet Winter Frigid cold, blizzard, or thaw Late winter Hurricane-force winds or early spring You control the general tendencies of the weather, such as the direction and intensity of the wind. You cannot control specific applications of the weather-where lightning strikes, for example, or the exact path of a tornado. The weather continues as you left it for the duration, or until you use a standard action to designate a new kind of weather (which fully manifests itself 10 minutes later). Contradictory conditions are not possible simultaneously. Control weather can do away with atmospheric phenomena (naturally occurring or otherwise) as well as create them. A druid casting this spell doubles the duration and affects a circle with a 3-mile radius.</t>
  </si>
  <si>
    <t>&lt;p&gt;You change the weather in the local area. It takes 10 minutes to cast the spell and an additional 10 minutes for the effects to manifest. You can call forth weather appropriate to the climate and season of the area you are in. You can also use this spell to cause the weather in the area to become calm and normal for the season.&lt;/p&gt;&lt;p&gt;&lt;b&gt;&lt;table&gt;&lt;tr&gt;&lt;th&gt;Season&lt;/th&gt;&lt;th&gt;Possible Weather&lt;/th&gt;&lt;/tr&gt; &lt;tbody&gt;&lt;tr&gt;&lt;td&gt;Spring&lt;/td&gt;&lt;td&gt;Tornado, thunderstorm, sleet storm, or hot weather&lt;/td&gt;&lt;/tr&gt; &lt;tr&gt;&lt;td&gt;Summer&lt;/td&gt;&lt;td&gt;Torrential rain, heat wave, or hailstorm&lt;/td&gt;&lt;/tr&gt; &lt;tr&gt;&lt;td&gt;Autumn&lt;/td&gt;&lt;td&gt;Hot or cold weather, fog, or sleet&lt;/td&gt;&lt;/tr&gt; &lt;tr&gt;&lt;td&gt;Winter&lt;/td&gt;&lt;td&gt;Frigid cold, blizzard, or thaw&lt;/td&gt;&lt;/tr&gt; &lt;tr&gt;&lt;td&gt;Late winter&lt;/td&gt;&lt;td&gt;Hurricane-force winds or early spring&lt;/td&gt;&lt;/tr&gt;&lt;/table&gt; You control the general tendencies of the weather, such as the direction and intensity of the wind. You cannot control specific applications of the weather-where lightning strikes, for example, or the exact path of a tornado. The weather continues as you left it for the duration, or until you use a standard action to designate a new kind of weather (which fully manifests itself 10 minutes later). Contradictory conditions are not possible simultaneously.&lt;/p&gt;&lt;p&gt;&lt;i&gt;Control weather&lt;/i&gt; can do away with atmospheric phenomena (naturally occurring or otherwise) as well as create them.&lt;/p&gt;&lt;p&gt;A druid casting this spell doubles the duration and affects a circle with a 3-mile radius.&lt;/p&gt;</t>
  </si>
  <si>
    <t>&lt;link rel="stylesheet"href="PF.css"&gt;&lt;div class="heading"&gt;&lt;p class="alignleft"&gt;Control Weather&lt;/p&gt;&lt;div style="clear: both;"&gt;&lt;/div&gt;&lt;/div&gt;&lt;div&gt;&lt;h5&gt;&lt;b&gt;School &lt;/b&gt;transmutation; &lt;b&gt;Level &lt;/b&gt;cleric/oracle 7, druid 7, sorcerer/wizard 7, witch 7&lt;/h5&gt;&lt;/div&gt;&lt;hr/&gt;&lt;div&gt;&lt;h5&gt;&lt;b&gt;CASTING&lt;/b&gt;&lt;/h5&gt;&lt;/div&gt;&lt;hr/&gt;&lt;div&gt;&lt;h5&gt;&lt;b&gt;Casting Time &lt;/b&gt;10 minutes; see text&lt;/h5&gt;&lt;h5&gt;&lt;b&gt;Components &lt;/b&gt;V, S&lt;/h5&gt;&lt;/div&gt;&lt;hr/&gt;&lt;div&gt;&lt;h5&gt;&lt;b&gt;EFFECT&lt;/b&gt;&lt;/h5&gt;&lt;/div&gt;&lt;hr/&gt;&lt;div&gt;&lt;h5&gt;&lt;b&gt;Range &lt;/b&gt;2 miles&lt;/h5&gt;&lt;h5&gt;&lt;b&gt;Area &lt;/b&gt;2-mile-radius circle, centered on you; see text&lt;/h5&gt;&lt;h5&gt;&lt;b&gt;Duration &lt;/b&gt;4d12 hours; see text&lt;/h5&gt;&lt;h5&gt;&lt;b&gt;Saving Throw &lt;/b&gt;none; &lt;b&gt;Spell Resistance &lt;/b&gt;no&lt;/h5&gt;&lt;/div&gt;&lt;hr/&gt;&lt;div&gt;&lt;h5&gt;&lt;b&gt;DESCRIPTION&lt;/b&gt;&lt;/h5&gt;&lt;/div&gt;&lt;hr/&gt;&lt;div&gt;&lt;h4&gt;&lt;p&gt;You change the weather in the local area. It takes 10 minutes to cast the spell and an additional 10 minutes for the effects to manifest. You can call forth weather appropriate to the climate and season of the area you are in. You can also use this spell to cause the weather in the area to become calm and normal for the season.&lt;/p&gt; &lt;table border ='1'&gt;&lt;tr&gt;&lt;th&gt;Season&lt;/th&gt;&lt;th&gt;Possible Weather&lt;/th&gt;&lt;/tr&gt;&lt;tr&gt;&lt;td&gt;Spring&lt;/td&gt;&lt;td&gt;Tornado, thunderstorm, sleet storm, or hot weather&lt;/td&gt;&lt;/tr&gt;&lt;tr&gt;&lt;td&gt;Summer&lt;/td&gt;&lt;td&gt;Torrential rain, heat wave, or hailstorm&lt;/td&gt;&lt;/tr&gt;&lt;tr&gt;&lt;td&gt;Autumn&lt;/td&gt;&lt;td&gt;Hot or cold weather, fog, or sleet&lt;/td&gt;&lt;/tr&gt;&lt;tr&gt;&lt;td&gt;Winter&lt;/td&gt;&lt;td&gt;Frigid cold, blizzard, or thaw&lt;/td&gt;&lt;/tr&gt;&lt;tr&gt;&lt;td&gt;Late winter or early spring&lt;/td&gt;&lt;td&gt;Hurricane-force winds&lt;/td&gt;&lt;/tr&gt;&lt;/table&gt; You control the general tendencies of the weather, such as the direction and intensity of the wind. You cannot control specific applications of the weather-where lightning strikes, for example, or the exact path of a tornado. The weather continues as you left it for the duration, or until you use a standard action to designate a new kind of weather (which fully manifests itself 10 minutes later). Contradictory conditions are not possible simultaneously.&lt;/p&gt;&lt;p&gt;&lt;i&gt;Control weather&lt;/i&gt; can do away with atmospheric phenomena (naturally occurring or otherwise) as well as create them.&lt;/p&gt;&lt;p&gt;A druid casting this spell doubles the duration and affects a circle with a 3-mile radius.&lt;/p&gt;&lt;/h4&gt;&lt;h5&gt;&lt;b&gt;Mythic: &lt;/b&gt;The casting time changes to 1 standard action, and the duration doubles. The weather changes after a number of rounds equal to 11 - your tier.&lt;/h5&gt;&lt;h5&gt;&lt;b&gt;Augmented (6th)&lt;/b&gt;: If you expend two uses of mythic power, you can create weather of any type regardless of the season, and the weather changes after 1 round.&lt;/h5&gt;&lt;/div&gt;</t>
  </si>
  <si>
    <t>Changes weather in local area.</t>
  </si>
  <si>
    <t>Stormborn</t>
  </si>
  <si>
    <t>The casting time changes to 1 standard action, and the duration doubles. The weather changes after a number of rounds equal to 11 - your tier.</t>
  </si>
  <si>
    <t>Augmented (6th): If you expend two uses of mythic power, you can create weather of any type regardless of the season, and the weather changes after 1 round.</t>
  </si>
  <si>
    <t>Control Winds</t>
  </si>
  <si>
    <t>40 ft./level</t>
  </si>
  <si>
    <t>40 ft./level radius cylinder 40 ft. high</t>
  </si>
  <si>
    <t>You alter wind force in the area surrounding you. You can make the wind blow in a certain direction or manner, increase its strength, or decrease its strength. The new wind direction and strength persist until the spell ends or until you choose to alter your handiwork, which requires concentration. You may create an "eye" of calm air up to 80 feet in diameter at the center of the area if you so desire, and you may choose to limit the area to any cylindrical area less than your full limit. Wind Direction: You may choose one of four basic wind patterns to function over the spell's area. * A downdraft blows from the center outward in equal strength in all directions. * An updraft blows from the outer edges in toward the center in equal strength from all directions, veering upward before impinging on the eye in the center. * Rotation causes the winds to circle the center in clockwise or counterclockwise fashion. * A blast simply causes the winds to blow in one direction across the entire area from one side to the other. Wind Strength: For every three caster levels, you can increase or decrease wind strength by one level. Each round on your turn, a creature in the wind must make a Fortitude save or suffer the effect of being in the windy area. See Environment for more details. Strong winds (21+ mph) make sailing difficult. A severe wind (31+ mph) causes minor ship and building damage. A windstorm (51+ mph) drives most flying creatures from the skies, uproots small trees, knocks down light wooden structures, tears off roofs, and endangers ships. Hurricane force winds (75+ mph) destroy wooden buildings, uproot large trees, and cause most ships to founder. A tornado (175+ mph) destroys all nonfortified buildings and often uproots large trees.</t>
  </si>
  <si>
    <t>&lt;p&gt;You alter wind force in the area surrounding you. You can make the wind blow in a certain direction or manner, increase its strength, or decrease its strength. The new wind direction and strength persist until the spell ends or until you choose to alter your handiwork, which requires concentration. You may create an "eye" of calm air up to 80 feet in diameter at the center of the area if you so desire, and you may choose to limit the area to any cylindrical area less than your full limit.&lt;/p&gt;&lt;p&gt;&lt;i&gt;Wind Direction&lt;/i&gt;: You may choose one of four basic wind patterns to function over the spell's area.&lt;/p&gt;&lt;p&gt;&lt;ul&gt; &lt;li&gt; A downdraft blows from the center outward in equal strength in all directions.&lt;/p&gt;&lt;p&gt; &lt;li&gt; An updraft blows from the outer edges in toward the center in equal strength from all directions, veering upward before impinging on the eye in the center.&lt;/p&gt;&lt;p&gt; &lt;li&gt; Rotation causes the winds to circle the center in clockwise or counterclockwise fashion.&lt;/p&gt;&lt;p&gt; &lt;li&gt; A blast simply causes the winds to blow in one direction across the entire area from one side to the other.&lt;/ul&gt;&lt;/p&gt;&lt;p&gt; &lt;i&gt;Wind Strength&lt;/i&gt;: For every three caster levels, you can increase or decrease wind strength by one level. Each round on your turn, a creature in the wind must make a Fortitude save or suffer the effect of being in the windy area. See Environment for more details.&lt;/p&gt;&lt;p&gt;Strong winds (21+ mph) make sailing difficult.&lt;/p&gt;&lt;p&gt;A severe wind (31+ mph) causes minor ship and building damage.&lt;/p&gt;&lt;p&gt;A windstorm (51+ mph) drives most flying creatures from the skies, uproots small trees, knocks down light wooden structures, tears off roofs, and endangers ships.&lt;/p&gt;&lt;p&gt;Hurricane force winds (75+ mph) destroy wooden buildings, uproot large trees, and cause most ships to founder.&lt;/p&gt;&lt;p&gt;A tornado (175+ mph) destroys all nonfortified buildings and often uproots large trees.&lt;/p&gt;</t>
  </si>
  <si>
    <t>&lt;link rel="stylesheet"href="PF.css"&gt;&lt;div class="heading"&gt;&lt;p class="alignleft"&gt;Control Winds&lt;/p&gt;&lt;div style="clear: both;"&gt;&lt;/div&gt;&lt;/div&gt;&lt;div&gt;&lt;h5&gt;&lt;b&gt;School &lt;/b&gt;transmutation [air]; &lt;b&gt;Level &lt;/b&gt;druid 5&lt;/h5&gt;&lt;h5&gt;&lt;b&gt;Casting Time &lt;/b&gt;1 standard action&lt;/h5&gt;&lt;h5&gt;&lt;b&gt;Components &lt;/b&gt;V, S&lt;/h5&gt;&lt;h5&gt;&lt;b&gt;Range &lt;/b&gt;40 ft./level&lt;/h5&gt;&lt;h5&gt;&lt;b&gt;Area &lt;/b&gt;40 ft./level radius cylinder 40 ft. high&lt;/h5&gt;&lt;h5&gt;&lt;b&gt;Duration &lt;/b&gt;10 min./level&lt;/h5&gt;&lt;h5&gt;&lt;b&gt;Saving Throw &lt;/b&gt;Fortitude negates; &lt;b&gt;Spell Resistance &lt;/b&gt;no&lt;/h5&gt;&lt;/div&gt;&lt;div&gt;&lt;h4&gt;&lt;p&gt;You alter wind force in the area surrounding you. You can make the wind blow in a certain direction or manner, increase its strength, or decrease its strength. The new wind direction and strength persist until the spell ends or until you choose to alter your handiwork, which requires concentration. You may create an "eye" of calm air up to 80 feet in diameter at the center of the area if you so desire, and you may choose to limit the area to any cylindrical area less than your full limit.&lt;/p&gt;&lt;p&gt;&lt;i&gt;Wind Direction&lt;/i&gt;: You may choose one of four basic wind patterns to function over the spell's area.&lt;/p&gt;&lt;p&gt;&lt;ul&gt; &lt;li&gt; A downdraft blows from the center outward in equal strength in all directions.&lt;/p&gt;&lt;p&gt; &lt;li&gt; An updraft blows from the outer edges in toward the center in equal strength from all directions, veering upward before impinging on the eye in the center.&lt;/p&gt;&lt;p&gt; &lt;li&gt; Rotation causes the winds to circle the center in clockwise or counterclockwise fashion.&lt;/p&gt;&lt;p&gt; &lt;li&gt; A blast simply causes the winds to blow in one direction across the entire area from one side to the other.&lt;/ul&gt;&lt;/p&gt;&lt;p&gt; &lt;i&gt;Wind Strength&lt;/i&gt;: For every three caster levels, you can increase or decrease wind strength by one level. Each round on your turn, a creature in the wind must make a Fortitude save or suffer the effect of being in the windy area. See Environment for more details.&lt;/p&gt;&lt;p&gt;Strong winds (21+ mph) make sailing difficult.&lt;/p&gt;&lt;p&gt;A severe wind (31+ mph) causes minor ship and building damage.&lt;/p&gt;&lt;p&gt;A windstorm (51+ mph) drives most flying creatures from the skies, uproots small trees, knocks down light wooden structures, tears off roofs, and endangers ships.&lt;/p&gt;&lt;p&gt;Hurricane force winds (75+ mph) destroy wooden buildings, uproot large trees, and cause most ships to founder.&lt;/p&gt;&lt;p&gt;A tornado (175+ mph) destroys all nonfortified buildings and often uproots large trees.&lt;/p&gt;&lt;/h4&gt;&lt;/div&gt;</t>
  </si>
  <si>
    <t>Air, Weather</t>
  </si>
  <si>
    <t> Changes wind direction and speed.</t>
  </si>
  <si>
    <t>Create Food and Water</t>
  </si>
  <si>
    <t>cleric 3/oracle 3</t>
  </si>
  <si>
    <t>food and water to sustain three humans or one horse/level for 24 hours</t>
  </si>
  <si>
    <t>24 hours; see text</t>
  </si>
  <si>
    <t>The food that this spell creates is simple fare of your choice--highly nourishing, if rather bland. Food so created decays and becomes inedible after 24 hours, although it can be kept fresh for another 24 hours by casting a purify food and water spell on it. The water created by this spell is just like clean rain water, and it doesn't go bad as the food does.</t>
  </si>
  <si>
    <t>&lt;p&gt;The food that this spell creates is simple fare of your choice--highly nourishing, if rather bland. Food so created decays and becomes inedible after 24 hours, although it can be kept fresh for another 24 hours by casting a &lt;i&gt;purify food and water&lt;/i&gt; spell on it. The water created by this spell is just like clean rain water, and it doesn't go bad as the food does.&lt;/p&gt;</t>
  </si>
  <si>
    <t>&lt;link rel="stylesheet"href="PF.css"&gt;&lt;div class="heading"&gt;&lt;p class="alignleft"&gt;Create Food and Water&lt;/p&gt;&lt;div style="clear: both;"&gt;&lt;/div&gt;&lt;/div&gt;&lt;div&gt;&lt;h5&gt;&lt;b&gt;School &lt;/b&gt;conjuration (creation); &lt;b&gt;Level &lt;/b&gt;cleric 3/oracle 3&lt;/h5&gt;&lt;h5&gt;&lt;b&gt;Casting Time &lt;/b&gt;10 minutes&lt;/h5&gt;&lt;h5&gt;&lt;b&gt;Components &lt;/b&gt;V, S&lt;/h5&gt;&lt;h5&gt;&lt;b&gt;Range &lt;/b&gt;close (25 ft. + 5 ft./2 levels)&lt;/h5&gt;&lt;h5&gt;&lt;b&gt;Effect &lt;/b&gt;food and water to sustain three humans or one horse/level for 24 hours&lt;/h5&gt;&lt;h5&gt;&lt;b&gt;Duration &lt;/b&gt;24 hours; see text&lt;/h5&gt;&lt;h5&gt;&lt;b&gt;Saving Throw &lt;/b&gt;none; &lt;b&gt;Spell Resistance &lt;/b&gt;no&lt;/h5&gt;&lt;/div&gt;&lt;div&gt;&lt;h4&gt;&lt;p&gt;The food that this spell creates is simple fare of your choice--highly nourishing, if rather bland. Food so created decays and becomes inedible after 24 hours, although it can be kept fresh for another 24 hours by casting a &lt;i&gt;purify food and water&lt;/i&gt; spell on it. The water created by this spell is just like clean rain water, and it doesn't go bad as the food does.&lt;/p&gt;&lt;/h4&gt;&lt;/div&gt;</t>
  </si>
  <si>
    <t>Family</t>
  </si>
  <si>
    <t> Feeds three humans (or one horse)/level.</t>
  </si>
  <si>
    <t>Create Undead</t>
  </si>
  <si>
    <t>cleric 6/oracle 6, sorcerer/wizard 6</t>
  </si>
  <si>
    <t>V, S, M (a clay pot filled with grave dirt and an onyx gem worth at least 50 gp per HD of the undead to be created)</t>
  </si>
  <si>
    <t>one corpse</t>
  </si>
  <si>
    <t>A much more potent spell than animate dead, this evil spell allows you to infuse a dead body with negative energy to create more powerful sorts of undead: ghouls, ghasts, mummies, and mohrgs. The type or types of undead you can create are based on your caster level, as shown on the table below. Caster Level Undead Created 11th or lower Ghoul 12th-14th Ghast 15th-17th Mummy 18th or higher Mohrg You may create less powerful undead than your level would allow if you choose. Created undead are not automatically under the control of their animator. If you are capable of commanding undead, you may attempt to command the undead creature as it forms. This spell must be cast at night.</t>
  </si>
  <si>
    <t>&lt;p&gt;A much more potent spell than &lt;i&gt;animate dead &lt;/i&gt;, this evil spell allows you to infuse a dead body with negative energy to create more powerful sorts of undead: ghouls, ghasts, mummies, and mohrgs. The type or types of undead you can create are based on your caster level, as shown on the table below.&lt;/p&gt;&lt;p&gt;&lt;table&gt;&lt;thead&gt;&lt;tr&gt;&lt;th&gt;Caster Level&lt;/th&gt;&lt;th&gt;Undead Created&lt;/th&gt;&lt;/tr&gt; &lt;tbody&gt;&lt;tr&gt;&lt;td&gt;11th or lower&lt;/td&gt;&lt;td&gt;Ghoul&lt;/td&gt;&lt;/tr&gt; &lt;tr&gt;&lt;td&gt;12th-14th&lt;/td&gt;&lt;td&gt;Ghast&lt;/td&gt;&lt;/tr&gt; &lt;tr&gt;&lt;td&gt;15th-17th&lt;/td&gt;&lt;td&gt;Mummy&lt;/td&gt;&lt;/tr&gt; &lt;tr&gt;&lt;td&gt;18th or higher&lt;/td&gt;&lt;td&gt;Mohrg&lt;/td&gt;&lt;/tr&gt;&lt;/tbody&gt;&lt;/table&gt; You may create less powerful undead than your level would allow if you choose. Created undead are not automatically under the control of their animator. If you are capable of commanding undead, you may attempt to command the undead creature as it forms.&lt;/p&gt;&lt;p&gt;This spell must be cast at night.&lt;/p&gt;</t>
  </si>
  <si>
    <t>&lt;link rel="stylesheet"href="PF.css"&gt;&lt;div class="heading"&gt;&lt;p class="alignleft"&gt;Create Undead&lt;/p&gt;&lt;div style="clear: both;"&gt;&lt;/div&gt;&lt;/div&gt;&lt;div&gt;&lt;h5&gt;&lt;b&gt;School &lt;/b&gt;necromancy [evil]; &lt;b&gt;Level &lt;/b&gt;cleric 6/oracle 6, sorcerer/wizard 6&lt;/h5&gt;&lt;h5&gt;&lt;b&gt;Casting Time &lt;/b&gt;1 hour&lt;/h5&gt;&lt;h5&gt;&lt;b&gt;Components &lt;/b&gt;V, S, M (a clay pot filled with grave dirt and an onyx gem worth at least 50 gp per HD of the undead to be created)&lt;/h5&gt;&lt;h5&gt;&lt;b&gt;Range &lt;/b&gt;close (25 ft. + 5 ft./2 levels)&lt;/h5&gt;&lt;h5&gt;&lt;b&gt;Targets &lt;/b&gt; one corpse&lt;/h5&gt;&lt;h5&gt;&lt;b&gt;Duration &lt;/b&gt;instantaneous&lt;/h5&gt;&lt;h5&gt;&lt;b&gt;Saving Throw &lt;/b&gt;none; &lt;b&gt;Spell Resistance &lt;/b&gt;no&lt;/h5&gt;&lt;/div&gt;&lt;div&gt;&lt;h4&gt;&lt;p&gt;A much more potent spell than &lt;i&gt;animate dead &lt;/i&gt;, this evil spell allows you to infuse a dead body with negative energy to create more powerful sorts of undead: ghouls, ghasts, mummies, and mohrgs. The type or types of undead you can create are based on your caster level, as shown on the table below.&lt;/p&gt;&lt;p&gt;&lt;table&gt;&lt;thead&gt;&lt;tr&gt;&lt;th&gt;Caster Level&lt;/th&gt;&lt;th&gt;Undead Created&lt;/th&gt;&lt;/tr&gt; &lt;tbody&gt;&lt;tr&gt;&lt;td&gt;11th or lower&lt;/td&gt;&lt;td&gt;Ghoul&lt;/td&gt;&lt;/tr&gt; &lt;tr&gt;&lt;td&gt;12th-14th&lt;/td&gt;&lt;td&gt;Ghast&lt;/td&gt;&lt;/tr&gt; &lt;tr&gt;&lt;td&gt;15th-17th&lt;/td&gt;&lt;td&gt;Mummy&lt;/td&gt;&lt;/tr&gt; &lt;tr&gt;&lt;td&gt;18th or higher&lt;/td&gt;&lt;td&gt;Mohrg&lt;/td&gt;&lt;/tr&gt;&lt;/tbody&gt;&lt;/table&gt; You may create less powerful undead than your level would allow if you choose. Created undead are not automatically under the control of their animator. If you are capable of commanding undead, you may attempt to command the undead creature as it forms.&lt;/p&gt;&lt;p&gt;This spell must be cast at night.&lt;/p&gt;&lt;/h4&gt;&lt;/div&gt;</t>
  </si>
  <si>
    <t>Death, Evil</t>
  </si>
  <si>
    <t>Create ghasts, ghouls, mohrgs, or mummies.</t>
  </si>
  <si>
    <t>Create Greater Undead</t>
  </si>
  <si>
    <t>cleric 8/oracle 8, sorcerer/wizard 8</t>
  </si>
  <si>
    <t>This spell functions like create undead, except that you can create more powerful and intelligent sorts of undead: shadows, wraiths, spectres, and devourers. The type or types of undead created is based on caster level, as shown below. Caster Level Undead Created 15th or lower Shadow 16th-17th Wraith 18th-19th Spectre 20th or higher Devourer</t>
  </si>
  <si>
    <t>&lt;p&gt;This spell functions like &lt;i&gt;create undead &lt;/i&gt;, except that you can create more powerful and intelligent sorts of undead: shadows, wraiths, spectres, and devourers. The type or types of undead created is based on caster level, as shown below.&lt;/p&gt;&lt;p&gt;&lt;table&gt;&lt;tr&gt;&lt;th&gt;Caster Level&lt;/th&gt;&lt;th&gt;Undead Created&lt;/th&gt;&lt;/tr&gt; &lt;tr&gt;&lt;td&gt;15th or lower&lt;/td&gt;&lt;td&gt;Shadow&lt;/td&gt;&lt;/tr&gt; &lt;tr&gt;&lt;td&gt;16th-17th&lt;/td&gt;&lt;td&gt;Wraith&lt;/td&gt;&lt;/tr&gt; &lt;tr&gt;&lt;td&gt;18th-19th&lt;/td&gt;&lt;td&gt;Spectre&lt;/td&gt;&lt;/tr&gt; &lt;tr&gt;&lt;td&gt;20th or higher&lt;/td&gt;&lt;td&gt;Devourer&lt;/td&gt;&lt;/tr&gt;&lt;/table&gt;&lt;/p&gt;</t>
  </si>
  <si>
    <t>&lt;link rel="stylesheet"href="PF.css"&gt;&lt;div class="heading"&gt;&lt;p class="alignleft"&gt;Create Greater Undead&lt;/p&gt;&lt;div style="clear: both;"&gt;&lt;/div&gt;&lt;/div&gt;&lt;div&gt;&lt;h5&gt;&lt;b&gt;School &lt;/b&gt;necromancy [evil]; &lt;b&gt;Level &lt;/b&gt;cleric 8/oracle 8, sorcerer/wizard 8&lt;/h5&gt;&lt;h5&gt;&lt;b&gt;Casting Time &lt;/b&gt;1 hour&lt;/h5&gt;&lt;h5&gt;&lt;b&gt;Components &lt;/b&gt;V, S, M (a clay pot filled with grave dirt and an onyx gem worth at least 50 gp per HD of the undead to be created)&lt;/h5&gt;&lt;h5&gt;&lt;b&gt;Range &lt;/b&gt;close (25 ft. + 5 ft./2 levels)&lt;/h5&gt;&lt;h5&gt;&lt;b&gt;Targets &lt;/b&gt; one corpse&lt;/h5&gt;&lt;h5&gt;&lt;b&gt;Duration &lt;/b&gt;instantaneous&lt;/h5&gt;&lt;h5&gt;&lt;b&gt;Saving Throw &lt;/b&gt;none; &lt;b&gt;Spell Resistance &lt;/b&gt;no&lt;/h5&gt;&lt;/div&gt;&lt;div&gt;&lt;h4&gt;&lt;p&gt;This spell functions like &lt;i&gt;create undead &lt;/i&gt;, except that you can create more powerful and intelligent sorts of undead: shadows, wraiths, spectres, and devourers. The type or types of undead created is based on caster level, as shown below.&lt;/p&gt;&lt;p&gt;&lt;table&gt;&lt;tr&gt;&lt;th&gt;Caster Level&lt;/th&gt;&lt;th&gt;Undead Created&lt;/th&gt;&lt;/tr&gt; &lt;tr&gt;&lt;td&gt;15th or lower&lt;/td&gt;&lt;td&gt;Shadow&lt;/td&gt;&lt;/tr&gt; &lt;tr&gt;&lt;td&gt;16th-17th&lt;/td&gt;&lt;td&gt;Wraith&lt;/td&gt;&lt;/tr&gt; &lt;tr&gt;&lt;td&gt;18th-19th&lt;/td&gt;&lt;td&gt;Spectre&lt;/td&gt;&lt;/tr&gt; &lt;tr&gt;&lt;td&gt;20th or higher&lt;/td&gt;&lt;td&gt;Devourer&lt;/td&gt;&lt;/tr&gt;&lt;/table&gt;&lt;/p&gt;&lt;/h4&gt;&lt;/div&gt;</t>
  </si>
  <si>
    <t>Create shadows, wraiths, spectres, or devourers.</t>
  </si>
  <si>
    <t>Create Water</t>
  </si>
  <si>
    <t>cleric 0/oracle 0, druid 0, paladin 1, inquisitor 0</t>
  </si>
  <si>
    <t>up to 2 gallons of water/level</t>
  </si>
  <si>
    <t>This spell generates wholesome, drinkable water, just like clean rain water. Water can be created in an area as small as will actually contain the liquid, or in an area three times as large--possibly creating a downpour or filling many small receptacles. This water disappears after 1 day if not consumed. Note: Conjuration spells can't create substances or objects within a creature. Water weighs about 8 pounds per gallon. One cubic foot of water contains roughly 8 gallons and weighs about 60 pounds.</t>
  </si>
  <si>
    <t>&lt;p&gt;This spell generates wholesome, drinkable water, just like clean rain water. Water can be created in an area as small as will actually contain the liquid, or in an area three times as large--possibly creating a downpour or filling many small receptacles. This water disappears after 1 day if not consumed.&lt;/p&gt;&lt;p&gt;Note: Conjuration spells can't create substances or objects within a creature. Water weighs about 8 pounds per gallon. One cubic foot of water contains roughly 8 gallons and weighs about 60 pounds.&lt;/p&gt;</t>
  </si>
  <si>
    <t>&lt;link rel="stylesheet"href="PF.css"&gt;&lt;div class="heading"&gt;&lt;p class="alignleft"&gt;Create Water&lt;/p&gt;&lt;div style="clear: both;"&gt;&lt;/div&gt;&lt;/div&gt;&lt;div&gt;&lt;h5&gt;&lt;b&gt;School &lt;/b&gt;conjuration (creation) [water]; &lt;b&gt;Level &lt;/b&gt;cleric 0/oracle 0, druid 0, paladin 1, inquisitor 0&lt;/h5&gt;&lt;h5&gt;&lt;b&gt;Casting Time &lt;/b&gt;1 standard action&lt;/h5&gt;&lt;h5&gt;&lt;b&gt;Components &lt;/b&gt;V, S&lt;/h5&gt;&lt;h5&gt;&lt;b&gt;Range &lt;/b&gt;close (25 ft. + 5 ft./2 levels)&lt;/h5&gt;&lt;h5&gt;&lt;b&gt;Effect &lt;/b&gt;up to 2 gallons of water/level&lt;/h5&gt;&lt;h5&gt;&lt;b&gt;Duration &lt;/b&gt;instantaneous&lt;/h5&gt;&lt;h5&gt;&lt;b&gt;Saving Throw &lt;/b&gt;none; &lt;b&gt;Spell Resistance &lt;/b&gt;no&lt;/h5&gt;&lt;/div&gt;&lt;div&gt;&lt;h4&gt;&lt;p&gt;This spell generates wholesome, drinkable water, just like clean rain water. Water can be created in an area as small as will actually contain the liquid, or in an area three times as large--possibly creating a downpour or filling many small receptacles. This water disappears after 1 day if not consumed.&lt;/p&gt;&lt;p&gt;Note: Conjuration spells can't create substances or objects within a creature. Water weighs about 8 pounds per gallon. One cubic foot of water contains roughly 8 gallons and weighs about 60 pounds.&lt;/p&gt;&lt;/h4&gt;&lt;/div&gt;</t>
  </si>
  <si>
    <t>Creates 2 gallons/level of pure water.</t>
  </si>
  <si>
    <t>Creeping Doom</t>
  </si>
  <si>
    <t>summoning</t>
  </si>
  <si>
    <t>druid 7, summoner 5</t>
  </si>
  <si>
    <t>close (25 ft. + 5 ft./2 levels)/100 ft.; see text</t>
  </si>
  <si>
    <t>four swarms of insects</t>
  </si>
  <si>
    <t>This spell summons four massive swarms of biting and stinging insects. These swarms appear adjacent to one another, but can be directed to move independently. Treat these swarms as centipede swarms with the following adjustments. The swarms have 60 hit points each and deal 4d6 points of damage with their swarm attack. The save to resist their poison and distraction effects is equal to the save DC of this spell. Creatures caught in multiple swarms only take damage and make saves once. You may summon the swarms so that they share the area of other creatures. As a standard action, you can command any number of the swarms to move toward any target within 100 feet of you. You cannot command any swarm to move more than 100 feet away from you, and if you move more than 100 feet from any swarm, that swarm remains stationary, attacking any creatures in its area (but can be commanded again if you move within 100 feet).</t>
  </si>
  <si>
    <t>&lt;p&gt;This spell summons four massive swarms of biting and stinging insects. These swarms appear adjacent to one another, but can be directed to move independently. Treat these swarms as centipede swarms with the following adjustments. The swarms have 60 hit points each and deal 4d6 points of damage with their swarm attack. The save to resist their poison and distraction effects is equal to the save DC of this spell. Creatures caught in multiple swarms only take damage and make saves once.&lt;/p&gt;&lt;p&gt;You may summon the swarms so that they share the area of other creatures. As a standard action, you can command any number of the swarms to move toward any target within 100 feet of you. You cannot command any swarm to move more than 100 feet away from you, and if you move more than 100 feet from any swarm, that swarm remains stationary, attacking any creatures in its area (but can be commanded again if you move within 100 feet).&lt;/p&gt;</t>
  </si>
  <si>
    <t>&lt;link rel="stylesheet"href="PF.css"&gt;&lt;div class="heading"&gt;&lt;p class="alignleft"&gt;Creeping Doom&lt;/p&gt;&lt;div style="clear: both;"&gt;&lt;/div&gt;&lt;/div&gt;&lt;div&gt;&lt;h5&gt;&lt;b&gt;School &lt;/b&gt;conjuration (summoning); &lt;b&gt;Level &lt;/b&gt;druid 7, summoner 5&lt;/h5&gt;&lt;h5&gt;&lt;b&gt;Casting Time &lt;/b&gt;1 standard action&lt;/h5&gt;&lt;h5&gt;&lt;b&gt;Components &lt;/b&gt;V, S&lt;/h5&gt;&lt;h5&gt;&lt;b&gt;Range &lt;/b&gt;close (25 ft. + 5 ft./2 levels)/100 ft.; see text&lt;/h5&gt;&lt;h5&gt;&lt;b&gt;Effect &lt;/b&gt;four swarms of insects&lt;/h5&gt;&lt;h5&gt;&lt;b&gt;Duration &lt;/b&gt;1 round/level&lt;/h5&gt;&lt;h5&gt;&lt;b&gt;Saving Throw &lt;/b&gt;Fortitude partial; see text; &lt;b&gt;Spell Resistance &lt;/b&gt;no&lt;/h5&gt;&lt;/div&gt;&lt;div&gt;&lt;h4&gt;&lt;p&gt;This spell summons four massive swarms of biting and stinging insects. These swarms appear adjacent to one another, but can be directed to move independently. Treat these swarms as centipede swarms with the following adjustments. The swarms have 60 hit points each and deal 4d6 points of damage with their swarm attack. The save to resist their poison and distraction effects is equal to the save DC of this spell. Creatures caught in multiple swarms only take damage and make saves once.&lt;/p&gt;&lt;p&gt;You may summon the swarms so that they share the area of other creatures. As a standard action, you can command any number of the swarms to move toward any target within 100 feet of you. You cannot command any swarm to move more than 100 feet away from you, and if you move more than 100 feet from any swarm, that swarm remains stationary, attacking any creatures in its area (but can be commanded again if you move within 100 feet).&lt;/p&gt;&lt;/h4&gt;&lt;/div&gt;</t>
  </si>
  <si>
    <t> Swarms of centipedes attack at your command.</t>
  </si>
  <si>
    <t>Crushing Despair</t>
  </si>
  <si>
    <t>V, S, M</t>
  </si>
  <si>
    <t>30 ft.</t>
  </si>
  <si>
    <t>An invisible cone of despair causes great sadness in the subjects. Each affected creature takes a -2 penalty on attack rolls, saving throws, ability checks, skill checks, and weapon damage rolls. Crushing despair counters and dispels good hope.</t>
  </si>
  <si>
    <t>&lt;p&gt;An invisible cone of despair causes great sadness in the subjects. Each affected creature takes a -2 penalty on attack rolls, saving throws, ability checks, skill checks, and weapon damage rolls.&lt;/p&gt;&lt;p&gt; &lt;i&gt;Crushing despair &lt;/i&gt; counters and dispels &lt;i&gt;good hope &lt;/i&gt;.&lt;/p&gt;</t>
  </si>
  <si>
    <t>&lt;link rel="stylesheet"href="PF.css"&gt;&lt;div class="heading"&gt;&lt;p class="alignleft"&gt;Crushing Despair&lt;/p&gt;&lt;div style="clear: both;"&gt;&lt;/div&gt;&lt;/div&gt;&lt;div&gt;&lt;h5&gt;&lt;b&gt;School &lt;/b&gt;enchantment (compulsion) [mind-affecting, emotion]; &lt;b&gt;Level &lt;/b&gt;bard 3, sorcerer/wizard 4, witch 4&lt;/h5&gt;&lt;h5&gt;&lt;b&gt;Casting Time &lt;/b&gt;1 standard action&lt;/h5&gt;&lt;h5&gt;&lt;b&gt;Components &lt;/b&gt;V, S, M&lt;/h5&gt;&lt;h5&gt;&lt;b&gt;Range &lt;/b&gt;30 ft.&lt;/h5&gt;&lt;h5&gt;&lt;b&gt;Area &lt;/b&gt;cone-shaped burst&lt;/h5&gt;&lt;h5&gt;&lt;b&gt;Duration &lt;/b&gt;1 min./level&lt;/h5&gt;&lt;h5&gt;&lt;b&gt;Saving Throw &lt;/b&gt;Will negates; &lt;b&gt;Spell Resistance &lt;/b&gt;yes&lt;/h5&gt;&lt;/div&gt;&lt;div&gt;&lt;h4&gt;&lt;p&gt;An invisible cone of despair causes great sadness in the subjects. Each affected creature takes a -2 penalty on attack rolls, saving throws, ability checks, skill checks, and weapon damage rolls.&lt;/p&gt;&lt;p&gt; &lt;i&gt;Crushing despair &lt;/i&gt; counters and dispels &lt;i&gt;good hope &lt;/i&gt;.&lt;/p&gt;&lt;/h4&gt;&lt;/div&gt;</t>
  </si>
  <si>
    <t>Subjects take –2 on attack rolls, damage rolls, saves, and checks.</t>
  </si>
  <si>
    <t>Crushing Hand</t>
  </si>
  <si>
    <t>sorcerer/wizard 9</t>
  </si>
  <si>
    <t>V, S, F (a soft glove)</t>
  </si>
  <si>
    <t>This spell functions as interposing hand, except that it can also grapple one opponent as grasping hand. Its CMB and CMD for grapple checks use your caster level in place of its base attack bonus, with a +12 bonus for its Strength score (35) and a +1 bonus for being Large (its Dexterity is 10, granting no bonus to the CMD). A crushing hand deals 2d6+12 points of damage on each successful grapple check against an opponent. The crushing hand can instead be directed to bull rush a target (as forceful hand), using the same bonuses outlined above, or it can be directed to interpose itself, as interposing hand does.</t>
  </si>
  <si>
    <t>&lt;p&gt;This spell functions as &lt;i&gt;interposing hand&lt;/i&gt;, except that it can also grapple one opponent as &lt;i&gt;grasping hand&lt;/i&gt;. Its CMB and CMD for grapple checks use your caster level in place of its base attack bonus, with a +12 bonus for its Strength score (35) and a +1 bonus for being Large (its Dexterity is 10, granting no bonus to the CMD). A &lt;i&gt;crushing hand&lt;/i&gt; deals 2d6+12 points of damage on each successful grapple check against an opponent. The &lt;i&gt;crushing hand&lt;/i&gt; can instead be directed to bull rush a target (as &lt;i&gt;forceful hand&lt;/i&gt;), using the same bonuses outlined above, or it can be directed to interpose itself, as &lt;i&gt;interposing hand&lt;/i&gt; does.&lt;/p&gt;</t>
  </si>
  <si>
    <t>&lt;link rel="stylesheet"href="PF.css"&gt;&lt;div class="heading"&gt;&lt;p class="alignleft"&gt;Crushing Hand&lt;/p&gt;&lt;div style="clear: both;"&gt;&lt;/div&gt;&lt;/div&gt;&lt;div&gt;&lt;h5&gt;&lt;b&gt;School &lt;/b&gt;evocation [force]; &lt;b&gt;Level &lt;/b&gt;sorcerer/wizard 9&lt;/h5&gt;&lt;h5&gt;&lt;b&gt;Casting Time &lt;/b&gt;1 standard action&lt;/h5&gt;&lt;h5&gt;&lt;b&gt;Components &lt;/b&gt;V, S, F (a soft glove)&lt;/h5&gt;&lt;h5&gt;&lt;b&gt;Range &lt;/b&gt;medium (100 ft. + 10 ft./level)&lt;/h5&gt;&lt;h5&gt;&lt;b&gt;Effect &lt;/b&gt;10-ft. hand&lt;/h5&gt;&lt;h5&gt;&lt;b&gt;Duration &lt;/b&gt;1 round/level (D)&lt;/h5&gt;&lt;h5&gt;&lt;b&gt;Saving Throw &lt;/b&gt;none; &lt;b&gt;Spell Resistance &lt;/b&gt;yes&lt;/h5&gt;&lt;/div&gt;&lt;div&gt;&lt;h4&gt;&lt;p&gt;This spell functions as &lt;i&gt;interposing hand&lt;/i&gt;, except that it can also grapple one opponent as &lt;i&gt;grasping hand&lt;/i&gt;. Its CMB and CMD for grapple checks use your caster level in place of its base attack bonus, with a +12 bonus for its Strength score (35) and a +1 bonus for being Large (its Dexterity is 10, granting no bonus to the CMD). A &lt;i&gt;crushing hand&lt;/i&gt; deals 2d6+12 points of damage on each successful grapple check against an opponent. The &lt;i&gt;crushing hand&lt;/i&gt; can instead be directed to bull rush a target (as &lt;i&gt;forceful hand&lt;/i&gt;), using the same bonuses outlined above, or it can be directed to interpose itself, as &lt;i&gt;interposing hand&lt;/i&gt; does.&lt;/p&gt;&lt;/h4&gt;&lt;/div&gt;</t>
  </si>
  <si>
    <t> Large hand provides cover, pushes, or crushes your foes.</t>
  </si>
  <si>
    <t>Cure Light Wounds</t>
  </si>
  <si>
    <t>bard 1, cleric/oracle 1, druid 1, paladin 1, ranger 2, witch 1, inquisitor 1, alchemist 1</t>
  </si>
  <si>
    <t>Will half (harmless); see text</t>
  </si>
  <si>
    <t>yes (harmless); see text</t>
  </si>
  <si>
    <t>When laying your hand upon a living creature, you channel positive energy that cures 1d8 points of damage + 1 point per caster level (maximum +5). Since undead are powered by negative energy, this spell deals damage to them instead of curing their wounds. An undead creature can apply spell resistance, and can attempt a Will save to take half damage.</t>
  </si>
  <si>
    <t>&lt;p&gt;When laying your hand upon a living creature, you channel positive energy that cures 1d8 points of damage + 1 point per caster level (maximum +5). Since undead are powered by negative energy, this spell deals damage to them instead of curing their wounds. An undead creature can apply spell resistance, and can attempt a Will save to take half damage.&lt;/p&gt;</t>
  </si>
  <si>
    <t>&lt;link rel="stylesheet"href="PF.css"&gt;&lt;div class="heading"&gt;&lt;p class="alignleft"&gt;Cure Light Wounds&lt;/p&gt;&lt;div style="clear: both;"&gt;&lt;/div&gt;&lt;/div&gt;&lt;div&gt;&lt;h5&gt;&lt;b&gt;School &lt;/b&gt;conjuration (healing); &lt;b&gt;Level &lt;/b&gt;bard 1, cleric/oracle 1, druid 1, paladin 1, ranger 2, witch 1, inquisitor 1, alchemist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&lt;/b&gt;instantaneous&lt;/h5&gt;&lt;h5&gt;&lt;b&gt;Saving Throw &lt;/b&gt;Will half (harmless); see text; &lt;b&gt;Spell Resistance &lt;/b&gt;yes (harmless); see text&lt;/h5&gt;&lt;/div&gt;&lt;hr/&gt;&lt;div&gt;&lt;h5&gt;&lt;b&gt;DESCRIPTION&lt;/b&gt;&lt;/h5&gt;&lt;/div&gt;&lt;hr/&gt;&lt;div&gt;&lt;h4&gt;&lt;p&gt;When laying your hand upon a living creature, you channel positive energy that cures 1d8 points of damage + 1 point per caster level (maximum +5). Since undead are powered by negative energy, this spell deals damage to them instead of curing their wounds. An undead creature can apply spell resistance, and can attempt a Will save to take half damage.&lt;/p&gt;&lt;/h4&gt;&lt;h5&gt;&lt;b&gt;Mythic: &lt;/b&gt;The damage cured increases to 2d8 points of damage + 2 points per caster level (maximum +10). The spell cures up to 1 point of ability damage if the target is a living creature. The target chooses what type of ability damage is cured.&lt;/h5&gt;&lt;/div&gt;</t>
  </si>
  <si>
    <t>Cures 1d8 damage + 1/level (max +5).</t>
  </si>
  <si>
    <t>The damage cured increases to 2d8 points of damage + 2 points per caster level (maximum +10). The spell cures up to 1 point of ability damage if the target is a living creature. The target chooses what type of ability damage is cured.</t>
  </si>
  <si>
    <t>Cure Critical Wounds</t>
  </si>
  <si>
    <t>bard 4, cleric/oracle 4, druid 5, witch 5, inquisitor 4, alchemist 4</t>
  </si>
  <si>
    <t>This spell functions like cure light wounds, except that it cures 4d8 points of damage + 1 point per caster level (maximum +20).</t>
  </si>
  <si>
    <t>&lt;p&gt;This spell functions like &lt;i&gt;cure light wounds&lt;/i&gt;, except that it cures 4d8 points of damage + 1 point per caster level (maximum +20).&lt;/p&gt;</t>
  </si>
  <si>
    <t>&lt;link rel="stylesheet"href="PF.css"&gt;&lt;div class="heading"&gt;&lt;p class="alignleft"&gt;Cure Critical Wounds&lt;/p&gt;&lt;div style="clear: both;"&gt;&lt;/div&gt;&lt;/div&gt;&lt;div&gt;&lt;h5&gt;&lt;b&gt;School &lt;/b&gt;conjuration (healing); &lt;b&gt;Level &lt;/b&gt;bard 4, cleric/oracle 4, druid 5, witch 5, inquisitor 4, alchemist 4&lt;/h5&gt;&lt;/div&gt;&lt;hr/&gt;&lt;div&gt;&lt;h5&gt;&lt;b&gt;CASTING&lt;/b&gt;&lt;/h5&gt;&lt;/div&gt;&lt;hr/&gt;&lt;div&gt;&lt;h5&gt;&lt;b&gt;Casting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&lt;/b&gt;instantaneous&lt;/h5&gt;&lt;h5&gt;&lt;b&gt;Saving Throw &lt;/b&gt;Will half (harmless); see text; &lt;b&gt;Spell Resistance &lt;/b&gt;yes (harmless); see text&lt;/h5&gt;&lt;/div&gt;&lt;hr/&gt;&lt;div&gt;&lt;h5&gt;&lt;b&gt;DESCRIPTION&lt;/b&gt;&lt;/h5&gt;&lt;/div&gt;&lt;hr/&gt;&lt;div&gt;&lt;h4&gt;&lt;p&gt;This spell functions like &lt;i&gt;cure light wounds&lt;/i&gt;, except that it cures 4d8 points of damage + 1 point per caster level (maximum +20).&lt;/p&gt;&lt;/h4&gt;&lt;h5&gt;&lt;b&gt;Mythic: &lt;/b&gt;The damage cured increases to 8d8 points of damage + 2 points per caster level (maximum +40). The spell cures up to 4 points of ability damage if the target is a living creature. The target chooses what types of ability damage are cured.&lt;/h5&gt;&lt;/div&gt;</t>
  </si>
  <si>
    <t>Cures 4d8 damage + 1/level (max +20).</t>
  </si>
  <si>
    <t>The damage cured increases to 8d8 points of damage + 2 points per caster level (maximum +40). The spell cures up to 4 points of ability damage if the target is a living creature. The target chooses what types of ability damage are cured.</t>
  </si>
  <si>
    <t>Cure Light Wounds, Mass</t>
  </si>
  <si>
    <t>bard 5, cleric 5/oracle 5, druid 6, witch 6, inquisitor 5</t>
  </si>
  <si>
    <t>Will half (harmless) or Will half; see text</t>
  </si>
  <si>
    <t>yes (harmless) or yes; see text</t>
  </si>
  <si>
    <t>You channel positive energy to cure 1d8 points of damage + 1 point per caster level (maximum +25) on each selected creature. Like other cure spells, mass cure light wounds deals damage to undead in its area rather than curing them. Each affected undead may attempt a Will save for half damage.</t>
  </si>
  <si>
    <t>&lt;p&gt;You channel positive energy to cure 1d8 points of damage + 1 point per caster level (maximum +25) on each selected creature. Like other cure spells, &lt;i&gt;mass cure light wounds&lt;/i&gt; deals damage to undead in its area rather than curing them. Each affected undead may attempt a Will save for half damage.&lt;/p&gt;</t>
  </si>
  <si>
    <t>&lt;link rel="stylesheet"href="PF.css"&gt;&lt;div class="heading"&gt;&lt;p class="alignleft"&gt;Cure Light Wounds, Mass&lt;/p&gt;&lt;div style="clear: both;"&gt;&lt;/div&gt;&lt;/div&gt;&lt;div&gt;&lt;h5&gt;&lt;b&gt;School &lt;/b&gt;conjuration (healing); &lt;b&gt;Level &lt;/b&gt;bard 5, cleric 5/oracle 5, druid 6, witch 6, inquisitor 5&lt;/h5&gt;&lt;h5&gt;&lt;b&gt;Casting Time &lt;/b&gt;1 standard action&lt;/h5&gt;&lt;h5&gt;&lt;b&gt;Components &lt;/b&gt;V, S&lt;/h5&gt;&lt;h5&gt;&lt;b&gt;Range &lt;/b&gt;close (25 ft. + 5 ft./2 levels)&lt;/h5&gt;&lt;h5&gt;&lt;b&gt;Targets &lt;/b&gt; one creature/level, no two of which can be more than 30 ft. apart&lt;/h5&gt;&lt;h5&gt;&lt;b&gt;Duration &lt;/b&gt;instantaneous&lt;/h5&gt;&lt;h5&gt;&lt;b&gt;Saving Throw &lt;/b&gt;Will half (harmless) or Will half; see text; &lt;b&gt;Spell Resistance &lt;/b&gt;yes (harmless) or yes; see text&lt;/h5&gt;&lt;/div&gt;&lt;div&gt;&lt;h4&gt;&lt;p&gt;You channel positive energy to cure 1d8 points of damage + 1 point per caster level (maximum +25) on each selected creature. Like other cure spells, &lt;i&gt;mass cure light wounds&lt;/i&gt; deals damage to undead in its area rather than curing them. Each affected undead may attempt a Will save for half damage.&lt;/p&gt;&lt;/h4&gt;&lt;/div&gt;</t>
  </si>
  <si>
    <t>Cures 1d8 damage + 1/level, affects 1 subject/level.</t>
  </si>
  <si>
    <t>Cure Critical Wounds, Mass</t>
  </si>
  <si>
    <t>cleric 8/oracle 8, druid 9, witch 9</t>
  </si>
  <si>
    <t>This spell functions like mass cure light wounds, except that it cures 4d8 points of damage + 1 point per caster level (maximum +40).</t>
  </si>
  <si>
    <t>&lt;p&gt;This spell functions like &lt;i&gt;mass cure light wounds&lt;/i&gt;, except that it cures 4d8 points of damage + 1 point per caster level (maximum +40).&lt;/p&gt;</t>
  </si>
  <si>
    <t>&lt;link rel="stylesheet"href="PF.css"&gt;&lt;div class="heading"&gt;&lt;p class="alignleft"&gt;Cure Critical Wounds, Mass&lt;/p&gt;&lt;div style="clear: both;"&gt;&lt;/div&gt;&lt;/div&gt;&lt;div&gt;&lt;h5&gt;&lt;b&gt;School &lt;/b&gt;conjuration (healing); &lt;b&gt;Level &lt;/b&gt;cleric 8/oracle 8, druid 9, witch 9&lt;/h5&gt;&lt;h5&gt;&lt;b&gt;Casting Time &lt;/b&gt;1 standard action&lt;/h5&gt;&lt;h5&gt;&lt;b&gt;Components &lt;/b&gt;V, S&lt;/h5&gt;&lt;h5&gt;&lt;b&gt;Range &lt;/b&gt;close (25 ft. + 5 ft./2 levels)&lt;/h5&gt;&lt;h5&gt;&lt;b&gt;Targets &lt;/b&gt; one creature/level, no two of which can be more than 30 ft. apart&lt;/h5&gt;&lt;h5&gt;&lt;b&gt;Duration &lt;/b&gt;instantaneous&lt;/h5&gt;&lt;h5&gt;&lt;b&gt;Saving Throw &lt;/b&gt;Will half (harmless) or Will half; see text; &lt;b&gt;Spell Resistance &lt;/b&gt;yes (harmless) or yes; see text&lt;/h5&gt;&lt;/div&gt;&lt;div&gt;&lt;h4&gt;&lt;p&gt;This spell functions like &lt;i&gt;mass cure light wounds&lt;/i&gt;, except that it cures 4d8 points of damage + 1 point per caster level (maximum +40).&lt;/p&gt;&lt;/h4&gt;&lt;/div&gt;</t>
  </si>
  <si>
    <t>Community, Healing</t>
  </si>
  <si>
    <t>Cures 4d8 damage + 1/level for many creatures.</t>
  </si>
  <si>
    <t>Cure Moderate Wounds</t>
  </si>
  <si>
    <t>bard 2, cleric/oracle 2, druid 3, paladin 3, ranger 3, witch 2, inquisitor 2, alchemist 2</t>
  </si>
  <si>
    <t>This spell functions like cure light wounds, except that it cures 2d8 points of damage + 1 point per caster level (maximum +10).</t>
  </si>
  <si>
    <t>&lt;p&gt;This spell functions like &lt;i&gt;cure light wounds&lt;/i&gt;, except that it cures 2d8 points of damage + 1 point per caster level (maximum +10).&lt;/p&gt;</t>
  </si>
  <si>
    <t>&lt;link rel="stylesheet"href="PF.css"&gt;&lt;div class="heading"&gt;&lt;p class="alignleft"&gt;Cure Moderate Wounds&lt;/p&gt;&lt;div style="clear: both;"&gt;&lt;/div&gt;&lt;/div&gt;&lt;div&gt;&lt;h5&gt;&lt;b&gt;School &lt;/b&gt;conjuration (healing); &lt;b&gt;Level &lt;/b&gt;bard 2, cleric/oracle 2, druid 3, paladin 3, ranger 3, witch 2, inquisitor 2, alchemist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&lt;/b&gt;instantaneous&lt;/h5&gt;&lt;h5&gt;&lt;b&gt;Saving Throw &lt;/b&gt;Will half (harmless); see text; &lt;b&gt;Spell Resistance &lt;/b&gt;yes (harmless); see text&lt;/h5&gt;&lt;/div&gt;&lt;hr/&gt;&lt;div&gt;&lt;h5&gt;&lt;b&gt;DESCRIPTION&lt;/b&gt;&lt;/h5&gt;&lt;/div&gt;&lt;hr/&gt;&lt;div&gt;&lt;h4&gt;&lt;p&gt;This spell functions like &lt;i&gt;cure light wounds&lt;/i&gt;, except that it cures 2d8 points of damage + 1 point per caster level (maximum +10).&lt;/p&gt;&lt;/h4&gt;&lt;h5&gt;&lt;b&gt;Mythic: &lt;/b&gt;The damage cured increases to 4d8 points of damage + 2 points per caster level (maximum +20). The spell cures up to 2 points of ability damage if the target is a living creature. The target chooses what types of ability damage are cured.&lt;/h5&gt;&lt;/div&gt;</t>
  </si>
  <si>
    <t>Cures 2d8 damage + 1/level (max +10).</t>
  </si>
  <si>
    <t>The damage cured increases to 4d8 points of damage + 2 points per caster level (maximum +20). The spell cures up to 2 points of ability damage if the target is a living creature. The target chooses what types of ability damage are cured.</t>
  </si>
  <si>
    <t>Cure Moderate Wounds, Mass</t>
  </si>
  <si>
    <t>bard 6, cleric 6/oracle 6, druid 7, witch 7, inquisitor 6</t>
  </si>
  <si>
    <t>This spell functions like mass cure light wounds, except that it cures 2d8 points of damage + 1 point per caster level (maximum +30).</t>
  </si>
  <si>
    <t>&lt;p&gt;This spell functions like &lt;i&gt;mass cure light wounds&lt;/i&gt;, except that it cures 2d8 points of damage + 1 point per caster level (maximum +30).&lt;/p&gt;</t>
  </si>
  <si>
    <t>&lt;link rel="stylesheet"href="PF.css"&gt;&lt;div class="heading"&gt;&lt;p class="alignleft"&gt;Cure Moderate Wounds, Mass&lt;/p&gt;&lt;div style="clear: both;"&gt;&lt;/div&gt;&lt;/div&gt;&lt;div&gt;&lt;h5&gt;&lt;b&gt;School &lt;/b&gt;conjuration (healing); &lt;b&gt;Level &lt;/b&gt;bard 6, cleric 6/oracle 6, druid 7, witch 7, inquisitor 6&lt;/h5&gt;&lt;h5&gt;&lt;b&gt;Casting Time &lt;/b&gt;1 standard action&lt;/h5&gt;&lt;h5&gt;&lt;b&gt;Components &lt;/b&gt;V, S&lt;/h5&gt;&lt;h5&gt;&lt;b&gt;Range &lt;/b&gt;close (25 ft. + 5 ft./2 levels)&lt;/h5&gt;&lt;h5&gt;&lt;b&gt;Targets &lt;/b&gt; one creature/level, no two of which can be more than 30 ft. apart&lt;/h5&gt;&lt;h5&gt;&lt;b&gt;Duration &lt;/b&gt;instantaneous&lt;/h5&gt;&lt;h5&gt;&lt;b&gt;Saving Throw &lt;/b&gt;Will half (harmless) or Will half; see text; &lt;b&gt;Spell Resistance &lt;/b&gt;yes (harmless) or yes; see text&lt;/h5&gt;&lt;/div&gt;&lt;div&gt;&lt;h4&gt;&lt;p&gt;This spell functions like &lt;i&gt;mass cure light wounds&lt;/i&gt;, except that it cures 2d8 points of damage + 1 point per caster level (maximum +30).&lt;/p&gt;&lt;/h4&gt;&lt;/div&gt;</t>
  </si>
  <si>
    <t>Cures 2d8 damage + 1/level, affects 1 subject/level.</t>
  </si>
  <si>
    <t>Cure Serious Wounds</t>
  </si>
  <si>
    <t>bard 3, cleric/oracle 3, druid 4, paladin 4, ranger 4, witch 4, inquisitor 3, alchemist 3</t>
  </si>
  <si>
    <t>This spell functions like cure light wounds, except that it cures 3d8 points of damage + 1 point per caster level (maximum +15).</t>
  </si>
  <si>
    <t>&lt;p&gt;This spell functions like &lt;i&gt;cure light wounds&lt;/i&gt;, except that it cures 3d8 points of damage + 1 point per caster level (maximum +15).&lt;/p&gt;</t>
  </si>
  <si>
    <t>&lt;link rel="stylesheet"href="PF.css"&gt;&lt;div class="heading"&gt;&lt;p class="alignleft"&gt;Cure Serious Wounds&lt;/p&gt;&lt;div style="clear: both;"&gt;&lt;/div&gt;&lt;/div&gt;&lt;div&gt;&lt;h5&gt;&lt;b&gt;School &lt;/b&gt;conjuration (healing); &lt;b&gt;Level &lt;/b&gt;bard 3, cleric/oracle 3, druid 4, paladin 4, ranger 4, witch 4, inquisitor 3, alchemist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&lt;/b&gt;instantaneous&lt;/h5&gt;&lt;h5&gt;&lt;b&gt;Saving Throw &lt;/b&gt;Will half (harmless); see text; &lt;b&gt;Spell Resistance &lt;/b&gt;yes (harmless); see text&lt;/h5&gt;&lt;/div&gt;&lt;hr/&gt;&lt;div&gt;&lt;h5&gt;&lt;b&gt;DESCRIPTION&lt;/b&gt;&lt;/h5&gt;&lt;/div&gt;&lt;hr/&gt;&lt;div&gt;&lt;h4&gt;&lt;p&gt;This spell functions like &lt;i&gt;cure light wounds&lt;/i&gt;, except that it cures 3d8 points of damage + 1 point per caster level (maximum +15).&lt;/p&gt;&lt;/h4&gt;&lt;h5&gt;&lt;b&gt;Mythic: &lt;/b&gt;The damage cured increases to 6d8 points of damage + 2 points per caster level (maximum +30). The spell cures up to 3 points of ability damage if the target is a living creature. The target chooses what types of ability damage are cured.&lt;/h5&gt;&lt;/div&gt;</t>
  </si>
  <si>
    <t>Cures 3d8 damage + 1/level (max +15).</t>
  </si>
  <si>
    <t>The damage cured increases to 6d8 points of damage + 2 points per caster level (maximum +30). The spell cures up to 3 points of ability damage if the target is a living creature. The target chooses what types of ability damage are cured.</t>
  </si>
  <si>
    <t>Cure Serious Wounds, Mass</t>
  </si>
  <si>
    <t>cleric 7/oracle 7, druid 8, witch 8</t>
  </si>
  <si>
    <t>This spell functions like mass cure light wounds, except that it cures 3d8 points of damage + 1 point per caster level (maximum +35).</t>
  </si>
  <si>
    <t>&lt;p&gt;This spell functions like &lt;i&gt;mass cure light wounds&lt;/i&gt;, except that it cures 3d8 points of damage + 1 point per caster level (maximum +35).&lt;/p&gt;</t>
  </si>
  <si>
    <t>&lt;link rel="stylesheet"href="PF.css"&gt;&lt;div class="heading"&gt;&lt;p class="alignleft"&gt;Cure Serious Wounds, Mass&lt;/p&gt;&lt;div style="clear: both;"&gt;&lt;/div&gt;&lt;/div&gt;&lt;div&gt;&lt;h5&gt;&lt;b&gt;School &lt;/b&gt;conjuration (healing); &lt;b&gt;Level &lt;/b&gt;cleric 7/oracle 7, druid 8, witch 8&lt;/h5&gt;&lt;h5&gt;&lt;b&gt;Casting Time &lt;/b&gt;1 standard action&lt;/h5&gt;&lt;h5&gt;&lt;b&gt;Components &lt;/b&gt;V, S&lt;/h5&gt;&lt;h5&gt;&lt;b&gt;Range &lt;/b&gt;close (25 ft. + 5 ft./2 levels)&lt;/h5&gt;&lt;h5&gt;&lt;b&gt;Targets &lt;/b&gt; one creature/level, no two of which can be more than 30 ft. apart&lt;/h5&gt;&lt;h5&gt;&lt;b&gt;Duration &lt;/b&gt;instantaneous&lt;/h5&gt;&lt;h5&gt;&lt;b&gt;Saving Throw &lt;/b&gt;Will half (harmless) or Will half; see text; &lt;b&gt;Spell Resistance &lt;/b&gt;yes (harmless) or yes; see text&lt;/h5&gt;&lt;/div&gt;&lt;div&gt;&lt;h4&gt;&lt;p&gt;This spell functions like &lt;i&gt;mass cure light wounds&lt;/i&gt;, except that it cures 3d8 points of damage + 1 point per caster level (maximum +35).&lt;/p&gt;&lt;/h4&gt;&lt;/div&gt;</t>
  </si>
  <si>
    <t>Cures 3d8 damage + 1/level, affects 1 subject/level.</t>
  </si>
  <si>
    <t>Curse Water</t>
  </si>
  <si>
    <t>cleric 1/oracle 1, inquisitor 1, antipaladin 1</t>
  </si>
  <si>
    <t>V, S, M (5 lbs. of powdered silver worth 25 gp)</t>
  </si>
  <si>
    <t>This spell imbues a flask (1 pint) of water with negative energy, turning it into unholy water (see Equipment). Unholy water damages good outsiders the way holy water damages undead and evil outsiders.</t>
  </si>
  <si>
    <t>&lt;p&gt;This spell imbues a flask (1 pint) of water with negative energy, turning it into unholy water (see Equipment). Unholy water damages good outsiders the way holy water damages undead and evil outsiders.&lt;/p&gt;</t>
  </si>
  <si>
    <t>&lt;link rel="stylesheet"href="PF.css"&gt;&lt;div class="heading"&gt;&lt;p class="alignleft"&gt;Curse Water&lt;/p&gt;&lt;div style="clear: both;"&gt;&lt;/div&gt;&lt;/div&gt;&lt;div&gt;&lt;h5&gt;&lt;b&gt;School &lt;/b&gt;necromancy [evil]; &lt;b&gt;Level &lt;/b&gt;cleric 1/oracle 1, inquisitor 1, antipaladin 1&lt;/h5&gt;&lt;h5&gt;&lt;b&gt;Casting Time &lt;/b&gt;1 minute&lt;/h5&gt;&lt;h5&gt;&lt;b&gt;Components &lt;/b&gt;V, S, M (5 lbs. of powdered silver worth 25 gp)&lt;/h5&gt;&lt;h5&gt;&lt;b&gt;Range &lt;/b&gt;touch&lt;/h5&gt;&lt;h5&gt;&lt;b&gt;Targets &lt;/b&gt; flask of water touched&lt;/h5&gt;&lt;h5&gt;&lt;b&gt;Duration &lt;/b&gt;instantaneous&lt;/h5&gt;&lt;h5&gt;&lt;b&gt;Saving Throw &lt;/b&gt;Will negates (object); &lt;b&gt;Spell Resistance &lt;/b&gt;yes (object)&lt;/h5&gt;&lt;/div&gt;&lt;div&gt;&lt;h4&gt;&lt;p&gt;This spell imbues a flask (1 pint) of water with negative energy, turning it into unholy water (see Equipment). Unholy water damages good outsiders the way holy water damages undead and evil outsiders.&lt;/p&gt;&lt;/h4&gt;&lt;/div&gt;</t>
  </si>
  <si>
    <t> Makes unholy water.</t>
  </si>
  <si>
    <t>Dancing Lights</t>
  </si>
  <si>
    <t>bard 0, sorcerer/wizard 0, witch 0, magus 0</t>
  </si>
  <si>
    <t>Up to four lights, all within a 10-ft.-radius area</t>
  </si>
  <si>
    <t>Depending on the version selected, you create up to four lights that resemble lanterns or torches (and cast that amount of light), or up to four glowing spheres of light (which look like will-o'-wisps), or one faintly glowing, vaguely humanoid shape. The dancing lights must stay within a 10-foot-radius area in relation to each other but otherwise move as you desire (no concentration required): forward or back, up or down, straight or turning corners, or the like. The lights can move up to 100 feet per round. A light winks out if the distance between you and it exceeds the spell's range. You can only have one dancing lights spell active at any one time. If you cast this spell while another casting is still in effect, the previous casting is dispelled. If you make this spell permanent, it does not count against this limit. Dancing lights can be made permanent with a permanency spell.</t>
  </si>
  <si>
    <t>&lt;p&gt;Depending on the version selected, you create up to four lights that resemble lanterns or torches (and cast that amount of light), or up to four glowing spheres of light (which look like will-o'-wisps), or one faintly glowing, vaguely humanoid shape. The &lt;i&gt;dancing lights&lt;/i&gt; must stay within a 10-foot-radius area in relation to each other but otherwise move as you desire (no concentration required): forward or back, up or down, straight or turning corners, or the like. The lights can move up to 100 feet per round. A light winks out if the distance between you and it exceeds the spell's range.&lt;/p&gt;&lt;p&gt;You can only have one &lt;i&gt;dancing lights&lt;/i&gt; spell active at any one time. If you cast this spell while another casting is still in effect, the previous casting is dispelled. If you make this spell permanent, it does not count against this limit.&lt;/p&gt;&lt;p&gt;&lt;i&gt;Dancing lights&lt;/i&gt; can be made permanent with a &lt;i&gt;permanency&lt;/i&gt; spell.&lt;/p&gt;</t>
  </si>
  <si>
    <t>&lt;link rel="stylesheet"href="PF.css"&gt;&lt;div class="heading"&gt;&lt;p class="alignleft"&gt;Dancing Lights&lt;/p&gt;&lt;div style="clear: both;"&gt;&lt;/div&gt;&lt;/div&gt;&lt;div&gt;&lt;h5&gt;&lt;b&gt;School &lt;/b&gt;evocation [light]; &lt;b&gt;Level &lt;/b&gt;bard 0, sorcerer/wizard 0, witch 0, magus 0&lt;/h5&gt;&lt;h5&gt;&lt;b&gt;Casting Time &lt;/b&gt;1 standard action&lt;/h5&gt;&lt;h5&gt;&lt;b&gt;Components &lt;/b&gt;V, S&lt;/h5&gt;&lt;h5&gt;&lt;b&gt;Range &lt;/b&gt;medium (100 ft. + 10 ft./level)&lt;/h5&gt;&lt;h5&gt;&lt;b&gt;Effect &lt;/b&gt;Up to four lights, all within a 10-ft.-radius area&lt;/h5&gt;&lt;h5&gt;&lt;b&gt;Duration &lt;/b&gt;1 minute (D)&lt;/h5&gt;&lt;h5&gt;&lt;b&gt;Saving Throw &lt;/b&gt;none; &lt;b&gt;Spell Resistance &lt;/b&gt;no&lt;/h5&gt;&lt;/div&gt;&lt;div&gt;&lt;h4&gt;&lt;p&gt;Depending on the version selected, you create up to four lights that resemble lanterns or torches (and cast that amount of light), or up to four glowing spheres of light (which look like will-o'-wisps), or one faintly glowing, vaguely humanoid shape. The &lt;i&gt;dancing lights&lt;/i&gt; must stay within a 10-foot-radius area in relation to each other but otherwise move as you desire (no concentration required): forward or back, up or down, straight or turning corners, or the like. The lights can move up to 100 feet per round. A light winks out if the distance between you and it exceeds the spell's range.&lt;/p&gt;&lt;p&gt;You can only have one &lt;i&gt;dancing lights&lt;/i&gt; spell active at any one time. If you cast this spell while another casting is still in effect, the previous casting is dispelled. If you make this spell permanent, it does not count against this limit.&lt;/p&gt;&lt;p&gt;&lt;i&gt;Dancing lights&lt;/i&gt; can be made permanent with a &lt;i&gt;permanency&lt;/i&gt; spell.&lt;/p&gt;&lt;/h4&gt;&lt;/div&gt;</t>
  </si>
  <si>
    <t>Creates torches or other lights.</t>
  </si>
  <si>
    <t>bard 2, cleric/oracle 2, sorcerer/wizard 2, inquisitor 2, antipaladin 2, magus 2</t>
  </si>
  <si>
    <t>V, M/DF (bat fur and a piece of coal)</t>
  </si>
  <si>
    <t>object touched</t>
  </si>
  <si>
    <t>This spell causes an object to radiate darkness out to a 20-foot radius. This darkness causes the illumination level in the area to drop one step, from bright light to normal light, from normal light to dim light, or from dim light to darkness. This spell has no effect in an area that is already dark. Creatures with light vulnerability or sensitivity take no penalties in normal light. All creatures gain concealment (20% miss chance) in dim light. All creatures gain total concealment (50% miss chance) in darkness. Creatures with darkvision can see in an area of dim light or darkness without penalty. Nonmagical sources of light, such as torches and lanterns, do not increase the light level in an area of darkness. Magical light sources only increase the light level in an area if they are of a higher spell level than darkness. If darkness is cast on a small object that is then placed inside or under a lightproof covering, the spell's effect is blocked until the covering is removed. This spell does not stack with itself. Darkness can be used to counter or dispel any light spell of equal or lower spell level.</t>
  </si>
  <si>
    <t>&lt;p&gt;This spell causes an object to radiate &lt;i&gt;darkness&lt;/i&gt; out to a 20-foot radius. This &lt;i&gt;darkness&lt;/i&gt; causes the illumination level in the area to drop one step, from bright light to normal light, from normal light to dim light, or from dim light to &lt;i&gt;darkness&lt;/i&gt;. This spell has no effect in an area that is already dark. Creatures with light vulnerability or sensitivity take no penalties in normal light. All creatures gain concealment (20% miss chance) in dim light. All creatures gain total concealment (50% miss chance) in &lt;i&gt;darkness&lt;/i&gt;.&lt;/p&gt;&lt;p&gt;Creatures with darkvision can see in an area of dim light or &lt;i&gt;darkness&lt;/i&gt; without penalty. Nonmagical sources of light, such as torches and lanterns, do not increase the light level in an area of &lt;i&gt;darkness&lt;/i&gt;. Magical light sources only increase the light level in an area if they are of a higher spell level than &lt;i&gt;darkness&lt;/i&gt;.&lt;/p&gt;&lt;p&gt;If &lt;i&gt;darkness&lt;/i&gt; is cast on a small object that is then placed inside or under a lightproof covering, the spell's effect is blocked until the covering is removed.&lt;/p&gt;&lt;p&gt;This spell does not stack with itself. &lt;i&gt;Darkness&lt;/i&gt; can be used to counter or dispel any light spell of equal or lower spell level.&lt;/p&gt;</t>
  </si>
  <si>
    <t>&lt;link rel="stylesheet"href="PF.css"&gt;&lt;div class="heading"&gt;&lt;p class="alignleft"&gt;Darkness&lt;/p&gt;&lt;div style="clear: both;"&gt;&lt;/div&gt;&lt;/div&gt;&lt;div&gt;&lt;h5&gt;&lt;b&gt;School &lt;/b&gt;evocation [darkness]; &lt;b&gt;Level &lt;/b&gt;bard 2, cleric/oracle 2, sorcerer/wizard 2, inquisitor 2, antipaladin 2, magus 2&lt;/h5&gt;&lt;/div&gt;&lt;hr/&gt;&lt;div&gt;&lt;h5&gt;&lt;b&gt;CASTING&lt;/b&gt;&lt;/h5&gt;&lt;/div&gt;&lt;hr/&gt;&lt;div&gt;&lt;h5&gt;&lt;b&gt;Casting Time &lt;/b&gt;1 standard action&lt;/h5&gt;&lt;h5&gt;&lt;b&gt;Components &lt;/b&gt;V, M/DF (bat fur and a piece of coal)&lt;/h5&gt;&lt;/div&gt;&lt;hr/&gt;&lt;div&gt;&lt;h5&gt;&lt;b&gt;EFFECT&lt;/b&gt;&lt;/h5&gt;&lt;/div&gt;&lt;hr/&gt;&lt;div&gt;&lt;h5&gt;&lt;b&gt;Range &lt;/b&gt;touch&lt;/h5&gt;&lt;h5&gt;&lt;b&gt;Targets &lt;/b&gt;object touched&lt;/h5&gt;&lt;h5&gt;&lt;b&gt;Duration &lt;/b&gt;1 min./level (D)&lt;/h5&gt;&lt;h5&gt;&lt;b&gt;Saving Throw &lt;/b&gt;none; &lt;b&gt;Spell Resistance &lt;/b&gt;no&lt;/h5&gt;&lt;/div&gt;&lt;hr/&gt;&lt;div&gt;&lt;h5&gt;&lt;b&gt;DESCRIPTION&lt;/b&gt;&lt;/h5&gt;&lt;/div&gt;&lt;hr/&gt;&lt;div&gt;&lt;h4&gt;&lt;p&gt;This spell causes an object to radiate &lt;i&gt;darkness&lt;/i&gt; out to a 20-foot radius. This &lt;i&gt;darkness&lt;/i&gt; causes the illumination level in the area to drop one step, from bright light to normal light, from normal light to dim light, or from dim light to &lt;i&gt;darkness&lt;/i&gt;. This spell has no effect in an area that is already dark. Creatures with light vulnerability or sensitivity take no penalties in normal light. All creatures gain concealment (20% miss chance) in dim light. All creatures gain total concealment (50% miss chance) in &lt;i&gt;darkness&lt;/i&gt;.&lt;/p&gt;&lt;p&gt;Creatures with darkvision can see in an area of dim light or &lt;i&gt;darkness&lt;/i&gt; without penalty. Nonmagical sources of light, such as torches and lanterns, do not increase the light level in an area of &lt;i&gt;darkness&lt;/i&gt;. Magical light sources only increase the light level in an area if they are of a higher spell level than &lt;i&gt;darkness&lt;/i&gt;.&lt;/p&gt;&lt;p&gt;If &lt;i&gt;darkness&lt;/i&gt; is cast on a small object that is then placed inside or under a lightproof covering, the spell's effect is blocked until the covering is removed.&lt;/p&gt;&lt;p&gt;This spell does not stack with itself. &lt;i&gt;Darkness&lt;/i&gt; can be used to counter or dispel any light spell of equal or lower spell level.&lt;/p&gt;&lt;/h4&gt;&lt;h5&gt;&lt;b&gt;Mythic: &lt;/b&gt;The illumination level in the area drops to darkness regardless of the existing lighting conditions. Non-mythic spells and effects can't increase the light level in the area. Creatures with darkvision and the power to see in darkness have difficulty seeing through this darkness, and can see as well as a human can in dim light. Creatures in the area of darkness take a -2 penalty on saves against fear.&lt;/h5&gt;&lt;/div&gt;</t>
  </si>
  <si>
    <t>20-ft. radius of supernatural shadow.</t>
  </si>
  <si>
    <t>Moon, Shadow</t>
  </si>
  <si>
    <t>The illumination level in the area drops to darkness regardless of the existing lighting conditions. Non-mythic spells and effects can't increase the light level in the area. Creatures with darkvision and the power to see in darkness have difficulty seeing through this darkness, and can see as well as a human can in dim light. Creatures in the area of darkness take a -2 penalty on saves against fear.</t>
  </si>
  <si>
    <t>Darkvision</t>
  </si>
  <si>
    <t>ranger 3, sorcerer/wizard 2, alchemist 2, antipaladin 2</t>
  </si>
  <si>
    <t>V, S, M (either a pinch of dried carrot or an agate)</t>
  </si>
  <si>
    <t>The subject gains the ability to see 60 feet even in total darkness. Darkvision is black and white only but otherwise like normal sight. Darkvision can be made permanent with a permanency spell.</t>
  </si>
  <si>
    <t>&lt;p&gt;The subject gains the ability to see 60 feet even in total darkness. Darkvision is black and white only but otherwise like normal sight.&lt;/p&gt;&lt;p&gt;&lt;i&gt;Darkvision&lt;/i&gt; can be made permanent with a &lt;i&gt;permanency&lt;/i&gt; spell.&lt;/p&gt;</t>
  </si>
  <si>
    <t>&lt;link rel="stylesheet"href="PF.css"&gt;&lt;div class="heading"&gt;&lt;p class="alignleft"&gt;Darkvision&lt;/p&gt;&lt;div style="clear: both;"&gt;&lt;/div&gt;&lt;/div&gt;&lt;div&gt;&lt;h5&gt;&lt;b&gt;School &lt;/b&gt;transmutation; &lt;b&gt;Level &lt;/b&gt;ranger 3, sorcerer/wizard 2, alchemist 2, antipaladin 2&lt;/h5&gt;&lt;h5&gt;&lt;b&gt;Casting Time &lt;/b&gt;1 standard action&lt;/h5&gt;&lt;h5&gt;&lt;b&gt;Components &lt;/b&gt;V, S, M (either a pinch of dried carrot or an agate)&lt;/h5&gt;&lt;h5&gt;&lt;b&gt;Range &lt;/b&gt;touch&lt;/h5&gt;&lt;h5&gt;&lt;b&gt;Targets &lt;/b&gt; creature touched&lt;/h5&gt;&lt;h5&gt;&lt;b&gt;Duration &lt;/b&gt;1 hour/level&lt;/h5&gt;&lt;h5&gt;&lt;b&gt;Saving Throw &lt;/b&gt;Will negates (harmless); &lt;b&gt;Spell Resistance &lt;/b&gt;yes (harmless)&lt;/h5&gt;&lt;/div&gt;&lt;div&gt;&lt;h4&gt;&lt;p&gt;The subject gains the ability to see 60 feet even in total darkness. Darkvision is black and white only but otherwise like normal sight.&lt;/p&gt;&lt;p&gt;&lt;i&gt;Darkvision&lt;/i&gt; can be made permanent with a &lt;i&gt;permanency&lt;/i&gt; spell.&lt;/p&gt;&lt;/h4&gt;&lt;/div&gt;</t>
  </si>
  <si>
    <t>See 60 ft. in total darkness.</t>
  </si>
  <si>
    <t>Deep Earth, Shadow</t>
  </si>
  <si>
    <t>Moon</t>
  </si>
  <si>
    <t>Daylight</t>
  </si>
  <si>
    <t>bard 3, cleric/oracle 3, druid 3, paladin 3, sorcerer/wizard 3, inquisitor 3, magus 3</t>
  </si>
  <si>
    <t>You touch an object when you cast this spell, causing the object to shed bright light in a 60-foot radius. This illumination increases the light level for an additional 60 feet by one step (darkness becomes dim light, dim light becomes normal light, and normal light becomes bright light). Creatures that take penalties in bright light take them while within the 60-foot radius of this magical light. Despite its name, this spell is not the equivalent of daylight for the purposes of creatures that are damaged or destroyed by such light. If daylight is cast on a small object that is then placed inside or under a light-proof covering, the spell's effects are blocked until the covering is removed. Daylight brought into an area of magical darkness (or vice versa) is temporarily negated, so that the otherwise prevailing light conditions exist in the overlapping areas of effect. Daylight counters or dispels any darkness spell of equal or lower level, such as darkness.</t>
  </si>
  <si>
    <t>&lt;p&gt;You touch an object when you cast this spell, causing the object to shed bright light in a 60-foot radius. This illumination increases the light level for an additional 60 feet by one step (&lt;i&gt;darkness&lt;/i&gt; becomes dim light, dim light becomes normal light, and normal light becomes bright light). Creatures that take penalties in bright light take them while within the 60-foot radius of this magical light. Despite its name, this spell is not the equivalent of &lt;i&gt;daylight&lt;/i&gt; for the purposes of creatures that are damaged or destroyed by such light.&lt;/p&gt;&lt;p&gt;If &lt;i&gt;daylight&lt;/i&gt; is cast on a small object that is then placed inside or under a light-proof covering, the spell's effects are blocked until the covering is removed.&lt;/p&gt;&lt;p&gt;&lt;i&gt;Daylight&lt;/i&gt; brought into an area of magical &lt;i&gt;darkness&lt;/i&gt; (or vice versa) is temporarily negated, so that the otherwise prevailing light conditions exist in the overlapping areas of effect.&lt;/p&gt;&lt;p&gt;&lt;i&gt;Daylight&lt;/i&gt; counters or dispels any &lt;i&gt;darkness&lt;/i&gt; spell of equal or lower level, such as &lt;i&gt;darkness&lt;/i&gt;.&lt;/p&gt;</t>
  </si>
  <si>
    <t>&lt;link rel="stylesheet"href="PF.css"&gt;&lt;div class="heading"&gt;&lt;p class="alignleft"&gt;Daylight&lt;/p&gt;&lt;div style="clear: both;"&gt;&lt;/div&gt;&lt;/div&gt;&lt;div&gt;&lt;h5&gt;&lt;b&gt;School &lt;/b&gt;evocation [light]; &lt;b&gt;Level &lt;/b&gt;bard 3, cleric/oracle 3, druid 3, paladin 3, sorcerer/wizard 3, inquisitor 3, magus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&lt;/b&gt;object touched&lt;/h5&gt;&lt;h5&gt;&lt;b&gt;Duration &lt;/b&gt;10 min./level (D)&lt;/h5&gt;&lt;h5&gt;&lt;b&gt;Saving Throw &lt;/b&gt;none; &lt;b&gt;Spell Resistance &lt;/b&gt;no&lt;/h5&gt;&lt;/div&gt;&lt;hr/&gt;&lt;div&gt;&lt;h5&gt;&lt;b&gt;DESCRIPTION&lt;/b&gt;&lt;/h5&gt;&lt;/div&gt;&lt;hr/&gt;&lt;div&gt;&lt;h4&gt;&lt;p&gt;You touch an object when you cast this spell, causing the object to shed bright light in a 60-foot radius. This illumination increases the light level for an additional 60 feet by one step (&lt;i&gt;darkness&lt;/i&gt; becomes dim light, dim light becomes normal light, and normal light becomes bright light). Creatures that take penalties in bright light take them while within the 60-foot radius of this magical light. Despite its name, this spell is not the equivalent of &lt;i&gt;daylight&lt;/i&gt; for the purposes of creatures that are damaged or destroyed by such light.&lt;/p&gt;&lt;p&gt;If &lt;i&gt;daylight&lt;/i&gt; is cast on a small object that is then placed inside or under a light-proof covering, the spell's effects are blocked until the covering is removed.&lt;/p&gt;&lt;p&gt;&lt;i&gt;Daylight&lt;/i&gt; brought into an area of magical &lt;i&gt;darkness&lt;/i&gt; (or vice versa) is temporarily negated, so that the otherwise prevailing light conditions exist in the overlapping areas of effect.&lt;/p&gt;&lt;p&gt;&lt;i&gt;Daylight&lt;/i&gt; counters or dispels any &lt;i&gt;darkness&lt;/i&gt; spell of equal or lower level, such as &lt;i&gt;darkness&lt;/i&gt;.&lt;/p&gt;&lt;/h4&gt;&lt;h5&gt;&lt;b&gt;Mythic: &lt;/b&gt;The illumination in the additional 60 foot radius increases to at least normal light regardless of the existing lighting conditions. Creatures that take penalties in bright light double those penalties while in the area of bright light produced by this spell. All other creatures in the area of bright light gain a +2 circumstance bonus on Perception checks and saves to resist fear.&lt;/h5&gt;&lt;/div&gt;</t>
  </si>
  <si>
    <t>Day, Light</t>
  </si>
  <si>
    <t>60-ft. radius of bright light.</t>
  </si>
  <si>
    <t>The illumination in the additional 60 foot radius increases to at least normal light regardless of the existing lighting conditions. Creatures that take penalties in bright light double those penalties while in the area of bright light produced by this spell. All other creatures in the area of bright light gain a +2 circumstance bonus on Perception checks and saves to resist fear.</t>
  </si>
  <si>
    <t>Daze</t>
  </si>
  <si>
    <t>bard 0, sorcerer/wizard 0, witch 0, summoner 0, inquisitor 0, magus 0</t>
  </si>
  <si>
    <t>V, S, M (a pinch of wool or similar substance)</t>
  </si>
  <si>
    <t>one humanoid creature of 4 HD or less</t>
  </si>
  <si>
    <t>This spell clouds the mind of a humanoid creature with 4 or fewer Hit Dice so that it takes no actions. Humanoids of 5 or more HD are not affected. A dazed subject is not stunned, so attackers get no special advantage against it. After a creature has been dazed by this spell, it is immune to the effects of this spell for 1 minute.</t>
  </si>
  <si>
    <t>&lt;p&gt;This spell clouds the mind of a humanoid creature with 4 or fewer Hit Dice so that it takes no actions. Humanoids of 5 or more HD are not affected. A dazed subject is not stunned, so attackers get no special advantage against it. After a creature has been dazed by this spell, it is immune to the effects of this spell for 1 minute.&lt;/p&gt;</t>
  </si>
  <si>
    <t>&lt;link rel="stylesheet"href="PF.css"&gt;&lt;div class="heading"&gt;&lt;p class="alignleft"&gt;Daze&lt;/p&gt;&lt;div style="clear: both;"&gt;&lt;/div&gt;&lt;/div&gt;&lt;div&gt;&lt;h5&gt;&lt;b&gt;School &lt;/b&gt;enchantment (compulsion) [mind-affecting]; &lt;b&gt;Level &lt;/b&gt;bard 0, sorcerer/wizard 0, summoner 0, witch 0, inquisitor 0&lt;/h5&gt;&lt;h5&gt;&lt;b&gt;Casting Time &lt;/b&gt;1 standard action&lt;/h5&gt;&lt;h5&gt;&lt;b&gt;Components &lt;/b&gt;V, S, M (a pinch of wool or similar substance)&lt;/h5&gt;&lt;h5&gt;&lt;b&gt;Range &lt;/b&gt;close (25 ft. + 5 ft./2 levels)&lt;/h5&gt;&lt;h5&gt;&lt;b&gt;Targets &lt;/b&gt; one humanoid creature of 4 HD or less&lt;/h5&gt;&lt;h5&gt;&lt;b&gt;Duration &lt;/b&gt;1 round&lt;/h5&gt;&lt;h5&gt;&lt;b&gt;Saving Throw &lt;/b&gt;Will negates; &lt;b&gt;Spell Resistance &lt;/b&gt;yes&lt;/h5&gt;&lt;/div&gt;&lt;div&gt;&lt;h4&gt;&lt;p&gt;This spell clouds the mind of a humanoid creature with 4 or fewer Hit Dice so that it takes no actions. Humanoids of 5 or more HD are not affected. A dazed subject is not stunned, so attackers get no special advantage against it. After a creature has been dazed by this spell, it is immune to the effects of this spell for 1 minute.&lt;/p&gt;&lt;/h4&gt;&lt;/div&gt;</t>
  </si>
  <si>
    <t>Humanoid creature of 4 HD or less loses next action.</t>
  </si>
  <si>
    <t>Daze Monster</t>
  </si>
  <si>
    <t>bard 2, sorcerer/wizard 2, summoner 1, witch 2</t>
  </si>
  <si>
    <t>one living creature of 6 HD or less</t>
  </si>
  <si>
    <t>This spell functions like daze, but it can affect any one living creature of any type. Creatures of 7 or more HD are not affected.</t>
  </si>
  <si>
    <t>&lt;p&gt;This spell functions like &lt;i&gt;daze&lt;/i&gt;, but it can affect any one living creature of any type. Creatures of 7 or more HD are not affected.&lt;/p&gt;</t>
  </si>
  <si>
    <t>&lt;link rel="stylesheet"href="PF.css"&gt;&lt;div class="heading"&gt;&lt;p class="alignleft"&gt;Daze Monster&lt;/p&gt;&lt;div style="clear: both;"&gt;&lt;/div&gt;&lt;/div&gt;&lt;div&gt;&lt;h5&gt;&lt;b&gt;School &lt;/b&gt;enchantment (compulsion) [mind-affecting]; &lt;b&gt;Level &lt;/b&gt;bard 2, sorcerer/wizard 2, witch 2, summoner 1&lt;/h5&gt;&lt;h5&gt;&lt;b&gt;Casting Time &lt;/b&gt;1 standard action&lt;/h5&gt;&lt;h5&gt;&lt;b&gt;Components &lt;/b&gt;V, S, M (a pinch of wool or similar substance)&lt;/h5&gt;&lt;h5&gt;&lt;b&gt;Range &lt;/b&gt;medium (100 ft. + 10 ft./level)&lt;/h5&gt;&lt;h5&gt;&lt;b&gt;Targets &lt;/b&gt; one living creature of 6 HD or less&lt;/h5&gt;&lt;h5&gt;&lt;b&gt;Duration &lt;/b&gt;1 round&lt;/h5&gt;&lt;h5&gt;&lt;b&gt;Saving Throw &lt;/b&gt;Will negates; &lt;b&gt;Spell Resistance &lt;/b&gt;yes&lt;/h5&gt;&lt;/div&gt;&lt;div&gt;&lt;h4&gt;&lt;p&gt;This spell functions like &lt;i&gt;daze&lt;/i&gt;, but it can affect any one living creature of any type. Creatures of 7 or more HD are not affected.&lt;/p&gt;&lt;/h4&gt;&lt;/div&gt;</t>
  </si>
  <si>
    <t>Living creature of 6 HD or less loses next action.</t>
  </si>
  <si>
    <t>Death Knell</t>
  </si>
  <si>
    <t>death, evil</t>
  </si>
  <si>
    <t>cleric/oracle 2, inquisitor 2, witch 2, antipaladin 1</t>
  </si>
  <si>
    <t>instantaneous/10 minutes per HD of subject; see text</t>
  </si>
  <si>
    <t>You draw forth the ebbing life force of a creature and use it to fuel your own power. Upon casting this spell, you touch a living creature that has -1 or fewer hit points. If the subject fails its saving throw, it dies, and you gain 1d8 temporary hit points and a +2 enhancement bonus to Strength. Additionally, your effective caster level goes up by +1, improving spell effects dependent on caster level. This increase in effective caster level does not grant you access to more spells. These effects last for 10 minutes per HD of the subject creature.</t>
  </si>
  <si>
    <t>&lt;p&gt;You draw forth the ebbing life force of a creature and use it to fuel your own power. Upon casting this spell, you touch a living creature that has -1 or fewer hit points. If the subject fails its saving throw, it dies, and you gain 1d8 temporary hit points and a +2 enhancement bonus to Strength. Additionally, your effective caster level goes up by +1, improving spell effects dependent on caster level. This increase in effective caster level does not grant you access to more spells. These effects last for 10 minutes per HD of the subject creature.&lt;/p&gt;</t>
  </si>
  <si>
    <t>&lt;link rel="stylesheet"href="PF.css"&gt;&lt;div class="heading"&gt;&lt;p class="alignleft"&gt;Death Knell&lt;/p&gt;&lt;div style="clear: both;"&gt;&lt;/div&gt;&lt;/div&gt;&lt;div&gt;&lt;h5&gt;&lt;b&gt;School &lt;/b&gt;necromancy [death, evil]; &lt;b&gt;Level &lt;/b&gt;cleric/oracle 2, inquisitor 2, witch 2, antipaladin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&lt;/b&gt;living creature touched&lt;/h5&gt;&lt;h5&gt;&lt;b&gt;Duration &lt;/b&gt;instantaneous/10 minutes per HD of subject; see text&lt;/h5&gt;&lt;h5&gt;&lt;b&gt;Saving Throw &lt;/b&gt;Will negates; &lt;b&gt;Spell Resistance &lt;/b&gt;yes&lt;/h5&gt;&lt;/div&gt;&lt;hr/&gt;&lt;div&gt;&lt;h5&gt;&lt;b&gt;DESCRIPTION&lt;/b&gt;&lt;/h5&gt;&lt;/div&gt;&lt;hr/&gt;&lt;div&gt;&lt;h4&gt;&lt;p&gt;You draw forth the ebbing life force of a creature and use it to fuel your own power. Upon casting this spell, you touch a living creature that has -1 or fewer hit points. If the subject fails its saving throw, it dies, and you gain 1d8 temporary hit points and a +2 enhancement bonus to Strength. Additionally, your effective caster level goes up by +1, improving spell effects dependent on caster level. This increase in effective caster level does not grant you access to more spells. These effects last for 10 minutes per HD of the subject creature.&lt;/p&gt;&lt;/h4&gt;&lt;h5&gt;&lt;b&gt;Mythic: &lt;/b&gt;Increase the spell's range to close (25 feet + 5 feet per 2 caster levels). Increase the temporary hp gained from the spell to 2d8 and the enhancement bonuses to Strength to +4, and gain a +4 enhancement bonus to Dexterity.&lt;/h5&gt;&lt;h5&gt;&lt;b&gt;Augmented (3rd)&lt;/b&gt;: If you expend two uses of mythic power, the casting time decreases to 1 immediate action, and you may target a creature that you killed on your last turn as if it were still alive; the dead target gets no save.&lt;/h5&gt;&lt;/div&gt;</t>
  </si>
  <si>
    <t> Kills dying creature; you gain 1d8 temporary hp, +2 to Str, and +1 caster level.</t>
  </si>
  <si>
    <t>Increase the spell's range to close (25 feet + 5 feet per 2 caster levels). Increase the temporary hp gained from the spell to 2d8 and the enhancement bonuses to Strength to +4, and gain a +4 enhancement bonus to Dexterity.</t>
  </si>
  <si>
    <t>Augmented (3rd): If you expend two uses of mythic power, the casting time decreases to 1 immediate action, and you may target a creature that you killed on your last turn as if it were still alive; the dead target gets no save.</t>
  </si>
  <si>
    <t>Death Ward</t>
  </si>
  <si>
    <t>cleric 4/oracle 4, druid 5, paladin 4, witch 4, inquisitor 4, alchemist 4</t>
  </si>
  <si>
    <t>The subject gains a +4 morale bonus on saves against all death spells and magical death effects. The subject is granted a save to negate such effects even if one is not normally allowed. The subject is immune to energy drain and any negative energy effects, including channeled negative energy. This spell does not remove negative levels that the subject has already gained, but it does remove the penalties from negative levels for the duration of its effect. Death ward does not protect against other sorts of attacks, even if those attacks might be lethal.</t>
  </si>
  <si>
    <t>&lt;p&gt;The subject gains a +4 morale bonus on saves against all death spells and magical death effects. The subject is granted a save to negate such effects even if one is not normally allowed. The subject is immune to energy drain and any negative energy effects, including channeled negative energy.&lt;/p&gt;&lt;p&gt;This spell does not remove negative levels that the subject has already gained, but it does remove the penalties from negative levels for the duration of its effect.&lt;/p&gt;&lt;p&gt;&lt;i&gt;Death ward&lt;/i&gt; does not protect against other sorts of attacks, even if those attacks might be lethal.&lt;/p&gt;</t>
  </si>
  <si>
    <t>&lt;link rel="stylesheet"href="PF.css"&gt;&lt;div class="heading"&gt;&lt;p class="alignleft"&gt;Death Ward&lt;/p&gt;&lt;div style="clear: both;"&gt;&lt;/div&gt;&lt;/div&gt;&lt;div&gt;&lt;h5&gt;&lt;b&gt;School &lt;/b&gt;necromancy; &lt;b&gt;Level &lt;/b&gt;cleric 4/oracle 4, druid 5, paladin 4, witch 4, inquisitor 4&lt;/h5&gt;&lt;h5&gt;&lt;b&gt;Casting Time &lt;/b&gt;1 standard action&lt;/h5&gt;&lt;h5&gt;&lt;b&gt;Components &lt;/b&gt;V, S, DF&lt;/h5&gt;&lt;h5&gt;&lt;b&gt;Range &lt;/b&gt;touch&lt;/h5&gt;&lt;h5&gt;&lt;b&gt;Targets &lt;/b&gt; living creature touched&lt;/h5&gt;&lt;h5&gt;&lt;b&gt;Duration &lt;/b&gt;1 min./level&lt;/h5&gt;&lt;h5&gt;&lt;b&gt;Saving Throw &lt;/b&gt;Will negates (harmless); &lt;b&gt;Spell Resistance &lt;/b&gt;yes (harmless)&lt;/h5&gt;&lt;/div&gt;&lt;div&gt;&lt;h4&gt;&lt;p&gt;The subject gains a +4 morale bonus on saves against all death spells and magical death effects. The subject is granted a save to negate such effects even if one is not normally allowed. The subject is immune to energy drain and any negative energy effects, including channeled negative energy.&lt;/p&gt;&lt;p&gt;This spell does not remove negative levels that the subject has already gained, but it does remove the penalties from negative levels for the duration of its effect.&lt;/p&gt;&lt;p&gt;&lt;i&gt;Death ward&lt;/i&gt; does not protect against other sorts of attacks, even if those attacks might be lethal.&lt;/p&gt;&lt;/h4&gt;&lt;/div&gt;</t>
  </si>
  <si>
    <t>Death, Repose</t>
  </si>
  <si>
    <t>Grants bonuses against death spells and negative energy.</t>
  </si>
  <si>
    <t>Deathwatch</t>
  </si>
  <si>
    <t>cleric 1/oracle 1</t>
  </si>
  <si>
    <t>cone-shaped emanation</t>
  </si>
  <si>
    <t>Using the powers of necromancy, you can determine the condition of creatures near death within the spell's range. You instantly know whether each creature within the area is dead, fragile (alive and wounded, with 3 or fewer hit points left), fighting off death (alive with 4 or more hit points), healthy, undead, or neither alive nor dead (such as a construct). Deathwatch sees through any spell or ability that allows creatures to feign death.</t>
  </si>
  <si>
    <t>&lt;p&gt;Using the powers of necromancy, you can determine the condition of creatures near death within the spell's range. You instantly know whether each creature within the area is dead, fragile (alive and wounded, with 3 or fewer hit points left), fighting off death (alive with 4 or more hit points), healthy, undead, or neither alive nor dead (such as a construct). &lt;i&gt;Deathwatch&lt;/i&gt; sees through any spell or ability that allows creatures to feign death.&lt;/p&gt;</t>
  </si>
  <si>
    <t>&lt;link rel="stylesheet"href="PF.css"&gt;&lt;div class="heading"&gt;&lt;p class="alignleft"&gt;Deathwatch&lt;/p&gt;&lt;div style="clear: both;"&gt;&lt;/div&gt;&lt;/div&gt;&lt;div&gt;&lt;h5&gt;&lt;b&gt;School &lt;/b&gt;necromancy; &lt;b&gt;Level &lt;/b&gt;cleric 1/oracle 1&lt;/h5&gt;&lt;h5&gt;&lt;b&gt;Casting Time &lt;/b&gt;1 standard action&lt;/h5&gt;&lt;h5&gt;&lt;b&gt;Components &lt;/b&gt;V, S&lt;/h5&gt;&lt;h5&gt;&lt;b&gt;Range &lt;/b&gt;30 ft.&lt;/h5&gt;&lt;h5&gt;&lt;b&gt;Area &lt;/b&gt;cone-shaped emanation&lt;/h5&gt;&lt;h5&gt;&lt;b&gt;Duration &lt;/b&gt;10 min./level&lt;/h5&gt;&lt;h5&gt;&lt;b&gt;Saving Throw &lt;/b&gt;none; &lt;b&gt;Spell Resistance &lt;/b&gt;no&lt;/h5&gt;&lt;/div&gt;&lt;div&gt;&lt;h4&gt;&lt;p&gt;Using the powers of necromancy, you can determine the condition of creatures near death within the spell's range. You instantly know whether each creature within the area is dead, fragile (alive and wounded, with 3 or fewer hit points left), fighting off death (alive with 4 or more hit points), healthy, undead, or neither alive nor dead (such as a construct). &lt;i&gt;Deathwatch&lt;/i&gt; sees through any spell or ability that allows creatures to feign death.&lt;/p&gt;&lt;/h4&gt;&lt;/div&gt;</t>
  </si>
  <si>
    <t>Repose</t>
  </si>
  <si>
    <t> Reveals how near death subjects within 30 ft. are.</t>
  </si>
  <si>
    <t>Deeper Darkness</t>
  </si>
  <si>
    <t>This spell functions as darkness, except that objects radiate darkness in a 60-foot radius and the light level is lowered by two steps. Bright light becomes dim light and normal light becomes darkness. Areas of dim light and darkness become supernaturally dark. This functions like darkness, but even creatures with darkvision cannot see within the spell's confines. This spell does not stack with itself. Deeper darkness can be used to counter or dispel any light spell of equal or lower spell level.</t>
  </si>
  <si>
    <t>&lt;p&gt;This spell functions as &lt;i&gt;darkness&lt;/i&gt;, except that objects radiate &lt;i&gt;darkness&lt;/i&gt; in a 60-foot radius and the light level is lowered by two steps. Bright light becomes dim light and normal light becomes &lt;i&gt;darkness&lt;/i&gt;. Areas of dim light and &lt;i&gt;darkness&lt;/i&gt; become supernaturally dark. This functions like &lt;i&gt;darkness&lt;/i&gt;, but even creatures with darkvision cannot see within the spell's confines.&lt;/p&gt;&lt;p&gt;This spell does not stack with itself. &lt;b&gt;Deeper&lt;/b&gt; &lt;i&gt;darkness&lt;/i&gt; can be used to counter or dispel any light spell of equal or lower spell level.&lt;/p&gt;</t>
  </si>
  <si>
    <t>&lt;link rel="stylesheet"href="PF.css"&gt;&lt;div class="heading"&gt;&lt;p class="alignleft"&gt;Deeper Darkness&lt;/p&gt;&lt;div style="clear: both;"&gt;&lt;/div&gt;&lt;/div&gt;&lt;div&gt;&lt;h5&gt;&lt;b&gt;School &lt;/b&gt;evocation [darkness]; &lt;b&gt;Level &lt;/b&gt;cleric 3/oracle 3&lt;/h5&gt;&lt;/div&gt;&lt;hr/&gt;&lt;div&gt;&lt;h5&gt;&lt;b&gt;CASTING&lt;/b&gt;&lt;/h5&gt;&lt;/div&gt;&lt;hr/&gt;&lt;div&gt;&lt;h5&gt;&lt;b&gt;Casting Time &lt;/b&gt;1 standard action&lt;/h5&gt;&lt;h5&gt;&lt;b&gt;Components &lt;/b&gt;V, M/DF (bat fur and a piece of coal)&lt;/h5&gt;&lt;/div&gt;&lt;hr/&gt;&lt;div&gt;&lt;h5&gt;&lt;b&gt;EFFECT&lt;/b&gt;&lt;/h5&gt;&lt;/div&gt;&lt;hr/&gt;&lt;div&gt;&lt;h5&gt;&lt;b&gt;Range &lt;/b&gt;touch&lt;/h5&gt;&lt;h5&gt;&lt;b&gt;Targets &lt;/b&gt;object touched&lt;/h5&gt;&lt;h5&gt;&lt;b&gt;Duration &lt;/b&gt;10 min./level (D)&lt;/h5&gt;&lt;h5&gt;&lt;b&gt;Saving Throw &lt;/b&gt;none; &lt;b&gt;Spell Resistance &lt;/b&gt;no&lt;/h5&gt;&lt;/div&gt;&lt;hr/&gt;&lt;div&gt;&lt;h5&gt;&lt;b&gt;DESCRIPTION&lt;/b&gt;&lt;/h5&gt;&lt;/div&gt;&lt;hr/&gt;&lt;div&gt;&lt;h4&gt;&lt;p&gt;This spell functions as &lt;i&gt;darkness&lt;/i&gt;, except that objects radiate &lt;i&gt;darkness&lt;/i&gt; in a 60-foot radius and the light level is lowered by two steps. Bright light becomes dim light and normal light becomes &lt;i&gt;darkness&lt;/i&gt;. Areas of dim light and &lt;i&gt;darkness&lt;/i&gt; become supernaturally dark. This functions like &lt;i&gt;darkness&lt;/i&gt;, but even creatures with darkvision cannot see within the spell's confines.&lt;/p&gt;&lt;p&gt;This spell does not stack with itself. &lt;i&gt;Deeper darkness&lt;/i&gt; can be used to counter or dispel any light spell of equal or lower spell level.&lt;/p&gt;&lt;/h4&gt;&lt;/div&gt;</t>
  </si>
  <si>
    <t> Object sheds supernatural shadow in 60-ft. radius.</t>
  </si>
  <si>
    <t>Shadow</t>
  </si>
  <si>
    <t>Deep Slumber</t>
  </si>
  <si>
    <t>V, S, M (fine sand, rose petals, or a live cricket)</t>
  </si>
  <si>
    <t>one or more living creatures within a 10-ft.-radius burst</t>
  </si>
  <si>
    <t>This spell functions like sleep, except that it affects 10 HD of targets.</t>
  </si>
  <si>
    <t>&lt;p&gt;This spell functions like &lt;i&gt;sleep&lt;/i&gt;, except that it affects 10 HD of targets.&lt;/p&gt;</t>
  </si>
  <si>
    <t>&lt;link rel="stylesheet"href="PF.css"&gt;&lt;div class="heading"&gt;&lt;p class="alignleft"&gt;Deep Slumber&lt;/p&gt;&lt;div style="clear: both;"&gt;&lt;/div&gt;&lt;/div&gt;&lt;div&gt;&lt;h5&gt;&lt;b&gt;School &lt;/b&gt;enchantment (compulsion) [mind-affecting]; &lt;b&gt;Level &lt;/b&gt;bard 3, sorcerer/wizard 3, witch 3&lt;/h5&gt;&lt;/div&gt;&lt;hr/&gt;&lt;div&gt;&lt;h5&gt;&lt;b&gt;CASTING&lt;/b&gt;&lt;/h5&gt;&lt;/div&gt;&lt;hr/&gt;&lt;div&gt;&lt;h5&gt;&lt;b&gt;Casting Time &lt;/b&gt;1 round&lt;/h5&gt;&lt;h5&gt;&lt;b&gt;Components &lt;/b&gt;V, S, M (fine sand, rose petals, or a live cricket)&lt;/h5&gt;&lt;/div&gt;&lt;hr/&gt;&lt;div&gt;&lt;h5&gt;&lt;b&gt;EFFECT&lt;/b&gt;&lt;/h5&gt;&lt;/div&gt;&lt;hr/&gt;&lt;div&gt;&lt;h5&gt;&lt;b&gt;Range &lt;/b&gt;close (25 ft. + 5 ft./2 levels)&lt;/h5&gt;&lt;h5&gt;&lt;b&gt;Area &lt;/b&gt;one or more living creatures within a 10-ft.-radius burst&lt;/h5&gt;&lt;h5&gt;&lt;b&gt;Duration &lt;/b&gt;1 min./level&lt;/h5&gt;&lt;h5&gt;&lt;b&gt;Saving Throw &lt;/b&gt;Will negates; &lt;b&gt;Spell Resistance &lt;/b&gt;yes&lt;/h5&gt;&lt;/div&gt;&lt;hr/&gt;&lt;div&gt;&lt;h5&gt;&lt;b&gt;DESCRIPTION&lt;/b&gt;&lt;/h5&gt;&lt;/div&gt;&lt;hr/&gt;&lt;div&gt;&lt;h4&gt;&lt;p&gt;This spell functions like &lt;i&gt;sleep&lt;/i&gt;, except that it affects 10 HD of targets.&lt;/p&gt;&lt;/h4&gt;&lt;h5&gt;&lt;b&gt;Mythic: &lt;/b&gt;This spell works like mythic sleep, except that it affects up to 20 Hit Dice of creatures. Alternatively, you may target one creature rather than an area, increasing the duration to 1 hour per level.&lt;/h5&gt;&lt;h5&gt;&lt;b&gt;Augmented (5th)&lt;/b&gt;: If you expend two uses of mythic power, creatures affected by the spell can be awakened only by mythic effects. If you're 5th tier and expend three uses of mythic power, the duration increases to 10 years per tier. If you're 5th tier and expend four uses of mythic power, the spell has both augmented effects. Creatures sleeping for years because of this spell age and breathe as normal, but don't need to eat or drink while the spell lasts.&lt;/h5&gt;&lt;/div&gt;</t>
  </si>
  <si>
    <t>Puts 10 HD of creatures to sleep.</t>
  </si>
  <si>
    <t>Dreamspun, Fey</t>
  </si>
  <si>
    <t>This spell works like mythic sleep, except that it affects up to 20 Hit Dice of creatures. Alternatively, you may target one creature rather than an area, increasing the duration to 1 hour per level.</t>
  </si>
  <si>
    <t>Augmented (5th): If you expend two uses of mythic power, creatures affected by the spell can be awakened only by mythic effects. If you're 5th tier and expend three uses of mythic power, the duration increases to 10 years per tier. If you're 5th tier and expend four uses of mythic power, the spell has both augmented effects. Creatures sleeping for years because of this spell age and breathe as normal, but don't need to eat or drink while the spell lasts.</t>
  </si>
  <si>
    <t>Delayed Blast Fireball</t>
  </si>
  <si>
    <t>V, S, M (a ball of bat guano and sulfur)</t>
  </si>
  <si>
    <t>5 rounds or less; see text</t>
  </si>
  <si>
    <t>This spell functions like fireball, except that it is more powerful and can detonate up to 5 rounds after the spell is cast. The burst of flame deals 1d6 points of fire damage per caster level (maximum 20d6). The glowing bead created by delayed blast fireball can detonate immediately if you desire, or you can choose to delay the burst for as many as 5 rounds. You select the amount of delay upon completing the spell, and that time cannot change once it has been set unless someone touches the bead. If you choose a delay, the glowing bead sits at its destination until it detonates. A creature can pick up and hurl the bead as a thrown weapon (range increment 10 feet). If a creature handles and moves the bead within 1 round of its detonation, there is a 25% chance that the bead detonates while being handled.</t>
  </si>
  <si>
    <t>&lt;p&gt;This spell functions like &lt;i&gt;fireball&lt;/i&gt;, except that it is more powerful and can detonate up to 5 rounds after the spell is cast. The burst of flame deals 1d6 points of fire damage per caster level (maximum 20d6). The glowing bead created by &lt;i&gt;delayed blast fireball&lt;/i&gt; can detonate immediately if you desire, or you can choose to delay the burst for as many as 5 rounds. You select the amount of delay upon completing the spell, and that time cannot change once it has been set unless someone touches the bead. If you choose a delay, the glowing bead sits at its destination until it detonates. A creature can pick up and hurl the bead as a thrown weapon (range increment 10 feet). If a creature handles and moves the bead within 1 round of its detonation, there is a 25% chance that the bead detonates while being handled.&lt;/p&gt;</t>
  </si>
  <si>
    <t>&lt;link rel="stylesheet"href="PF.css"&gt;&lt;div class="heading"&gt;&lt;p class="alignleft"&gt;Delayed Blast Fireball&lt;/p&gt;&lt;div style="clear: both;"&gt;&lt;/div&gt;&lt;/div&gt;&lt;div&gt;&lt;h5&gt;&lt;b&gt;School &lt;/b&gt;evocation [fire]; &lt;b&gt;Level &lt;/b&gt;sorcerer/wizard 7&lt;/h5&gt;&lt;h5&gt;&lt;b&gt;Casting Time &lt;/b&gt;1 standard action&lt;/h5&gt;&lt;h5&gt;&lt;b&gt;Components &lt;/b&gt;V, S, M (a ball of bat guano and sulfur)&lt;/h5&gt;&lt;h5&gt;&lt;b&gt;Range &lt;/b&gt;long (400 ft. + 40 ft./level)&lt;/h5&gt;&lt;h5&gt;&lt;b&gt;Area &lt;/b&gt;20-ft.-radius spread&lt;/h5&gt;&lt;h5&gt;&lt;b&gt;Duration &lt;/b&gt;5 rounds or less; see text&lt;/h5&gt;&lt;h5&gt;&lt;b&gt;Saving Throw &lt;/b&gt;Reflex half; &lt;b&gt;Spell Resistance &lt;/b&gt;yes&lt;/h5&gt;&lt;/div&gt;&lt;div&gt;&lt;h4&gt;&lt;p&gt;This spell functions like &lt;i&gt;fireball&lt;/i&gt;, except that it is more powerful and can detonate up to 5 rounds after the spell is cast. The burst of flame deals 1d6 points of fire damage per caster level (maximum 20d6). The glowing bead created by &lt;i&gt;delayed blast fireball&lt;/i&gt; can detonate immediately if you desire, or you can choose to delay the burst for as many as 5 rounds. You select the amount of delay upon completing the spell, and that time cannot change once it has been set unless someone touches the bead. If you choose a delay, the glowing bead sits at its destination until it detonates. A creature can pick up and hurl the bead as a thrown weapon (range increment 10 feet). If a creature handles and moves the bead within 1 round of its detonation, there is a 25% chance that the bead detonates while being handled.&lt;/p&gt;&lt;/h4&gt;&lt;/div&gt;</t>
  </si>
  <si>
    <t> 1d6/level fire damage; you can postpone blast for up to 5 rounds.</t>
  </si>
  <si>
    <t>Kobold Sorcerer, Orc</t>
  </si>
  <si>
    <t>Delay Poison</t>
  </si>
  <si>
    <t>bard 2, cleric 2/oracle 2, druid 2, paladin 2, ranger 1, alchemist 2, witch 2, inquisitor 2</t>
  </si>
  <si>
    <t>Fortitude negates (harmless)</t>
  </si>
  <si>
    <t>The subject becomes temporarily immune to poison. Any poison in its system or any poison to which it is exposed during the spell's duration does not affect the subject until the spell's duration has expired. Delay poison does not cure any damage that poison may have already done.</t>
  </si>
  <si>
    <t>&lt;p&gt;The subject becomes temporarily immune to poison. Any poison in its system or any poison to which it is exposed during the spell's duration does not affect the subject until the spell's duration has expired. &lt;i&gt;Delay poison&lt;/i&gt; does not cure any damage that poison may have already done.&lt;/p&gt;</t>
  </si>
  <si>
    <t>&lt;link rel="stylesheet"href="PF.css"&gt;&lt;div class="heading"&gt;&lt;p class="alignleft"&gt;Delay Poison&lt;/p&gt;&lt;div style="clear: both;"&gt;&lt;/div&gt;&lt;/div&gt;&lt;div&gt;&lt;h5&gt;&lt;b&gt;School &lt;/b&gt;conjuration (healing); &lt;b&gt;Level &lt;/b&gt;bard 2, cleric 2/oracle 2, druid 2, paladin 2, ranger 1, alchemist 2, witch 2, inquisitor 2, alchemist 2, witch 2, inquisitor 2&lt;/h5&gt;&lt;h5&gt;&lt;b&gt;Casting Time &lt;/b&gt;1 standard action&lt;/h5&gt;&lt;h5&gt;&lt;b&gt;Components &lt;/b&gt;V, S, DF&lt;/h5&gt;&lt;h5&gt;&lt;b&gt;Range &lt;/b&gt;touch&lt;/h5&gt;&lt;h5&gt;&lt;b&gt;Targets &lt;/b&gt; creature touched&lt;/h5&gt;&lt;h5&gt;&lt;b&gt;Duration &lt;/b&gt;1 hour/level&lt;/h5&gt;&lt;h5&gt;&lt;b&gt;Saving Throw &lt;/b&gt;Fortitude negates (harmless); &lt;b&gt;Spell Resistance &lt;/b&gt;yes (harmless)&lt;/h5&gt;&lt;/div&gt;&lt;div&gt;&lt;h4&gt;&lt;p&gt;The subject becomes temporarily immune to poison. Any poison in its system or any poison to which it is exposed during the spell's duration does not affect the subject until the spell's duration has expired. &lt;i&gt;Delay poison&lt;/i&gt; does not cure any damage that poison may have already done.&lt;/p&gt;&lt;/h4&gt;&lt;/div&gt;</t>
  </si>
  <si>
    <t>Stops poison from harming target for 1 hour/level.</t>
  </si>
  <si>
    <t>Serpentine</t>
  </si>
  <si>
    <t>Demand</t>
  </si>
  <si>
    <t>V, S, M/DF (fine copper wire)</t>
  </si>
  <si>
    <t>one creature</t>
  </si>
  <si>
    <t>1 round; see text</t>
  </si>
  <si>
    <t>This spell functions like sending, but the message can also contain a suggestion (see the suggestion spell), which the subject does its best to carry out. A successful Will save negates the suggestion effect but not the contact itself. The demand, if received, is understood even if the subject's Intelligence score is as low as 1. If the message is impossible or meaningless according to the circumstances that exist for the subject at the time the demand is issued, the message is understood but the suggestion is ineffective. The demand's message to the creature must be 25 words or less, including the suggestion. The creature can also give a short reply immediately.</t>
  </si>
  <si>
    <t>&lt;p&gt;This spell functions like &lt;i&gt;sending&lt;/i&gt;, but the message can also contain a &lt;i&gt;suggestion&lt;/i&gt; (see the &lt;i&gt;suggestion&lt;/i&gt; spell), which the subject does its best to carry out. A successful Will save negates the &lt;i&gt;suggestion&lt;/i&gt; effect but not the contact itself. The &lt;i&gt;demand&lt;/i&gt;, if received, is understood even if the subject's Intelligence score is as low as 1. If the message is impossible or meaningless according to the circumstances that exist for the subject at the time the &lt;i&gt;demand&lt;/i&gt; is issued, the message is understood but the &lt;i&gt;suggestion&lt;/i&gt; is ineffective.&lt;/p&gt;&lt;p&gt;The &lt;i&gt;demand's&lt;/i&gt; message to the creature must be 25 words or less, including the &lt;i&gt;suggestion&lt;/i&gt;. The creature can also give a short reply immediately.&lt;/p&gt;</t>
  </si>
  <si>
    <t>&lt;link rel="stylesheet"href="PF.css"&gt;&lt;div class="heading"&gt;&lt;p class="alignleft"&gt;Demand&lt;/p&gt;&lt;div style="clear: both;"&gt;&lt;/div&gt;&lt;/div&gt;&lt;div&gt;&lt;h5&gt;&lt;b&gt;School &lt;/b&gt;enchantment (compulsion) [mind-affecting]; &lt;b&gt;Level &lt;/b&gt;sorcerer/wizard 8, witch 8&lt;/h5&gt;&lt;h5&gt;&lt;b&gt;Casting Time &lt;/b&gt;10 minutes&lt;/h5&gt;&lt;h5&gt;&lt;b&gt;Components &lt;/b&gt;V, S, M/DF (fine copper wire)&lt;/h5&gt;&lt;h5&gt;&lt;b&gt;Range &lt;/b&gt;see text&lt;/h5&gt;&lt;h5&gt;&lt;b&gt;Targets &lt;/b&gt; one creature&lt;/h5&gt;&lt;h5&gt;&lt;b&gt;Duration &lt;/b&gt;1 round; see text&lt;/h5&gt;&lt;h5&gt;&lt;b&gt;Saving Throw &lt;/b&gt;Will partial; &lt;b&gt;Spell Resistance &lt;/b&gt;yes&lt;/h5&gt;&lt;/div&gt;&lt;div&gt;&lt;h4&gt;&lt;p&gt;This spell functions like &lt;i&gt;sending&lt;/i&gt;, but the message can also contain a &lt;i&gt;suggestion&lt;/i&gt; (see the &lt;i&gt;suggestion&lt;/i&gt; spell), which the subject does its best to carry out. A successful Will save negates the &lt;i&gt;suggestion&lt;/i&gt; effect but not the contact itself. The &lt;i&gt;demand&lt;/i&gt;, if received, is understood even if the subject's Intelligence score is as low as 1. If the message is impossible or meaningless according to the circumstances that exist for the subject at the time the &lt;i&gt;demand&lt;/i&gt; is issued, the message is understood but the &lt;i&gt;suggestion&lt;/i&gt; is ineffective.&lt;/p&gt;&lt;p&gt;The &lt;i&gt;demand's&lt;/i&gt; message to the creature must be 25 words or less, including the &lt;i&gt;suggestion&lt;/i&gt;. The creature can also give a short reply immediately.&lt;/p&gt;&lt;/h4&gt;&lt;/div&gt;</t>
  </si>
  <si>
    <t>Charm, Nobility</t>
  </si>
  <si>
    <t> As sending, plus you can send suggestion.</t>
  </si>
  <si>
    <t>Enchantment</t>
  </si>
  <si>
    <t>Desecrate</t>
  </si>
  <si>
    <t>cleric/oracle 2, inquisitor 2, antipaladin 2</t>
  </si>
  <si>
    <t>V, S, M (a vial of unholy water and 25 gp worth (5 pounds) of silver dust, all of which must be sprinkled around the area), DF</t>
  </si>
  <si>
    <t>This spell imbues an area with negative energy. The DC to resist negative channeled energy within this area gains a +3 profane bonus. Every undead creature entering a desecrated area gains a +1 profane bonus on all attack rolls, damage rolls, and saving throws. An undead creature created within or summoned into such an area gains +1 hit points per HD. If the desecrated area contains an altar, shrine, or other permanent fixture dedicated to your deity or aligned higher power, the modifiers given above are doubled (+6 profane bonus to negative channeled energy DCs, +2 profane bonus and +2 hit points per HD for undead created in the area). Furthermore, anyone who casts animate dead within this area may create as many as double the normal amount of undead (that is, 4 HD per caster level rather than 2 HD per caster level). If the area contains an altar, shrine, or other permanent fixture of a deity, pantheon, or higher power other than your patron, the desecrate spell instead curses the area, cutting off its connection with the associated deity or power. This secondary function, if used, does not also grant the bonuses and penalties relating to undead, as given above. Desecrate counters and dispels consecrate.</t>
  </si>
  <si>
    <t>&lt;p&gt;This spell imbues an area with negative energy. The DC to resist negative channeled energy within this area gains a +3 profane bonus. Every undead creature entering a &lt;i&gt;&lt;i&gt;desecrate&lt;/i&gt;d&lt;/i&gt; area gains a +1 profane bonus on all attack rolls, damage rolls, and saving throws.&lt;/p&gt;&lt;p&gt;An undead creature created within or summoned into such an area gains +1 hit points per HD. If the &lt;i&gt;&lt;i&gt;desecrate&lt;/i&gt;d&lt;/i&gt; area contains an altar, shrine, or other permanent fixture dedicated to your deity or aligned higher power, the modifiers given above are doubled (+6 profane bonus to negative channeled energy DCs, +2 profane bonus and +2 hit points per HD for undead created in the area).&lt;/p&gt;&lt;p&gt;Furthermore, anyone who casts &lt;i&gt;animate dead&lt;/i&gt; within this area may create as many as double the normal amount of undead (that is, 4 HD per caster level rather than 2 HD per caster level).&lt;/p&gt;&lt;p&gt;If the area contains an altar, shrine, or other permanent fixture of a deity, pantheon, or higher power other than your patron, the &lt;i&gt;desecrate&lt;/i&gt; spell instead curses the area, cutting off its connection with the associated deity or power. This secondary function, if used, does not also grant the bonuses and penalties relating to undead, as given above.&lt;/p&gt;&lt;p&gt;&lt;i&gt;Desecrate&lt;/i&gt; counters and dispels &lt;i&gt;consecrate&lt;/i&gt;.&lt;/p&gt;</t>
  </si>
  <si>
    <t>&lt;link rel="stylesheet"href="PF.css"&gt;&lt;div class="heading"&gt;&lt;p class="alignleft"&gt;Desecrate&lt;/p&gt;&lt;div style="clear: both;"&gt;&lt;/div&gt;&lt;/div&gt;&lt;div&gt;&lt;h5&gt;&lt;b&gt;School &lt;/b&gt;evocation [evil]; &lt;b&gt;Level &lt;/b&gt;cleric/oracle 2, inquisitor 2, antipaladin 2&lt;/h5&gt;&lt;/div&gt;&lt;hr/&gt;&lt;div&gt;&lt;h5&gt;&lt;b&gt;CASTING&lt;/b&gt;&lt;/h5&gt;&lt;/div&gt;&lt;hr/&gt;&lt;div&gt;&lt;h5&gt;&lt;b&gt;Casting Time &lt;/b&gt;1 standard action&lt;/h5&gt;&lt;h5&gt;&lt;b&gt;Components &lt;/b&gt;V, S, M (a vial of unholy water and 25 gp worth (5 pounds) of silver dust, all of which must be sprinkled around the area), DF&lt;/h5&gt;&lt;/div&gt;&lt;hr/&gt;&lt;div&gt;&lt;h5&gt;&lt;b&gt;EFFECT&lt;/b&gt;&lt;/h5&gt;&lt;/div&gt;&lt;hr/&gt;&lt;div&gt;&lt;h5&gt;&lt;b&gt;Range &lt;/b&gt;close (25 ft. + 5 ft./2 levels)&lt;/h5&gt;&lt;h5&gt;&lt;b&gt;Area &lt;/b&gt;20-ft.-radius emanation&lt;/h5&gt;&lt;h5&gt;&lt;b&gt;Duration &lt;/b&gt;2 hours/level&lt;/h5&gt;&lt;h5&gt;&lt;b&gt;Saving Throw &lt;/b&gt;none; &lt;b&gt;Spell Resistance &lt;/b&gt;yes&lt;/h5&gt;&lt;/div&gt;&lt;hr/&gt;&lt;div&gt;&lt;h5&gt;&lt;b&gt;DESCRIPTION&lt;/b&gt;&lt;/h5&gt;&lt;/div&gt;&lt;hr/&gt;&lt;div&gt;&lt;h4&gt;&lt;p&gt;This spell imbues an area with negative energy. The DC to resist negative channeled energy within this area gains a +3 profane bonus. Every undead creature entering a &lt;i&gt;&lt;i&gt;desecrate&lt;/i&gt;d&lt;/i&gt; area gains a +1 profane bonus on all attack rolls, damage rolls, and saving throws.&lt;/p&gt;&lt;p&gt;An undead creature created within or summoned into such an area gains +1 hit points per HD. If the &lt;i&gt;&lt;i&gt;desecrate&lt;/i&gt;d&lt;/i&gt; area contains an altar, shrine, or other permanent fixture dedicated to your deity or aligned higher power, the modifiers given above are doubled (+6 profane bonus to negative channeled energy DCs, +2 profane bonus and +2 hit points per HD for undead created in the area).&lt;/p&gt;&lt;p&gt;Furthermore, anyone who casts &lt;i&gt;animate dead&lt;/i&gt; within this area may create as many as double the normal amount of undead (that is, 4 HD per caster level rather than 2 HD per caster level).&lt;/p&gt;&lt;p&gt;If the area contains an altar, shrine, or other permanent fixture of a deity, pantheon, or higher power other than your patron, the &lt;i&gt;desecrate&lt;/i&gt; spell instead curses the area, cutting off its connection with the associated deity or power. This secondary function, if used, does not also grant the bonuses and penalties relating to undead, as given above.&lt;/p&gt;&lt;p&gt;&lt;i&gt;Desecrate&lt;/i&gt; counters and dispels &lt;i&gt;consecrate&lt;/i&gt;.&lt;/p&gt;&lt;/h4&gt;&lt;h5&gt;&lt;b&gt;Mythic: &lt;/b&gt;Select one alignment component that you have (chaotic, evil, or lawful). Outsiders with the opposite alignment subtype of the chosen alignment component take a -1 penalty on attack rolls, damage rolls, and saves in the area.&lt;/h5&gt;&lt;/div&gt;</t>
  </si>
  <si>
    <t> Fills area with negative energy, making undead stronger.</t>
  </si>
  <si>
    <t>Select one alignment component that you have (chaotic, evil, or lawful). Outsiders with the opposite alignment subtype of the chosen alignment component take a -1 penalty on attack rolls, damage rolls, and saves in the area.</t>
  </si>
  <si>
    <t>Destruction</t>
  </si>
  <si>
    <t>cleric 7/oracle 7, witch 8</t>
  </si>
  <si>
    <t>V, S, F (holy or unholy symbol costing 500 gp)</t>
  </si>
  <si>
    <t>Fortitude partial</t>
  </si>
  <si>
    <t>This spell instantly delivers 10 points of damage per caster level. If the spell slays the target, it consumes the remains utterly in holy (or unholy) fire (but not its equipment or possessions). If the target's Fortitude saving throw succeeds, it instead takes 10d6 points of damage. The only way to restore life to a character who has failed to save against this spell (and was slain) is to use true resurrection, a carefully worded wish spell followed by resurrection, or miracle.</t>
  </si>
  <si>
    <t>&lt;p&gt;This spell instantly delivers 10 points of damage per caster level. If the spell slays the target, it consumes the remains utterly in holy (or unholy) fire (but not its equipment or possessions). If the target's Fortitude saving throw succeeds, it instead takes 10d6 points of damage. The only way to restore life to a character who has failed to save against this spell (and was slain) is to use &lt;i&gt;true resurrection&lt;/i&gt;, a carefully worded &lt;i&gt;wish&lt;/i&gt; spell followed by &lt;i&gt;resurrection&lt;/i&gt;, or &lt;i&gt;miracle&lt;/i&gt;.&lt;/p&gt;</t>
  </si>
  <si>
    <t>&lt;link rel="stylesheet"href="PF.css"&gt;&lt;div class="heading"&gt;&lt;p class="alignleft"&gt;Destruction&lt;/p&gt;&lt;div style="clear: both;"&gt;&lt;/div&gt;&lt;/div&gt;&lt;div&gt;&lt;h5&gt;&lt;b&gt;School &lt;/b&gt;necromancy [death]; &lt;b&gt;Level &lt;/b&gt;cleric 7/oracle 7, witch 8&lt;/h5&gt;&lt;h5&gt;&lt;b&gt;Casting Time &lt;/b&gt;1 standard action&lt;/h5&gt;&lt;h5&gt;&lt;b&gt;Components &lt;/b&gt;V, S, F (holy or unholy symbol costing 500 gp)&lt;/h5&gt;&lt;h5&gt;&lt;b&gt;Range &lt;/b&gt;close (25 ft. + 5 ft./2 levels)&lt;/h5&gt;&lt;h5&gt;&lt;b&gt;Targets &lt;/b&gt; one creature&lt;/h5&gt;&lt;h5&gt;&lt;b&gt;Duration &lt;/b&gt;instantaneous&lt;/h5&gt;&lt;h5&gt;&lt;b&gt;Saving Throw &lt;/b&gt;Fortitude partial; &lt;b&gt;Spell Resistance &lt;/b&gt;yes&lt;/h5&gt;&lt;/div&gt;&lt;div&gt;&lt;h4&gt;&lt;p&gt;This spell instantly delivers 10 points of damage per caster level. If the spell slays the target, it consumes the remains utterly in holy (or unholy) fire (but not its equipment or possessions). If the target's Fortitude saving throw succeeds, it instead takes 10d6 points of damage. The only way to restore life to a character who has failed to save against this spell (and was slain) is to use &lt;i&gt;true resurrection&lt;/i&gt;, a carefully worded &lt;i&gt;wish&lt;/i&gt; spell followed by &lt;i&gt;resurrection&lt;/i&gt;, or &lt;i&gt;miracle&lt;/i&gt;.&lt;/p&gt;&lt;/h4&gt;&lt;/div&gt;</t>
  </si>
  <si>
    <t> Kills subject and destroys remains.</t>
  </si>
  <si>
    <t>Detect Animals or Plants</t>
  </si>
  <si>
    <t>concentration, up to 10 min./level</t>
  </si>
  <si>
    <t>You can detect a particular kind of animal or plant in a cone emanating out from you in whatever direction you face. You must think of a kind of animal or plant when using the spell, but you can change the animal or plant kind each round. The amount of information revealed depends on how long you search a particular area or focus on a specific kind of animal or plant. 1st Round: Presence or absence of that kind of animal or plant in the area. 2nd Round: Number of individuals of the specified kind in the area and the condition of the healthiest specimen. 3rd Round: The condition (see below) and location of each individual present. If an animal or a plant is outside your line of sight, then you discern its direction but not its exact location. Conditions: For purposes of this spell, the categories of condition are as follows: Normal: Has at least 90% of full normal hit points, free of disease. Fair: 30% to 90% of full normal hit points remaining. Poor: Less than 30% of full normal hit points remaining, afflicted with a disease, or suffering from a debilitating injury. Weak: 0 or fewer hit points remaining, afflicted with a disease that has reduced an ability score to 5 or less, or crippled. If a creature falls into more than one category, the spell indicates the weaker of the two. Each round you can turn to detect a kind of animal or plant in a new area. The spell can penetrate barriers, but 1 foot of stone, 1 inch of common metal, a thin sheet of lead, or 3 feet of wood or dirt blocks it.</t>
  </si>
  <si>
    <t>&lt;p&gt;You can detect a particular kind of animal or plant in a cone emanating out from you in whatever direction you face. You must think of a kind of animal or plant when using the spell, but you can change the animal or plant kind each round. The amount of information revealed depends on how long you search a particular area or focus on a specific kind of animal or plant.&lt;/p&gt;&lt;p&gt;&lt;i&gt;1st Round&lt;/i&gt;: Presence or absence of that kind of animal or plant in the area.&lt;/p&gt;&lt;p&gt;&lt;i&gt;2nd Round&lt;/i&gt;: Number of individuals of the specified kind in the area and the condition of the healthiest specimen.&lt;/p&gt;&lt;p&gt;&lt;i&gt;3rd Round&lt;/i&gt;: The condition (see below) and location of each individual present. If an animal or a plant is outside your line of sight, then you discern its direction but not its exact location.&lt;/p&gt;&lt;p&gt;&lt;i&gt;Conditions&lt;/i&gt;: For purposes of this spell, the categories of condition are as follows: Normal: Has at least 90% of full normal hit points, free of disease.&lt;/p&gt;&lt;p&gt;Fair: 30% to 90% of full normal hit points remaining.&lt;/p&gt;&lt;p&gt;Poor: Less than 30% of full normal hit points remaining, afflicted with a disease, or suffering from a debilitating injury.&lt;/p&gt;&lt;p&gt;Weak: 0 or fewer hit points remaining, afflicted with a disease that has reduced an ability score to 5 or less, or crippled.&lt;/p&gt;&lt;p&gt;If a creature falls into more than one category, the spell indicates the weaker of the two.&lt;/p&gt;&lt;p&gt;Each round you can turn to detect a kind of animal or plant in a new area. The spell can penetrate barriers, but 1 foot of stone, 1 inch of common metal, a thin sheet of lead, or 3 feet of wood or dirt blocks it.&lt;/p&gt;</t>
  </si>
  <si>
    <t>&lt;link rel="stylesheet"href="PF.css"&gt;&lt;div class="heading"&gt;&lt;p class="alignleft"&gt;Detect Animals or Plants&lt;/p&gt;&lt;div style="clear: both;"&gt;&lt;/div&gt;&lt;/div&gt;&lt;div&gt;&lt;h5&gt;&lt;b&gt;School &lt;/b&gt;divination; &lt;b&gt;Level &lt;/b&gt;druid 1, ranger 1&lt;/h5&gt;&lt;h5&gt;&lt;b&gt;Casting Time &lt;/b&gt;1 standard action&lt;/h5&gt;&lt;h5&gt;&lt;b&gt;Components &lt;/b&gt;V, S&lt;/h5&gt;&lt;h5&gt;&lt;b&gt;Range &lt;/b&gt;long (400 ft. + 40 ft./level)&lt;/h5&gt;&lt;h5&gt;&lt;b&gt;Area &lt;/b&gt;cone-shaped emanation&lt;/h5&gt;&lt;h5&gt;&lt;b&gt;Duration &lt;/b&gt;concentration, up to 10 min./level (D)&lt;/h5&gt;&lt;h5&gt;&lt;b&gt;Saving Throw &lt;/b&gt;none; &lt;b&gt;Spell Resistance &lt;/b&gt;no&lt;/h5&gt;&lt;/div&gt;&lt;div&gt;&lt;h4&gt;&lt;p&gt;You can detect a particular kind of animal or plant in a cone emanating out from you in whatever direction you face. You must think of a kind of animal or plant when using the spell, but you can change the animal or plant kind each round. The amount of information revealed depends on how long you search a particular area or focus on a specific kind of animal or plant.&lt;/p&gt;&lt;p&gt;&lt;i&gt;1st Round&lt;/i&gt;: Presence or absence of that kind of animal or plant in the area.&lt;/p&gt;&lt;p&gt;&lt;i&gt;2nd Round&lt;/i&gt;: Number of individuals of the specified kind in the area and the condition of the healthiest specimen.&lt;/p&gt;&lt;p&gt;&lt;i&gt;3rd Round&lt;/i&gt;: The condition (see below) and location of each individual present. If an animal or a plant is outside your line of sight, then you discern its direction but not its exact location.&lt;/p&gt;&lt;p&gt;&lt;i&gt;Conditions&lt;/i&gt;: For purposes of this spell, the categories of condition are as follows: Normal: Has at least 90% of full normal hit points, free of disease.&lt;/p&gt;&lt;p&gt;Fair: 30% to 90% of full normal hit points remaining.&lt;/p&gt;&lt;p&gt;Poor: Less than 30% of full normal hit points remaining, afflicted with a disease, or suffering from a debilitating injury.&lt;/p&gt;&lt;p&gt;Weak: 0 or fewer hit points remaining, afflicted with a disease that has reduced an ability score to 5 or less, or crippled.&lt;/p&gt;&lt;p&gt;If a creature falls into more than one category, the spell indicates the weaker of the two.&lt;/p&gt;&lt;p&gt;Each round you can turn to detect a kind of animal or plant in a new area. The spell can penetrate barriers, but 1 foot of stone, 1 inch of common metal, a thin sheet of lead, or 3 feet of wood or dirt blocks it.&lt;/p&gt;&lt;/h4&gt;&lt;/div&gt;</t>
  </si>
  <si>
    <t>Detects kinds of animals or plants.</t>
  </si>
  <si>
    <t>Detect Chaos</t>
  </si>
  <si>
    <t>cleric 1/oracle 1, inquisitor 1</t>
  </si>
  <si>
    <t>concentration, up to 10 min./ level</t>
  </si>
  <si>
    <t>This spell functions like detect evil, except that it detects the auras of chaotic creatures, clerics of chaotic deities, chaotic spells, and chaotic magic items, and you are vulnerable to an overwhelming chaotic aura if you are lawful.</t>
  </si>
  <si>
    <t>&lt;p&gt;This spell functions like &lt;i&gt;detect evil&lt;/i&gt;, except that it detects the auras of chaotic creatures, clerics of chaotic deities, chaotic spells, and chaotic magic items, and you are vulnerable to an overwhelming chaotic aura if you are lawful.&lt;/p&gt;</t>
  </si>
  <si>
    <t>&lt;link rel="stylesheet"href="PF.css"&gt;&lt;div class="heading"&gt;&lt;p class="alignleft"&gt;Detect Chaos&lt;/p&gt;&lt;div style="clear: both;"&gt;&lt;/div&gt;&lt;/div&gt;&lt;div&gt;&lt;h5&gt;&lt;b&gt;School &lt;/b&gt;divination; &lt;b&gt;Level &lt;/b&gt;cleric 1/oracle 1, inquisitor 1&lt;/h5&gt;&lt;h5&gt;&lt;b&gt;Casting Time &lt;/b&gt;1 standard action&lt;/h5&gt;&lt;h5&gt;&lt;b&gt;Components &lt;/b&gt;V, S, DF&lt;/h5&gt;&lt;h5&gt;&lt;b&gt;Range &lt;/b&gt;60 ft.&lt;/h5&gt;&lt;h5&gt;&lt;b&gt;Area &lt;/b&gt;cone-shaped emanation&lt;/h5&gt;&lt;h5&gt;&lt;b&gt;Duration &lt;/b&gt;concentration, up to 10 min./ level (D)&lt;/h5&gt;&lt;h5&gt;&lt;b&gt;Saving Throw &lt;/b&gt;none; &lt;b&gt;Spell Resistance &lt;/b&gt;no&lt;/h5&gt;&lt;/div&gt;&lt;div&gt;&lt;h4&gt;&lt;p&gt;This spell functions like &lt;i&gt;detect evil&lt;/i&gt;, except that it detects the auras of chaotic creatures, clerics of chaotic deities, chaotic spells, and chaotic magic items, and you are vulnerable to an overwhelming chaotic aura if you are lawful.&lt;/p&gt;&lt;/h4&gt;&lt;/div&gt;</t>
  </si>
  <si>
    <t>Reveals creatures, spells, or objects of selected alignment.</t>
  </si>
  <si>
    <t>Detect Evil</t>
  </si>
  <si>
    <t>You can sense the presence of evil. The amount of information revealed depends on how long you study a particular area or subject. 1st Round: Presence or absence of evil. 2nd Round: Number of evil auras (creatures, objects, or spells) in the area and the power of the most potent evil aura present. If you are of good alignment, and the strongest evil aura's power is overwhelming (see below), and the HD or level of the aura's source is at least twice your character level, you are stunned for 1 round and the spell ends. 3rd Round: The power and location of each aura. If an aura is outside your line of sight, then you discern its direction but not its exact location. Aura Power: An evil aura's power depends on the type of evil creature or object that you're detecting and its HD, caster level, or (in the case of a cleric) class level; see the table below. If an aura falls into more than one strength category, the spell indicates the stronger of the two. Lingering Aura: An evil aura lingers after its original source dissipates (in the case of a spell) or is destroyed (in the case of a creature or magic item). If detect evil is cast and directed at such a location, the spell indicates an aura strength of dim (even weaker than a faint aura). How long the aura lingers at this dim level depends on its original power: Original Strength Duration of Lingering Aura Faint 1d6 rounds Moderate 1d6 minutes Strong 1d6x10 minutes Overwhelming 1d6 days Animals, traps, poisons, and other potential perils are not evil, and as such this spell does not detect them. Creatures with actively evil intents count as evil creatures for the purpose of this spell. Each round, you can turn to detect evil in a new area. The spell can penetrate barriers, but 1 foot of stone, 1 inch of common metal, a thin sheet of lead, or 3 feet of wood or dirt blocks it. Detect Chaos/Evil/Good/Law Creature/Object Aura Power None Faint Moderate Strong Overwhelming Aligned creature1 (HD) 5 or lower 5-10 11-25 26-50 51 or higher Aligned Undead (HD) -- 2 or lower 3-8 9-20 21 or higher Aligned outsider (HD) -- 1 or lower 2-4 5-10 11 or higher Cleric or paladin of an aligned deity2 (class levels) -- 1 2-4 5â€“10 11 or higher Aligned magic item or spell (caster level) 5th or lower 6th-10th 11th-15th 16th-20th 21st or higher 1 Except for undead and outsiders, which have their own entries on the table. 2 Some characters who are not clerics may radiate an aura of equivalent power. The class description will indicate whether this applies.</t>
  </si>
  <si>
    <t>&lt;p&gt;You can sense the presence of evil. The amount of information revealed depends on how long you study a particular area or subject.&lt;/p&gt;&lt;p&gt;&lt;i&gt;1st Round&lt;/i&gt;: Presence or absence of evil.&lt;/p&gt;&lt;p&gt;&lt;i&gt;2nd Round&lt;/i&gt;: Number of evil auras (creatures, objects, or spells) in the area and the power of the most potent evil aura present.&lt;/p&gt;&lt;p&gt;If you are of good alignment, and the strongest evil aura's power is overwhelming (see below), and the HD or level of the aura's source is at least twice your character level, you are stunned for 1 round and the spell ends.&lt;/p&gt;&lt;p&gt;&lt;i&gt;3rd Round&lt;/i&gt;: The power and location of each aura. If an aura is outside your line of sight, then you discern its direction but not its exact location.&lt;/p&gt;&lt;p&gt;&lt;i&gt;Aura Power&lt;/i&gt;: An evil aura's power depends on the type of evil creature or object that you're detecting and its HD, caster level, or (in the case of a cleric) class level; see the table below. If an aura falls into more than one strength category, the spell indicates the stronger of the two.&lt;/p&gt;&lt;p&gt;&lt;i&gt;Lingering Aura&lt;/i&gt;: An evil aura lingers after its original source dissipates (in the case of a spell) or is destroyed (in the case of a creature or magic item). If &lt;i&gt;detect evil&lt;/i&gt; is cast and directed at such a location, the spell indicates an aura strength of dim (even weaker than a faint aura). How long the aura lingers at this dim level depends on its original power: &lt;table&gt;&lt;tr&gt;&lt;th&gt;Original Strength&lt;/th&gt;&lt;th&gt;Duration of Lingering Aura&lt;/th&gt;&lt;/tr&gt; &lt;tr&gt;&lt;td&gt;Faint&lt;/td&gt;&lt;td&gt;1d6 rounds&lt;/td&gt;&lt;/tr&gt; &lt;tr&gt;&lt;td&gt;Moderate&lt;/td&gt;&lt;td&gt;1d6 minutes&lt;/td&gt;&lt;/tr&gt; &lt;tr&gt;&lt;td&gt;Strong&lt;/td&gt;&lt;td&gt;1d6x10 minutes&lt;/td&gt;&lt;/tr&gt; &lt;tr&gt;&lt;td&gt;Overwhelming&lt;/td&gt;&lt;td&gt;1d6 days&lt;/td&gt;&lt;/tr&gt;&lt;/table&gt; Animals, traps, poisons, and other potential perils are not evil, and as such this spell does not detect them. Creatures with actively evil intents count as evil creatures for the purpose of this spell.&lt;/p&gt;&lt;p&gt; Each round, you can turn to &lt;i&gt;detect evil&lt;/i&gt; in a new area. The spell can penetrate barriers, but 1 foot of stone, 1 inch of common metal, a thin sheet of lead, or 3 feet of wood or dirt blocks it.&lt;/p&gt;&lt;p&gt;&lt;table&gt;&lt;caption&gt;Detect Chaos/Evil/Good/Law&lt;/caption&gt; &lt;tr&gt;&lt;th rowspan="2"&gt;Creature/Object&lt;/th&gt;&lt;th colspan="5"&gt;Aura Power&lt;/th&gt;&lt;/tr&gt; &lt;tr&gt;&lt;th style="text-align:center"&gt;None&lt;/th&gt;&lt;th style="text-align:center"&gt;Faint&lt;/th&gt;&lt;th style="text-align:center"&gt;Moderate&lt;/th&gt;&lt;th style="text-align:center"&gt;Strong&lt;/th&gt;&lt;th style="text-align:center"&gt;Overwhelming&lt;/th&gt;&lt;/tr&gt; &lt;tr&gt;&lt;td&gt;Aligned creature&lt;sup&gt;1&lt;/sup&gt; (HD)&lt;/td&gt;&lt;td style="text-align:center"&gt;5 or lower&lt;/td&gt;&lt;td style="text-align:center"&gt;5-10&lt;/td&gt;&lt;td style="text-align:center"&gt;11-25&lt;/td&gt;&lt;td style="text-align:center"&gt;26-50&lt;/td&gt;&lt;td style="text-align:center"&gt;51 or higher&lt;/td&gt;&lt;/tr&gt; &lt;tr&gt;&lt;td&gt;Aligned Undead (HD)&lt;/td&gt;&lt;td style="text-align:center"&gt;--&lt;br /&gt;&lt;/td&gt;&lt;td style="text-align:center"&gt;2 or lower&lt;/td&gt;&lt;td style="text-align:center"&gt;3-8&lt;/td&gt;&lt;td style="text-align:center"&gt;9-20&lt;/td&gt;&lt;td style="text-align:center"&gt;21 or higher&lt;/td&gt;&lt;/tr&gt; &lt;tr&gt;&lt;td&gt;Aligned outsider (HD)&lt;/td&gt;&lt;td style="text-align:center"&gt;--&lt;br /&gt;&lt;/td&gt;&lt;td style="text-align:center"&gt;1 or lower&lt;/td&gt;&lt;td style="text-align:center"&gt;2-4&lt;/td&gt;&lt;td style="text-align:center"&gt;5-10&lt;/td&gt;&lt;td style="text-align:center"&gt;11 or higher&lt;/td&gt;&lt;/tr&gt; &lt;tr&gt;&lt;td&gt;Cleric or paladin of an aligned deity&lt;sup&gt;2&lt;/sup&gt; (class levels)&lt;/td&gt;&lt;td style="text-align:center"&gt;--&lt;br /&gt;&lt;/td&gt;&lt;td style="text-align:center"&gt;1&lt;/td&gt;&lt;td style="text-align:center"&gt;2-4&lt;/td&gt;&lt;td style="text-align:center"&gt;5-10&lt;/td&gt;&lt;td style="text-align:center"&gt;11 or higher&lt;/td&gt;&lt;/tr&gt; &lt;tr&gt;&lt;td&gt;Aligned magic item or spell (caster level)&lt;/td&gt;&lt;td&gt;5th or lower&lt;/td&gt;&lt;td style="text-align:center"&gt;6th-10th&lt;/td&gt;&lt;td style="text-align:center"&gt;11th-15th&lt;/td&gt;&lt;td style="text-align:center"&gt;16th-20th&lt;/td&gt;&lt;td style="text-align:center"&gt;21st or higher&lt;/td&gt;&lt;/tr&gt; &lt;/tbody&gt;&lt;tfoot&gt;&lt;tr&gt;&lt;td colspan="6"&gt;1 Except for undead and outsiders, which have their own entries on the table.&lt;/td&gt;&lt;/tr&gt; &lt;tr&gt;&lt;td colspan="6"&gt;2 Some characters who are not clerics may radiate an aura of equivalent power. The class description will indicate whether this applies.&lt;/td&gt;&lt;/tr&gt;&lt;/tfoot&gt;&lt;/table&gt;&gt;&lt;/td&gt;&lt;/tr&gt;&lt;/table&gt;&lt;/p&gt;</t>
  </si>
  <si>
    <t>&lt;link rel="stylesheet"href="PF.css"&gt;&lt;div class="heading"&gt;&lt;p class="alignleft"&gt;Detect Evil&lt;/p&gt;&lt;div style="clear: both;"&gt;&lt;/div&gt;&lt;/div&gt;&lt;div&gt;&lt;h5&gt;&lt;b&gt;School &lt;/b&gt;divination; &lt;b&gt;Level &lt;/b&gt;cleric 1/oracle 1, inquisitor 1&lt;/h5&gt;&lt;h5&gt;&lt;b&gt;Casting Time &lt;/b&gt;1 standard action&lt;/h5&gt;&lt;h5&gt;&lt;b&gt;Components &lt;/b&gt;V, S, DF&lt;/h5&gt;&lt;h5&gt;&lt;b&gt;Range &lt;/b&gt;60 ft.&lt;/h5&gt;&lt;h5&gt;&lt;b&gt;Area &lt;/b&gt;cone-shaped emanation&lt;/h5&gt;&lt;h5&gt;&lt;b&gt;Duration &lt;/b&gt;concentration, up to 10 min./ level (D)&lt;/h5&gt;&lt;h5&gt;&lt;b&gt;Saving Throw &lt;/b&gt;none; &lt;b&gt;Spell Resistance &lt;/b&gt;no&lt;/h5&gt;&lt;/div&gt;&lt;div&gt;&lt;h4&gt;&lt;p&gt;You can sense the presence of evil. The amount of information revealed depends on how long you study a particular area or subject.&lt;/p&gt;&lt;p&gt;&lt;i&gt;1st Round&lt;/i&gt;: Presence or absence of evil.&lt;/p&gt;&lt;p&gt;&lt;i&gt;2nd Round&lt;/i&gt;: Number of evil auras (creatures, objects, or spells) in the area and the power of the most potent evil aura present.&lt;/p&gt;&lt;p&gt;If you are of good alignment, and the strongest evil aura's power is overwhelming (see below), and the HD or level of the aura's source is at least twice your character level, you are stunned for 1 round and the spell ends.&lt;/p&gt;&lt;p&gt;&lt;i&gt;3rd Round&lt;/i&gt;: The power and location of each aura. If an aura is outside your line of sight, then you discern its direction but not its exact location.&lt;/p&gt;&lt;p&gt;&lt;i&gt;Aura Power&lt;/i&gt;: An evil aura's power depends on the type of evil creature or object that you're detecting and its HD, caster level, or (in the case of a cleric) class level; see the table below. If an aura falls into more than one strength category, the spell indicates the stronger of the two.&lt;/p&gt;&lt;p&gt;&lt;i&gt;Lingering Aura&lt;/i&gt;: An evil aura lingers after its original source dissipates (in the case of a spell) or is destroyed (in the case of a creature or magic item). If &lt;i&gt;detect evil&lt;/i&gt; is cast and directed at such a location, the spell indicates an aura strength of dim (even weaker than a faint aura). How long the aura lingers at this dim level depends on its original power: &lt;table&gt;&lt;tr&gt;&lt;th&gt;Original Strength&lt;/th&gt;&lt;th&gt;Duration of Lingering Aura&lt;/th&gt;&lt;/tr&gt; &lt;tr&gt;&lt;td&gt;Faint&lt;/td&gt;&lt;td&gt;1d6 rounds&lt;/td&gt;&lt;/tr&gt; &lt;tr&gt;&lt;td&gt;Moderate&lt;/td&gt;&lt;td&gt;1d6 minutes&lt;/td&gt;&lt;/tr&gt; &lt;tr&gt;&lt;td&gt;Strong&lt;/td&gt;&lt;td&gt;1d6x10 minutes&lt;/td&gt;&lt;/tr&gt; &lt;tr&gt;&lt;td&gt;Overwhelming&lt;/td&gt;&lt;td&gt;1d6 days&lt;/td&gt;&lt;/tr&gt;&lt;/table&gt; Animals, traps, poisons, and other potential perils are not evil, and as such this spell does not detect them. Creatures with actively evil intents count as evil creatures for the purpose of this spell.&lt;/p&gt;&lt;p&gt; Each round, you can turn to &lt;i&gt;detect evil&lt;/i&gt; in a new area. The spell can penetrate barriers, but 1 foot of stone, 1 inch of common metal, a thin sheet of lead, or 3 feet of wood or dirt blocks it.&lt;/p&gt;&lt;p&gt;&lt;table&gt;&lt;caption&gt;Detect Chaos/Evil/Good/Law&lt;/caption&gt; &lt;tr&gt;&lt;th rowspan="2"&gt;Creature/Object&lt;/th&gt;&lt;th colspan="5"&gt;Aura Power&lt;/th&gt;&lt;/tr&gt; &lt;tr&gt;&lt;th style="text-align:center"&gt;None&lt;/th&gt;&lt;th style="text-align:center"&gt;Faint&lt;/th&gt;&lt;th style="text-align:center"&gt;Moderate&lt;/th&gt;&lt;th style="text-align:center"&gt;Strong&lt;/th&gt;&lt;th style="text-align:center"&gt;Overwhelming&lt;/th&gt;&lt;/tr&gt; &lt;tr&gt;&lt;td&gt;Aligned creature&lt;sup&gt;1&lt;/sup&gt; (HD)&lt;/td&gt;&lt;td style="text-align:center"&gt;5 or lower&lt;/td&gt;&lt;td style="text-align:center"&gt;5-10&lt;/td&gt;&lt;td style="text-align:center"&gt;11-25&lt;/td&gt;&lt;td style="text-align:center"&gt;26-50&lt;/td&gt;&lt;td style="text-align:center"&gt;51 or higher&lt;/td&gt;&lt;/tr&gt; &lt;tr&gt;&lt;td&gt;Aligned Undead (HD)&lt;/td&gt;&lt;td style="text-align:center"&gt;--&lt;br /&gt;&lt;/td&gt;&lt;td style="text-align:center"&gt;2 or lower&lt;/td&gt;&lt;td style="text-align:center"&gt;3-8&lt;/td&gt;&lt;td style="text-align:center"&gt;9-20&lt;/td&gt;&lt;td style="text-align:center"&gt;21 or higher&lt;/td&gt;&lt;/tr&gt; &lt;tr&gt;&lt;td&gt;Aligned outsider (HD)&lt;/td&gt;&lt;td style="text-align:center"&gt;--&lt;br /&gt;&lt;/td&gt;&lt;td style="text-align:center"&gt;1 or lower&lt;/td&gt;&lt;td style="text-align:center"&gt;2-4&lt;/td&gt;&lt;td style="text-align:center"&gt;5-10&lt;/td&gt;&lt;td style="text-align:center"&gt;11 or higher&lt;/td&gt;&lt;/tr&gt; &lt;tr&gt;&lt;td&gt;Cleric or paladin of an aligned deity&lt;sup&gt;2&lt;/sup&gt; (class levels)&lt;/td&gt;&lt;td style="text-align:center"&gt;--&lt;br /&gt;&lt;/td&gt;&lt;td style="text-align:center"&gt;1&lt;/td&gt;&lt;td style="text-align:center"&gt;2-4&lt;/td&gt;&lt;td style="text-align:center"&gt;5-10&lt;/td&gt;&lt;td style="text-align:center"&gt;11 or higher&lt;/td&gt;&lt;/tr&gt; &lt;tr&gt;&lt;td&gt;Aligned magic item or spell (caster level)&lt;/td&gt;&lt;td&gt;5th or lower&lt;/td&gt;&lt;td style="text-align:center"&gt;6th-10th&lt;/td&gt;&lt;td style="text-align:center"&gt;11th-15th&lt;/td&gt;&lt;td style="text-align:center"&gt;16th-20th&lt;/td&gt;&lt;td style="text-align:center"&gt;21st or higher&lt;/td&gt;&lt;/tr&gt; &lt;/tbody&gt;&lt;tfoot&gt;&lt;tr&gt;&lt;td colspan="6"&gt;1 Except for undead and outsiders, which have their own entries on the table.&lt;/td&gt;&lt;/tr&gt; &lt;tr&gt;&lt;td colspan="6"&gt;2 Some characters who are not clerics may radiate an aura of equivalent power. The class description will indicate whether this applies.&lt;/td&gt;&lt;/tr&gt;&lt;/tfoot&gt;&lt;/table&gt;&lt;/div&gt;&lt;/td&gt;&lt;/tr&gt;&lt;/table&gt;&lt;/p&gt;&lt;/h4&gt;&lt;/div&gt;</t>
  </si>
  <si>
    <t>Detect Good</t>
  </si>
  <si>
    <t>This spell functions like detect evil, except that it detects the auras of good creatures, clerics or paladins of good deities, good spells, and good magic items, and you are vulnerable to an overwhelming good aura if you are evil.</t>
  </si>
  <si>
    <t>&lt;p&gt;This spell functions like &lt;i&gt;detect evil&lt;/i&gt;, except that it detects the auras of good creatures, clerics or paladins of good deities, good spells, and good magic items, and you are vulnerable to an overwhelming good aura if you are evil.&lt;/p&gt;</t>
  </si>
  <si>
    <t>&lt;link rel="stylesheet"href="PF.css"&gt;&lt;div class="heading"&gt;&lt;p class="alignleft"&gt;Detect Good&lt;/p&gt;&lt;div style="clear: both;"&gt;&lt;/div&gt;&lt;/div&gt;&lt;div&gt;&lt;h5&gt;&lt;b&gt;School &lt;/b&gt;divination; &lt;b&gt;Level &lt;/b&gt;cleric 1/oracle 1, inquisitor 1&lt;/h5&gt;&lt;h5&gt;&lt;b&gt;Casting Time &lt;/b&gt;1 standard action&lt;/h5&gt;&lt;h5&gt;&lt;b&gt;Components &lt;/b&gt;V, S, DF&lt;/h5&gt;&lt;h5&gt;&lt;b&gt;Range &lt;/b&gt;60 ft.&lt;/h5&gt;&lt;h5&gt;&lt;b&gt;Area &lt;/b&gt;cone-shaped emanation&lt;/h5&gt;&lt;h5&gt;&lt;b&gt;Duration &lt;/b&gt;concentration, up to 10 min./ level (D)&lt;/h5&gt;&lt;h5&gt;&lt;b&gt;Saving Throw &lt;/b&gt;none; &lt;b&gt;Spell Resistance &lt;/b&gt;no&lt;/h5&gt;&lt;/div&gt;&lt;div&gt;&lt;h4&gt;&lt;p&gt;This spell functions like &lt;i&gt;detect evil&lt;/i&gt;, except that it detects the auras of good creatures, clerics or paladins of good deities, good spells, and good magic items, and you are vulnerable to an overwhelming good aura if you are evil.&lt;/p&gt;&lt;/h4&gt;&lt;/div&gt;</t>
  </si>
  <si>
    <t>Detect Law</t>
  </si>
  <si>
    <t>This spell functions like detect evil, except that it detects the auras of lawful creatures, clerics of lawful deities, lawful spells, and lawful magic items, and you are vulnerable to an overwhelming lawful aura if you are chaotic.</t>
  </si>
  <si>
    <t>&lt;p&gt;This spell functions like &lt;i&gt;detect evil&lt;/i&gt;, except that it detects the auras of lawful creatures, clerics of lawful deities, lawful spells, and lawful magic items, and you are vulnerable to an overwhelming lawful aura if you are chaotic.&lt;/p&gt;</t>
  </si>
  <si>
    <t>&lt;link rel="stylesheet"href="PF.css"&gt;&lt;div class="heading"&gt;&lt;p class="alignleft"&gt;Detect Law&lt;/p&gt;&lt;div style="clear: both;"&gt;&lt;/div&gt;&lt;/div&gt;&lt;div&gt;&lt;h5&gt;&lt;b&gt;School &lt;/b&gt;divination; &lt;b&gt;Level &lt;/b&gt;cleric 1/oracle 1, inquisitor 1&lt;/h5&gt;&lt;h5&gt;&lt;b&gt;Casting Time &lt;/b&gt;1 standard action&lt;/h5&gt;&lt;h5&gt;&lt;b&gt;Components &lt;/b&gt;V, S, DF&lt;/h5&gt;&lt;h5&gt;&lt;b&gt;Range &lt;/b&gt;60 ft.&lt;/h5&gt;&lt;h5&gt;&lt;b&gt;Area &lt;/b&gt;cone-shaped emanation&lt;/h5&gt;&lt;h5&gt;&lt;b&gt;Duration &lt;/b&gt;concentration, up to 10 min./ level (D)&lt;/h5&gt;&lt;h5&gt;&lt;b&gt;Saving Throw &lt;/b&gt;none; &lt;b&gt;Spell Resistance &lt;/b&gt;no&lt;/h5&gt;&lt;/div&gt;&lt;div&gt;&lt;h4&gt;&lt;p&gt;This spell functions like &lt;i&gt;detect evil&lt;/i&gt;, except that it detects the auras of lawful creatures, clerics of lawful deities, lawful spells, and lawful magic items, and you are vulnerable to an overwhelming lawful aura if you are chaotic.&lt;/p&gt;&lt;/h4&gt;&lt;/div&gt;</t>
  </si>
  <si>
    <t>Detect Magic</t>
  </si>
  <si>
    <t>bard 0, cleric 0/oracle 0, druid 0, sorcerer/wizard 0, summoner 0, witch 0, inquisitor 0, magus 0</t>
  </si>
  <si>
    <t>concentration, up to 1 min./level</t>
  </si>
  <si>
    <t>You detect magical auras. The amount of information revealed depends on how long you study a particular area or subject. 1st Round: Presence or absence of magical auras. 2nd Round: Number of different magical auras and the power of the most potent aura. 3rd Round: The strength and location of each aura. If the items or creatures bearing the auras are in line of sight, you can make Knowledge (arcana) skill checks to determine the school of magic involved in each. (Make one check per aura: DC 15 + spell level, or 15 + 1/2 caster level for a nonspell effect.) If the aura emanates from a magic item, you can attempt to identify its properties (see Spellcraft). Magical areas, multiple types of magic, or strong local magical emanations may distort or conceal weaker auras. Aura Strength: An aura's power depends on a spell's functioning spell level or an item's caster level; see the accompanying table. If an aura falls into more than one category, detect magic indicates the stronger of the two. Spell or Object Aura Power Faint Moderate Strong Overwhelming Functioning spell (spell level) 3rd or lower 4th-6th 7th-9th 10th+ (deity-level) Magic item (caster level) 5th or lower 6th-11th 12th-20th 21st+ (artifact) Lingering Aura: A magical aura lingers after its original source dissipates (in the case of a spell) or is destroyed (in the case of a magic item). If detect magic is cast and directed at such a location, the spell indicates an aura strength of dim (even weaker than a faint aura). How long the aura lingers at this dim level depends on its original power: Original Strength Duration of Lingering Aura Faint 1d6 rounds Moderate 1d6 minutes Strong 1d6x10 minutes Overwhelming 1d6 days Outsiders and elementals are not magical in themselves, but if they are summoned, the conjuration spell registers. Each round, you can turn to detect magic in a new area. The spell can penetrate barriers, but 1 foot of stone, 1 inch of common metal, a thin sheet of lead, or 3 feet of wood or dirt blocks it. Detect magic can be made permanent with a permanency spell.</t>
  </si>
  <si>
    <t>&lt;p&gt;You detect magical auras. The amount of information revealed depends on how long you study a particular area or subject.&lt;/p&gt;&lt;p&gt;&lt;i&gt;1st Round&lt;/i&gt;: Presence or absence of magical auras.&lt;/p&gt;&lt;p&gt;&lt;i&gt;2nd Round&lt;/i&gt;: Number of different magical auras and the power of the most potent aura.&lt;/p&gt;&lt;p&gt;&lt;i&gt;3rd Round&lt;/i&gt;: The strength and location of each aura. If the items or creatures bearing the auras are in line of sight, you can make Knowledge (arcana) skill checks to determine the school of magic involved in each. (Make one check per aura: DC 15 + spell level, or 15 + 1/2 caster level for a nonspell effect.) If the aura emanates from a magic item, you can attempt to identify its properties (see Spellcraft).&lt;/p&gt;&lt;p&gt;Magical areas, multiple types of magic, or strong local magical emanations may distort or conceal weaker auras.&lt;/p&gt;&lt;p&gt;&lt;i&gt;Aura Strength&lt;/i&gt;: An aura's power depends on a spell's functioning spell level or an item's caster level; see the accompanying table. If an aura falls into more than one category, detect magic indicates the stronger of the two.&lt;/p&gt;&lt;p&gt;&lt;table&gt;&lt;tr&gt;&lt;th rowspan="2"&gt;Spell or Object&lt;/th&gt;&lt;th colspan="4" style="text-align:center"&gt;Aura Power&lt;/th&gt;&lt;/tr&gt; &lt;tr&gt;&lt;th&gt;Faint&lt;/th&gt;&lt;th&gt;Moderate&lt;/th&gt;&lt;th&gt;Strong&lt;/th&gt;&lt;th&gt;Overwhelming&lt;/th&gt;&lt;/tr&gt; &lt;tr&gt;&lt;td&gt;Functioning spell (spell level)&lt;/td&gt;&lt;td&gt;3rd or lower&lt;/td&gt;&lt;td&gt;4th-6th&lt;/td&gt;&lt;td&gt;7th-9th&lt;/td&gt;&lt;td&gt;10th+ (deity-level)&lt;/td&gt;&lt;/tr&gt; &lt;tr&gt;&lt;td&gt;Magic item (caster level)&lt;/td&gt;&lt;td&gt;5th or lower&lt;/td&gt;&lt;td&gt;6th-11th&lt;/td&gt;&lt;td&gt;12th-20th&lt;/td&gt;&lt;td&gt;21st+ (artifact)&lt;/td&gt;&lt;/tr&gt;&lt;/table&gt; &lt;i&gt;Lingering Aura&lt;/i&gt;: A magical aura lingers after its original source dissipates (in the case of a spell) or is destroyed (in the case of a magic item). If &lt;i&gt;detect magic&lt;/i&gt; is cast and directed at such a location, the spell indicates an aura strength of dim (even weaker than a faint aura). How long the aura lingers at this dim level depends on its original power: &lt;table&gt;&lt;tr&gt;&lt;th&gt;Original Strength&lt;/th&gt;&lt;th&gt;Duration of Lingering Aura&lt;/th&gt;&lt;/tr&gt; &lt;tr&gt;&lt;td&gt;Faint&lt;/td&gt;&lt;td&gt;1d6 rounds&lt;/td&gt;&lt;/tr&gt; &lt;tr&gt;&lt;td&gt;Moderate&lt;/td&gt;&lt;td&gt;1d6 minutes&lt;/td&gt;&lt;/tr&gt; &lt;tr&gt;&lt;td&gt;Strong&lt;/td&gt;&lt;td&gt;1d6x10 minutes&lt;/td&gt;&lt;/tr&gt; &lt;tr&gt;&lt;td&gt;Overwhelming&lt;/td&gt;&lt;td&gt;1d6 days&lt;/td&gt;&lt;/tr&gt;&lt;/table&gt; Outsiders and elementals are not magical in themselves, but if they are summoned, the conjuration spell registers. Each round, you can turn to detect magic in a new area. The spell can penetrate barriers, but 1 foot of stone, 1 inch of common metal, a thin sheet of lead, or 3 feet of wood or dirt blocks it.&lt;/p&gt;&lt;p&gt;&lt;i&gt;Detect magic&lt;/i&gt; can be made permanent with a &lt;i&gt;permanency&lt;/i&gt; spell.&lt;/p&gt;</t>
  </si>
  <si>
    <t>&lt;link rel="stylesheet"href="PF.css"&gt;&lt;div class="heading"&gt;&lt;p class="alignleft"&gt;Detect Magic&lt;/p&gt;&lt;div style="clear: both;"&gt;&lt;/div&gt;&lt;/div&gt;&lt;div&gt;&lt;h5&gt;&lt;b&gt;School &lt;/b&gt;divination; &lt;b&gt;Level &lt;/b&gt;bard 0, cleric 0/oracle 0, druid 0, sorcerer/wizard 0, summoner 0, witch 0, inquisitor 0, magus 0, summoner 0, witch 0, inquisitor 0&lt;/h5&gt;&lt;h5&gt;&lt;b&gt;Casting Time &lt;/b&gt;1 standard action&lt;/h5&gt;&lt;h5&gt;&lt;b&gt;Components &lt;/b&gt;V, S&lt;/h5&gt;&lt;h5&gt;&lt;b&gt;Range &lt;/b&gt;60 ft.&lt;/h5&gt;&lt;h5&gt;&lt;b&gt;Area &lt;/b&gt;cone-shaped emanation&lt;/h5&gt;&lt;h5&gt;&lt;b&gt;Duration &lt;/b&gt;concentration, up to 1 min./level (D)&lt;/h5&gt;&lt;h5&gt;&lt;b&gt;Saving Throw &lt;/b&gt;none; &lt;b&gt;Spell Resistance &lt;/b&gt;no&lt;/h5&gt;&lt;/div&gt;&lt;div&gt;&lt;h4&gt;&lt;p&gt;You detect magical auras. The amount of information revealed depends on how long you study a particular area or subject.&lt;/p&gt;&lt;p&gt;&lt;i&gt;1st Round&lt;/i&gt;: Presence or absence of magical auras.&lt;/p&gt;&lt;p&gt;&lt;i&gt;2nd Round&lt;/i&gt;: Number of different magical auras and the power of the most potent aura.&lt;/p&gt;&lt;p&gt;&lt;i&gt;3rd Round&lt;/i&gt;: The strength and location of each aura. If the items or creatures bearing the auras are in line of sight, you can make Knowledge (arcana) skill checks to determine the school of magic involved in each. (Make one check per aura: DC 15 + spell level, or 15 + 1/2 caster level for a nonspell effect.) If the aura emanates from a magic item, you can attempt to identify its properties (see Spellcraft).&lt;/p&gt;&lt;p&gt;Magical areas, multiple types of magic, or strong local magical emanations may distort or conceal weaker auras.&lt;/p&gt;&lt;p&gt;&lt;i&gt;Aura Strength&lt;/i&gt;: An aura's power depends on a spell's functioning spell level or an item's caster level; see the accompanying table. If an aura falls into more than one category, detect magic indicates the stronger of the two.&lt;/p&gt;&lt;p&gt;&lt;table&gt;&lt;tr&gt;&lt;th rowspan="2"&gt;Spell or Object&lt;/th&gt;&lt;th colspan="4" style="text-align:center"&gt;Aura Power&lt;/th&gt;&lt;/tr&gt; &lt;tr&gt;&lt;th&gt;Faint&lt;/th&gt;&lt;th&gt;Moderate&lt;/th&gt;&lt;th&gt;Strong&lt;/th&gt;&lt;th&gt;Overwhelming&lt;/th&gt;&lt;/tr&gt; &lt;tr&gt;&lt;td&gt;Functioning spell (spell level)&lt;/td&gt;&lt;td&gt;3rd or lower&lt;/td&gt;&lt;td&gt;4th-6th&lt;/td&gt;&lt;td&gt;7th-9th&lt;/td&gt;&lt;td&gt;10th+ (deity-level)&lt;/td&gt;&lt;/tr&gt; &lt;tr&gt;&lt;td&gt;Magic item (caster level)&lt;/td&gt;&lt;td&gt;5th or lower&lt;/td&gt;&lt;td&gt;6th-11th&lt;/td&gt;&lt;td&gt;12th-20th&lt;/td&gt;&lt;td&gt;21st+ (artifact)&lt;/td&gt;&lt;/tr&gt;&lt;/table&gt; &lt;i&gt;Lingering Aura&lt;/i&gt;: A magical aura lingers after its original source dissipates (in the case of a spell) or is destroyed (in the case of a magic item). If &lt;i&gt;detect magic&lt;/i&gt; is cast and directed at such a location, the spell indicates an aura strength of dim (even weaker than a faint aura). How long the aura lingers at this dim level depends on its original power: &lt;table&gt;&lt;tr&gt;&lt;th&gt;Original Strength&lt;/th&gt;&lt;th&gt;Duration of Lingering Aura&lt;/th&gt;&lt;/tr&gt; &lt;tr&gt;&lt;td&gt;Faint&lt;/td&gt;&lt;td&gt;1d6 rounds&lt;/td&gt;&lt;/tr&gt; &lt;tr&gt;&lt;td&gt;Moderate&lt;/td&gt;&lt;td&gt;1d6 minutes&lt;/td&gt;&lt;/tr&gt; &lt;tr&gt;&lt;td&gt;Strong&lt;/td&gt;&lt;td&gt;1d6x10 minutes&lt;/td&gt;&lt;/tr&gt; &lt;tr&gt;&lt;td&gt;Overwhelming&lt;/td&gt;&lt;td&gt;1d6 days&lt;/td&gt;&lt;/tr&gt;&lt;/table&gt; Outsiders and elementals are not magical in themselves, but if they are summoned, the conjuration spell registers. Each round, you can turn to detect magic in a new area. The spell can penetrate barriers, but 1 foot of stone, 1 inch of common metal, a thin sheet of lead, or 3 feet of wood or dirt blocks it.&lt;/p&gt;&lt;p&gt;&lt;i&gt;Detect magic&lt;/i&gt; can be made permanent with a &lt;i&gt;permanency&lt;/i&gt; spell.&lt;/p&gt;&lt;/h4&gt;&lt;/div&gt;</t>
  </si>
  <si>
    <t>Detects spells and magic items within 60 ft.</t>
  </si>
  <si>
    <t>Detect Poison</t>
  </si>
  <si>
    <t>cleric 0/oracle 0, druid 0, paladin 1, ranger 1, sorcerer/wizard 0</t>
  </si>
  <si>
    <t>one creature, one object, or a 5-ft. cube</t>
  </si>
  <si>
    <t>You determine whether a creature, object, or area has been poisoned or is poisonous. You can determine the exact type of poison with a DC 20 Wisdom check. A character with the Craft (alchemy) skill may try a DC 20 Craft (alchemy) check if the Wisdom check fails, or may try the Craft (alchemy) check prior to the Wisdom check. The spell can penetrate barriers, but 1 foot of stone, 1 inch of common metal, a thin sheet of lead, or 3 feet of wood or dirt blocks it.</t>
  </si>
  <si>
    <t>&lt;p&gt;You determine whether a creature, object, or area has been poisoned or is poisonous. You can determine the exact type of poison with a DC 20 Wisdom check. A character with the Craft (alchemy) skill may try a DC 20 Craft (alchemy) check if the Wisdom check fails, or may try the Craft (alchemy) check prior to the Wisdom check. The spell can penetrate barriers, but 1 foot of stone, 1 inch of common metal, a thin sheet of lead, or 3 feet of wood or dirt blocks it.&lt;/p&gt;</t>
  </si>
  <si>
    <t>&lt;link rel="stylesheet"href="PF.css"&gt;&lt;div class="heading"&gt;&lt;p class="alignleft"&gt;Detect Poison&lt;/p&gt;&lt;div style="clear: both;"&gt;&lt;/div&gt;&lt;/div&gt;&lt;div&gt;&lt;h5&gt;&lt;b&gt;School &lt;/b&gt;divination; &lt;b&gt;Level &lt;/b&gt;cleric 0/oracle 0, druid 0, paladin 1, ranger 1, sorcerer/wizard 0&lt;/h5&gt;&lt;/div&gt;&lt;hr/&gt;&lt;div&gt;&lt;h5&gt;&lt;b&gt;CASTING&lt;/b&gt;&lt;/h5&gt;&lt;/div&gt;&lt;hr/&gt;&lt;div&gt;&lt;h5&gt;&lt;b&gt;Casting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 or Area &lt;/b&gt;one creature, one object, or a 5-ft. cube&lt;h5&gt;&lt;b&gt;Duration &lt;/b&gt;instantaneous&lt;/h5&gt;&lt;h5&gt;&lt;b&gt;Saving Throw &lt;/b&gt;none; &lt;b&gt;Spell Resistance &lt;/b&gt;no&lt;/h5&gt;&lt;/div&gt;&lt;hr/&gt;&lt;div&gt;&lt;h5&gt;&lt;b&gt;DESCRIPTION&lt;/b&gt;&lt;/h5&gt;&lt;/div&gt;&lt;hr/&gt;&lt;div&gt;&lt;h4&gt;&lt;p&gt;You determine whether a creature, object, or area has been poisoned or is poisonous. You can determine the exact type of poison with a DC 20 Wisdom check. A character with the Craft (alchemy) skill may try a DC 20 Craft (alchemy) check if the Wisdom check fails, or may try the Craft (alchemy) check prior to the Wisdom check. The spell can penetrate barriers, but 1 foot of stone, 1 inch of common metal, a thin sheet of lead, or 3 feet of wood or dirt blocks it.&lt;/p&gt;&lt;/h4&gt;&lt;/div&gt;</t>
  </si>
  <si>
    <t>Detects poison in one creature or object.</t>
  </si>
  <si>
    <t>Detect Scrying</t>
  </si>
  <si>
    <t>bard 4, sorcerer/wizard 4, witch 4, inquisitor 4</t>
  </si>
  <si>
    <t>V, S, M (a piece of mirror and a miniature brass hearing trumpet)</t>
  </si>
  <si>
    <t>40-ft.-radius emanation centered on you</t>
  </si>
  <si>
    <t>You immediately become aware of any attempt to observe you by means of a divination (scrying) spell or effect. The spell's area radiates from you and moves as you move. You know the location of every magical sensor within the spell's area. If the scrying attempt originates within the area, you also know its location; otherwise, you and the scrier immediately make opposed caster level checks (1d20 + caster level). If you at least match the scrier's result, you get a visual image of the scrier and an accurate sense of his direction and distance from you.</t>
  </si>
  <si>
    <t>&lt;p&gt;You immediately become aware of any attempt to observe you by means of a divination (scrying) spell or effect. The spell's area radiates from you and moves as you move. You know the location of every magical sensor within the spell's area.&lt;/p&gt;&lt;p&gt;If the scrying attempt originates within the area, you also know its location; otherwise, you and the scrier immediately make opposed caster level checks (1d20 + caster level). If you at least match the scrier's result, you get a visual image of the scrier and an accurate sense of his direction and distance from you.&lt;/p&gt;</t>
  </si>
  <si>
    <t>&lt;link rel="stylesheet"href="PF.css"&gt;&lt;div class="heading"&gt;&lt;p class="alignleft"&gt;Detect Scrying&lt;/p&gt;&lt;div style="clear: both;"&gt;&lt;/div&gt;&lt;/div&gt;&lt;div&gt;&lt;h5&gt;&lt;b&gt;School &lt;/b&gt;divination; &lt;b&gt;Level &lt;/b&gt;bard 4, sorcerer/wizard 4, witch 4, inquisitor 4&lt;/h5&gt;&lt;h5&gt;&lt;b&gt;Casting Time &lt;/b&gt;1 standard action&lt;/h5&gt;&lt;h5&gt;&lt;b&gt;Components &lt;/b&gt;V, S, M (a piece of mirror and a miniature brass hearing trumpet)&lt;/h5&gt;&lt;h5&gt;&lt;b&gt;Range &lt;/b&gt;40 ft.&lt;/h5&gt;&lt;h5&gt;&lt;b&gt;Area &lt;/b&gt;40-ft.-radius emanation centered on you&lt;/h5&gt;&lt;h5&gt;&lt;b&gt;Duration &lt;/b&gt;24 hours&lt;/h5&gt;&lt;h5&gt;&lt;b&gt;Saving Throw &lt;/b&gt;none; &lt;b&gt;Spell Resistance &lt;/b&gt;no&lt;/h5&gt;&lt;/div&gt;&lt;div&gt;&lt;h4&gt;&lt;p&gt;You immediately become aware of any attempt to observe you by means of a divination (scrying) spell or effect. The spell's area radiates from you and moves as you move. You know the location of every magical sensor within the spell's area.&lt;/p&gt;&lt;p&gt;If the scrying attempt originates within the area, you also know its location; otherwise, you and the scrier immediately make opposed caster level checks (1d20 + caster level). If you at least match the scrier's result, you get a visual image of the scrier and an accurate sense of his direction and distance from you.&lt;/p&gt;&lt;/h4&gt;&lt;/div&gt;</t>
  </si>
  <si>
    <t>Alerts you to magical eavesdropping.</t>
  </si>
  <si>
    <t>Detect Secret Doors</t>
  </si>
  <si>
    <t>alchemist 1, bard 1, sorcerer/wizard 1, witch 1</t>
  </si>
  <si>
    <t>You can detect secret doors, compartments, caches, and so forth. Only passages, doors, or openings that have been specifically constructed to escape detection are detected by this spell. The amount of information revealed depends on how long you study a particular area or subject. 1st Round: Presence or absence of secret doors. 2nd Round: Number of secret doors and the location of each. If an aura is outside your line of sight, then you discern its direction but not its exact location. Each Additional Round: The mechanism or trigger for one particular secret portal closely examined by you. Each round, you can turn to detect secret doors in a new area. The spell can penetrate barriers, but 1 foot of stone, 1 inch of common metal, a thin sheet of lead, or 3 feet of wood or dirt blocks it.</t>
  </si>
  <si>
    <t>&lt;p&gt;You can detect secret doors, compartments, caches, and so forth. Only passages, doors, or openings that have been specifically constructed to escape detection are detected by this spell. The amount of information revealed depends on how long you study a particular area or subject.&lt;/p&gt;&lt;p&gt;&lt;i&gt;1st Round&lt;/i&gt;: Presence or absence of secret doors.&lt;/p&gt;&lt;p&gt;&lt;i&gt;2nd Round&lt;/i&gt;: Number of secret doors and the location of each. If an aura is outside your line of sight, then you discern its direction but not its exact location.&lt;/p&gt;&lt;p&gt;&lt;i&gt;Each Additional Round&lt;/i&gt;: The mechanism or trigger for one particular secret portal closely examined by you. Each round, you can turn to detect secret doors in a new area. The spell can penetrate barriers, but 1 foot of stone, 1 inch of common metal, a thin sheet of lead, or 3 feet of wood or dirt blocks it.&lt;/p&gt;</t>
  </si>
  <si>
    <t>&lt;link rel="stylesheet"href="PF.css"&gt;&lt;div class="heading"&gt;&lt;p class="alignleft"&gt;Detect Secret Doors&lt;/p&gt;&lt;div style="clear: both;"&gt;&lt;/div&gt;&lt;/div&gt;&lt;div&gt;&lt;h5&gt;&lt;b&gt;School &lt;/b&gt;divination; &lt;b&gt;Level &lt;/b&gt;bard 1, sorcerer/wizard 1, witch 1, alchemist 1&lt;/h5&gt;&lt;h5&gt;&lt;b&gt;Casting Time &lt;/b&gt;1 standard action&lt;/h5&gt;&lt;h5&gt;&lt;b&gt;Components &lt;/b&gt;V, S&lt;/h5&gt;&lt;h5&gt;&lt;b&gt;Range &lt;/b&gt;60 ft.&lt;/h5&gt;&lt;h5&gt;&lt;b&gt;Area &lt;/b&gt;cone-shaped emanation&lt;/h5&gt;&lt;h5&gt;&lt;b&gt;Duration &lt;/b&gt;concentration, up to 1 min./level (D)&lt;/h5&gt;&lt;h5&gt;&lt;b&gt;Saving Throw &lt;/b&gt;none; &lt;b&gt;Spell Resistance &lt;/b&gt;no&lt;/h5&gt;&lt;/div&gt;&lt;div&gt;&lt;h4&gt;&lt;p&gt;You can detect secret doors, compartments, caches, and so forth. Only passages, doors, or openings that have been specifically constructed to escape detection are detected by this spell. The amount of information revealed depends on how long you study a particular area or subject.&lt;/p&gt;&lt;p&gt;&lt;i&gt;1st Round&lt;/i&gt;: Presence or absence of secret doors.&lt;/p&gt;&lt;p&gt;&lt;i&gt;2nd Round&lt;/i&gt;: Number of secret doors and the location of each. If an aura is outside your line of sight, then you discern its direction but not its exact location.&lt;/p&gt;&lt;p&gt;&lt;i&gt;Each Additional Round&lt;/i&gt;: The mechanism or trigger for one particular secret portal closely examined by you. Each round, you can turn to detect secret doors in a new area. The spell can penetrate barriers, but 1 foot of stone, 1 inch of common metal, a thin sheet of lead, or 3 feet of wood or dirt blocks it.&lt;/p&gt;&lt;/h4&gt;&lt;/div&gt;</t>
  </si>
  <si>
    <t>Reveals hidden doors within 60 ft.</t>
  </si>
  <si>
    <t>Detect Snares and Pits</t>
  </si>
  <si>
    <t>You can detect simple pits, deadfalls, and snares as well as mechanical traps constructed of natural materials. The spell does not detect complex traps, including trapdoor traps. Detect snares and pits does detect certain natural hazardsâ€”quicksand (a snare), a sinkhole (a pit), or unsafe walls of natural rock (a deadfall). It does not reveal other potentially dangerous conditions. The spell does not detect magic traps (except those that operate by pit, deadfall, or snaring; see the spell snare), nor mechanically complex ones, nor those that have been rendered safe or inactive. The amount of information revealed depends on how long you study a particular area. 1st Round: Presence or absence of hazards. 2nd Round: Number of hazards and the location of each. If a hazard is outside your line of sight, then you discern its direction but not its exact location. Each Additional Round: The general type and trigger for one particular hazard closely examined by you. Each round, you can turn to examine a new area. The spell can penetrate barriers, but 1 foot of stone, 1 inch of common metal, a thin sheet of lead, or 3 feet of wood or dirt blocks it.</t>
  </si>
  <si>
    <t>&lt;p&gt;You can detect simple pits, deadfalls, and snares as well as mechanical traps constructed of natural materials. The spell does not detect complex traps, including trapdoor traps.&lt;/p&gt;&lt;p&gt;&lt;i&gt;Detect snares and pits&lt;/i&gt; does detect certain natural hazards--quicksand (a snare), a sinkhole (a pit), or unsafe walls of natural rock (a deadfall). It does not reveal other potentially dangerous conditions. The spell does not detect magic traps (except those that operate by pit, deadfall, or snaring; see the spell snare), nor mechanically complex ones, nor those that have been rendered safe or inactive.&lt;/p&gt;&lt;p&gt;The amount of information revealed depends on how long you study a particular area.&lt;/p&gt;&lt;p&gt;&lt;i&gt;1st Round&lt;/i&gt;: Presence or absence of hazards.&lt;/p&gt;&lt;p&gt;&lt;i&gt;2nd Round&lt;/i&gt;: Number of hazards and the location of each. If a hazard is outside your line of sight, then you discern its direction but not its exact location.&lt;/p&gt;&lt;p&gt;&lt;i&gt;Each Additional Round&lt;/i&gt;: The general type and trigger for one particular hazard closely examined by you.&lt;/p&gt;&lt;p&gt;Each round, you can turn to examine a new area. The spell can penetrate barriers, but 1 foot of stone, 1 inch of common metal, a thin sheet of lead, or 3 feet of wood or dirt blocks it.&lt;/p&gt;</t>
  </si>
  <si>
    <t>&lt;link rel="stylesheet"href="PF.css"&gt;&lt;div class="heading"&gt;&lt;p class="alignleft"&gt;Detect Snares and Pits&lt;/p&gt;&lt;div style="clear: both;"&gt;&lt;/div&gt;&lt;/div&gt;&lt;div&gt;&lt;h5&gt;&lt;b&gt;School &lt;/b&gt;divination; &lt;b&gt;Level &lt;/b&gt;druid 1, ranger 1&lt;/h5&gt;&lt;h5&gt;&lt;b&gt;Casting Time &lt;/b&gt;1 standard action&lt;/h5&gt;&lt;h5&gt;&lt;b&gt;Components &lt;/b&gt;V, S&lt;/h5&gt;&lt;h5&gt;&lt;b&gt;Range &lt;/b&gt;60 ft.&lt;/h5&gt;&lt;h5&gt;&lt;b&gt;Area &lt;/b&gt;cone-shaped emanation&lt;/h5&gt;&lt;h5&gt;&lt;b&gt;Duration &lt;/b&gt;concentration, up to 10 min./level (D)&lt;/h5&gt;&lt;h5&gt;&lt;b&gt;Saving Throw &lt;/b&gt;none; &lt;b&gt;Spell Resistance &lt;/b&gt;no&lt;/h5&gt;&lt;/div&gt;&lt;div&gt;&lt;h4&gt;&lt;p&gt;You can detect simple pits, deadfalls, and snares as well as mechanical traps constructed of natural materials. The spell does not detect complex traps, including trapdoor traps.&lt;/p&gt;&lt;p&gt;&lt;i&gt;Detect snares and pits&lt;/i&gt; does detect certain natural hazards--quicksand (a snare), a sinkhole (a pit), or unsafe walls of natural rock (a deadfall). It does not reveal other potentially dangerous conditions. The spell does not detect magic traps (except those that operate by pit, deadfall, or snaring; see the spell snare), nor mechanically complex ones, nor those that have been rendered safe or inactive.&lt;/p&gt;&lt;p&gt;The amount of information revealed depends on how long you study a particular area.&lt;/p&gt;&lt;p&gt;&lt;i&gt;1st Round&lt;/i&gt;: Presence or absence of hazards.&lt;/p&gt;&lt;p&gt;&lt;i&gt;2nd Round&lt;/i&gt;: Number of hazards and the location of each. If a hazard is outside your line of sight, then you discern its direction but not its exact location.&lt;/p&gt;&lt;p&gt;&lt;i&gt;Each Additional Round&lt;/i&gt;: The general type and trigger for one particular hazard closely examined by you.&lt;/p&gt;&lt;p&gt;Each round, you can turn to examine a new area. The spell can penetrate barriers, but 1 foot of stone, 1 inch of common metal, a thin sheet of lead, or 3 feet of wood or dirt blocks it.&lt;/p&gt;&lt;/h4&gt;&lt;/div&gt;</t>
  </si>
  <si>
    <t>Reveals natural or primitive traps.</t>
  </si>
  <si>
    <t>Detect Thoughts</t>
  </si>
  <si>
    <t>bard 2, sorcerer/wizard 2, alchemist 2, summoner 2, witch 2, inquisitor 2</t>
  </si>
  <si>
    <t>V, S, F/DF (a copper piece)</t>
  </si>
  <si>
    <t>You detect surface thoughts. The amount of information revealed depends on how long you study a particular area or subject. 1st Round: Presence or absence of thoughts (from conscious creatures with Intelligence scores of 1 or higher). 2nd Round: Number of thinking minds and the Intelligence score of each. If the highest Intelligence is 26 or higher (and at least 10 points higher than your own Intelligence score), you are stunned for 1 round and the spell ends. This spell does not let you determine the location of the thinking minds if you can't see the creatures whose thoughts you are detecting. 3rd Round: Surface thoughts of any mind in the area. A target's Will save prevents you from reading its thoughts, and you must cast detect thoughts again to have another chance. Creatures of animal intelligence (Int 1 or 2) have simple, instinctual thoughts. Each round, you can turn to detect thoughts in a new area. The spell can penetrate barriers, but 1 foot of stone, 1 inch of common metal, a thin sheet of lead, or 3 feet of wood or dirt blocks it.</t>
  </si>
  <si>
    <t>&lt;p&gt;You detect surface thoughts. The amount of information revealed depends on how long you study a particular area or subject.&lt;/p&gt;&lt;p&gt;&lt;i&gt;1st Round&lt;/i&gt;: Presence or absence of thoughts (from conscious creatures with Intelligence scores of 1 or higher).&lt;/p&gt;&lt;p&gt;&lt;i&gt;2nd Round&lt;/i&gt;: Number of thinking minds and the Intelligence score of each. If the highest Intelligence is 26 or higher (and at least 10 points higher than your own Intelligence score), you are stunned for 1 round and the spell ends. This spell does not let you determine the location of the thinking minds if you can't see the creatures whose thoughts you are detecting.&lt;/p&gt;&lt;p&gt;&lt;i&gt;3rd Round&lt;/i&gt;: Surface thoughts of any mind in the area. A target's Will save prevents you from reading its thoughts, and you must cast &lt;i&gt;detect thoughts&lt;/i&gt; again to have another chance. Creatures of animal intelligence (Int 1 or 2) have simple, instinctual thoughts.&lt;/p&gt;&lt;p&gt;Each round, you can turn to detect thoughts in a new area. The spell can penetrate barriers, but 1 foot of stone, 1 inch of common metal, a thin sheet of lead, or 3 feet of wood or dirt blocks it.&lt;/p&gt;</t>
  </si>
  <si>
    <t>&lt;link rel="stylesheet"href="PF.css"&gt;&lt;div class="heading"&gt;&lt;p class="alignleft"&gt;Detect Thoughts&lt;/p&gt;&lt;div style="clear: both;"&gt;&lt;/div&gt;&lt;/div&gt;&lt;div&gt;&lt;h5&gt;&lt;b&gt;School &lt;/b&gt;divination [mind-affecting]; &lt;b&gt;Level &lt;/b&gt;bard 2, sorcerer/wizard 2, alchemist 2, summoner 2, witch 2, inquisitor 2, alchemist 2, summoner 2, witch 2, inquisitor 2&lt;/h5&gt;&lt;h5&gt;&lt;b&gt;Casting Time &lt;/b&gt;1 standard action&lt;/h5&gt;&lt;h5&gt;&lt;b&gt;Components &lt;/b&gt;V, S, F/DF (a copper piece)&lt;/h5&gt;&lt;h5&gt;&lt;b&gt;Range &lt;/b&gt;60 ft.&lt;/h5&gt;&lt;h5&gt;&lt;b&gt;Area &lt;/b&gt;cone-shaped emanation&lt;/h5&gt;&lt;h5&gt;&lt;b&gt;Duration &lt;/b&gt;concentration, up to 1 min./level (D)&lt;/h5&gt;&lt;h5&gt;&lt;b&gt;Saving Throw &lt;/b&gt;Will negates; see text; &lt;b&gt;Spell Resistance &lt;/b&gt;no&lt;/h5&gt;&lt;/div&gt;&lt;div&gt;&lt;h4&gt;&lt;p&gt;You detect surface thoughts. The amount of information revealed depends on how long you study a particular area or subject.&lt;/p&gt;&lt;p&gt;&lt;i&gt;1st Round&lt;/i&gt;: Presence or absence of thoughts (from conscious creatures with Intelligence scores of 1 or higher).&lt;/p&gt;&lt;p&gt;&lt;i&gt;2nd Round&lt;/i&gt;: Number of thinking minds and the Intelligence score of each. If the highest Intelligence is 26 or higher (and at least 10 points higher than your own Intelligence score), you are stunned for 1 round and the spell ends. This spell does not let you determine the location of the thinking minds if you can't see the creatures whose thoughts you are detecting.&lt;/p&gt;&lt;p&gt;&lt;i&gt;3rd Round&lt;/i&gt;: Surface thoughts of any mind in the area. A target's Will save prevents you from reading its thoughts, and you must cast &lt;i&gt;detect thoughts&lt;/i&gt; again to have another chance. Creatures of animal intelligence (Int 1 or 2) have simple, instinctual thoughts.&lt;/p&gt;&lt;p&gt;Each round, you can turn to detect thoughts in a new area. The spell can penetrate barriers, but 1 foot of stone, 1 inch of common metal, a thin sheet of lead, or 3 feet of wood or dirt blocks it.&lt;/p&gt;&lt;/h4&gt;&lt;/div&gt;</t>
  </si>
  <si>
    <t>Knowledge</t>
  </si>
  <si>
    <t>Allows “listening” to surface thoughts.</t>
  </si>
  <si>
    <t>Detect Undead</t>
  </si>
  <si>
    <t>cleric 1/oracle 1, paladin 1, sorcerer/wizard 1, alchemist 1, inquisitor 1, alchemist 1, inquisitor 1</t>
  </si>
  <si>
    <t>V, S, M/DF (earth from a grave)</t>
  </si>
  <si>
    <t>concentration, up to 1 minute/ level</t>
  </si>
  <si>
    <t>You can detect the aura that surrounds undead creatures. The amount of information revealed depends on how long you study a particular area. 1st Round: Presence or absence of undead auras. 2nd Round: Number of undead auras in the area and the strength of the strongest undead aura present. If you are of good alignment, and the strongest undead aura's strength is overwhelming (see below), and the creature has HD of at least twice your character level, you are stunned for 1 round and the spell ends. 3rd Round: The strength and location of each undead aura. If an aura is outside your line of sight, then you discern its direction but not its exact location. Aura Strength: The strength of an undead aura is determined by the HD of the undead creature, as given on the table below. Lingering Aura: An undead aura lingers after its original source is destroyed. If detect undead is cast and directed at such a location, the spell indicates an aura strength of dim (even weaker than a faint aura). How long the aura lingers at this dim level depends on its original power, as given on the table below. HD Strength Lingering Aura Duration 1 or lower Faint 1d6 rounds 2-4 Moderate 1d6 minutes 5-10 Strong 1d6 x 10 minutes 11 or higher Overwhelming 1d6 days Each round, you can turn to detect undead in a new area. The spell can penetrate barriers, but 1 foot of stone, 1 inch of common metal, a thin sheet of lead, or 3 feet of wood or dirt blocks it.</t>
  </si>
  <si>
    <t>&lt;p&gt;You can detect the aura that surrounds undead creatures. The amount of information revealed depends on how long you study a particular area.&lt;/p&gt;&lt;p&gt;&lt;i&gt;1st Round&lt;/i&gt;: Presence or absence of undead auras.&lt;/p&gt;&lt;p&gt;&lt;i&gt;2nd Round&lt;/i&gt;: Number of undead auras in the area and the strength of the strongest undead aura present. If you are of good alignment, and the strongest undead aura's strength is overwhelming (see below), and the creature has HD of at least twice your character level, you are stunned for 1 round and the spell ends.&lt;/p&gt;&lt;p&gt;&lt;i&gt;3rd Round&lt;/i&gt;: The strength and location of each undead aura. If an aura is outside your line of sight, then you discern its direction but not its exact location.&lt;/p&gt;&lt;p&gt;&lt;i&gt;Aura Strength&lt;/i&gt;: The strength of an undead aura is determined by the HD of the undead creature, as given on the table below.&lt;/p&gt;&lt;p&gt;&lt;i&gt;Lingering Aura&lt;/i&gt;: An undead aura lingers after its original source is destroyed. If detect undead is cast and directed at such a location, the spell indicates an aura strength of dim (even weaker than a faint aura). How long the aura lingers at this dim level depends on its original power, as given on the table below.&lt;/p&gt;&lt;p&gt;&lt;table&gt;&lt;tr&gt;&lt;th&gt;HD&lt;/th&gt;&lt;th&gt;Strength&lt;/th&gt;&lt;th&gt;Lingering Aura Duration&lt;/th&gt;&lt;/tr&gt; &lt;tr&gt;&lt;td&gt;1 or lower&lt;/td&gt;&lt;td&gt;Faint&lt;/td&gt;&lt;td&gt;1d6 rounds&lt;/td&gt;&lt;/tr&gt; &lt;tr&gt;&lt;td&gt;2-4&lt;/td&gt;&lt;td&gt;Moderate&lt;/td&gt;&lt;td&gt;1d6 minutes&lt;/td&gt;&lt;/tr&gt; &lt;tr&gt;&lt;td&gt;5-10&lt;/td&gt;&lt;td&gt;Strong&lt;/td&gt;&lt;td&gt;1d6 x 10 minutes&lt;/td&gt;&lt;/tr&gt; &lt;tr&gt;&lt;td&gt;11 or higher&lt;/td&gt;&lt;td&gt;Overwhelming&lt;/td&gt;&lt;td&gt;1d6 days&lt;/td&gt;&lt;/tr&gt;&lt;/table&gt; Each round, you can turn to detect undead in a new area. The spell can penetrate barriers, but 1 foot of stone, 1 inch of common metal, a thin sheet of lead, or 3 feet of wood or dirt blocks it.&lt;/p&gt;</t>
  </si>
  <si>
    <t>&lt;link rel="stylesheet"href="PF.css"&gt;&lt;div class="heading"&gt;&lt;p class="alignleft"&gt;Detect Undead&lt;/p&gt;&lt;div style="clear: both;"&gt;&lt;/div&gt;&lt;/div&gt;&lt;div&gt;&lt;h5&gt;&lt;b&gt;School &lt;/b&gt;divination; &lt;b&gt;Level &lt;/b&gt;cleric 1/oracle 1, paladin 1, sorcerer/wizard 1, alchemist 1, inquisitor 1, alchemist 1, inquisitor 1&lt;/h5&gt;&lt;h5&gt;&lt;b&gt;Casting Time &lt;/b&gt;1 standard action&lt;/h5&gt;&lt;h5&gt;&lt;b&gt;Components &lt;/b&gt;V, S, M/DF (earth from a grave)&lt;/h5&gt;&lt;h5&gt;&lt;b&gt;Range &lt;/b&gt;60 ft.&lt;/h5&gt;&lt;h5&gt;&lt;b&gt;Area &lt;/b&gt;cone-shaped emanation&lt;/h5&gt;&lt;h5&gt;&lt;b&gt;Duration &lt;/b&gt;concentration, up to 1 minute/ level (D)&lt;/h5&gt;&lt;h5&gt;&lt;b&gt;Saving Throw &lt;/b&gt;none; &lt;b&gt;Spell Resistance &lt;/b&gt;no&lt;/h5&gt;&lt;/div&gt;&lt;div&gt;&lt;h4&gt;&lt;p&gt;You can detect the aura that surrounds undead creatures. The amount of information revealed depends on how long you study a particular area.&lt;/p&gt;&lt;p&gt;&lt;i&gt;1st Round&lt;/i&gt;: Presence or absence of undead auras.&lt;/p&gt;&lt;p&gt;&lt;i&gt;2nd Round&lt;/i&gt;: Number of undead auras in the area and the strength of the strongest undead aura present. If you are of good alignment, and the strongest undead aura's strength is overwhelming (see below), and the creature has HD of at least twice your character level, you are stunned for 1 round and the spell ends.&lt;/p&gt;&lt;p&gt;&lt;i&gt;3rd Round&lt;/i&gt;: The strength and location of each undead aura. If an aura is outside your line of sight, then you discern its direction but not its exact location.&lt;/p&gt;&lt;p&gt;&lt;i&gt;Aura Strength&lt;/i&gt;: The strength of an undead aura is determined by the HD of the undead creature, as given on the table below.&lt;/p&gt;&lt;p&gt;&lt;i&gt;Lingering Aura&lt;/i&gt;: An undead aura lingers after its original source is destroyed. If detect undead is cast and directed at such a location, the spell indicates an aura strength of dim (even weaker than a faint aura). How long the aura lingers at this dim level depends on its original power, as given on the table below.&lt;/p&gt;&lt;p&gt;&lt;table&gt;&lt;tr&gt;&lt;th&gt;HD&lt;/th&gt;&lt;th&gt;Strength&lt;/th&gt;&lt;th&gt;Lingering Aura Duration&lt;/th&gt;&lt;/tr&gt; &lt;tr&gt;&lt;td&gt;1 or lower&lt;/td&gt;&lt;td&gt;Faint&lt;/td&gt;&lt;td&gt;1d6 rounds&lt;/td&gt;&lt;/tr&gt; &lt;tr&gt;&lt;td&gt;2-4&lt;/td&gt;&lt;td&gt;Moderate&lt;/td&gt;&lt;td&gt;1d6 minutes&lt;/td&gt;&lt;/tr&gt; &lt;tr&gt;&lt;td&gt;5-10&lt;/td&gt;&lt;td&gt;Strong&lt;/td&gt;&lt;td&gt;1d6 x 10 minutes&lt;/td&gt;&lt;/tr&gt; &lt;tr&gt;&lt;td&gt;11 or higher&lt;/td&gt;&lt;td&gt;Overwhelming&lt;/td&gt;&lt;td&gt;1d6 days&lt;/td&gt;&lt;/tr&gt;&lt;/table&gt; Each round, you can turn to detect undead in a new area. The spell can penetrate barriers, but 1 foot of stone, 1 inch of common metal, a thin sheet of lead, or 3 feet of wood or dirt blocks it.&lt;/p&gt;&lt;/h4&gt;&lt;/div&gt;</t>
  </si>
  <si>
    <t>Reveals undead within 60 ft.</t>
  </si>
  <si>
    <t>Dictum</t>
  </si>
  <si>
    <t>lawful, sonic</t>
  </si>
  <si>
    <t>nonlawful creatures in a 40-ft.-radius spread centered on you</t>
  </si>
  <si>
    <t>Any nonlawful creature within the area of a dictum spell suffers the following ill effects. HD Effect Equal to caster level Deafened Up to caster level -1 Staggered, deafened Up to caster level -5 Paralyzed, staggered, deafened Up to caster level -10 Killed, paralyzed, staggered, deafened The effects are cumulative and concurrent. A successful Will save reduces or eliminates these effects. Creatures affected by multiple effects make only one save and apply the result to all the effects. Deafened: The creature is deafened for 1d4 rounds. Save negates. Staggered: The creature is staggered for 2d4 rounds. Save reduces the staggered effect to 1d4 rounds. Paralyzed: The creature is paralyzed and helpless for 1d10 minutes. Save reduces the paralyzed effect to 1 round. Killed: Living creatures die. Undead creatures are destroyed. Save negates. If the save is successful, the creature instead takes 3d6 points of damage + 1 point per caster level (maximum +25). Furthermore, if you are on your home plane when you cast this spell, nonlawful extraplanar creatures within the area are instantly banished back to their home planes. Creatures so banished cannot return for at least 24 hours. This effect takes place regardless of whether the creatures hear the dictum or not. The banishment allows a Will save (at a -4 penalty) to negate. Creatures whose Hit Dice exceed your caster level are unaffected by dictum.</t>
  </si>
  <si>
    <t>&lt;p&gt;Any nonlawful creature within the area of a &lt;i&gt;dictum&lt;/i&gt; spell suffers the following ill effects.&lt;/p&gt;&lt;p&gt;HD Effect Equal to caster level &lt;i&gt;Deafened&lt;/i&gt; Up to caster level -1 &lt;i&gt;Staggered&lt;/i&gt;, deafened Up to caster level -5 &lt;i&gt;Paralyzed&lt;/i&gt;, staggered, deafened Up to caster level -10 &lt;i&gt;Killed&lt;/i&gt;, paralyzed, staggered, deafened The effects are cumulative and concurrent. A successful Will save reduces or eliminates these effects. Creatures affected by multiple effects make only one save and apply the result to all the effects.&lt;/p&gt;&lt;p&gt;&lt;i&gt;Deafened&lt;/i&gt;: The creature is deafened for 1d4 rounds. Save negates.&lt;/p&gt;&lt;p&gt;&lt;i&gt;Staggered&lt;/i&gt;: The creature is staggered for 2d4 rounds. Save reduces the staggered effect to 1d4 rounds.&lt;/p&gt;&lt;p&gt;&lt;i&gt;Paralyzed&lt;/i&gt;: The creature is paralyzed and helpless for 1d10 minutes. Save reduces the paralyzed effect to 1 round.&lt;/p&gt;&lt;p&gt;&lt;i&gt;Killed&lt;/i&gt;: Living creatures die. Undead creatures are destroyed. Save negates. If the save is successful, the creature instead takes 3d6 points of damage + 1 point per caster level (maximum +25).&lt;/p&gt;&lt;p&gt;Furthermore, if you are on your home plane when you cast this spell, nonlawful extraplanar creatures within the area are instantly banished back to their home planes. Creatures so banished cannot return for at least 24 hours. This effect takes place regardless of whether the creatures hear the &lt;i&gt;dictum&lt;/i&gt; or not. The banishment allows a Will save (at a -4 penalty) to negate.&lt;/p&gt;&lt;p&gt;Creatures whose Hit Dice exceed your caster level are unaffected by &lt;i&gt;dictum&lt;/i&gt;.&lt;/p&gt;</t>
  </si>
  <si>
    <t>&lt;link rel="stylesheet"href="PF.css"&gt;&lt;div class="heading"&gt;&lt;p class="alignleft"&gt;Dictum&lt;/p&gt;&lt;div style="clear: both;"&gt;&lt;/div&gt;&lt;/div&gt;&lt;div&gt;&lt;h5&gt;&lt;b&gt;School &lt;/b&gt;evocation [lawful, sonic]; &lt;b&gt;Level &lt;/b&gt;cleric/oracle 7, inquisitor 6&lt;/h5&gt;&lt;/div&gt;&lt;hr/&gt;&lt;div&gt;&lt;h5&gt;&lt;b&gt;CASTING&lt;/b&gt;&lt;/h5&gt;&lt;/div&gt;&lt;hr/&gt;&lt;div&gt;&lt;h5&gt;&lt;b&gt;Casting Time &lt;/b&gt;1 standard action&lt;/h5&gt;&lt;h5&gt;&lt;b&gt;Components &lt;/b&gt;V&lt;/h5&gt;&lt;/div&gt;&lt;hr/&gt;&lt;div&gt;&lt;h5&gt;&lt;b&gt;EFFECT&lt;/b&gt;&lt;/h5&gt;&lt;/div&gt;&lt;hr/&gt;&lt;div&gt;&lt;h5&gt;&lt;b&gt;Range &lt;/b&gt;40 ft.&lt;/h5&gt;&lt;h5&gt;&lt;b&gt;Area &lt;/b&gt;nonlawful creatures in a 40-ft.-radius spread centered on you&lt;/h5&gt;&lt;h5&gt;&lt;b&gt;Duration &lt;/b&gt;instantaneous&lt;/h5&gt;&lt;h5&gt;&lt;b&gt;Saving Throw &lt;/b&gt;none or Will negates; see text; &lt;b&gt;Spell Resistance &lt;/b&gt;yes&lt;/h5&gt;&lt;/div&gt;&lt;hr/&gt;&lt;div&gt;&lt;h5&gt;&lt;b&gt;DESCRIPTION&lt;/b&gt;&lt;/h5&gt;&lt;/div&gt;&lt;hr/&gt;&lt;div&gt;&lt;h4&gt;&lt;p&gt;Any nonlawful creature within the area of a &lt;i&gt;dictum&lt;/i&gt; spell suffers the following ill effects.&lt;/p&gt; &lt;table border ='1'&gt;&lt;tr&gt;&lt;th&gt;HD&lt;/th&gt;&lt;th&gt;Effect&lt;/th&gt;&lt;/tr&gt;&lt;tr&gt;&lt;td&gt;Equal to caster level&lt;/td&gt;&lt;td&gt;Deafened&lt;/td&gt;&lt;/tr&gt;&lt;tr&gt;&lt;td&gt;Up to caster level -1&lt;/td&gt;&lt;td&gt;Staggered, deafened&lt;/td&gt;&lt;/tr&gt;&lt;tr&gt;&lt;td&gt;Up to caster level -5&lt;/td&gt;&lt;td&gt;Paralyzed, staggered, deafened&lt;/td&gt;&lt;/tr&gt;&lt;tr&gt;&lt;td&gt;Up to caster level -10&lt;/td&gt;&lt;td&gt;Killed, paralyzed, staggered, deafened&lt;/td&gt;&lt;/tr&gt;&lt;/table&gt; The effects are cumulative and concurrent. A successful Will save reduces or eliminates these effects. Creatures affected by multiple effects make only one save and apply the result to all the effects.&lt;/p&gt;&lt;p&gt;&lt;i&gt;Deafened&lt;/i&gt;: The creature is deafened for 1d4 rounds. Save negates.&lt;/p&gt;&lt;p&gt;&lt;i&gt;Staggered&lt;/i&gt;: The creature is staggered for 2d4 rounds. Save reduces the staggered effect to 1d4 rounds.&lt;/p&gt;&lt;p&gt;&lt;i&gt;Paralyzed&lt;/i&gt;: The creature is paralyzed and helpless for 1d10 minutes. Save reduces the paralyzed effect to 1 round.&lt;/p&gt;&lt;p&gt;&lt;i&gt;Killed&lt;/i&gt;: Living creatures die. Undead creatures are destroyed. Save negates. If the save is successful, the creature instead takes 3d6 points of damage + 1 point per caster level (maximum +25).&lt;/p&gt;&lt;p&gt;Furthermore, if you are on your home plane when you cast this spell, nonlawful extraplanar creatures within the area are instantly banished back to their home planes. Creatures so banished cannot return for at least 24 hours. This effect takes place regardless of whether the creatures hear the &lt;i&gt;dictum&lt;/i&gt; or not. The banishment allows a Will save (at a -4 penalty) to negate.&lt;/p&gt;&lt;p&gt;Creatures whose Hit Dice exceed your caster level are unaffected by &lt;i&gt;dictum&lt;/i&gt;.&lt;/p&gt;&lt;/h4&gt;&lt;h5&gt;&lt;b&gt;Mythic: &lt;/b&gt;When determining the spell's effect on non-mythic creatures, add your tier to your caster level. Nonlawful creatures that fail their saves against the spell also take a -4 penalty on attack rolls and saving throws, and their spell resistance decreases by 5 for as long as the spell's other effects last.&lt;/h5&gt;&lt;/div&gt;</t>
  </si>
  <si>
    <t>Law</t>
  </si>
  <si>
    <t> Kills, paralyzes, staggers, or deafens nonlawful targets.</t>
  </si>
  <si>
    <t>When determining the spell's effect on non-mythic creatures, add your tier to your caster level. Nonlawful creatures that fail their saves against the spell also take a -4 penalty on attack rolls and saving throws, and their spell resistance decreases by 5 for as long as the spell's other effects last.</t>
  </si>
  <si>
    <t>Dimensional Anchor</t>
  </si>
  <si>
    <t>cleric 4/oracle 4, sorcerer/wizard 4, summoner 3, inquisitor 3</t>
  </si>
  <si>
    <t>ray</t>
  </si>
  <si>
    <t>A green ray springs from your hand. You must make a ranged touch attack to hit the target. Any creature or object struck by the ray is covered with a shimmering emerald field that completely blocks extradimensional travel. Forms of movement barred by a dimensional anchor include astral projection, blink, dimension door, ethereal jaunt, etherealness, gate, maze, plane shift, shadow walk, teleport, and similar spell-like abilities. The spell also prevents the use of a gate or teleportation circle for the duration of the spell. A dimensional anchor does not interfere with the movement of creatures already in ethereal or astral form when the spell is cast, nor does it block extradimensional perception or attack forms. Also, dimensional anchor does not prevent summoned creatures from disappearing at the end of a summoning spell.</t>
  </si>
  <si>
    <t>&lt;p&gt;A green ray springs from your hand. You must make a ranged touch attack to hit the target. Any creature or object struck by the ray is covered with a shimmering emerald field that completely blocks extradimensional travel. Forms of movement barred by a &lt;i&gt;dimensional anchor&lt;/i&gt; include &lt;i&gt;astral projection&lt;/i&gt;, &lt;i&gt;blink&lt;/i&gt;, &lt;i&gt;dimension door&lt;/i&gt;, &lt;i&gt;ethereal jaunt&lt;/i&gt;, &lt;i&gt;etherealness&lt;/i&gt;, &lt;i&gt;gate&lt;/i&gt;, &lt;i&gt;maze&lt;/i&gt;, &lt;i&gt;plane shift&lt;/i&gt;, &lt;i&gt;shadow walk&lt;/i&gt;, &lt;i&gt;teleport&lt;/i&gt;, and similar spell-like abilities. The spell also prevents the use of a &lt;i&gt;gate&lt;/i&gt; or &lt;i&gt;teleportation circle&lt;/i&gt; for the duration of the spell.&lt;/p&gt;&lt;p&gt;A &lt;i&gt;dimensional anchor&lt;/i&gt; does not interfere with the movement of creatures already in ethereal or astral form when the spell is cast, nor does it block extradimensional perception or attack forms. Also, &lt;i&gt;dimensional anchor&lt;/i&gt; does not prevent summoned creatures from disappearing at the end of a summoning spell.&lt;/p&gt;</t>
  </si>
  <si>
    <t>&lt;link rel="stylesheet"href="PF.css"&gt;&lt;div class="heading"&gt;&lt;p class="alignleft"&gt;Dimensional Anchor&lt;/p&gt;&lt;div style="clear: both;"&gt;&lt;/div&gt;&lt;/div&gt;&lt;div&gt;&lt;h5&gt;&lt;b&gt;School &lt;/b&gt;abjuration; &lt;b&gt;Level &lt;/b&gt;cleric 4/oracle 4, sorcerer/wizard 4, summoner 3, inquisitor 3&lt;/h5&gt;&lt;h5&gt;&lt;b&gt;Casting Time &lt;/b&gt;1 standard action&lt;/h5&gt;&lt;h5&gt;&lt;b&gt;Components &lt;/b&gt;V, S&lt;/h5&gt;&lt;h5&gt;&lt;b&gt;Range &lt;/b&gt;medium (100 ft. + 10 ft./level)&lt;/h5&gt;&lt;h5&gt;&lt;b&gt;Effect &lt;/b&gt;ray&lt;/h5&gt;&lt;h5&gt;&lt;b&gt;Duration &lt;/b&gt;1 min./level&lt;/h5&gt;&lt;h5&gt;&lt;b&gt;Saving Throw &lt;/b&gt;none; &lt;b&gt;Spell Resistance &lt;/b&gt;yes (object)&lt;/h5&gt;&lt;/div&gt;&lt;div&gt;&lt;h4&gt;&lt;p&gt;A green ray springs from your hand. You must make a ranged touch attack to hit the target. Any creature or object struck by the ray is covered with a shimmering emerald field that completely blocks extradimensional travel. Forms of movement barred by a &lt;i&gt;dimensional anchor&lt;/i&gt; include &lt;i&gt;astral projection&lt;/i&gt;, &lt;i&gt;blink&lt;/i&gt;, &lt;i&gt;dimension door&lt;/i&gt;, &lt;i&gt;ethereal jaunt&lt;/i&gt;, &lt;i&gt;etherealness&lt;/i&gt;, &lt;i&gt;gate&lt;/i&gt;, &lt;i&gt;maze&lt;/i&gt;, &lt;i&gt;plane shift&lt;/i&gt;, &lt;i&gt;shadow walk&lt;/i&gt;, &lt;i&gt;teleport&lt;/i&gt;, and similar spell-like abilities. The spell also prevents the use of a &lt;i&gt;gate&lt;/i&gt; or &lt;i&gt;teleportation circle&lt;/i&gt; for the duration of the spell.&lt;/p&gt;&lt;p&gt;A &lt;i&gt;dimensional anchor&lt;/i&gt; does not interfere with the movement of creatures already in ethereal or astral form when the spell is cast, nor does it block extradimensional perception or attack forms. Also, &lt;i&gt;dimensional anchor&lt;/i&gt; does not prevent summoned creatures from disappearing at the end of a summoning spell.&lt;/p&gt;&lt;/h4&gt;&lt;/div&gt;</t>
  </si>
  <si>
    <t>Bars extradimensional movement.</t>
  </si>
  <si>
    <t>Dimensional Lock</t>
  </si>
  <si>
    <t>cleric 8/oracle 8, sorcerer/wizard 8, summoner 6</t>
  </si>
  <si>
    <t>You create a shimmering emerald barrier that completely blocks extradimensional travel. Forms of movement barred include astral projection, blink, dimension door, ethereal jaunt, etherealness, gate, maze, plane shift, shadow walk, teleport, and similar spell-like abilities. Once dimensional lock is in place, extradimensional travel into or out of the area is not possible. A dimensional lock does not interfere with the movement of creatures already in ethereal or astral form when the spell is cast, nor does it block extradimensional perception or attack forms. Also, the spell does not prevent summoned creatures from disappearing at the end of a summoning spell.</t>
  </si>
  <si>
    <t>&lt;p&gt;You create a shimmering emerald barrier that completely blocks extradimensional travel. Forms of movement barred include &lt;i&gt;astral projection&lt;/i&gt;, &lt;i&gt;dimension door&lt;/i&gt;, &lt;i&gt;ethereal jaunt&lt;/i&gt;, &lt;i&gt;etherealness&lt;/i&gt;, &lt;i&gt;gate&lt;/i&gt;, &lt;i&gt;maze&lt;/i&gt;, &lt;i&gt;plane shift&lt;/i&gt;, &lt;i&gt;shadow walk&lt;/i&gt;, &lt;i&gt;teleport&lt;/i&gt;, and similar spell-like abilities. Once &lt;i&gt;dimensional lock&lt;/i&gt; is in place, extradimensional travel into or out of the area is not possible.&lt;/p&gt;&lt;p&gt;A &lt;i&gt;dimensional lock&lt;/i&gt; does not interfere with the movement of creatures already in ethereal or astral form when the spell is cast, nor does it block extradimensional perception or attack forms. Also, the spell does not prevent summoned creatures from disappearing at the end of a summoning spell.&lt;/p&gt;</t>
  </si>
  <si>
    <t>&lt;link rel="stylesheet"href="PF.css"&gt;&lt;div class="heading"&gt;&lt;p class="alignleft"&gt;Dimensional Lock&lt;/p&gt;&lt;div style="clear: both;"&gt;&lt;/div&gt;&lt;/div&gt;&lt;div&gt;&lt;h5&gt;&lt;b&gt;School &lt;/b&gt;abjuration; &lt;b&gt;Level &lt;/b&gt;cleric 8/oracle 8, sorcerer/wizard 8, summoner 6&lt;/h5&gt;&lt;h5&gt;&lt;b&gt;Casting Time &lt;/b&gt;1 standard action&lt;/h5&gt;&lt;h5&gt;&lt;b&gt;Components &lt;/b&gt;V, S&lt;/h5&gt;&lt;h5&gt;&lt;b&gt;Range &lt;/b&gt;medium (100 ft. + 10 ft./level)&lt;/h5&gt;&lt;h5&gt;&lt;b&gt;Area &lt;/b&gt;20-ft.-radius emanation centered on a point in space&lt;/h5&gt;&lt;h5&gt;&lt;b&gt;Duration &lt;/b&gt;1 day/level&lt;/h5&gt;&lt;h5&gt;&lt;b&gt;Saving Throw &lt;/b&gt;none; &lt;b&gt;Spell Resistance &lt;/b&gt;yes&lt;/h5&gt;&lt;/div&gt;&lt;div&gt;&lt;h4&gt;&lt;p&gt;You create a shimmering emerald barrier that completely blocks extradimensional travel. Forms of movement barred include &lt;i&gt;astral projection&lt;/i&gt;, &lt;i&gt;dimension door&lt;/i&gt;, &lt;i&gt;ethereal jaunt&lt;/i&gt;, &lt;i&gt;etherealness&lt;/i&gt;, &lt;i&gt;gate&lt;/i&gt;, &lt;i&gt;maze&lt;/i&gt;, &lt;i&gt;plane shift&lt;/i&gt;, &lt;i&gt;shadow walk&lt;/i&gt;, &lt;i&gt;teleport&lt;/i&gt;, and similar spell-like abilities. Once &lt;i&gt;dimensional lock&lt;/i&gt; is in place, extradimensional travel into or out of the area is not possible.&lt;/p&gt;&lt;p&gt;A &lt;i&gt;dimensional lock&lt;/i&gt; does not interfere with the movement of creatures already in ethereal or astral form when the spell is cast, nor does it block extradimensional perception or attack forms. Also, the spell does not prevent summoned creatures from disappearing at the end of a summoning spell.&lt;/p&gt;&lt;/h4&gt;&lt;/div&gt;</t>
  </si>
  <si>
    <t>Teleportation and interplanar travel blocked for 1 day/level.</t>
  </si>
  <si>
    <t>Dimension Door</t>
  </si>
  <si>
    <t>teleportation</t>
  </si>
  <si>
    <t>bard 4, sorcerer/wizard 4, summoner 3, witch 4, magus 4</t>
  </si>
  <si>
    <t>you and touched objects or other touched willing creatures</t>
  </si>
  <si>
    <t>none and Will negates (object)</t>
  </si>
  <si>
    <t>no and yes (object)</t>
  </si>
  <si>
    <t>You instantly transfer yourself from your current location to any other spot within range. You always arrive at exactly the spot desired--whether by simply visualizing the area or by stating direction. After using this spell, you can't take any other actions until your next turn. You can bring along objects as long as their weight doesn't exceed your maximum load. You may also bring one additional willing Medium or smaller creature (carrying gear or objects up to its maximum load) or its equivalent per three caster levels. A Large creature counts as two Medium creatures, a Huge creature counts as two Large creatures, and so forth. All creatures to be transported must be in contact with one another, and at least one of those creatures must be in contact with you. If you arrive in a place that is already occupied by a solid body, you and each creature traveling with you take 1d6 points of damage and are shunted to a random open space on a suitable surface within 100 feet of the intended location. If there is no free space within 100 feet, you and each creature traveling with you take an additional 2d6 points of damage and are shunted to a free space within 1,000 feet. If there is no free space within 1,000 feet, you and each creature travelling with you take an additional 4d6 points of damage and the spell simply fails.</t>
  </si>
  <si>
    <t>&lt;p&gt;You instantly transfer yourself from your current location to any other spot within range. You always arrive at exactly the spot desired--whether by simply visualizing the area or by stating direction. After using this spell, you can't take any other actions until your next turn. You can bring along objects as long as their weight doesn't exceed your maximum load. You may also bring one additional willing Medium or smaller creature (carrying gear or objects up to its maximum load) or its equivalent per three caster levels. A Large creature counts as two Medium creatures, a Huge creature counts as two Large creatures, and so forth. All creatures to be transported must be in contact with one another, and at least one of those creatures must be in contact with you.&lt;/p&gt;&lt;p&gt;If you arrive in a place that is already occupied by a solid body, you and each creature traveling with you take 1d6 points of damage and are shunted to a random open space on a suitable surface within 100 feet of the intended location.&lt;/p&gt;&lt;p&gt;If there is no free space within 100 feet, you and each creature traveling with you take an additional 2d6 points of damage and are shunted to a free space within 1,000 feet. If there is no free space within 1,000 feet, you and each creature travelling with you take an additional 4d6 points of damage and the spell simply fails.&lt;/p&gt;</t>
  </si>
  <si>
    <t>&lt;link rel="stylesheet"href="PF.css"&gt;&lt;div class="heading"&gt;&lt;p class="alignleft"&gt;Dimension Door&lt;/p&gt;&lt;div style="clear: both;"&gt;&lt;/div&gt;&lt;/div&gt;&lt;div&gt;&lt;h5&gt;&lt;b&gt;School &lt;/b&gt;conjuration (teleportation); &lt;b&gt;Level &lt;/b&gt;bard 4, sorcerer/wizard 4, summoner 3, witch 4, magus 4&lt;/h5&gt;&lt;h5&gt;&lt;b&gt;Casting Time &lt;/b&gt;1 standard action&lt;/h5&gt;&lt;h5&gt;&lt;b&gt;Components &lt;/b&gt;V&lt;/h5&gt;&lt;h5&gt;&lt;b&gt;Range &lt;/b&gt;long (400 ft. + 40 ft./level)&lt;/h5&gt;&lt;h5&gt;&lt;b&gt;Targets &lt;/b&gt; you and touched objects or other touched willing creatures&lt;/h5&gt;&lt;h5&gt;&lt;b&gt;Duration &lt;/b&gt;instantaneous&lt;/h5&gt;&lt;h5&gt;&lt;b&gt;Saving Throw &lt;/b&gt;none and Will negates (object); &lt;b&gt;Spell Resistance &lt;/b&gt;no and yes (object)&lt;/h5&gt;&lt;/div&gt;&lt;div&gt;&lt;h4&gt;&lt;p&gt;You instantly transfer yourself from your current location to any other spot within range. You always arrive at exactly the spot desired--whether by simply visualizing the area or by stating direction. After using this spell, you can't take any other actions until your next turn. You can bring along objects as long as their weight doesn't exceed your maximum load. You may also bring one additional willing Medium or smaller creature (carrying gear or objects up to its maximum load) or its equivalent per three caster levels. A Large creature counts as two Medium creatures, a Huge creature counts as two Large creatures, and so forth. All creatures to be transported must be in contact with one another, and at least one of those creatures must be in contact with you.&lt;/p&gt;&lt;p&gt;If you arrive in a place that is already occupied by a solid body, you and each creature traveling with you take 1d6 points of damage and are shunted to a random open space on a suitable surface within 100 feet of the intended location.&lt;/p&gt;&lt;p&gt;If there is no free space within 100 feet, you and each creature traveling with you take an additional 2d6 points of damage and are shunted to a free space within 1,000 feet. If there is no free space within 1,000 feet, you and each creature travelling with you take an additional 4d6 points of damage and the spell simply fails.&lt;/p&gt;&lt;/h4&gt;&lt;/div&gt;</t>
  </si>
  <si>
    <t>Teleports you a short distance.</t>
  </si>
  <si>
    <t>Diminish Plants</t>
  </si>
  <si>
    <t>druid 3, ranger 3</t>
  </si>
  <si>
    <t>This spell has two versions. Prune Growth: This version of the spell causes normal vegetation within long range (400 feet + 40 feet per level) to shrink to about one-third normal size, becoming untangled and less bushy. The affected vegetation appears to have been carefully pruned and trimmed. This version of diminish plants automatically dispels any spells or effects that enhance plants, such as entangle, plant growth, and wall of thorns. At your option, the area can be a 100-foot-radius circle, a 150-foot-radius semicircle, or a 200-foot-radius quarter-circle. You may also designate portions of the area that are not affected. Stunt Growth: This version of the spell targets all normal plants within a range of 1/2 mile, reducing their potential productivity over the course of the following year to half normal. This spell has no effect on plant creatures.</t>
  </si>
  <si>
    <t>&lt;p&gt;This spell has two versions.&lt;/p&gt;&lt;p&gt;&lt;i&gt;Prune Growth&lt;/i&gt;: This version of the spell causes normal vegetation within long range (400 feet + 40 feet per level) to shrink to about one-third normal size, becoming untangled and less bushy. The affected vegetation appears to have been carefully pruned and trimmed. This version of &lt;i&gt;diminish plants&lt;/i&gt; automatically dispels any spells or effects that enhance plants, such as &lt;i&gt;entangle&lt;/i&gt;, &lt;i&gt;plant growth&lt;/i&gt;, and &lt;i&gt;wall of thorns&lt;/i&gt;.&lt;/p&gt;&lt;p&gt;At your option, the area can be a 100-foot-radius circle, a 150-foot-radius semicircle, or a 200-foot-radius quarter-circle. You may also designate portions of the area that are not affected.&lt;/p&gt;&lt;p&gt;&lt;i&gt;Stunt Growth&lt;/i&gt;: This version of the spell targets all normal plants within a range of 1/2 mile, reducing their potential productivity over the course of the following year to half normal.&lt;/p&gt;&lt;p&gt;This spell has no effect on plant creatures.&lt;/p&gt;</t>
  </si>
  <si>
    <t>&lt;link rel="stylesheet"href="PF.css"&gt;&lt;div class="heading"&gt;&lt;p class="alignleft"&gt;Diminish Plants&lt;/p&gt;&lt;div style="clear: both;"&gt;&lt;/div&gt;&lt;/div&gt;&lt;div&gt;&lt;h5&gt;&lt;b&gt;School &lt;/b&gt;transmutation; &lt;b&gt;Level &lt;/b&gt;druid 3, ranger 3&lt;/h5&gt;&lt;/div&gt;&lt;hr/&gt;&lt;div&gt;&lt;h5&gt;&lt;b&gt;CASTING&lt;/b&gt;&lt;/h5&gt;&lt;/div&gt;&lt;hr/&gt;&lt;div&gt;&lt;h5&gt;&lt;b&gt;Casting Time &lt;/b&gt;1 standard action&lt;/h5&gt;&lt;h5&gt;&lt;b&gt;Components &lt;/b&gt;V, S, DF&lt;/h5&gt;&lt;/div&gt;&lt;hr/&gt;&lt;div&gt;&lt;h5&gt;&lt;b&gt;EFFECT&lt;/b&gt;&lt;/h5&gt;&lt;/div&gt;&lt;hr/&gt;&lt;div&gt;&lt;h5&gt;&lt;b&gt;Range &lt;/b&gt;see text&lt;/h5&gt;&lt;h5&gt;&lt;b&gt;Area &lt;/b&gt;see text&lt;/h5&gt;&lt;h5&gt;&lt;b&gt;Targets &lt;/b&gt;see text&lt;/h5&gt;&lt;h5&gt;&lt;b&gt;Duration &lt;/b&gt;instantaneous&lt;/h5&gt;&lt;h5&gt;&lt;b&gt;Saving Throw &lt;/b&gt;none; &lt;b&gt;Spell Resistance &lt;/b&gt;no&lt;/h5&gt;&lt;/div&gt;&lt;hr/&gt;&lt;div&gt;&lt;h5&gt;&lt;b&gt;DESCRIPTION&lt;/b&gt;&lt;/h5&gt;&lt;/div&gt;&lt;hr/&gt;&lt;div&gt;&lt;h4&gt;&lt;p&gt;This spell has two versions.&lt;/p&gt;&lt;p&gt;&lt;i&gt;Prune Growth&lt;/i&gt;: This version of the spell causes normal vegetation within long range (400 feet + 40 feet per level) to shrink to about one-third normal size, becoming untangled and less bushy. The affected vegetation appears to have been carefully pruned and trimmed. This version of &lt;i&gt;diminish plants&lt;/i&gt; automatically dispels any spells or effects that enhance plants, such as &lt;i&gt;entangle&lt;/i&gt;, &lt;i&gt;plant growth&lt;/i&gt;, and &lt;i&gt;wall of thorns&lt;/i&gt;.&lt;/p&gt;&lt;p&gt;At your option, the area can be a 100-foot-radius circle, a 150-foot-radius semicircle, or a 200-foot-radius quarter-circle. You may also designate portions of the area that are not affected.&lt;/p&gt;&lt;p&gt;&lt;i&gt;Stunt Growth&lt;/i&gt;: This version of the spell targets all normal plants within a range of 1/2 mile, reducing their potential productivity over the course of the following year to half normal.&lt;/p&gt;&lt;p&gt;This spell has no effect on plant creatures.&lt;/p&gt;&lt;/h4&gt;&lt;/div&gt;</t>
  </si>
  <si>
    <t>Reduces size or blights the growth of normal plants.</t>
  </si>
  <si>
    <t>Discern Lies</t>
  </si>
  <si>
    <t>cleric 4/oracle 4, paladin 3, alchemist 4, witch 4, inquisitor 4, alchemist 4, witch 4, inquisitor 4</t>
  </si>
  <si>
    <t>Each round, you concentrate on one target, who must be within range. You know if the target deliberately and knowingly speaks a lie by discerning disturbances in its aura caused by lying. The spell does not reveal the truth, uncover unintentional inaccuracies, or necessarily reveal evasions. Each round, you may concentrate on a different target.</t>
  </si>
  <si>
    <t>&lt;p&gt;Each round, you concentrate on one target, who must be within range. You know if the target deliberately and knowingly speaks a lie by discerning disturbances in its aura caused by lying. The spell does not reveal the truth, uncover unintentional inaccuracies, or necessarily reveal evasions.&lt;/p&gt;&lt;p&gt;Each round, you may concentrate on a different target.&lt;/p&gt;</t>
  </si>
  <si>
    <t>&lt;link rel="stylesheet"href="PF.css"&gt;&lt;div class="heading"&gt;&lt;p class="alignleft"&gt;Discern Lies&lt;/p&gt;&lt;div style="clear: both;"&gt;&lt;/div&gt;&lt;/div&gt;&lt;div&gt;&lt;h5&gt;&lt;b&gt;School &lt;/b&gt;divination; &lt;b&gt;Level &lt;/b&gt;cleric 4/oracle 4, paladin 3, alchemist 4, witch 4, inquisitor 4, alchemist 4, witch 4, inquisitor 4&lt;/h5&gt;&lt;h5&gt;&lt;b&gt;Casting Time &lt;/b&gt;1 standard action&lt;/h5&gt;&lt;h5&gt;&lt;b&gt;Components &lt;/b&gt;V, S, DF&lt;/h5&gt;&lt;h5&gt;&lt;b&gt;Range &lt;/b&gt;close (25 ft. + 5 ft./2 levels)&lt;/h5&gt;&lt;h5&gt;&lt;b&gt;Targets &lt;/b&gt; one creature/level, no two of which can be more than 30 ft. apart&lt;/h5&gt;&lt;h5&gt;&lt;b&gt;Duration &lt;/b&gt;concentration, up to 1 round/level&lt;/h5&gt;&lt;h5&gt;&lt;b&gt;Saving Throw &lt;/b&gt;Will negates; &lt;b&gt;Spell Resistance &lt;/b&gt;no&lt;/h5&gt;&lt;/div&gt;&lt;div&gt;&lt;h4&gt;&lt;p&gt;Each round, you concentrate on one target, who must be within range. You know if the target deliberately and knowingly speaks a lie by discerning disturbances in its aura caused by lying. The spell does not reveal the truth, uncover unintentional inaccuracies, or necessarily reveal evasions.&lt;/p&gt;&lt;p&gt;Each round, you may concentrate on a different target.&lt;/p&gt;&lt;/h4&gt;&lt;/div&gt;</t>
  </si>
  <si>
    <t>Nobility</t>
  </si>
  <si>
    <t>Reveals deliberate falsehoods.</t>
  </si>
  <si>
    <t>Discern Location</t>
  </si>
  <si>
    <t>cleric 8/oracle 8, sorcerer/wizard 8, summoner 6, witch 8</t>
  </si>
  <si>
    <t>one creature or object</t>
  </si>
  <si>
    <t>A discern location spell is among the most powerful means of locating creatures or objects. Nothing short of a mind blank spell or the direct intervention of a deity keeps you from learning the exact location of a single individual or object. Discern location circumvents normal means of protection from scrying or location. The spell reveals the name of the creature or object's location (place, name, business name, building name, or the like), community, county (or similar political division), country, continent, and the plane of existence where the target lies. To find a creature with the spell, you must have seen the creature or have some item that once belonged to it. To find an object, you must have touched it at least once.</t>
  </si>
  <si>
    <t>&lt;p&gt;A &lt;i&gt;discern location&lt;/i&gt; spell is among the most powerful means of locating creatures or objects. Nothing short of a &lt;i&gt;mind blank&lt;/i&gt; spell or the direct intervention of a deity keeps you from learning the exact location of a single individual or object. &lt;i&gt;Discern location&lt;/i&gt; circumvents normal means of protection from scrying or location. The spell reveals the name of the creature or object's location (place, name, business name, building name, or the like), community, county (or similar political division), country, continent, and the plane of existence where the target lies.&lt;/p&gt;&lt;p&gt;To find a creature with the spell, you must have seen the creature or have some item that once belonged to it. To find an object, you must have touched it at least once.&lt;/p&gt;</t>
  </si>
  <si>
    <t>&lt;link rel="stylesheet"href="PF.css"&gt;&lt;div class="heading"&gt;&lt;p class="alignleft"&gt;Discern Location&lt;/p&gt;&lt;div style="clear: both;"&gt;&lt;/div&gt;&lt;/div&gt;&lt;div&gt;&lt;h5&gt;&lt;b&gt;School &lt;/b&gt;divination; &lt;b&gt;Level &lt;/b&gt;cleric 8/oracle 8, sorcerer/wizard 8, summoner 6, witch 8&lt;/h5&gt;&lt;h5&gt;&lt;b&gt;Casting Time &lt;/b&gt;10 minutes&lt;/h5&gt;&lt;h5&gt;&lt;b&gt;Components &lt;/b&gt;V, S, DF&lt;/h5&gt;&lt;h5&gt;&lt;b&gt;Range &lt;/b&gt;unlimited&lt;/h5&gt;&lt;h5&gt;&lt;b&gt;Targets &lt;/b&gt; one creature or object&lt;/h5&gt;&lt;h5&gt;&lt;b&gt;Duration &lt;/b&gt;instantaneous&lt;/h5&gt;&lt;h5&gt;&lt;b&gt;Saving Throw &lt;/b&gt;none; &lt;b&gt;Spell Resistance &lt;/b&gt;no&lt;/h5&gt;&lt;/div&gt;&lt;div&gt;&lt;h4&gt;&lt;p&gt;A &lt;i&gt;discern location&lt;/i&gt; spell is among the most powerful means of locating creatures or objects. Nothing short of a &lt;i&gt;mind blank&lt;/i&gt; spell or the direct intervention of a deity keeps you from learning the exact location of a single individual or object. &lt;i&gt;Discern location&lt;/i&gt; circumvents normal means of protection from scrying or location. The spell reveals the name of the creature or object's location (place, name, business name, building name, or the like), community, county (or similar political division), country, continent, and the plane of existence where the target lies.&lt;/p&gt;&lt;p&gt;To find a creature with the spell, you must have seen the creature or have some item that once belonged to it. To find an object, you must have touched it at least once.&lt;/p&gt;&lt;/h4&gt;&lt;/div&gt;</t>
  </si>
  <si>
    <t>Reveals exact location of creature or object.</t>
  </si>
  <si>
    <t>Disguise Self</t>
  </si>
  <si>
    <t>bard 1, sorcerer/wizard 1, alchemist 1, inquisitor 1, antipaladin 1</t>
  </si>
  <si>
    <t>You make yourself--including clothing, armor, weapons, and equipmen--look different. You can seem 1 foot shorter or taller, thin, fat, or in between. You cannot change your creature type (although you can appear as another subtype). Otherwise, the extent of the apparent change is up to you. You could add or obscure a minor feature or look like an entirely different person or gender. The spell does not provide the abilities or mannerisms of the chosen form, nor does it alter the perceived tactile (touch) or audible (sound) properties of you or your equipment. If you use this spell to create a disguise, you get a +10 bonus on the Disguise check. A creature that interacts with the glamer gets a Will save to recognize it as an illusion.</t>
  </si>
  <si>
    <t>&lt;p&gt;You make yourself--including clothing, armor, weapons, and equipmen--look different. You can seem 1 foot shorter or taller, thin, fat, or in between. You cannot change your creature type (although you can appear as another subtype). Otherwise, the extent of the apparent change is up to you. You could add or obscure a minor feature or look like an entirely different person or gender.&lt;/p&gt;&lt;p&gt;The spell does not provide the abilities or mannerisms of the chosen form, nor does it alter the perceived tactile (touch) or audible (sound) properties of you or your equipment. If you use this spell to create a disguise, you get a +10 bonus on the Disguise check. A creature that interacts with the glamer gets a Will save to recognize it as an illusion.&lt;/p&gt;</t>
  </si>
  <si>
    <t>&lt;link rel="stylesheet"href="PF.css"&gt;&lt;div class="heading"&gt;&lt;p class="alignleft"&gt;Disguise Self&lt;/p&gt;&lt;div style="clear: both;"&gt;&lt;/div&gt;&lt;/div&gt;&lt;div&gt;&lt;h5&gt;&lt;b&gt;School &lt;/b&gt;illusion (glamer); &lt;b&gt;Level &lt;/b&gt;bard 1, sorcerer/wizard 1, alchemist 1, inquisitor 1, antipaladin 1&lt;/h5&gt;&lt;h5&gt;&lt;b&gt;Casting Time &lt;/b&gt;1 standard action&lt;/h5&gt;&lt;h5&gt;&lt;b&gt;Components &lt;/b&gt;V, S&lt;/h5&gt;&lt;h5&gt;&lt;b&gt;Range &lt;/b&gt;personal&lt;/h5&gt;&lt;h5&gt;&lt;b&gt;Targets &lt;/b&gt; you&lt;/h5&gt;&lt;h5&gt;&lt;b&gt;Duration &lt;/b&gt;10 min./level (D)&lt;/h5&gt;&lt;/div&gt;&lt;div&gt;&lt;h4&gt;&lt;p&gt;You make yourself--including clothing, armor, weapons, and equipmen--look different. You can seem 1 foot shorter or taller, thin, fat, or in between. You cannot change your creature type (although you can appear as another subtype). Otherwise, the extent of the apparent change is up to you. You could add or obscure a minor feature or look like an entirely different person or gender.&lt;/p&gt;&lt;p&gt;The spell does not provide the abilities or mannerisms of the chosen form, nor does it alter the perceived tactile (touch) or audible (sound) properties of you or your equipment. If you use this spell to create a disguise, you get a +10 bonus on the Disguise check. A creature that interacts with the glamer gets a Will save to recognize it as an illusion.&lt;/p&gt;&lt;/h4&gt;&lt;/div&gt;</t>
  </si>
  <si>
    <t>Changes your appearance.</t>
  </si>
  <si>
    <t>Disintegrate</t>
  </si>
  <si>
    <t>V, S, M/DF (a lodestone and a pinch of dust)</t>
  </si>
  <si>
    <t>Fortitude partial (object)</t>
  </si>
  <si>
    <t>A thin, green ray springs from your pointing finger. You must make a successful ranged touch attack to hit. Any creature struck by the ray takes 2d6 points of damage per caster level (to a maximum of 40d6). Any creature reduced to 0 or fewer hit points by this spell is entirely disintegrated, leaving behind only a trace of fine dust. A disintegrated creature's equipment is unaffected. When used against an object, the ray simply disintegrates as much as a 10-foot cube of nonliving matter. Thus, the spell disintegrates only part of any very large object or structure targeted. The ray affects even objects constructed entirely of force, such as forceful hand or a wall of force, but not magical effects such as a globe of invulnerability or an antimagic field. A creature or object that makes a successful Fortitude save is partially affected, taking only 5d6 points of damage. If this damage reduces the creature or object to 0 or fewer hit points, it is entirely disintegrated. Only the first creature or object struck can be affected; that is, the ray affects only one target per casting.</t>
  </si>
  <si>
    <t>&lt;p&gt;A thin, green ray springs from your pointing finger. You must make a successful ranged touch attack to hit. Any creature struck by the ray takes 2d6 points of damage per caster level (to a maximum of 40d6). Any creature reduced to 0 or fewer hit points by this spell is entirely disintegrated, leaving behind only a trace of fine dust. A disintegrated creature's equipment is unaffected.&lt;/p&gt;&lt;p&gt;When used against an object, the ray simply disintegrates as much as a 10-foot cube of nonliving matter. Thus, the spell disintegrates only part of any very large object or structure targeted.&lt;/p&gt;&lt;p&gt;The ray affects even objects constructed entirely of force, such as &lt;i&gt;forceful hand&lt;/i&gt; or a &lt;i&gt;wall of force&lt;/i&gt;, but not magical effects such as a &lt;i&gt;globe of invulnerability&lt;/i&gt; or an &lt;i&gt;antimagic field&lt;/i&gt;.&lt;/p&gt;&lt;p&gt;A creature or object that makes a successful Fortitude save is partially affected, taking only 5d6 points of damage. If this damage reduces the creature or object to 0 or fewer hit points, it is entirely disintegrated.&lt;/p&gt;&lt;p&gt;Only the first creature or object struck can be affected; that is, the ray affects only one target per casting.&lt;/p&gt;</t>
  </si>
  <si>
    <t>&lt;link rel="stylesheet"href="PF.css"&gt;&lt;div class="heading"&gt;&lt;p class="alignleft"&gt;Disintegrate&lt;/p&gt;&lt;div style="clear: both;"&gt;&lt;/div&gt;&lt;/div&gt;&lt;div&gt;&lt;h5&gt;&lt;b&gt;School &lt;/b&gt;transmutation; &lt;b&gt;Level &lt;/b&gt;sorcerer/wizard 6, magus 6&lt;/h5&gt;&lt;/div&gt;&lt;hr/&gt;&lt;div&gt;&lt;h5&gt;&lt;b&gt;CASTING&lt;/b&gt;&lt;/h5&gt;&lt;/div&gt;&lt;hr/&gt;&lt;div&gt;&lt;h5&gt;&lt;b&gt;Casting Time &lt;/b&gt;1 standard action&lt;/h5&gt;&lt;h5&gt;&lt;b&gt;Components &lt;/b&gt;V, S, M/DF (a lodestone and a pinch of dust)&lt;/h5&gt;&lt;/div&gt;&lt;hr/&gt;&lt;div&gt;&lt;h5&gt;&lt;b&gt;EFFECT&lt;/b&gt;&lt;/h5&gt;&lt;/div&gt;&lt;hr/&gt;&lt;div&gt;&lt;h5&gt;&lt;b&gt;Range &lt;/b&gt;medium (100 ft. + 10 ft./level)&lt;/h5&gt;&lt;h5&gt;&lt;b&gt;Effect &lt;/b&gt;ray&lt;/h5&gt;&lt;h5&gt;&lt;b&gt;Duration &lt;/b&gt;instantaneous&lt;/h5&gt;&lt;h5&gt;&lt;b&gt;Saving Throw &lt;/b&gt;Fortitude partial (object); &lt;b&gt;Spell Resistance &lt;/b&gt;yes&lt;/h5&gt;&lt;/div&gt;&lt;hr/&gt;&lt;div&gt;&lt;h5&gt;&lt;b&gt;DESCRIPTION&lt;/b&gt;&lt;/h5&gt;&lt;/div&gt;&lt;hr/&gt;&lt;div&gt;&lt;h4&gt;&lt;p&gt;A thin, green ray springs from your pointing finger. You must make a successful ranged touch attack to hit. Any creature struck by the ray takes 2d6 points of damage per caster level (to a maximum of 40d6). Any creature reduced to 0 or fewer hit points by this spell is entirely disintegrated, leaving behind only a trace of fine dust. A disintegrated creature's equipment is unaffected.&lt;/p&gt;&lt;p&gt;When used against an object, the ray simply disintegrates as much as a 10-foot cube of nonliving matter. Thus, the spell disintegrates only part of any very large object or structure targeted.&lt;/p&gt;&lt;p&gt;The ray affects even objects constructed entirely of force, such as &lt;i&gt;forceful hand&lt;/i&gt; or a &lt;i&gt;wall of force&lt;/i&gt;, but not magical effects such as a &lt;i&gt;globe of invulnerability&lt;/i&gt; or an &lt;i&gt;antimagic field&lt;/i&gt;.&lt;/p&gt;&lt;p&gt;A creature or object that makes a successful Fortitude save is partially affected, taking only 5d6 points of damage. If this damage reduces the creature or object to 0 or fewer hit points, it is entirely disintegrated.&lt;/p&gt;&lt;p&gt;Only the first creature or object struck can be affected; that is, the ray affects only one target per casting.&lt;/p&gt;&lt;/h4&gt;&lt;h5&gt;&lt;b&gt;Mythic: &lt;/b&gt;The damage dealt increases to 3d6 points of damage per caster level (maximum 60d6) plus 1d4 points of Constitution damage. A creature that succeeds at its saving throw takes 5d8 points of damage plus 1 point of Constitution damage. A creature whose Constitution score is reduced to 0 by this spell is entirely disintegrated.&lt;/h5&gt;&lt;h5&gt;&lt;b&gt;Augmented (7th)&lt;/b&gt;: If you expend two uses of mythic power, you fire two rays. Alternatively, you may fire only one ray, but if the target is a non-mythic creature and it fails its saving throw, it's automatically disintegrated regardless of its current hp.&lt;/h5&gt;&lt;/div&gt;</t>
  </si>
  <si>
    <t>Ash, Destruction</t>
  </si>
  <si>
    <t> Reduces one creature or object to dust.</t>
  </si>
  <si>
    <t>Time</t>
  </si>
  <si>
    <t>The damage dealt increases to 3d6 points of damage per caster level (maximum 60d6) plus 1d4 points of Constitution damage. A creature that succeeds at its saving throw takes 5d8 points of damage plus 1 point of Constitution damage. A creature whose Constitution score is reduced to 0 by this spell is entirely disintegrated.</t>
  </si>
  <si>
    <t>Augmented (7th): If you expend two uses of mythic power, you fire two rays. Alternatively, you may fire only one ray, but if the target is a non-mythic creature and it fails its saving throw, it's automatically disintegrated regardless of its current hp.</t>
  </si>
  <si>
    <t>Dismissal</t>
  </si>
  <si>
    <t>cleric 4/oracle 4, sorcerer/wizard 5, summoner 4, inquisitor 4</t>
  </si>
  <si>
    <t>one extraplanar creature</t>
  </si>
  <si>
    <t>This spell forces an extraplanar creature back to its proper plane if it fails a Will save. If the spell is successful, the creature is instantly whisked away, but there is a 20% chance of actually sending the subject to a plane other than its own.</t>
  </si>
  <si>
    <t>&lt;p&gt;This spell forces an extraplanar creature back to its proper plane if it fails a Will save. If the spell is successful, the creature is instantly whisked away, but there is a 20% chance of actually sending the subject to a plane other than its own.&lt;/p&gt;</t>
  </si>
  <si>
    <t>&lt;link rel="stylesheet"href="PF.css"&gt;&lt;div class="heading"&gt;&lt;p class="alignleft"&gt;Dismissal&lt;/p&gt;&lt;div style="clear: both;"&gt;&lt;/div&gt;&lt;/div&gt;&lt;div&gt;&lt;h5&gt;&lt;b&gt;School &lt;/b&gt;abjuration; &lt;b&gt;Level &lt;/b&gt;cleric 4/oracle 4, sorcerer/wizard 5, summoner 4, inquisitor 4&lt;/h5&gt;&lt;h5&gt;&lt;b&gt;Casting Time &lt;/b&gt;1 standard action&lt;/h5&gt;&lt;h5&gt;&lt;b&gt;Components &lt;/b&gt;V, S, DF&lt;/h5&gt;&lt;h5&gt;&lt;b&gt;Range &lt;/b&gt;close (25 ft. + 5 ft./2 levels)&lt;/h5&gt;&lt;h5&gt;&lt;b&gt;Targets &lt;/b&gt; one extraplanar creature&lt;/h5&gt;&lt;h5&gt;&lt;b&gt;Duration &lt;/b&gt;instantaneous&lt;/h5&gt;&lt;h5&gt;&lt;b&gt;Saving Throw &lt;/b&gt;Will negates; see text; &lt;b&gt;Spell Resistance &lt;/b&gt;yes&lt;/h5&gt;&lt;/div&gt;&lt;div&gt;&lt;h4&gt;&lt;p&gt;This spell forces an extraplanar creature back to its proper plane if it fails a Will save. If the spell is successful, the creature is instantly whisked away, but there is a 20% chance of actually sending the subject to a plane other than its own.&lt;/p&gt;&lt;/h4&gt;&lt;/div&gt;</t>
  </si>
  <si>
    <t>Forces a creature to return to native plane.</t>
  </si>
  <si>
    <t>Dispel Chaos</t>
  </si>
  <si>
    <t>cleric 5/oracle 5, paladin 4, inquisitor 5</t>
  </si>
  <si>
    <t>you and a touched chaotic creature from another plane, or you and an enchantment or chaotic spell on a touched creature or object</t>
  </si>
  <si>
    <t>1 round/level or until discharged, whichever comes first</t>
  </si>
  <si>
    <t>This spell functions like dispel evil, except that you are surrounded by constant, blue lawful energy, and the spell affects chaotic creatures and spells rather than evil ones.</t>
  </si>
  <si>
    <t>&lt;p&gt;This spell functions like &lt;i&gt;dispel evil&lt;/i&gt;, except that you are surrounded by constant, blue lawful energy, and the spell affects chaotic creatures and spells rather than evil ones.&lt;/p&gt;</t>
  </si>
  <si>
    <t>&lt;link rel="stylesheet"href="PF.css"&gt;&lt;div class="heading"&gt;&lt;p class="alignleft"&gt;Dispel Chaos&lt;/p&gt;&lt;div style="clear: both;"&gt;&lt;/div&gt;&lt;/div&gt;&lt;div&gt;&lt;h5&gt;&lt;b&gt;School &lt;/b&gt;abjuration [lawful]; &lt;b&gt;Level &lt;/b&gt;cleric 5/oracle 5, paladin 4, inquisitor 5&lt;/h5&gt;&lt;h5&gt;&lt;b&gt;Casting Time &lt;/b&gt;1 standard action&lt;/h5&gt;&lt;h5&gt;&lt;b&gt;Components &lt;/b&gt;V, S, DF&lt;/h5&gt;&lt;h5&gt;&lt;b&gt;Range &lt;/b&gt;touch&lt;/h5&gt;&lt;h5&gt;&lt;b&gt;Targets &lt;/b&gt;you and a touched chaotic creature from another plane, or you and an enchantment or chaotic spell on a touched creature or object&lt;/h5&gt;&lt;h5&gt;&lt;b&gt;Duration &lt;/b&gt;1 round/level or until discharged, whichever comes first&lt;/h5&gt;&lt;h5&gt;&lt;b&gt;Saving Throw &lt;/b&gt;see text; &lt;b&gt;Spell Resistance &lt;/b&gt;see text&lt;/h5&gt;&lt;/div&gt;&lt;div&gt;&lt;h4&gt;&lt;p&gt;This spell functions like &lt;i&gt;dispel evil&lt;/i&gt;, except that you are surrounded by constant, blue lawful energy, and the spell affects chaotic creatures and spells rather than evil ones.&lt;/p&gt;&lt;/h4&gt;&lt;/div&gt;</t>
  </si>
  <si>
    <t> +4 bonus against attacks by chaotic creatures.</t>
  </si>
  <si>
    <t>Dispel Evil</t>
  </si>
  <si>
    <t>you and a touched evil creature from another plane, or you and an enchantment or evil spell on a touched creature or object</t>
  </si>
  <si>
    <t>Shimmering, white holy energy surrounds you. This energy has three effects. First, you gain a +4 deflection bonus to AC against attacks by evil creatures. Second, on making a successful melee touch attack against an evil creature from another plane, you can choose to drive that creature back to its home plane. The creature can negate the effects with a successful Will save (spell resistance applies). This use discharges and ends the spell. Third, with a touch you can automatically dispel any one enchantment spell cast by an evil creature or any one evil spell. Spells that can't be dispelled by dispel magic also can't be dispelled by dispel evil. Saving throws and spell resistance do not apply to this effect. This use discharges and ends the spell.</t>
  </si>
  <si>
    <t>&lt;p&gt;Shimmering, white holy energy surrounds you. This energy has three effects.&lt;/p&gt;&lt;p&gt;First, you gain a +4 deflection bonus to AC against attacks by evil creatures.&lt;/p&gt;&lt;p&gt;Second, on making a successful melee touch attack against an evil creature from another plane, you can choose to drive that creature back to its home plane. The creature can negate the effects with a successful Will save (spell resistance applies). This use discharges and ends the spell.&lt;/p&gt;&lt;p&gt;Third, with a touch you can automatically dispel any one enchantment spell cast by an evil creature or any one evil spell. Spells that can't be dispelled by &lt;i&gt;dispel magic&lt;/i&gt; also can't be dispelled by &lt;i&gt;dispel evil&lt;/i&gt;. Saving throws and spell resistance do not apply to this effect. This use discharges and ends the spell.&lt;/p&gt;</t>
  </si>
  <si>
    <t>&lt;link rel="stylesheet"href="PF.css"&gt;&lt;div class="heading"&gt;&lt;p class="alignleft"&gt;Dispel Evil&lt;/p&gt;&lt;div style="clear: both;"&gt;&lt;/div&gt;&lt;/div&gt;&lt;div&gt;&lt;h5&gt;&lt;b&gt;School &lt;/b&gt;abjuration [good]; &lt;b&gt;Level &lt;/b&gt;cleric 5/oracle 5, paladin 4, inquisitor 5&lt;/h5&gt;&lt;h5&gt;&lt;b&gt;Casting Time &lt;/b&gt;1 standard action&lt;/h5&gt;&lt;h5&gt;&lt;b&gt;Components &lt;/b&gt;V, S, DF&lt;/h5&gt;&lt;h5&gt;&lt;b&gt;Range &lt;/b&gt;touch&lt;/h5&gt;&lt;h5&gt;&lt;b&gt;Targets &lt;/b&gt;you and a touched evil creature from another plane, or you and an enchantment or evil spell on a touched creature or object&lt;/h5&gt;&lt;h5&gt;&lt;b&gt;Duration &lt;/b&gt;1 round/level or until discharged, whichever comes first&lt;/h5&gt;&lt;h5&gt;&lt;b&gt;Saving Throw &lt;/b&gt;see text; &lt;b&gt;Spell Resistance &lt;/b&gt;see text&lt;/h5&gt;&lt;/div&gt;&lt;div&gt;&lt;h4&gt;&lt;p&gt;Shimmering, white holy energy surrounds you. This energy has three effects.&lt;/p&gt;&lt;p&gt;First, you gain a +4 deflection bonus to AC against attacks by evil creatures.&lt;/p&gt;&lt;p&gt;Second, on making a successful melee touch attack against an evil creature from another plane, you can choose to drive that creature back to its home plane. The creature can negate the effects with a successful Will save (spell resistance applies). This use discharges and ends the spell.&lt;/p&gt;&lt;p&gt;Third, with a touch you can automatically dispel any one enchantment spell cast by an evil creature or any one evil spell. Spells that can't be dispelled by &lt;i&gt;dispel magic&lt;/i&gt; also can't be dispelled by &lt;i&gt;dispel evil&lt;/i&gt;. Saving throws and spell resistance do not apply to this effect. This use discharges and ends the spell.&lt;/p&gt;&lt;/h4&gt;&lt;/div&gt;</t>
  </si>
  <si>
    <t>Good</t>
  </si>
  <si>
    <t> +4 bonus against attacks by evil creatures.</t>
  </si>
  <si>
    <t>Dispel Good</t>
  </si>
  <si>
    <t>cleric 5/oracle 5, inquisitor 5, antipaladin 4</t>
  </si>
  <si>
    <t>you and a touched good creature from another plane, or you and an enchantment or good spell on a touched creature or object</t>
  </si>
  <si>
    <t>This spell functions like dispel evil, except that you are surrounded by dark, wavering unholy energy, and the spell affects good creatures and spells rather than evil ones.</t>
  </si>
  <si>
    <t>&lt;p&gt;This spell functions like &lt;i&gt;dispel evil&lt;/i&gt;, except that you are surrounded by dark, wavering unholy energy, and the spell affects good creatures and spells rather than evil ones.&lt;/p&gt;</t>
  </si>
  <si>
    <t>&lt;link rel="stylesheet"href="PF.css"&gt;&lt;div class="heading"&gt;&lt;p class="alignleft"&gt;Dispel Good&lt;/p&gt;&lt;div style="clear: both;"&gt;&lt;/div&gt;&lt;/div&gt;&lt;div&gt;&lt;h5&gt;&lt;b&gt;School &lt;/b&gt;abjuration [evil]; &lt;b&gt;Level &lt;/b&gt;cleric 5/oracle 5, inquisitor 5, antipaladin 4&lt;/h5&gt;&lt;h5&gt;&lt;b&gt;Casting Time &lt;/b&gt;1 standard action&lt;/h5&gt;&lt;h5&gt;&lt;b&gt;Components &lt;/b&gt;V, S, DF&lt;/h5&gt;&lt;h5&gt;&lt;b&gt;Range &lt;/b&gt;touch&lt;/h5&gt;&lt;h5&gt;&lt;b&gt;Targets &lt;/b&gt;you and a touched good creature from another plane, or you and an enchantment or goodl spell on a touched creature or object&lt;/h5&gt;&lt;h5&gt;&lt;b&gt;Duration &lt;/b&gt;1 round/level or until discharged, whichever comes first&lt;/h5&gt;&lt;h5&gt;&lt;b&gt;Saving Throw &lt;/b&gt;see text; &lt;b&gt;Spell Resistance &lt;/b&gt;see text&lt;/h5&gt;&lt;/div&gt;&lt;div&gt;&lt;h4&gt;&lt;p&gt;This spell functions like &lt;i&gt;dispel evil&lt;/i&gt;, except that you are surrounded by dark, wavering unholy energy, and the spell affects good creatures and spells rather than evil ones.&lt;/p&gt;&lt;/h4&gt;&lt;/div&gt;</t>
  </si>
  <si>
    <t>+4 against attacks by good creatures.</t>
  </si>
  <si>
    <t>Dispel Law</t>
  </si>
  <si>
    <t>you and a touched lawful creature from another plane, or you and an enchantment or lawful spell on a touched creature or object</t>
  </si>
  <si>
    <t>This spell functions like dispel evil, except that you are surrounded by flickering, yellow chaotic energy, and the spell affects lawful creatures and spells rather than evil ones.</t>
  </si>
  <si>
    <t>&lt;p&gt;This spell functions like &lt;i&gt;dispel evil&lt;/i&gt;, except that you are surrounded by flickering, yellow chaotic energy, and the spell affects lawful creatures and spells rather than evil ones.&lt;/p&gt;</t>
  </si>
  <si>
    <t>&lt;link rel="stylesheet"href="PF.css"&gt;&lt;div class="heading"&gt;&lt;p class="alignleft"&gt;Dispel Law&lt;/p&gt;&lt;div style="clear: both;"&gt;&lt;/div&gt;&lt;/div&gt;&lt;div&gt;&lt;h5&gt;&lt;b&gt;School &lt;/b&gt;abjuration [chaotic]; &lt;b&gt;Level &lt;/b&gt;cleric 5/oracle 5, inquisitor 5, antipaladin 4&lt;/h5&gt;&lt;h5&gt;&lt;b&gt;Casting Time &lt;/b&gt;1 standard action&lt;/h5&gt;&lt;h5&gt;&lt;b&gt;Components &lt;/b&gt;V, S, DF&lt;/h5&gt;&lt;h5&gt;&lt;b&gt;Range &lt;/b&gt;touch&lt;/h5&gt;&lt;h5&gt;&lt;b&gt;Targets &lt;/b&gt;you and a touched lawful creature from another plane, or you and an enchantment or lawful spell on a touched creature or object&lt;/h5&gt;&lt;h5&gt;&lt;b&gt;Duration &lt;/b&gt;1 round/level or until discharged, whichever comes first&lt;/h5&gt;&lt;h5&gt;&lt;b&gt;Saving Throw &lt;/b&gt;see text; &lt;b&gt;Spell Resistance &lt;/b&gt;see text&lt;/h5&gt;&lt;/div&gt;&lt;div&gt;&lt;h4&gt;&lt;p&gt;This spell functions like &lt;i&gt;dispel evil&lt;/i&gt;, except that you are surrounded by flickering, yellow chaotic energy, and the spell affects lawful creatures and spells rather than evil ones.&lt;/p&gt;&lt;/h4&gt;&lt;/div&gt;</t>
  </si>
  <si>
    <t>+4 against attacks by lawful creatures.</t>
  </si>
  <si>
    <t>Dispel Magic</t>
  </si>
  <si>
    <t>bard 3, cleric/oracle 3, druid 4, paladin 3, sorcerer/wizard 3, summoner 3, witch 3, inquisitor 3, antipaladin 3, magus 3</t>
  </si>
  <si>
    <t>one spellcaster, creature, or object</t>
  </si>
  <si>
    <t>You can use dispel magic to end one ongoing spell that has been cast on a creature or object, to temporarily suppress the magical abilities of a magic item, or to counter another spellcaster's spell. A dispelled spell ends as if its duration had expired. Some spells, as detailed in their descriptions, can't be defeated by dispel magic. Dispel magic can dispel (but not counter) spell-like effects just as it does spells. The of a spell with an instantaneous duration can't be dispelled, because the magical effect is already over before the dispel magic can take effect. You choose to use dispel magic in one of two ways: a targeted dispel or a counterspell. Targeted Dispel: One object, creature, or spell is the target of the dispel magic spell. You make one dispel check (1d20 + your caster level) and compare that to the spell with highest caster level (DC = 11 + the spell's caster level). If successful, that spell ends. If not, compare the same result to the spell with the next highest caster level. Repeat this process until you have dispelled one spell affecting the target, or you have failed to dispel every spell. For example, a 7th-level caster casts dispel magic, targeting a creature affected by stoneskin (caster level 12th) and fly (caster level 6th). The caster level check results in a 19. This check is not high enough to end the stoneskin (which would have required a 23 or higher), but it is high enough to end the fly (which only required a 17). Had the dispel check resulted in a 23 or higher, the stoneskin would have been dispelled, leaving the fly intact. Had the dispel check been a 16 or less, no spells would have been affected. You can also use a targeted dispel to specifically end one spell affecting the target or one spell affecting an area (such as a wall of fire). You must name the specific spell effect to be targeted in this way. If your caster level check is equal to or higher than the DC of that spell, it ends. No other spells or effects on the target are dispelled if your check is not high enough to end the targeted effect. If you target an object or creature that is the effect of an ongoing spell (such as a monster summoned by summon monster), you make a dispel check to end the spell that conjured the object or creature. If the object that you target is a magic item, you make a dispel check against the item's caster level (DC = 11 + the item's caster level). If you succeed, all the item's magical properties are suppressed for 1d4 rounds, after which the item recovers its magical properties. A suppressed item becomes nonmagical for the duration of the effect. An interdimensional opening (such as a bag of holding) is temporarily closed. A magic item's physical properties are unchanged: A suppressed magic sword is still a sword (a masterwork sword, in fact). Artifacts and deities are unaffected by mortal magic such as this. You automatically succeed on your dispel check against any spell that you cast yourself. Counterspell: When dispel magic is used in this way, the spell targets a spellcaster and is cast as a counterspell. Unlike a true counterspell, however, dispel magic may not work; you must make a dispel check to counter the other spellcaster's spell.</t>
  </si>
  <si>
    <t>&lt;p&gt;You can use &lt;i&gt;dispel magic&lt;/i&gt; to end one ongoing spell that has been cast on a creature or object, to temporarily suppress the magical abilities of a magic item, or to counter another spellcaster's spell. A dispelled spell ends as if its duration had expired. Some spells, as detailed in their descriptions, can't be defeated by &lt;i&gt;dispel magic&lt;/i&gt;. &lt;i&gt;&lt;i&gt;Dispel&lt;/i&gt; magic&lt;/i&gt; can dispel (but not counter) spell-like effects just as it does spells. The of a spell with an instantaneous duration can't be dispelled, because the magical effect is already over before the &lt;i&gt;dispel magic&lt;/i&gt; can take effect.&lt;/p&gt;&lt;p&gt;You choose to use &lt;i&gt;dispel magic&lt;/i&gt; in one of two ways: a targeted dispel or a counterspell.&lt;/p&gt;&lt;p&gt;&lt;i&gt;Targeted&lt;/i&gt; &lt;i&gt;Dispel&lt;/i&gt;: One object, creature, or spell is the target of the &lt;i&gt;dispel magic&lt;/i&gt; spell. You make one dispel check (1d20 + your caster level) and compare that to the spell with highest caster level (DC = 11 + the spell's caster level). If successful, that spell ends.&lt;/p&gt;&lt;p&gt;If not, compare the same result to the spell with the next highest caster level. Repeat this process until you have dispelled one spell affecting the target, or you have failed to dispel every spell.&lt;/p&gt;&lt;p&gt;For example, a 7th-level caster casts &lt;i&gt;dispel magic&lt;/i&gt;, targeting a creature affected by &lt;i&gt;stoneskin&lt;/i&gt; (caster level 12th) and &lt;i&gt;fly&lt;/i&gt; (caster level 6th). The caster level check results in a 19. This check is not high enough to end the &lt;i&gt;stoneskin&lt;/i&gt; (which would have required a 23 or higher), but it is high enough to end the &lt;i&gt;fly&lt;/i&gt; (which only required a 17). Had the dispel check resulted in a 23 or higher, the &lt;i&gt;stoneskin&lt;/i&gt; would have been dispelled, leaving the &lt;i&gt;fly&lt;/i&gt; intact. Had the dispel check been a 16 or less, no spells would have been affected.&lt;/p&gt;&lt;p&gt;You can also use a targeted dispel to specifically end one spell affecting the target or one spell affecting an area (such as a &lt;i&gt;wall of&lt;/i&gt; fire). You must name the specific spell effect to be targeted in this way. If your caster level check is equal to or higher than the DC of that spell, it ends. No other spells or effects on the target are dispelled if your check is not high enough to end the targeted effect.&lt;/p&gt;&lt;p&gt;If you target an object or creature that is the effect of an ongoing spell (such as a monster &lt;i&gt;summon&lt;/i&gt;ed by &lt;i&gt;summon&lt;/i&gt; monster), you make a dispel check to end the spell that conjured the object or creature.&lt;/p&gt;&lt;p&gt;If the object that you target is a magic item, you make a dispel check against the item's caster level (DC = 11 + the item's caster level). If you succeed, all the item's magical properties are suppressed for 1d4 rounds, after which the item recovers its magical properties. A suppressed item becomes nonmagical for the duration of the effect. An interdimensional opening (such as a &lt;i&gt;bag of&lt;/i&gt; holding) is temporarily closed. A magic item's physical properties are unchanged: A suppressed magic sword is still a sword (a masterwork sword, in fact). Artifacts and deities are unaffected by mortal magic such as this.&lt;/p&gt;&lt;p&gt;You automatically succeed on your dispel check against any spell that you cast yourself.&lt;/p&gt;&lt;p&gt;&lt;i&gt;Counterspell&lt;/i&gt;: When &lt;i&gt;dispel magic&lt;/i&gt; is used in this way, the spell targets a spellcaster and is cast as a counterspell. Unlike a true counterspell, however, &lt;i&gt;dispel magic&lt;/i&gt; may not work; you must make a dispel check to counter the other spellcaster's spell.&lt;/p&gt;</t>
  </si>
  <si>
    <t>&lt;link rel="stylesheet"href="PF.css"&gt;&lt;div class="heading"&gt;&lt;p class="alignleft"&gt;Dispel Magic&lt;/p&gt;&lt;div style="clear: both;"&gt;&lt;/div&gt;&lt;/div&gt;&lt;div&gt;&lt;h5&gt;&lt;b&gt;School &lt;/b&gt;abjuration; &lt;b&gt;Level &lt;/b&gt;bard 3, cleric/oracle 3, druid 4, paladin 3, sorcerer/wizard 3, summoner 3, witch 3, inquisitor 3, antipaladin 3, magus 3&lt;/h5&gt;&lt;/div&gt;&lt;hr/&gt;&lt;div&gt;&lt;h5&gt;&lt;b&gt;CASTING&lt;/b&gt;&lt;/h5&gt;&lt;/div&gt;&lt;hr/&gt;&lt;div&gt;&lt;h5&gt;&lt;b&gt;Casting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ft./level)&lt;/h5&gt;&lt;h5&gt;&lt;b&gt;Target or Area &lt;/b&gt;one spellcaster, creature, or object&lt;h5&gt;&lt;b&gt;Duration &lt;/b&gt;instantaneous&lt;/h5&gt;&lt;h5&gt;&lt;b&gt;Saving Throw &lt;/b&gt;none; &lt;b&gt;Spell Resistance &lt;/b&gt;no&lt;/h5&gt;&lt;/div&gt;&lt;hr/&gt;&lt;div&gt;&lt;h5&gt;&lt;b&gt;DESCRIPTION&lt;/b&gt;&lt;/h5&gt;&lt;/div&gt;&lt;hr/&gt;&lt;div&gt;&lt;h4&gt;&lt;p&gt;You can use &lt;i&gt;dispel magic&lt;/i&gt; to end one ongoing spell that has been cast on a creature or object, to temporarily suppress the magical abilities of a magic item, or to counter another spellcaster's spell. A dispelled spell ends as if its duration had expired. Some spells, as detailed in their descriptions, can't be defeated by &lt;i&gt;dispel magic&lt;/i&gt;. &lt;i&gt;&lt;i&gt;Dispel&lt;/i&gt; magic&lt;/i&gt; can dispel (but not counter) spell-like effects just as it does spells. The of a spell with an instantaneous duration can't be dispelled, because the magical effect is already over before the &lt;i&gt;dispel magic&lt;/i&gt; can take effect.&lt;/p&gt;&lt;p&gt;You choose to use &lt;i&gt;dispel magic&lt;/i&gt; in one of two ways: a targeted dispel or a counterspell.&lt;/p&gt;&lt;p&gt;&lt;i&gt;Targeted&lt;/i&gt; &lt;i&gt;Dispel&lt;/i&gt;: One object, creature, or spell is the target of the &lt;i&gt;dispel magic&lt;/i&gt; spell. You make one dispel check (1d20 + your caster level) and compare that to the spell with highest caster level (DC = 11 + the spell's caster level). If successful, that spell ends.&lt;/p&gt;&lt;p&gt;If not, compare the same result to the spell with the next highest caster level. Repeat this process until you have dispelled one spell affecting the target, or you have failed to dispel every spell.&lt;/p&gt;&lt;p&gt;For example, a 7th-level caster casts &lt;i&gt;dispel magic&lt;/i&gt;, targeting a creature affected by &lt;i&gt;stoneskin&lt;/i&gt; (caster level 12th) and &lt;i&gt;fly&lt;/i&gt; (caster level 6th). The caster level check results in a 19. This check is not high enough to end the &lt;i&gt;stoneskin&lt;/i&gt; (which would have required a 23 or higher), but it is high enough to end the &lt;i&gt;fly&lt;/i&gt; (which only required a 17). Had the dispel check resulted in a 23 or higher, the &lt;i&gt;stoneskin&lt;/i&gt; would have been dispelled, leaving the &lt;i&gt;fly&lt;/i&gt; intact. Had the dispel check been a 16 or less, no spells would have been affected.&lt;/p&gt;&lt;p&gt;You can also use a targeted dispel to specifically end one spell affecting the target or one spell affecting an area (such as a &lt;i&gt;wall of&lt;/i&gt; fire). You must name the specific spell effect to be targeted in this way. If your caster level check is equal to or higher than the DC of that spell, it ends. No other spells or effects on the target are dispelled if your check is not high enough to end the targeted effect.&lt;/p&gt;&lt;p&gt;If you target an object or creature that is the effect of an ongoing spell (such as a monster &lt;i&gt;summon&lt;/i&gt;ed by &lt;i&gt;summon&lt;/i&gt; monster), you make a dispel check to end the spell that conjured the object or creature.&lt;/p&gt;&lt;p&gt;If the object that you target is a magic item, you make a dispel check against the item's caster level (DC = 11 + the item's caster level). If you succeed, all the item's magical properties are suppressed for 1d4 rounds, after which the item recovers its magical properties. A suppressed item becomes nonmagical for the duration of the effect. An interdimensional opening (such as a &lt;i&gt;bag of&lt;/i&gt; holding) is temporarily closed. A magic item's physical properties are unchanged: A suppressed magic sword is still a sword (a masterwork sword, in fact). Artifacts and deities are unaffected by mortal magic such as this.&lt;/p&gt;&lt;p&gt;You automatically succeed on your dispel check against any spell that you cast yourself.&lt;/p&gt;&lt;p&gt;&lt;i&gt;Counterspell&lt;/i&gt;: When &lt;i&gt;dispel magic&lt;/i&gt; is used in this way, the spell targets a spellcaster and is cast as a counterspell. Unlike a true counterspell, however, &lt;i&gt;dispel magic&lt;/i&gt; may not work; you must make a dispel check to counter the other spellcaster's spell.&lt;/p&gt;&lt;/h4&gt;&lt;h5&gt;&lt;b&gt;Mythic: &lt;/b&gt;When used as a targeted dispel, this spell can end two spells affecting the target instead of just one. If the targeted dispel successfully dispels at least one spell, you heal 1d4 points of damage for every spell level of the dispelled spell. If you dispel two spells, this healing applies only to the highest-level spell dispelled. If you use this spell to counterspell, roll your dispel check twice and take the higher result.&lt;/h5&gt;&lt;/div&gt;</t>
  </si>
  <si>
    <t>Magic</t>
  </si>
  <si>
    <t>Cancels one magical spell or effect.</t>
  </si>
  <si>
    <t>When used as a targeted dispel, this spell can end two spells affecting the target instead of just one. If the targeted dispel successfully dispels at least one spell, you heal 1d4 points of damage for every spell level of the dispelled spell. If you dispel two spells, this healing applies only to the highest-level spell dispelled. If you use this spell to counterspell, roll your dispel check twice and take the higher result.</t>
  </si>
  <si>
    <t>Dispel Magic, Greater</t>
  </si>
  <si>
    <t>bard 5, cleric 6/oracle 6, druid 6, sorcerer/wizard 6, witch 6, inquisitor 6, summoner 5, magus 6</t>
  </si>
  <si>
    <t>This spell functions like dispel magic, except that it can end more than one spell on a target and it can be used to target multiple creatures. You choose to use greater dispel magic in one of three ways: a targeted dispel, area dispel, or a counterspell: Targeted Dispel: This functions as a targeted dispel magic, but it can dispel one spell for every four caster levels you possess, starting with the highest level spells and proceeding to lower level spells. Additionally, greater dispel magic has a chance to dispel any effect that remove curse can remove, even if dispel magic can't dispel that effect. The DC of this check is equal to the curse's DC. Area Dispel: When greater dispel magic is used in this way, the spell affects everything within a 20-foot-radius burst. Roll one dispel check and apply that check to each creature in the area, as if targeted by dispel magic. For each object within the area that is the target of one or more spells, apply the dispel check as with creatures. Magic items are not affected by an area dispel. For each ongoing area or effect spell whose point of origin is within the area of the greater dispel magic spell, apply the dispel check to dispel the spell. For each ongoing spell whose area overlaps that of the greater dispel magic spell, apply the dispel check to end the effect, but only within the overlapping area. If an object or creature that is the effect of an ongoing spell (such as a monster summoned by summon monster) is in the area, apply the dispel check to end the spell that conjured that object or creature (returning it whence it came) in addition to attempting to dispel one spell targeting the creature or object. You may choose to automatically succeed on dispel checks against any spell that you have cast. Counterspell: This functions as dispel magic, but you receive a +4 bonus on your dispel check to counter the other spellcaster's spell.</t>
  </si>
  <si>
    <t>&lt;p&gt;This spell functions like &lt;i&gt;dispel magic&lt;/i&gt;, except that it can end more than one spell on a target and it can be used to target multiple creatures.&lt;/p&gt;&lt;p&gt;You choose to use &lt;i&gt;greater dispel magic&lt;/i&gt; in one of three ways: a targeted dispel, area dispel, or a counterspell: &lt;i&gt;Targeted Dispel&lt;/i&gt;: This functions as a targeted &lt;i&gt;dispel magic&lt;/i&gt;, but it can dispel one spell for every four caster levels you possess, starting with the highest level spells and proceeding to lower level spells.&lt;/p&gt;&lt;p&gt;Additionally, &lt;i&gt;greater dispel magic&lt;/i&gt; has a chance to dispel any effect that &lt;i&gt;remove curse&lt;/i&gt; can remove, even if &lt;i&gt;dispel magic&lt;/i&gt; can't dispel that effect. The DC of this check is equal to the curse's DC.&lt;/p&gt;&lt;p&gt;&lt;i&gt;Area Dispel&lt;/i&gt;: When &lt;i&gt;greater dispel magic&lt;/i&gt; is used in this way, the spell affects everything within a 20-foot-radius burst. Roll one dispel check and apply that check to each creature in the area, as if targeted by &lt;i&gt;dispel magic&lt;/i&gt;. For each object within the area that is the target of one or more spells, apply the dispel check as with creatures. Magic items are not affected by an area dispel.&lt;/p&gt;&lt;p&gt;For each ongoing area or effect spell whose point of origin is within the area of the &lt;i&gt;greater dispel magic&lt;/i&gt; spell, apply the dispel check to dispel the spell. For each ongoing spell whose area overlaps that of the &lt;i&gt;greater dispel magic&lt;/i&gt; spell, apply the dispel check to end the effect, but only within the overlapping area.&lt;/p&gt;&lt;p&gt;If an object or creature that is the effect of an ongoing spell (such as a monster summoned by &lt;i&gt;summon monster&lt;/i&gt;) is in the area, apply the dispel check to end the spell that conjured that object or creature (returning it whence it came) in addition to attempting to dispel one spell targeting the creature or object.&lt;/p&gt;&lt;p&gt;You may choose to automatically succeed on dispel checks against any spell that you have cast.&lt;/p&gt;&lt;p&gt;&lt;i&gt;Counterspell&lt;/i&gt;: This functions as &lt;i&gt;dispel magic&lt;/i&gt;, but you receive a +4 bonus on your dispel check to counter the other spellcaster's spell.&lt;/p&gt;</t>
  </si>
  <si>
    <t>&lt;link rel="stylesheet"href="PF.css"&gt;&lt;div class="heading"&gt;&lt;p class="alignleft"&gt;Dispel Magic, Greater&lt;/p&gt;&lt;div style="clear: both;"&gt;&lt;/div&gt;&lt;/div&gt;&lt;div&gt;&lt;h5&gt;&lt;b&gt;School &lt;/b&gt;abjuration; &lt;b&gt;Level &lt;/b&gt;bard 5, cleric 6/oracle 6, druid 6, sorcerer/wizard 6, witch 6, inquisitor 6, summoner 5, magus 6&lt;/h5&gt;&lt;h5&gt;&lt;b&gt;Casting Time &lt;/b&gt;1 standard action&lt;/h5&gt;&lt;h5&gt;&lt;b&gt;Components &lt;/b&gt;V, S&lt;/h5&gt;&lt;h5&gt;&lt;b&gt;Range &lt;/b&gt;medium (100 ft. + 10 ft./level)&lt;/h5&gt;&lt;h5&gt;&lt;b&gt;Area &lt;/b&gt;20-ft.-radius burst&lt;/h5&gt;&lt;h5&gt;&lt;b&gt;Targets &lt;/b&gt;one spellcaster, creature, or object&lt;/h5&gt;&lt;h5&gt;&lt;b&gt;Duration &lt;/b&gt;instantaneous&lt;/h5&gt;&lt;h5&gt;&lt;b&gt;Saving Throw &lt;/b&gt;none; &lt;b&gt;Spell Resistance &lt;/b&gt;no&lt;/h5&gt;&lt;/div&gt;&lt;div&gt;&lt;h4&gt;&lt;p&gt;This spell functions like &lt;i&gt;dispel magic&lt;/i&gt;, except that it can end more than one spell on a target and it can be used to target multiple creatures.&lt;/p&gt;&lt;p&gt;You choose to use &lt;i&gt;greater dispel magic&lt;/i&gt; in one of three ways: a targeted dispel, area dispel, or a counterspell: &lt;i&gt;Targeted Dispel&lt;/i&gt;: This functions as a targeted &lt;i&gt;dispel magic&lt;/i&gt;, but it can dispel one spell for every four caster levels you possess, starting with the highest level spells and proceeding to lower level spells.&lt;/p&gt;&lt;p&gt;Additionally, &lt;i&gt;greater dispel magic&lt;/i&gt; has a chance to dispel any effect that &lt;i&gt;remove curse&lt;/i&gt; can remove, even if &lt;i&gt;dispel magic&lt;/i&gt; can't dispel that effect. The DC of this check is equal to the curse's DC.&lt;/p&gt;&lt;p&gt;&lt;i&gt;Area Dispel&lt;/i&gt;: When &lt;i&gt;greater dispel magic&lt;/i&gt; is used in this way, the spell affects everything within a 20-foot-radius burst. Roll one dispel check and apply that check to each creature in the area, as if targeted by &lt;i&gt;dispel magic&lt;/i&gt;. For each object within the area that is the target of one or more spells, apply the dispel check as with creatures. Magic items are not affected by an area dispel.&lt;/p&gt;&lt;p&gt;For each ongoing area or effect spell whose point of origin is within the area of the &lt;i&gt;greater dispel magic&lt;/i&gt; spell, apply the dispel check to dispel the spell. For each ongoing spell whose area overlaps that of the &lt;i&gt;greater dispel magic&lt;/i&gt; spell, apply the dispel check to end the effect, but only within the overlapping area.&lt;/p&gt;&lt;p&gt;If an object or creature that is the effect of an ongoing spell (such as a monster summoned by &lt;i&gt;summon monster&lt;/i&gt;) is in the area, apply the dispel check to end the spell that conjured that object or creature (returning it whence it came) in addition to attempting to dispel one spell targeting the creature or object.&lt;/p&gt;&lt;p&gt;You may choose to automatically succeed on dispel checks against any spell that you have cast.&lt;/p&gt;&lt;p&gt;&lt;i&gt;Counterspell&lt;/i&gt;: This functions as &lt;i&gt;dispel magic&lt;/i&gt;, but you receive a +4 bonus on your dispel check to counter the other spellcaster's spell.&lt;/p&gt;&lt;/h4&gt;&lt;/div&gt;</t>
  </si>
  <si>
    <t>Liberation</t>
  </si>
  <si>
    <t>Works as dispel magic, but can affect multiple targets.</t>
  </si>
  <si>
    <t>Celestial, Oni</t>
  </si>
  <si>
    <t>Displacement</t>
  </si>
  <si>
    <t>bard 3, sorcerer/wizard 3, alchemist 3, summoner 3, magus 3</t>
  </si>
  <si>
    <t>V, M (a small loop of leather)</t>
  </si>
  <si>
    <t>The subject of this spell appears to be about 2 feet away from its true location. The creature benefits from a 50% miss chance as if it had total concealment. Unlike actual total concealment, displacement does not prevent enemies from targeting the creature normally. True seeing reveals its true location and negates the miss chance.</t>
  </si>
  <si>
    <t>&lt;p&gt;The subject of this spell appears to be about 2 feet away from its true location. The creature benefits from a 50% miss chance as if it had total concealment. Unlike actual total concealment, &lt;i&gt;displacement&lt;/i&gt; does not prevent enemies from targeting the creature normally. &lt;i&gt;True seeing&lt;/i&gt; reveals its true location and negates the miss chance.&lt;/p&gt;</t>
  </si>
  <si>
    <t>&lt;link rel="stylesheet"href="PF.css"&gt;&lt;div class="heading"&gt;&lt;p class="alignleft"&gt;Displacement&lt;/p&gt;&lt;div style="clear: both;"&gt;&lt;/div&gt;&lt;/div&gt;&lt;div&gt;&lt;h5&gt;&lt;b&gt;School &lt;/b&gt;illusion (glamer); &lt;b&gt;Level &lt;/b&gt;bard 3, sorcerer/wizard 3, alchemist 3, summoner 3, magus 3, witch 3, alchemist 2, witch 2, inquisitor 2, witch 8&lt;/h5&gt;&lt;h5&gt;&lt;b&gt;Casting Time &lt;/b&gt;1 standard action&lt;/h5&gt;&lt;h5&gt;&lt;b&gt;Components &lt;/b&gt;V, M (a small loop of leather)&lt;/h5&gt;&lt;h5&gt;&lt;b&gt;Range &lt;/b&gt;touch&lt;/h5&gt;&lt;h5&gt;&lt;b&gt;Targets &lt;/b&gt;creature touched&lt;/h5&gt;&lt;h5&gt;&lt;b&gt;Duration &lt;/b&gt;1 round/level (D)&lt;/h5&gt;&lt;h5&gt;&lt;b&gt;Saving Throw &lt;/b&gt;Will negates (harmless); &lt;b&gt;Spell Resistance &lt;/b&gt;yes (harmless)&lt;/h5&gt;&lt;/div&gt;&lt;div&gt;&lt;h4&gt;&lt;p&gt;The subject of this spell appears to be about 2 feet away from its true location. The creature benefits from a 50% miss chance as if it had total concealment. Unlike actual total concealment, &lt;i&gt;displacement&lt;/i&gt; does not prevent enemies from targeting the creature normally. &lt;i&gt;True seeing&lt;/i&gt; reveals its true location and negates the miss chance.&lt;/p&gt;&lt;/h4&gt;&lt;/div&gt;</t>
  </si>
  <si>
    <t>Protean</t>
  </si>
  <si>
    <t>Attacks miss subject 50% of the time.</t>
  </si>
  <si>
    <t>Disrupting Weapon</t>
  </si>
  <si>
    <t>one melee weapon</t>
  </si>
  <si>
    <t>Will negates (harmless, object); see text</t>
  </si>
  <si>
    <t>This spell makes a melee weapon deadly to undead. Any undead creature with HD equal to or less than your caster level must succeed on a Will save or be destroyed utterly if struck in combat with this weapon. Spell resistance does not apply against the destruction effect.</t>
  </si>
  <si>
    <t>&lt;p&gt;This spell makes a melee weapon deadly to undead. Any undead creature with HD equal to or less than your caster level must succeed on a Will save or be destroyed utterly if struck in combat with this weapon. Spell resistance does not apply against the destruction effect.&lt;/p&gt;</t>
  </si>
  <si>
    <t>&lt;link rel="stylesheet"href="PF.css"&gt;&lt;div class="heading"&gt;&lt;p class="alignleft"&gt;Disrupting Weapon&lt;/p&gt;&lt;div style="clear: both;"&gt;&lt;/div&gt;&lt;/div&gt;&lt;div&gt;&lt;h5&gt;&lt;b&gt;School &lt;/b&gt;transmutation; &lt;b&gt;Level &lt;/b&gt;cleric 5/oracle 5, inquisitor 5&lt;/h5&gt;&lt;h5&gt;&lt;b&gt;Casting Time &lt;/b&gt;1 standard action&lt;/h5&gt;&lt;h5&gt;&lt;b&gt;Components &lt;/b&gt;V, S&lt;/h5&gt;&lt;h5&gt;&lt;b&gt;Range &lt;/b&gt;touch&lt;/h5&gt;&lt;h5&gt;&lt;b&gt;Targets &lt;/b&gt;one melee weapon&lt;/h5&gt;&lt;h5&gt;&lt;b&gt;Duration &lt;/b&gt;1 round/level&lt;/h5&gt;&lt;h5&gt;&lt;b&gt;Saving Throw &lt;/b&gt;Will negates (harmless, object); see text; &lt;b&gt;Spell Resistance &lt;/b&gt;yes (harmless, object)&lt;/h5&gt;&lt;/div&gt;&lt;div&gt;&lt;h4&gt;&lt;p&gt;This spell makes a melee weapon deadly to undead. Any undead creature with HD equal to or less than your caster level must succeed on a Will save or be destroyed utterly if struck in combat with this weapon. Spell resistance does not apply against the destruction effect.&lt;/p&gt;&lt;/h4&gt;&lt;/div&gt;</t>
  </si>
  <si>
    <t> Melee weapon destroys undead.</t>
  </si>
  <si>
    <t>Disrupt Undead</t>
  </si>
  <si>
    <t>sorcerer/wizard 0, inquisitor 0, magus 0</t>
  </si>
  <si>
    <t>You direct a ray of positive energy. You must make a ranged touch attack to hit, and if the ray hits an undead creature, it deals 1d6 points of damage to it.</t>
  </si>
  <si>
    <t>&lt;p&gt;You direct a ray of positive energy. You must make a ranged touch attack to hit, and if the ray hits an undead creature, it deals 1d6 points of damage to it.&lt;/p&gt;</t>
  </si>
  <si>
    <t>&lt;link rel="stylesheet"href="PF.css"&gt;&lt;div class="heading"&gt;&lt;p class="alignleft"&gt;Disrupt Undead&lt;/p&gt;&lt;div style="clear: both;"&gt;&lt;/div&gt;&lt;/div&gt;&lt;div&gt;&lt;h5&gt;&lt;b&gt;School &lt;/b&gt;necromancy; &lt;b&gt;Level &lt;/b&gt;sorcerer/wizard 0, inquisitor 0, magus 0&lt;/h5&gt;&lt;h5&gt;&lt;b&gt;Casting Time &lt;/b&gt;1 standard action&lt;/h5&gt;&lt;h5&gt;&lt;b&gt;Components &lt;/b&gt;V, S&lt;/h5&gt;&lt;h5&gt;&lt;b&gt;Range &lt;/b&gt;close (25 ft. + 5 ft./2 levels)&lt;/h5&gt;&lt;h5&gt;&lt;b&gt;Effect &lt;/b&gt;ray&lt;/h5&gt;&lt;h5&gt;&lt;b&gt;Duration &lt;/b&gt;instantaneous&lt;/h5&gt;&lt;h5&gt;&lt;b&gt;Saving Throw &lt;/b&gt;none; &lt;b&gt;Spell Resistance &lt;/b&gt;yes&lt;/h5&gt;&lt;/div&gt;&lt;div&gt;&lt;h4&gt;&lt;p&gt;You direct a ray of positive energy. You must make a ranged touch attack to hit, and if the ray hits an undead creature, it deals 1d6 points of damage to it.&lt;/p&gt;&lt;/h4&gt;&lt;/div&gt;</t>
  </si>
  <si>
    <t> Deals 1d6 damage to one undead.</t>
  </si>
  <si>
    <t>Divination</t>
  </si>
  <si>
    <t>cleric 4/oracle 4, witch 4, inquisitor 4</t>
  </si>
  <si>
    <t>V, S, M (incense and an appropriate offering worth 25 gp)</t>
  </si>
  <si>
    <t>Similar to augury but more powerful, a divination spell can provide you with a useful piece of advice in reply to a question concerning a specific goal, event, or activity that is to occur within 1 week. The advice granted by the spell can be as simple as a short phrase, or it might take the form of a cryptic rhyme or omen. If your party doesn't act on the information, the conditions may change so that the information is no longer useful. The base chance for a correct divination is 70% + 1% per caster level, to a maximum of 90%. If the die roll fails, you know the spell failed, unless specific magic yielding false information is at work. As with augury, multiple divinations about the same topic by the same caster use the same dice result as the first divination spell and yield the same answer each time.</t>
  </si>
  <si>
    <t>&lt;p&gt;Similar to &lt;i&gt;augury&lt;/i&gt; but more powerful, a &lt;i&gt;divination&lt;/i&gt; spell can provide you with a useful piece of advice in reply to a question concerning a specific goal, event, or activity that is to occur within 1 week. The advice granted by the spell can be as simple as a short phrase, or it might take the form of a cryptic rhyme or omen. If your party doesn't act on the information, the conditions may change so that the information is no longer useful. The base chance for a correct &lt;i&gt;divination&lt;/i&gt; is 70% + 1% per caster level, to a maximum of 90%. If the die roll fails, you know the spell failed, unless specific magic yielding false information is at work.&lt;/p&gt;&lt;p&gt;As with &lt;i&gt;augury&lt;/i&gt;, multiple &lt;i&gt;divinations&lt;/i&gt; about the same topic by the same caster use the same dice result as the first &lt;i&gt;divination&lt;/i&gt; spell and yield the same answer each time.&lt;/p&gt;</t>
  </si>
  <si>
    <t>&lt;link rel="stylesheet"href="PF.css"&gt;&lt;div class="heading"&gt;&lt;p class="alignleft"&gt;Divination&lt;/p&gt;&lt;div style="clear: both;"&gt;&lt;/div&gt;&lt;/div&gt;&lt;div&gt;&lt;h5&gt;&lt;b&gt;School &lt;/b&gt;divination; &lt;b&gt;Level &lt;/b&gt;cleric 4/oracle 4, witch 4, inquisitor 4&lt;/h5&gt;&lt;h5&gt;&lt;b&gt;Casting Time &lt;/b&gt;10 minutes&lt;/h5&gt;&lt;h5&gt;&lt;b&gt;Components &lt;/b&gt;V, S, M (incense and an appropriate offering worth 25 gp)&lt;/h5&gt;&lt;h5&gt;&lt;b&gt;Range &lt;/b&gt;personal&lt;/h5&gt;&lt;h5&gt;&lt;b&gt;Targets &lt;/b&gt;you&lt;/h5&gt;&lt;h5&gt;&lt;b&gt;Duration &lt;/b&gt;instantaneous&lt;/h5&gt;&lt;/div&gt;&lt;div&gt;&lt;h4&gt;&lt;p&gt;Similar to &lt;i&gt;augury&lt;/i&gt; but more powerful, a &lt;i&gt;divination&lt;/i&gt; spell can provide you with a useful piece of advice in reply to a question concerning a specific goal, event, or activity that is to occur within 1 week. The advice granted by the spell can be as simple as a short phrase, or it might take the form of a cryptic rhyme or omen. If your party doesn't act on the information, the conditions may change so that the information is no longer useful. The base chance for a correct &lt;i&gt;divination&lt;/i&gt; is 70% + 1% per caster level, to a maximum of 90%. If the die roll fails, you know the spell failed, unless specific magic yielding false information is at work.&lt;/p&gt;&lt;p&gt;As with &lt;i&gt;augury&lt;/i&gt;, multiple &lt;i&gt;divinations&lt;/i&gt; about the same topic by the same caster use the same dice result as the first &lt;i&gt;divination&lt;/i&gt; spell and yield the same answer each time.&lt;/p&gt;&lt;/h4&gt;&lt;/div&gt;</t>
  </si>
  <si>
    <t> Provides useful advice for specific proposed actions.</t>
  </si>
  <si>
    <t>Divine Favor</t>
  </si>
  <si>
    <t>Calling upon the strength and wisdom of a deity, you gain a +1 luck bonus on attack and weapon damage rolls for every three caster levels you have (at least +1, maximum +3). The bonus doesn't apply to spell damage.</t>
  </si>
  <si>
    <t>&lt;p&gt;Calling upon the strength and wisdom of a deity, you gain a +1 luck bonus on attack and weapon damage rolls for every three caster levels you have (at least +1, maximum +3). The bonus doesn't apply to spell damage.&lt;/p&gt;</t>
  </si>
  <si>
    <t>&lt;link rel="stylesheet"href="PF.css"&gt;&lt;div class="heading"&gt;&lt;p class="alignleft"&gt;Divine Favor&lt;/p&gt;&lt;div style="clear: both;"&gt;&lt;/div&gt;&lt;/div&gt;&lt;div&gt;&lt;h5&gt;&lt;b&gt;School &lt;/b&gt;evocation; &lt;b&gt;Level &lt;/b&gt;cleric/oracle 1, paladin 1, inquisitor 1&lt;/h5&gt;&lt;/div&gt;&lt;hr/&gt;&lt;div&gt;&lt;h5&gt;&lt;b&gt;CASTING&lt;/b&gt;&lt;/h5&gt;&lt;/div&gt;&lt;hr/&gt;&lt;div&gt;&lt;h5&gt;&lt;b&gt;Casting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&lt;/b&gt;you&lt;/h5&gt;&lt;h5&gt;&lt;b&gt;Duration &lt;/b&gt;1 minute&lt;/h5&gt;&lt;/div&gt;&lt;hr/&gt;&lt;div&gt;&lt;h5&gt;&lt;b&gt;DESCRIPTION&lt;/b&gt;&lt;/h5&gt;&lt;/div&gt;&lt;hr/&gt;&lt;div&gt;&lt;h4&gt;&lt;p&gt;Calling upon the strength and wisdom of a deity, you gain a +1 luck bonus on attack and weapon damage rolls for every three caster levels you have (at least +1, maximum +3). The bonus doesn't apply to spell damage.&lt;/p&gt;&lt;/h4&gt;&lt;h5&gt;&lt;b&gt;Mythic: &lt;/b&gt;You also gain the luck bonus on saving throws and skill checks. Alternatively, you can cast this spell on another willing creature, changing the range to touch and target to living creature touched.&lt;/h5&gt;&lt;/div&gt;</t>
  </si>
  <si>
    <t>Archon, Nobility</t>
  </si>
  <si>
    <t>You gain +1 per three levels on attack and damage rolls.</t>
  </si>
  <si>
    <t>You also gain the luck bonus on saving throws and skill checks. Alternatively, you can cast this spell on another willing creature, changing the range to touch and target to living creature touched.</t>
  </si>
  <si>
    <t>Divine Power</t>
  </si>
  <si>
    <t>cleric 4/oracle 4, inquisitor 4</t>
  </si>
  <si>
    <t>Calling upon the divine power of your patron, you imbue yourself with strength and skill in combat. You gain a +1 luck bonus on attack rolls, weapon damage rolls, Strength checks, and Strength-based skill checks for every three caster levels you have (maximum +6). You also gain 1 temporary hit point per caster level. Whenever you make a full-attack action, you can make an additional attack at your full base attack bonus, plus any appropriate modifiers. This additional attack is not cumulative with similar effects, such as haste or weapons with the speed special ability.</t>
  </si>
  <si>
    <t>&lt;p&gt;Calling upon the divine power of your patron, you imbue yourself with strength and skill in combat. You gain a +1 luck bonus on attack rolls, weapon damage rolls, Strength checks, and Strength-based skill checks for every three caster levels you have (maximum +6). You also gain 1 temporary hit point per caster level. Whenever you make a full-attack action, you can make an additional attack at your full base attack bonus, plus any appropriate modifiers. This additional attack is not cumulative with similar effects, such as &lt;i&gt;haste&lt;/i&gt; or weapons with the speed special ability.&lt;/p&gt;</t>
  </si>
  <si>
    <t>&lt;link rel="stylesheet"href="PF.css"&gt;&lt;div class="heading"&gt;&lt;p class="alignleft"&gt;Divine Power&lt;/p&gt;&lt;div style="clear: both;"&gt;&lt;/div&gt;&lt;/div&gt;&lt;div&gt;&lt;h5&gt;&lt;b&gt;School &lt;/b&gt;evocation; &lt;b&gt;Level &lt;/b&gt;cleric 4/oracle 4, inquisitor 4&lt;/h5&gt;&lt;h5&gt;&lt;b&gt;Casting Time &lt;/b&gt;1 standard action&lt;/h5&gt;&lt;h5&gt;&lt;b&gt;Components &lt;/b&gt;V, S, DF&lt;/h5&gt;&lt;h5&gt;&lt;b&gt;Range &lt;/b&gt;personal&lt;/h5&gt;&lt;h5&gt;&lt;b&gt;Targets &lt;/b&gt;you&lt;/h5&gt;&lt;h5&gt;&lt;b&gt;Duration &lt;/b&gt;1 round/level&lt;/h5&gt;&lt;/div&gt;&lt;div&gt;&lt;h4&gt;&lt;p&gt;Calling upon the divine power of your patron, you imbue yourself with strength and skill in combat. You gain a +1 luck bonus on attack rolls, weapon damage rolls, Strength checks, and Strength-based skill checks for every three caster levels you have (maximum +6). You also gain 1 temporary hit point per caster level. Whenever you make a full-attack action, you can make an additional attack at your full base attack bonus, plus any appropriate modifiers. This additional attack is not cumulative with similar effects, such as &lt;i&gt;haste&lt;/i&gt; or weapons with the speed special ability.&lt;/p&gt;&lt;/h4&gt;&lt;/div&gt;</t>
  </si>
  <si>
    <t>War</t>
  </si>
  <si>
    <t> You gain attack bonuses and 1 hp/level.</t>
  </si>
  <si>
    <t>Dominate Animal</t>
  </si>
  <si>
    <t>This spell allows you to enchant the targeted animal and direct it with simple commands such as "Attack," "Run," and "Fetch." Suicidal or self-destructive commands (including an order to attack a creature two or more size categories larger than the dominated animal) are simply ignored. Dominate animal establishes a mental link between you and the subject creature. The animal can be directed by silent mental command as long as it remains in range. You need not see the creature to control it. You do not receive direct sensory input from the creature, but you know what it is experiencing. Because you are directing the animal with your own intelligence, it may be able to undertake actions normally beyond its own comprehension. You need not concentrate exclusively on controlling the creature unless you are trying to direct it to do something it normally couldn't do. Changing your instructions or giving a dominated creature a new command is the equivalent of redirecting a spell, so it is a move action.</t>
  </si>
  <si>
    <t>&lt;p&gt;This spell allows you to enchant the targeted animal and direct it with simple commands such as "Attack," "Run," and "Fetch." Suicidal or self-destructive commands (including an order to attack a creature two or more size categories larger than the dominated animal) are simply ignored.&lt;/p&gt;&lt;p&gt;&lt;i&gt;Dominate animal&lt;/i&gt; establishes a mental link between you and the subject creature. The animal can be directed by silent mental command as long as it remains in range. You need not see the creature to control it. You do not receive direct sensory input from the creature, but you know what it is experiencing. Because you are directing the animal with your own intelligence, it may be able to undertake actions normally beyond its own comprehension. You need not concentrate exclusively on controlling the creature unless you are trying to direct it to do something it normally couldn't do. Changing your instructions or giving a dominated creature a new command is the equivalent of redirecting a spell, so it is a move action.&lt;/p&gt;</t>
  </si>
  <si>
    <t>&lt;link rel="stylesheet"href="PF.css"&gt;&lt;div class="heading"&gt;&lt;p class="alignleft"&gt;Dominate Animal&lt;/p&gt;&lt;div style="clear: both;"&gt;&lt;/div&gt;&lt;/div&gt;&lt;div&gt;&lt;h5&gt;&lt;b&gt;School &lt;/b&gt;enchantment (compulsion) [mind-affecting]; &lt;b&gt;Level &lt;/b&gt;druid 3&lt;/h5&gt;&lt;h5&gt;&lt;b&gt;Casting Time &lt;/b&gt;1 round&lt;/h5&gt;&lt;h5&gt;&lt;b&gt;Components &lt;/b&gt;V, S&lt;/h5&gt;&lt;h5&gt;&lt;b&gt;Range &lt;/b&gt;close (25 ft. + 5 ft./2 levels)&lt;/h5&gt;&lt;h5&gt;&lt;b&gt;Targets &lt;/b&gt;one animal&lt;/h5&gt;&lt;h5&gt;&lt;b&gt;Duration &lt;/b&gt;1 round/level&lt;/h5&gt;&lt;h5&gt;&lt;b&gt;Saving Throw &lt;/b&gt;Will negates; &lt;b&gt;Spell Resistance &lt;/b&gt;yes&lt;/h5&gt;&lt;/div&gt;&lt;div&gt;&lt;h4&gt;&lt;p&gt;This spell allows you to enchant the targeted animal and direct it with simple commands such as "Attack," "Run," and "Fetch." Suicidal or self-destructive commands (including an order to attack a creature two or more size categories larger than the dominated animal) are simply ignored.&lt;/p&gt;&lt;p&gt;&lt;i&gt;Dominate animal&lt;/i&gt; establishes a mental link between you and the subject creature. The animal can be directed by silent mental command as long as it remains in range. You need not see the creature to control it. You do not receive direct sensory input from the creature, but you know what it is experiencing. Because you are directing the animal with your own intelligence, it may be able to undertake actions normally beyond its own comprehension. You need not concentrate exclusively on controlling the creature unless you are trying to direct it to do something it normally couldn't do. Changing your instructions or giving a dominated creature a new command is the equivalent of redirecting a spell, so it is a move action.&lt;/p&gt;&lt;/h4&gt;&lt;/div&gt;</t>
  </si>
  <si>
    <t> One animal obeys your silent mental commands and orders.</t>
  </si>
  <si>
    <t>Dominate Monster</t>
  </si>
  <si>
    <t>sorcerer/wizard 9, summoner 6, witch 9</t>
  </si>
  <si>
    <t>This spell functions like dominate person, except that the spell is not restricted by creature type.</t>
  </si>
  <si>
    <t>&lt;p&gt;This spell functions like &lt;i&gt;dominate person&lt;/i&gt;, except that the spell is not restricted by creature type.&lt;/p&gt;</t>
  </si>
  <si>
    <t>&lt;link rel="stylesheet"href="PF.css"&gt;&lt;div class="heading"&gt;&lt;p class="alignleft"&gt;Dominate Monster&lt;/p&gt;&lt;div style="clear: both;"&gt;&lt;/div&gt;&lt;/div&gt;&lt;div&gt;&lt;h5&gt;&lt;b&gt;School &lt;/b&gt;enchantment (compulsion) [mind-affecting]; &lt;b&gt;Level &lt;/b&gt;sorcerer/wizard 9, summoner 6, witch 9&lt;/h5&gt;&lt;h5&gt;&lt;b&gt;Casting Time &lt;/b&gt;1 round&lt;/h5&gt;&lt;h5&gt;&lt;b&gt;Components &lt;/b&gt;V, S&lt;/h5&gt;&lt;h5&gt;&lt;b&gt;Range &lt;/b&gt;close (25 ft. + 5 ft./2 levels)&lt;/h5&gt;&lt;h5&gt;&lt;b&gt;Targets &lt;/b&gt;one creature&lt;/h5&gt;&lt;h5&gt;&lt;b&gt;Duration &lt;/b&gt;1 day/level&lt;/h5&gt;&lt;h5&gt;&lt;b&gt;Saving Throw &lt;/b&gt;Will negates; &lt;b&gt;Spell Resistance &lt;/b&gt;yes&lt;/h5&gt;&lt;/div&gt;&lt;div&gt;&lt;h4&gt;&lt;p&gt;This spell functions like &lt;i&gt;dominate person&lt;/i&gt;, except that the spell is not restricted by creature type.&lt;/p&gt;&lt;/h4&gt;&lt;/div&gt;</t>
  </si>
  <si>
    <t> As dominate person, but any creature.</t>
  </si>
  <si>
    <t>Oni, Rakshasa, Serpentine</t>
  </si>
  <si>
    <t>Dominate Person</t>
  </si>
  <si>
    <t>bard 4, sorcerer/wizard 5, witch 5</t>
  </si>
  <si>
    <t>one humanoid</t>
  </si>
  <si>
    <t>You can control the actions of any humanoid creature through a telepathic link that you establish with the subject's mind. If you and the subject have a common language, you can generally force the subject to perform as you desire, within the limits of its abilities. If no common language exists, you can communicate only basic commands, such as "Come here," "Go there," "Fight," and "Stand still." You know what the subject is experiencing, but you do not receive direct sensory input from it, nor can it communicate with you telepathically. Once you have given a dominated creature a command, it continues to attempt to carry out that command to the exclusion of all other activities except those necessary for day-to-day survival (such as sleeping, eating, and so forth). Because of this limited range of activity, a Sense Motive check against DC 15 (rather than DC 25) can determine that the subject's behavior is being influenced by an enchantment effect (see the Sense Motive skill description). Changing your orders or giving a dominated creature a new command is a move action. By concentrating fully on the spell (a standard action), you can receive full sensory input as interpreted by the mind of the subject, though it still can't communicate with you. You can't actually see through the subject's eyes, so it's not as good as being there yourself, but you still get a good idea of what's going on. Subjects resist this control, and any subject forced to take actions against its nature receives a new saving throw with a +2 bonus. Obviously self-destructive orders are not carried out. Once control is established, the range at which it can be exercised is unlimited, as long as you and the subject are on the same plane. You need not see the subject to control it. If you don't spend at least 1 round concentrating on the spell each day, the subject receives a new saving throw to throw off the domination. Protection from evil or a similar spell can prevent you from exercising control or using the telepathic link while the subject is so warded, but such an effect does not automatically dispel it.</t>
  </si>
  <si>
    <t>&lt;p&gt;You can control the actions of any humanoid creature through a telepathic link that you establish with the subject's mind.&lt;/p&gt;&lt;p&gt;If you and the subject have a common language, you can generally force the subject to perform as you desire, within the limits of its abilities. If no common language exists, you can communicate only basic commands, such as "Come here," "Go there," "Fight," and "Stand still." You know what the subject is experiencing, but you do not receive direct sensory input from it, nor can it communicate with you telepathically.&lt;/p&gt;&lt;p&gt;Once you have given a dominated creature a command, it continues to attempt to carry out that command to the exclusion of all other activities except those necessary for day-to-day survival (such as sleeping, eating, and so forth). Because of this limited range of activity, a Sense Motive check against DC 15 (rather than DC 25) can determine that the subject's behavior is being influenced by an enchantment effect (see the Sense Motive skill description).&lt;/p&gt;&lt;p&gt;Changing your orders or giving a dominated creature a new command is a move action.&lt;/p&gt;&lt;p&gt;By concentrating fully on the spell (a standard action), you can receive full sensory input as interpreted by the mind of the subject, though it still can't communicate with you. You can't actually see through the subject's eyes, so it's not as good as being there yourself, but you still get a good idea of what's going on.&lt;/p&gt;&lt;p&gt;Subjects resist this control, and any subject forced to take actions against its nature receives a new saving throw with a +2 bonus. Obviously self-destructive orders are not carried out. Once control is established, the range at which it can be exercised is unlimited, as long as you and the subject are on the same plane. You need not see the subject to control it.&lt;/p&gt;&lt;p&gt;If you don't spend at least 1 round concentrating on the spell each day, the subject receives a new saving throw to throw off the domination.&lt;/p&gt;&lt;p&gt;&lt;i&gt;Protection from evil&lt;/i&gt; or a similar spell can prevent you from exercising control or using the telepathic link while the subject is so warded, but such an effect does not automatically dispel it.&lt;/p&gt;</t>
  </si>
  <si>
    <t>&lt;link rel="stylesheet"href="PF.css"&gt;&lt;div class="heading"&gt;&lt;p class="alignleft"&gt;Dominate Person&lt;/p&gt;&lt;div style="clear: both;"&gt;&lt;/div&gt;&lt;/div&gt;&lt;div&gt;&lt;h5&gt;&lt;b&gt;School &lt;/b&gt;enchantment (compulsion) [mind-affecting]; &lt;b&gt;Level &lt;/b&gt;bard 4, sorcerer/wizard 5, witch 5&lt;/h5&gt;&lt;h5&gt;&lt;b&gt;Casting Time &lt;/b&gt;1 round&lt;/h5&gt;&lt;h5&gt;&lt;b&gt;Components &lt;/b&gt;V, S&lt;/h5&gt;&lt;h5&gt;&lt;b&gt;Range &lt;/b&gt;close (25 ft. + 5 ft./2 levels)&lt;/h5&gt;&lt;h5&gt;&lt;b&gt;Targets &lt;/b&gt;one humanoid&lt;/h5&gt;&lt;h5&gt;&lt;b&gt;Duration &lt;/b&gt;1 day/level&lt;/h5&gt;&lt;h5&gt;&lt;b&gt;Saving Throw &lt;/b&gt;Will negates; &lt;b&gt;Spell Resistance &lt;/b&gt;yes&lt;/h5&gt;&lt;/div&gt;&lt;div&gt;&lt;h4&gt;&lt;p&gt;You can control the actions of any humanoid creature through a telepathic link that you establish with the subject's mind.&lt;/p&gt;&lt;p&gt;If you and the subject have a common language, you can generally force the subject to perform as you desire, within the limits of its abilities. If no common language exists, you can communicate only basic commands, such as "Come here," "Go there," "Fight," and "Stand still." You know what the subject is experiencing, but you do not receive direct sensory input from it, nor can it communicate with you telepathically.&lt;/p&gt;&lt;p&gt;Once you have given a dominated creature a command, it continues to attempt to carry out that command to the exclusion of all other activities except those necessary for day-to-day survival (such as sleeping, eating, and so forth). Because of this limited range of activity, a Sense Motive check against DC 15 (rather than DC 25) can determine that the subject's behavior is being influenced by an enchantment effect (see the Sense Motive skill description).&lt;/p&gt;&lt;p&gt;Changing your orders or giving a dominated creature a new command is a move action.&lt;/p&gt;&lt;p&gt;By concentrating fully on the spell (a standard action), you can receive full sensory input as interpreted by the mind of the subject, though it still can't communicate with you. You can't actually see through the subject's eyes, so it's not as good as being there yourself, but you still get a good idea of what's going on.&lt;/p&gt;&lt;p&gt;Subjects resist this control, and any subject forced to take actions against its nature receives a new saving throw with a +2 bonus. Obviously self-destructive orders are not carried out. Once control is established, the range at which it can be exercised is unlimited, as long as you and the subject are on the same plane. You need not see the subject to control it.&lt;/p&gt;&lt;p&gt;If you don't spend at least 1 round concentrating on the spell each day, the subject receives a new saving throw to throw off the domination.&lt;/p&gt;&lt;p&gt;&lt;i&gt;Protection from evil&lt;/i&gt; or a similar spell can prevent you from exercising control or using the telepathic link while the subject is so warded, but such an effect does not automatically dispel it.&lt;/p&gt;&lt;/h4&gt;&lt;/div&gt;</t>
  </si>
  <si>
    <t>Controls humanoid telepathically.</t>
  </si>
  <si>
    <t>Infernal, Maestro</t>
  </si>
  <si>
    <t>Doom</t>
  </si>
  <si>
    <t>This spell fills a single subject with a feeling of horrible dread that causes it to become shaken.</t>
  </si>
  <si>
    <t>&lt;p&gt;This spell fills a single subject with a feeling of horrible dread that causes it to become shaken.&lt;/p&gt;</t>
  </si>
  <si>
    <t>&lt;link rel="stylesheet"href="PF.css"&gt;&lt;div class="heading"&gt;&lt;p class="alignleft"&gt;Doom&lt;/p&gt;&lt;div style="clear: both;"&gt;&lt;/div&gt;&lt;/div&gt;&lt;div&gt;&lt;h5&gt;&lt;b&gt;School &lt;/b&gt;necromancy [emotion, fear, mind-affecting]; &lt;b&gt;Level &lt;/b&gt;antipaladin 1, cleric/oracle 1, inquisitor 1&lt;/h5&gt;&lt;/div&gt;&lt;hr/&gt;&lt;div&gt;&lt;h5&gt;&lt;b&gt;CASTING&lt;/b&gt;&lt;/h5&gt;&lt;/div&gt;&lt;hr/&gt;&lt;div&gt;&lt;h5&gt;&lt;b&gt;Casting Time &lt;/b&gt;1 standard action&lt;/h5&gt;&lt;h5&gt;&lt;b&gt;Components &lt;/b&gt;V, S, DF&lt;/h5&gt;&lt;/div&gt;&lt;hr/&gt;&lt;div&gt;&lt;h5&gt;&lt;b&gt;EFFECT&lt;/b&gt;&lt;/h5&gt;&lt;/div&gt;&lt;hr/&gt;&lt;div&gt;&lt;h5&gt;&lt;b&gt;Range &lt;/b&gt;medium (100 ft. + 10 ft./level)&lt;/h5&gt;&lt;h5&gt;&lt;b&gt;Targets &lt;/b&gt;one living creature&lt;/h5&gt;&lt;h5&gt;&lt;b&gt;Duration &lt;/b&gt;1 min./level&lt;/h5&gt;&lt;h5&gt;&lt;b&gt;Saving Throw &lt;/b&gt;Will negates; &lt;b&gt;Spell Resistance &lt;/b&gt;yes&lt;/h5&gt;&lt;/div&gt;&lt;hr/&gt;&lt;div&gt;&lt;h5&gt;&lt;b&gt;DESCRIPTION&lt;/b&gt;&lt;/h5&gt;&lt;/div&gt;&lt;hr/&gt;&lt;div&gt;&lt;h4&gt;&lt;p&gt;This spell fills a single subject with a feeling of horrible dread that causes it to become shaken.&lt;/p&gt;&lt;/h4&gt;&lt;/div&gt;</t>
  </si>
  <si>
    <t>Demon</t>
  </si>
  <si>
    <t> One subject takes –2 on attack rolls, damage rolls, saves, and checks.</t>
  </si>
  <si>
    <t>Dream</t>
  </si>
  <si>
    <t>phantasm</t>
  </si>
  <si>
    <t>bard 5, sorcerer/wizard 5, alchemist 5</t>
  </si>
  <si>
    <t>one living creature touched</t>
  </si>
  <si>
    <t>You, or a messenger you touch, send a message to others in the form of a dream. At the beginning of the spell, you must name the recipient or identify him or her by some title that leaves no doubt as to identity. The messenger then enters a trance, appears in the intended recipient's dream, and delivers the message. The message can be of any length, and the recipient remembers it perfectly upon waking. The communication is one-way. The recipient cannot ask questions or offer information, nor can the messenger gain any information by observing the dreams of the recipient. Once the message is delivered, the messenger's mind returns instantly to its body. The duration of the spell is the time required for the messenger to enter the recipient's dream and deliver the message. If the recipient is awake when the spell begins, the messenger can choose to wake up (ending the spell) or remain in the trance. The messenger can remain in the trance until the recipient goes to sleep, then enter the recipient's dream and deliver the message as normal. A messenger that is disturbed during the trance comes awake, ending the spell. Creatures who don't sleep or don't dream cannot be contacted by this spell. The messenger is unaware of its own surroundings or of the activities around it while in the trance. It is defenseless both physically and mentally (always failing any saving throw) while in the trance.</t>
  </si>
  <si>
    <t>&lt;p&gt;You, or a messenger you touch, send a message to others in the form of a &lt;i&gt;dream&lt;/i&gt;. At the beginning of the spell, you must name the recipient or identify him or her by some title that leaves no doubt as to identity. The messenger then enters a trance, appears in the intended recipient's &lt;i&gt;dream&lt;/i&gt;, and delivers the message. The message can be of any length, and the recipient remembers it perfectly upon waking. The communication is one-way. The recipient cannot ask questions or offer information, nor can the messenger gain any information by observing the &lt;i&gt;dream&lt;/i&gt;s of the recipient.&lt;/p&gt;&lt;p&gt;Once the message is delivered, the messenger's mind returns instantly to its body. The duration of the spell is the time required for the messenger to enter the recipient's &lt;i&gt;dream&lt;/i&gt; and deliver the message.&lt;/p&gt;&lt;p&gt;If the recipient is awake when the spell begins, the messenger can choose to wake up (ending the spell) or remain in the trance.&lt;/p&gt;&lt;p&gt;The messenger can remain in the trance until the recipient goes to sleep, then enter the recipient's &lt;i&gt;dream&lt;/i&gt; and deliver the message as normal. A messenger that is disturbed during the trance comes awake, ending the spell.&lt;/p&gt;&lt;p&gt;Creatures who don't sleep or don't &lt;i&gt;dream&lt;/i&gt; cannot be contacted by this spell.&lt;/p&gt;&lt;p&gt;The messenger is unaware of its own surroundings or of the activities around it while in the trance. It is defenseless both physically and mentally (always failing any saving throw) while in the trance.&lt;/p&gt;</t>
  </si>
  <si>
    <t>&lt;link rel="stylesheet"href="PF.css"&gt;&lt;div class="heading"&gt;&lt;p class="alignleft"&gt;Dream&lt;/p&gt;&lt;div style="clear: both;"&gt;&lt;/div&gt;&lt;/div&gt;&lt;div&gt;&lt;h5&gt;&lt;b&gt;School &lt;/b&gt;illusion (phantasm) [mind-affecting]; &lt;b&gt;Level &lt;/b&gt;bard 5, sorcerer/wizard 5, alchemist 5&lt;/h5&gt;&lt;/div&gt;&lt;hr/&gt;&lt;div&gt;&lt;h5&gt;&lt;b&gt;CASTING&lt;/b&gt;&lt;/h5&gt;&lt;/div&gt;&lt;hr/&gt;&lt;div&gt;&lt;h5&gt;&lt;b&gt;Casting Time &lt;/b&gt;1 minute&lt;/h5&gt;&lt;h5&gt;&lt;b&gt;Components &lt;/b&gt;V, S&lt;/h5&gt;&lt;/div&gt;&lt;hr/&gt;&lt;div&gt;&lt;h5&gt;&lt;b&gt;EFFECT&lt;/b&gt;&lt;/h5&gt;&lt;/div&gt;&lt;hr/&gt;&lt;div&gt;&lt;h5&gt;&lt;b&gt;Range &lt;/b&gt;unlimited&lt;/h5&gt;&lt;h5&gt;&lt;b&gt;Targets &lt;/b&gt;one living creature touched&lt;/h5&gt;&lt;h5&gt;&lt;b&gt;Duration &lt;/b&gt;see text&lt;/h5&gt;&lt;h5&gt;&lt;b&gt;Saving Throw &lt;/b&gt;none; &lt;b&gt;Spell Resistance &lt;/b&gt;yes&lt;/h5&gt;&lt;/div&gt;&lt;hr/&gt;&lt;div&gt;&lt;h5&gt;&lt;b&gt;DESCRIPTION&lt;/b&gt;&lt;/h5&gt;&lt;/div&gt;&lt;hr/&gt;&lt;div&gt;&lt;h4&gt;&lt;p&gt;You, or a messenger you touch, send a message to others in the form of a &lt;i&gt;dream&lt;/i&gt;. At the beginning of the spell, you must name the recipient or identify him or her by some title that leaves no doubt as to identity. The messenger then enters a trance, appears in the intended recipient's &lt;i&gt;dream&lt;/i&gt;, and delivers the message. The message can be of any length, and the recipient remembers it perfectly upon waking. The communication is one-way. The recipient cannot ask questions or offer information, nor can the messenger gain any information by observing the &lt;i&gt;dream&lt;/i&gt;s of the recipient.&lt;/p&gt;&lt;p&gt;Once the message is delivered, the messenger's mind returns instantly to its body. The duration of the spell is the time required for the messenger to enter the recipient's &lt;i&gt;dream&lt;/i&gt; and deliver the message.&lt;/p&gt;&lt;p&gt;If the recipient is awake when the spell begins, the messenger can choose to wake up (ending the spell) or remain in the trance.&lt;/p&gt;&lt;p&gt;The messenger can remain in the trance until the recipient goes to sleep, then enter the recipient's &lt;i&gt;dream&lt;/i&gt; and deliver the message as normal. A messenger that is disturbed during the trance comes awake, ending the spell.&lt;/p&gt;&lt;p&gt;Creatures who don't sleep or don't &lt;i&gt;dream&lt;/i&gt; cannot be contacted by this spell.&lt;/p&gt;&lt;p&gt;The messenger is unaware of its own surroundings or of the activities around it while in the trance. It is defenseless both physically and mentally (always failing any saving throw) while in the trance.&lt;/p&gt;&lt;/h4&gt;&lt;h5&gt;&lt;b&gt;Mythic: &lt;/b&gt;You or the messenger may gain information from the dreamer you contact by asking questions as if using speak with dead to speak with a corpse. An unwilling dreamer can attempt to resist this probing with a Will save (as speak with dead, using the DC dream would have if it allowed a saving throw). Answers to these questions are still generally brief and cryptic.&lt;/h5&gt;&lt;/div&gt;</t>
  </si>
  <si>
    <t>Sends message to anyone sleeping.</t>
  </si>
  <si>
    <t>Stars, Wisdom</t>
  </si>
  <si>
    <t>You or the messenger may gain information from the dreamer you contact by asking questions as if using speak with dead to speak with a corpse. An unwilling dreamer can attempt to resist this probing with a Will save (as speak with dead, using the DC dream would have if it allowed a saving throw). Answers to these questions are still generally brief and cryptic.</t>
  </si>
  <si>
    <t>Eagle's Splendor</t>
  </si>
  <si>
    <t>bard 2, cleric 2/oracle 2, paladin 2, sorcerer/wizard 2, alchemist 2, summoner 2, antipaladin 2</t>
  </si>
  <si>
    <t>V, S, M/DF (feathers or droppings from an eagle)</t>
  </si>
  <si>
    <t>The transmuted creature becomes more poised, articulate, and personally forceful. The spell grants a +4 enhancement bonus to Charisma, adding the usual benefits to Charisma-based skill checks and other uses of the Charisma modifier. Bards, paladins, and sorcerers (and other spellcasters who rely on Charisma) affected by this spell do not gain any additional bonus spells for the increased Charisma, but the save DCs for spells they cast while under this spell's effect do increase.</t>
  </si>
  <si>
    <t>&lt;p&gt;The transmuted creature becomes more poised, articulate, and personally forceful. The spell grants a +4 enhancement bonus to Charisma, adding the usual benefits to Charisma-based skill checks and other uses of the Charisma modifier. Bards, paladins, and sorcerers (and other spellcasters who rely on Charisma) affected by this spell do not gain any additional bonus spells for the increased Charisma, but the save DCs for spells they cast while under this spell's effect do increase.&lt;/p&gt;</t>
  </si>
  <si>
    <t>&lt;link rel="stylesheet"href="PF.css"&gt;&lt;div class="heading"&gt;&lt;p class="alignleft"&gt;Eagle's Splendor&lt;/p&gt;&lt;div style="clear: both;"&gt;&lt;/div&gt;&lt;/div&gt;&lt;div&gt;&lt;h5&gt;&lt;b&gt;School &lt;/b&gt;transmutation; &lt;b&gt;Level &lt;/b&gt;bard 2, cleric 2/oracle 2, paladin 2, sorcerer/wizard 2, alchemist 2, summoner 2, antipaladin 2&lt;/h5&gt;&lt;h5&gt;&lt;b&gt;Casting Time &lt;/b&gt;1 standard action&lt;/h5&gt;&lt;h5&gt;&lt;b&gt;Components &lt;/b&gt;V, S, M/DF (feathers or droppings from an eagle)&lt;/h5&gt;&lt;h5&gt;&lt;b&gt;Range &lt;/b&gt;touch&lt;/h5&gt;&lt;h5&gt;&lt;b&gt;Targets &lt;/b&gt;creature touched&lt;/h5&gt;&lt;h5&gt;&lt;b&gt;Duration &lt;/b&gt;1 min./level&lt;/h5&gt;&lt;h5&gt;&lt;b&gt;Saving Throw &lt;/b&gt;Will negates (harmless); &lt;b&gt;Spell Resistance &lt;/b&gt;yes&lt;/h5&gt;&lt;/div&gt;&lt;div&gt;&lt;h4&gt;&lt;p&gt;The transmuted creature becomes more poised, articulate, and personally forceful. The spell grants a +4 enhancement bonus to Charisma, adding the usual benefits to Charisma-based skill checks and other uses of the Charisma modifier. Bards, paladins, and sorcerers (and other spellcasters who rely on Charisma) affected by this spell do not gain any additional bonus spells for the increased Charisma, but the save DCs for spells they cast while under this spell's effect do increase.&lt;/p&gt;&lt;/h4&gt;&lt;/div&gt;</t>
  </si>
  <si>
    <t>Subject gains +4 to Cha for 1 min./level.</t>
  </si>
  <si>
    <t>Eagle's Splendor, Mass</t>
  </si>
  <si>
    <t>bard 6, cleric 6/oracle 6, sorcerer/wizard 6, summoner 4</t>
  </si>
  <si>
    <t>One creature/level, no two of which can be more than 30 ft. apart</t>
  </si>
  <si>
    <t>This spell functions like eagle's splendor, except that it affects multiple creatures.</t>
  </si>
  <si>
    <t>&lt;p&gt;This spell functions like &lt;i&gt;eagle's splendor&lt;/i&gt;, except that it affects multiple creatures.&lt;/p&gt;</t>
  </si>
  <si>
    <t>&lt;link rel="stylesheet"href="PF.css"&gt;&lt;div class="heading"&gt;&lt;p class="alignleft"&gt;Eagle's Splendor, Mass&lt;/p&gt;&lt;div style="clear: both;"&gt;&lt;/div&gt;&lt;/div&gt;&lt;div&gt;&lt;h5&gt;&lt;b&gt;School &lt;/b&gt;transmutation; &lt;b&gt;Level &lt;/b&gt;bard 6, cleric 6/oracle 6, sorcerer/wizard 6, summoner 4&lt;/h5&gt;&lt;h5&gt;&lt;b&gt;Casting Time &lt;/b&gt;1 standard action&lt;/h5&gt;&lt;h5&gt;&lt;b&gt;Components &lt;/b&gt;V, S, M/DF (feathers or droppings from an eagle)&lt;/h5&gt;&lt;h5&gt;&lt;b&gt;Range &lt;/b&gt;close (25 ft. + 5 ft./2 levels)&lt;/h5&gt;&lt;h5&gt;&lt;b&gt;Targets &lt;/b&gt;One creature/level, no two of which can be more than 30 ft. apart&lt;/h5&gt;&lt;h5&gt;&lt;b&gt;Duration &lt;/b&gt;1 min./level&lt;/h5&gt;&lt;h5&gt;&lt;b&gt;Saving Throw &lt;/b&gt;Will negates (harmless); &lt;b&gt;Spell Resistance &lt;/b&gt;yes&lt;/h5&gt;&lt;/div&gt;&lt;div&gt;&lt;h4&gt;&lt;p&gt;This spell functions like &lt;i&gt;eagle's splendor&lt;/i&gt;, except that it affects multiple creatures.&lt;/p&gt;&lt;/h4&gt;&lt;/div&gt;</t>
  </si>
  <si>
    <t>As eagle’s splendor, affects 1 subject/level.</t>
  </si>
  <si>
    <t>Earthquake</t>
  </si>
  <si>
    <t>cleric/oracle 8, druid 8</t>
  </si>
  <si>
    <t>80-ft.-radius spread (S)</t>
  </si>
  <si>
    <t>When you cast earthquake, an intense but highly localized tremor rips the ground. The powerful shockwave created by this spell knocks creatures down, collapses structures, opens cracks in the ground, and more. The effect lasts for 1 round, during which time creatures on the ground can't move or attack. A spellcaster on the ground must make a concentration check (DC 20 + spell level) or lose any spell he or she tries to cast. The earthquake affects all terrain, vegetation, structures, and creatures in the area. The specific effect of an earthquake spell depends on the nature of the terrain where it is cast. Cave, Cavern, or Tunnel: The roof collapses, dealing 8d6 points of damage to any creature caught under the cave-in (Reflex DC 15 half) and pinning that creature beneath the rubble (see below). An earthquake cast on the roof of a very large cavern could also endanger those outside the actual area but below the falling debris and rubble. Cliffs: Earthquake causes a cliff to crumble, creating a landslide that travels horizontally as far as it falls vertically. Any creature in the path takes 8d6 points of bludgeoning damage (Reflex DC 15 half ) and is pinned beneath the rubble (see below). Open Ground: Each creature standing in the area must make a DC 15 Reflex save or fall down. Fissures open in the earth, and every creature on the ground has a 25% chance to fall into one (Reflex DC 20 to avoid a fissure). The fissures are 40 feet deep. At the end of the spell, all fissures grind shut. Treat all trapped creatures as if they were in the bury zone of an avalanche, trapped without air (see Chapter 13 for more details). Structure: Any structure standing on open ground takes 100 points of damage, enough to collapse a typical wooden or masonry building, but not a structure built of stone or reinforced masonry. Hardness does not reduce this damage, nor is it halved as damage dealt to objects normally is. Any creature caught inside a collapsing structure takes 8d6 points of bludgeoning damage (Reflex DC 15 half ) and is pinned beneath the rubble (see below). River, Lake, or Marsh: Fissures open under the water, draining away the water from that area and forming muddy ground. Soggy marsh or swampland becomes quicksand for the duration of the spell, sucking down creatures and structures. Each creature in the area must make a DC 15 Reflex save or sink down in the mud and quicksand. At the end of the spell, the rest of the body of water rushes in to replace the drained water, possibly drowning those caught in the mud. Pinned Beneath Rubble: Any creature pinned beneath rubble takes 1d6 points of nonlethal damage per minute while pinned. If a pinned character falls unconscious, he or she must make a DC 15 Constitution check or take 1d6 points of lethal damage each minute thereafter until freed or dead.</t>
  </si>
  <si>
    <t>&lt;p&gt;When you cast &lt;i&gt;earthquake&lt;/i&gt;, an intense but highly localized tremor rips the ground. The powerful shockwave created by this spell knocks creatures down, collapses structures, opens cracks in the ground, and more. The effect lasts for 1 round, during which time creatures on the ground can't move or attack. A spellcaster on the ground must make a concentration check (DC 20 + spell level) or lose any spell he or she tries to cast. The &lt;i&gt;earthquake&lt;/i&gt; affects all terrain, vegetation, structures, and creatures in the area. The specific effect of an &lt;i&gt;earthquake&lt;/i&gt; spell depends on the nature of the terrain where it is cast.&lt;/p&gt;&lt;p&gt;&lt;i&gt;Cave&lt;/i&gt;, &lt;i&gt;Cave&lt;/i&gt;rn, &lt;i&gt;or Tunnel&lt;/i&gt;: The roof collapses, dealing 8d6 points of damage to any creature caught under the cave-in (Reflex DC 15 half) and pinning that creature beneath the rubble (see below). An &lt;i&gt;earthquake&lt;/i&gt; cast on the roof of a very large cavern could also endanger those outside the actual area but below the falling debris and rubble.&lt;/p&gt;&lt;p&gt;&lt;i&gt;Cliffs&lt;/i&gt;: &lt;i&gt;Earthquake&lt;/i&gt; causes a cliff to crumble, creating a landslide that travels horizontally as far as it falls vertically. Any creature in the path takes 8d6 points of bludgeoning damage (Reflex DC 15 half ) and is pinned beneath the rubble (see below).&lt;/p&gt;&lt;p&gt;&lt;i&gt;Open Ground&lt;/i&gt;: Each creature standing in the area must make a DC 15 Reflex save or fall down. Fissures open in the earth, and every creature on the ground has a 25% chance to fall into one (Reflex DC 20 to avoid a fissure). The fissures are 40 feet deep. At the end of the spell, all fissures grind shut. Treat all trapped creatures as if they were in the bury zone of an avalanche, trapped without air (see Chapter 13 for more details).&lt;/p&gt;&lt;p&gt;&lt;i&gt;Structure&lt;/i&gt;: Any structure standing on open ground takes 100 points of damage, enough to collapse a typical wooden or masonry building, but not a structure built of stone or reinforced masonry.&lt;/p&gt;&lt;p&gt;Hardness does not reduce this damage, nor is it halved as damage dealt to objects normally is. Any creature caught inside a collapsing structure takes 8d6 points of bludgeoning damage (Reflex DC 15 half ) and is pinned beneath the rubble (see below).&lt;/p&gt;&lt;p&gt;&lt;i&gt;River&lt;/i&gt;, &lt;i&gt;Lake&lt;/i&gt;, &lt;i&gt;or Marsh&lt;/i&gt;: Fissures open under the water, draining away the water from that area and forming muddy ground. Soggy marsh or swampland becomes quicksand for the duration of the spell, sucking down creatures and structures. Each creature in the area must make a DC 15 Reflex save or sink down in the mud and quicksand. At the end of the spell, the rest of the body of water rushes in to replace the drained water, possibly drowning those caught in the mud.&lt;/p&gt;&lt;p&gt;&lt;i&gt;Pinned Beneath Rubble&lt;/i&gt;: Any creature pinned beneath rubble takes 1d6 points of nonlethal damage per minute while pinned. If a pinned character falls unconscious, he or she must make a DC 15 Constitution check or take 1d6 points of lethal damage each minute thereafter until freed or dead.&lt;/p&gt;</t>
  </si>
  <si>
    <t>&lt;link rel="stylesheet"href="PF.css"&gt;&lt;div class="heading"&gt;&lt;p class="alignleft"&gt;Earthquake&lt;/p&gt;&lt;div style="clear: both;"&gt;&lt;/div&gt;&lt;/div&gt;&lt;div&gt;&lt;h5&gt;&lt;b&gt;School &lt;/b&gt;evocation [earth]; &lt;b&gt;Level &lt;/b&gt;cleric/oracle 8, druid 8&lt;/h5&gt;&lt;/div&gt;&lt;hr/&gt;&lt;div&gt;&lt;h5&gt;&lt;b&gt;CASTING&lt;/b&gt;&lt;/h5&gt;&lt;/div&gt;&lt;hr/&gt;&lt;div&gt;&lt;h5&gt;&lt;b&gt;Casting Time &lt;/b&gt;1 standard action&lt;/h5&gt;&lt;h5&gt;&lt;b&gt;Components &lt;/b&gt;V, S, DF&lt;/h5&gt;&lt;/div&gt;&lt;hr/&gt;&lt;div&gt;&lt;h5&gt;&lt;b&gt;EFFECT&lt;/b&gt;&lt;/h5&gt;&lt;/div&gt;&lt;hr/&gt;&lt;div&gt;&lt;h5&gt;&lt;b&gt;Range &lt;/b&gt;long (400 ft. + 40 ft./level)&lt;/h5&gt;&lt;h5&gt;&lt;b&gt;Area &lt;/b&gt;80-ft.-radius spread (S)&lt;/h5&gt;&lt;h5&gt;&lt;b&gt;Duration &lt;/b&gt;1 round&lt;/h5&gt;&lt;h5&gt;&lt;b&gt;Saving Throw &lt;/b&gt;see text; &lt;b&gt;Spell Resistance &lt;/b&gt;no&lt;/h5&gt;&lt;/div&gt;&lt;hr/&gt;&lt;div&gt;&lt;h5&gt;&lt;b&gt;DESCRIPTION&lt;/b&gt;&lt;/h5&gt;&lt;/div&gt;&lt;hr/&gt;&lt;div&gt;&lt;h4&gt;&lt;p&gt;When you cast &lt;i&gt;earthquake&lt;/i&gt;, an intense but highly localized tremor rips the ground. The powerful shockwave created by this spell knocks creatures down, collapses structures, opens cracks in the ground, and more. The effect lasts for 1 round, during which time creatures on the ground can't move or attack. A spellcaster on the ground must make a concentration check (DC 20 + spell level) or lose any spell he or she tries to cast. The &lt;i&gt;earthquake&lt;/i&gt; affects all terrain, vegetation, structures, and creatures in the area. The specific effect of an &lt;i&gt;earthquake&lt;/i&gt; spell depends on the nature of the terrain where it is cast.&lt;/p&gt;&lt;p&gt;&lt;i&gt;Cave&lt;/i&gt;, &lt;i&gt;Cave&lt;/i&gt;rn, &lt;i&gt;or Tunnel&lt;/i&gt;: The roof collapses, dealing 8d6 points of damage to any creature caught under the cave-in (Reflex DC 15 half) and pinning that creature beneath the rubble (see below). An &lt;i&gt;earthquake&lt;/i&gt; cast on the roof of a very large cavern could also endanger those outside the actual area but below the falling debris and rubble.&lt;/p&gt;&lt;p&gt;&lt;i&gt;Cliffs&lt;/i&gt;: &lt;i&gt;Earthquake&lt;/i&gt; causes a cliff to crumble, creating a landslide that travels horizontally as far as it falls vertically. Any creature in the path takes 8d6 points of bludgeoning damage (Reflex DC 15 half ) and is pinned beneath the rubble (see below).&lt;/p&gt;&lt;p&gt;&lt;i&gt;Open Ground&lt;/i&gt;: Each creature standing in the area must make a DC 15 Reflex save or fall down. Fissures open in the earth, and every creature on the ground has a 25% chance to fall into one (Reflex DC 20 to avoid a fissure). The fissures are 40 feet deep. At the end of the spell, all fissures grind shut. Treat all trapped creatures as if they were in the bury zone of an avalanche, trapped without air (see Chapter 13 for more details).&lt;/p&gt;&lt;p&gt;&lt;i&gt;Structure&lt;/i&gt;: Any structure standing on open ground takes 100 points of damage, enough to collapse a typical wooden or masonry building, but not a structure built of stone or reinforced masonry.&lt;/p&gt;&lt;p&gt;Hardness does not reduce this damage, nor is it halved as damage dealt to objects normally is. Any creature caught inside a collapsing structure takes 8d6 points of bludgeoning damage (Reflex DC 15 half ) and is pinned beneath the rubble (see below).&lt;/p&gt;&lt;p&gt;&lt;i&gt;River&lt;/i&gt;, &lt;i&gt;Lake&lt;/i&gt;, &lt;i&gt;or Marsh&lt;/i&gt;: Fissures open under the water, draining away the water from that area and forming muddy ground. Soggy marsh or swampland becomes quicksand for the duration of the spell, sucking down creatures and structures. Each creature in the area must make a DC 15 Reflex save or sink down in the mud and quicksand. At the end of the spell, the rest of the body of water rushes in to replace the drained water, possibly drowning those caught in the mud.&lt;/p&gt;&lt;p&gt;&lt;i&gt;Pinned Beneath Rubble&lt;/i&gt;: Any creature pinned beneath rubble takes 1d6 points of nonlethal damage per minute while pinned. If a pinned character falls unconscious, he or she must make a DC 15 Constitution check or take 1d6 points of lethal damage each minute thereafter until freed or dead.&lt;/p&gt;&lt;/h4&gt;&lt;h5&gt;&lt;b&gt;Mythic: &lt;/b&gt;Increase the damage dealt to structures by 10 points of damage per tier. Increase the damage dealt by cave-ins and landslides to 10d8 points of damage. Increase the damage dealt to those pinned beneath rubble to 1d10 points per minute. Add your tier to the DC of concentration checks and Constitution checks attempted as a consequence of this spell.&lt;/h5&gt;&lt;h5&gt;&lt;b&gt;Augmented (8th)&lt;/b&gt;: If you expend two uses of mythic power, the spell lasts for an additional round and the spread's radius increases by 20 feet. Each round this spell is in effect, on your turn you may expend one use of mythic power to continue its duration for 1 round and increase its radius by another 20 feet.&lt;/h5&gt;&lt;/div&gt;</t>
  </si>
  <si>
    <t>Destruction, Earth</t>
  </si>
  <si>
    <t>Intense tremor shakes 80-ft. radius.</t>
  </si>
  <si>
    <t>Deep Earth</t>
  </si>
  <si>
    <t>Increase the damage dealt to structures by 10 points of damage per tier. Increase the damage dealt by cave-ins and landslides to 10d8 points of damage. Increase the damage dealt to those pinned beneath rubble to 1d10 points per minute. Add your tier to the DC of concentration checks and Constitution checks attempted as a consequence of this spell.</t>
  </si>
  <si>
    <t>Augmented (8th): If you expend two uses of mythic power, the spell lasts for an additional round and the spread's radius increases by 20 feet. Each round this spell is in effect, on your turn you may expend one use of mythic power to continue its duration for 1 round and increase its radius by another 20 feet.</t>
  </si>
  <si>
    <t>Elemental Body I</t>
  </si>
  <si>
    <t>V, S, M (the element you plan to assume)</t>
  </si>
  <si>
    <t>1 min/level</t>
  </si>
  <si>
    <t>When you cast this spell, you can assume the form of a Small air, earth, fire, or water elemental. The abilities you gain depend upon the type of elemental into which you change. Elemental abilities based on size, such as burn, vortex, and whirlwind, use the size of the elemental you transform into to determine their effect. Air elemental: If the form you take is that of a Small air elemental, you gain a +2 size bonus to your Dexterity and a +2 natural armor bonus. You also gain fly 60 feet (perfect), darkvision 60 feet, and the ability to create a whirlwind. Earth elemental: If the form you take is that of a Small earth elemental, you gain a +2 size bonus to your Strength and a +4 natural armor bonus. You also gain darkvision 60 feet, the push ability, and the ability to earth glide. Fire elemental: If the form you take is that of a Small fire elemental, you gain a +2 size bonus to your Dexterity and a +2 natural armor bonus. You gain darkvision 60 feet, resist fire 20, vulnerability to cold, and the burn ability. Water elemental: If the form you take is that of a Small water elemental, you gain a +2 size bonus to your Constitution and a +4 natural armor bonus. You also gain swim 60 feet, darkvision 60 feet, the ability to create a vortex, and the ability to breathe water.</t>
  </si>
  <si>
    <t>&lt;p&gt;When you cast this spell, you can assume the form of a Small air, earth, fire, or water elemental. The abilities you gain depend upon the type of elemental into which you change. Elemental abilities based on size, such as burn, vortex, and whirlwind, use the size of the elemental you transform into to determine their effect.&lt;/p&gt;&lt;p&gt;&lt;i&gt;Air elemental&lt;/i&gt;: If the form you take is that of a Small air elemental, you gain a +2 size bonus to your Dexterity and a +2 natural armor bonus. You also gain fly 60 feet (perfect), darkvision 60 feet, and the ability to create a whirlwind.&lt;/p&gt;&lt;p&gt;&lt;i&gt;Earth elemental&lt;/i&gt;: If the form you take is that of a Small earth elemental, you gain a +2 size bonus to your Strength and a +4 natural armor bonus. You also gain darkvision 60 feet, the push ability, and the ability to earth glide.&lt;/p&gt;&lt;p&gt;&lt;i&gt;Fire elemental&lt;/i&gt;: If the form you take is that of a Small fire elemental, you gain a +2 size bonus to your Dexterity and a +2 natural armor bonus. You gain darkvision 60 feet, resist fire 20, vulnerability to cold, and the burn ability.&lt;/p&gt;&lt;p&gt;&lt;i&gt;Water elemental&lt;/i&gt;: If the form you take is that of a Small water elemental, you gain a +2 size bonus to your Constitution and a +4 natural armor bonus. You also gain swim 60 feet, darkvision 60 feet, the ability to create a vortex, and the ability to breathe water.&lt;/p&gt;</t>
  </si>
  <si>
    <t>&lt;link rel="stylesheet"href="PF.css"&gt;&lt;div class="heading"&gt;&lt;p class="alignleft"&gt;Elemental Body I&lt;/p&gt;&lt;div style="clear: both;"&gt;&lt;/div&gt;&lt;/div&gt;&lt;div&gt;&lt;h5&gt;&lt;b&gt;School &lt;/b&gt;transmutation (polymorph); &lt;b&gt;Level &lt;/b&gt;sorcerer/wizard 4, alchemist 4, magus 4&lt;/h5&gt;&lt;h5&gt;&lt;b&gt;Casting Time &lt;/b&gt;1 standard action&lt;/h5&gt;&lt;h5&gt;&lt;b&gt;Components &lt;/b&gt;V, S, M (the element you plan to assume)&lt;/h5&gt;&lt;h5&gt;&lt;b&gt;Range &lt;/b&gt;personal&lt;/h5&gt;&lt;h5&gt;&lt;b&gt;Targets &lt;/b&gt;you&lt;/h5&gt;&lt;h5&gt;&lt;b&gt;Duration &lt;/b&gt;1 min/level (D)&lt;/h5&gt;&lt;/div&gt;&lt;div&gt;&lt;h4&gt;&lt;p&gt;When you cast this spell, you can assume the form of a Small air, earth, fire, or water elemental. The abilities you gain depend upon the type of elemental into which you change. Elemental abilities based on size, such as burn, vortex, and whirlwind, use the size of the elemental you transform into to determine their effect.&lt;/p&gt;&lt;p&gt;&lt;i&gt;Air elemental&lt;/i&gt;: If the form you take is that of a Small air elemental, you gain a +2 size bonus to your Dexterity and a +2 natural armor bonus. You also gain fly 60 feet (perfect), darkvision 60 feet, and the ability to create a whirlwind.&lt;/p&gt;&lt;p&gt;&lt;i&gt;Earth elemental&lt;/i&gt;: If the form you take is that of a Small earth elemental, you gain a +2 size bonus to your Strength and a +4 natural armor bonus. You also gain darkvision 60 feet, the push ability, and the ability to earth glide.&lt;/p&gt;&lt;p&gt;&lt;i&gt;Fire elemental&lt;/i&gt;: If the form you take is that of a Small fire elemental, you gain a +2 size bonus to your Dexterity and a +2 natural armor bonus. You gain darkvision 60 feet, resist fire 20, vulnerability to cold, and the burn ability.&lt;/p&gt;&lt;p&gt;&lt;i&gt;Water elemental&lt;/i&gt;: If the form you take is that of a Small water elemental, you gain a +2 size bonus to your Constitution and a +4 natural armor bonus. You also gain swim 60 feet, darkvision 60 feet, the ability to create a vortex, and the ability to breathe water.&lt;/p&gt;&lt;/h4&gt;&lt;/div&gt;</t>
  </si>
  <si>
    <t> Turns you into a Small elemental.</t>
  </si>
  <si>
    <t>Elemental</t>
  </si>
  <si>
    <t>Elemental Body II</t>
  </si>
  <si>
    <t>This spell functions as elemental body I, except that it also allows you to assume the form of a Medium air, earth, fire, or water elemental. The abilities you gain depend upon the elemental. Air elemental: As elemental body I except that you gain a +4 size bonus to your Dexterity and a +3 natural armor bonus. Earth elemental: As elemental body I except that you gain a +4 size bonus to your Strength and a +5 natural armor bonus. Fire elemental: As elemental body I except that you gain a +4 size bonus to your Dexterity and a +3 natural armor bonus. Water elemental: As elemental body I except that you gain a +4 size bonus to your Constitution and a +5 natural armor bonus.</t>
  </si>
  <si>
    <t>&lt;p&gt;This spell functions as &lt;i&gt;elemental body I&lt;/i&gt;, except that it also allows you to assume the form of a Medium air, earth, fire, or water elemental. The abilities you gain depend upon the elemental.&lt;/p&gt;&lt;p&gt;&lt;i&gt;Air elemental&lt;/i&gt;: As &lt;i&gt;elemental body I&lt;/i&gt; except that you gain a +4 size bonus to your Dexterity and a +3 natural armor bonus.&lt;/p&gt;&lt;p&gt;&lt;i&gt;Earth elemental&lt;/i&gt;: As &lt;i&gt;elemental body I&lt;/i&gt; except that you gain a +4 size bonus to your Strength and a +5 natural armor bonus.&lt;/p&gt;&lt;p&gt;&lt;i&gt;Fire elemental&lt;/i&gt;: As &lt;i&gt;elemental body I&lt;/i&gt; except that you gain a +4 size bonus to your Dexterity and a +3 natural armor bonus.&lt;/p&gt;&lt;p&gt;&lt;i&gt;Water elemental&lt;/i&gt;: As &lt;i&gt;elemental body I&lt;/i&gt; except that you gain a +4 size bonus to your Constitution and a +5 natural armor bonus.&lt;/p&gt;</t>
  </si>
  <si>
    <t>&lt;link rel="stylesheet"href="PF.css"&gt;&lt;div class="heading"&gt;&lt;p class="alignleft"&gt;Elemental Body II&lt;/p&gt;&lt;div style="clear: both;"&gt;&lt;/div&gt;&lt;/div&gt;&lt;div&gt;&lt;h5&gt;&lt;b&gt;School &lt;/b&gt;transmutation (polymorph); &lt;b&gt;Level &lt;/b&gt;sorcerer/wizard 5, alchemist 5, magus 5&lt;/h5&gt;&lt;h5&gt;&lt;b&gt;Casting Time &lt;/b&gt;1 standard action&lt;/h5&gt;&lt;h5&gt;&lt;b&gt;Components &lt;/b&gt;V, S, M (the element you plan to assume)&lt;/h5&gt;&lt;h5&gt;&lt;b&gt;Range &lt;/b&gt;personal&lt;/h5&gt;&lt;h5&gt;&lt;b&gt;Targets &lt;/b&gt;you&lt;/h5&gt;&lt;h5&gt;&lt;b&gt;Duration &lt;/b&gt;1 min/level (D)&lt;/h5&gt;&lt;/div&gt;&lt;div&gt;&lt;h4&gt;&lt;p&gt;This spell functions as &lt;i&gt;elemental body I&lt;/i&gt;, except that it also allows you to assume the form of a Medium air, earth, fire, or water elemental. The abilities you gain depend upon the elemental.&lt;/p&gt;&lt;p&gt;&lt;i&gt;Air elemental&lt;/i&gt;: As &lt;i&gt;elemental body I&lt;/i&gt; except that you gain a +4 size bonus to your Dexterity and a +3 natural armor bonus.&lt;/p&gt;&lt;p&gt;&lt;i&gt;Earth elemental&lt;/i&gt;: As &lt;i&gt;elemental body I&lt;/i&gt; except that you gain a +4 size bonus to your Strength and a +5 natural armor bonus.&lt;/p&gt;&lt;p&gt;&lt;i&gt;Fire elemental&lt;/i&gt;: As &lt;i&gt;elemental body I&lt;/i&gt; except that you gain a +4 size bonus to your Dexterity and a +3 natural armor bonus.&lt;/p&gt;&lt;p&gt;&lt;i&gt;Water elemental&lt;/i&gt;: As &lt;i&gt;elemental body I&lt;/i&gt; except that you gain a +4 size bonus to your Constitution and a +5 natural armor bonus.&lt;/p&gt;&lt;/h4&gt;&lt;/div&gt;</t>
  </si>
  <si>
    <t> Turns you into a Medium elemental.</t>
  </si>
  <si>
    <t>Elemental Body III</t>
  </si>
  <si>
    <t>This spell functions as elemental body II, except that it also allows you to assume the form of a Large air, earth, fire, or water elemental. The abilities you gain depend upon the type of elemental into which you change. You are also immune to critical hits and sneak attacks while in elemental form. Air elemental: As elemental body I except that you gain a +2 size bonus to your Strength, +4 size bonus to your Dexterity, and a +4 natural armor bonus. Earth elemental: As elemental body I except that you gain a +6 size bonus to your Strength, a -2 penalty on your Dexterity, a +2 size bonus to your Constitution, and a +6 natural armor bonus. Fire elemental: As elemental body I except that you gain a +4 size bonus to your Dexterity, a +2 size bonus to your Constitution, and a +4 natural armor bonus. Water elemental: As elemental body I except that you gain a +2 size bonus to your Strength, a -2 penalty on your Dexterity, a +6 size bonus to your Constitution, and a +6 natural armor bonus.</t>
  </si>
  <si>
    <t>&lt;p&gt;This spell functions as &lt;i&gt;elemental body II&lt;/i&gt;, except that it also allows you to assume the form of a Large air, earth, fire, or water elemental. The abilities you gain depend upon the type of elemental into which you change. You are also immune to critical hits and sneak attacks while in elemental form.&lt;/p&gt;&lt;p&gt;&lt;i&gt;Air elemental&lt;/i&gt;: As &lt;i&gt;elemental body I&lt;/i&gt; except that you gain a +2 size bonus to your Strength, +4 size bonus to your Dexterity, and a +4 natural armor bonus.&lt;/p&gt;&lt;p&gt;&lt;i&gt;Earth elemental&lt;/i&gt;: As &lt;i&gt;elemental body I&lt;/i&gt; except that you gain a +6 size bonus to your Strength, a -2 penalty on your Dexterity, a +2 size bonus to your Constitution, and a +6 natural armor bonus.&lt;/p&gt;&lt;p&gt;&lt;i&gt;Fire elemental&lt;/i&gt;: As &lt;i&gt;elemental body I&lt;/i&gt; except that you gain a +4 size bonus to your Dexterity, a +2 size bonus to your Constitution, and a +4 natural armor bonus.&lt;/p&gt;&lt;p&gt;&lt;i&gt;Water elemental&lt;/i&gt;: As &lt;i&gt;elemental body I&lt;/i&gt; except that you gain a +2 size bonus to your Strength, a -2 penalty on your Dexterity, a +6 size bonus to your Constitution, and a +6 natural armor bonus.&lt;/p&gt;</t>
  </si>
  <si>
    <t>&lt;link rel="stylesheet"href="PF.css"&gt;&lt;div class="heading"&gt;&lt;p class="alignleft"&gt;Elemental Body III&lt;/p&gt;&lt;div style="clear: both;"&gt;&lt;/div&gt;&lt;/div&gt;&lt;div&gt;&lt;h5&gt;&lt;b&gt;School &lt;/b&gt;transmutation (polymorph); &lt;b&gt;Level &lt;/b&gt;sorcerer/wizard 6, alchemist 6, magus 6&lt;/h5&gt;&lt;h5&gt;&lt;b&gt;Casting Time &lt;/b&gt;1 standard action&lt;/h5&gt;&lt;h5&gt;&lt;b&gt;Components &lt;/b&gt;V, S, M (the element you plan to assume)&lt;/h5&gt;&lt;h5&gt;&lt;b&gt;Range &lt;/b&gt;personal&lt;/h5&gt;&lt;h5&gt;&lt;b&gt;Targets &lt;/b&gt;you&lt;/h5&gt;&lt;h5&gt;&lt;b&gt;Duration &lt;/b&gt;1 min/level (D)&lt;/h5&gt;&lt;/div&gt;&lt;div&gt;&lt;h4&gt;&lt;p&gt;This spell functions as &lt;i&gt;elemental body II&lt;/i&gt;, except that it also allows you to assume the form of a Large air, earth, fire, or water elemental. The abilities you gain depend upon the type of elemental into which you change. You are also immune to critical hits and sneak attacks while in elemental form.&lt;/p&gt;&lt;p&gt;&lt;i&gt;Air elemental&lt;/i&gt;: As &lt;i&gt;elemental body I&lt;/i&gt; except that you gain a +2 size bonus to your Strength, +4 size bonus to your Dexterity, and a +4 natural armor bonus.&lt;/p&gt;&lt;p&gt;&lt;i&gt;Earth elemental&lt;/i&gt;: As &lt;i&gt;elemental body I&lt;/i&gt; except that you gain a +6 size bonus to your Strength, a -2 penalty on your Dexterity, a +2 size bonus to your Constitution, and a +6 natural armor bonus.&lt;/p&gt;&lt;p&gt;&lt;i&gt;Fire elemental&lt;/i&gt;: As &lt;i&gt;elemental body I&lt;/i&gt; except that you gain a +4 size bonus to your Dexterity, a +2 size bonus to your Constitution, and a +4 natural armor bonus.&lt;/p&gt;&lt;p&gt;&lt;i&gt;Water elemental&lt;/i&gt;: As &lt;i&gt;elemental body I&lt;/i&gt; except that you gain a +2 size bonus to your Strength, a -2 penalty on your Dexterity, a +6 size bonus to your Constitution, and a +6 natural armor bonus.&lt;/p&gt;&lt;/h4&gt;&lt;/div&gt;</t>
  </si>
  <si>
    <t> Turns you into a Large elemental.</t>
  </si>
  <si>
    <t>Elemental, Marid</t>
  </si>
  <si>
    <t>Elemental Body IV</t>
  </si>
  <si>
    <t>This spell functions as elemental body III, except that it also allows you to assume the form of a Huge air, earth, fire, or water elemental. The abilities you gain depend upon the type of elemental into which you change. You are also immune to critical hits and sneak attacks while in elemental form and gain DR 5/-. Air elemental: As elemental body I except that you gain a +4 size bonus to your Strength, +6 size bonus to your Dexterity, and a +4 natural armor bonus. You also gain fly 120 feet (perfect). Earth elemental: As elemental body I except that you gain a +8 size bonus to your Strength, a -2 penalty on your Dexterity, a +4 size bonus to your Constitution, and a +6 natural armor bonus. Fire elemental: As elemental body I except that you gain a +6 size bonus to your Dexterity, a +4 size bonus to your Constitution, and a +4 natural armor bonus. Water elemental: As elemental body I except that you gain a +4 size bonus to your Strength, a -2 penalty on your Dexterity, a +8 size bonus to your Constitution, and a +6 natural armor bonus. You also gain swim 120 feet.</t>
  </si>
  <si>
    <t>&lt;p&gt;This spell functions as &lt;i&gt;elemental body III&lt;/i&gt;, except that it also allows you to assume the form of a Huge air, earth, fire, or water elemental. The abilities you gain depend upon the type of elemental into which you change. You are also immune to critical hits and sneak attacks while in elemental form and gain DR 5/-.&lt;/p&gt;&lt;p&gt;&lt;i&gt;Air elemental&lt;/i&gt;: As &lt;i&gt;elemental body I&lt;/i&gt; except that you gain a +4 size bonus to your Strength, +6 size bonus to your Dexterity, and a +4 natural armor bonus. You also gain fly 120 feet (perfect).&lt;/p&gt;&lt;p&gt;&lt;i&gt;Earth elemental&lt;/i&gt;: As &lt;i&gt;elemental body I&lt;/i&gt; except that you gain a +8 size bonus to your Strength, a -2 penalty on your Dexterity, a +4 size bonus to your Constitution, and a +6 natural armor bonus.&lt;/p&gt;&lt;p&gt;&lt;i&gt;Fire elemental&lt;/i&gt;: As &lt;i&gt;elemental body I&lt;/i&gt; except that you gain a +6 size bonus to your Dexterity, a +4 size bonus to your Constitution, and a +4 natural armor bonus.&lt;/p&gt;&lt;p&gt;&lt;i&gt;Water elemental&lt;/i&gt;: As &lt;i&gt;elemental body I&lt;/i&gt; except that you gain a +4 size bonus to your Strength, a -2 penalty on your Dexterity, a +8 size bonus to your Constitution, and a +6 natural armor bonus. You also gain swim 120 feet.&lt;/p&gt;</t>
  </si>
  <si>
    <t>&lt;link rel="stylesheet"href="PF.css"&gt;&lt;div class="heading"&gt;&lt;p class="alignleft"&gt;Elemental Body IV&lt;/p&gt;&lt;div style="clear: both;"&gt;&lt;/div&gt;&lt;/div&gt;&lt;div&gt;&lt;h5&gt;&lt;b&gt;School &lt;/b&gt;transmutation (polymorph); &lt;b&gt;Level &lt;/b&gt;sorcerer/wizard 7&lt;/h5&gt;&lt;h5&gt;&lt;b&gt;Casting Time &lt;/b&gt;1 standard action&lt;/h5&gt;&lt;h5&gt;&lt;b&gt;Components &lt;/b&gt;V, S, M (the element you plan to assume)&lt;/h5&gt;&lt;h5&gt;&lt;b&gt;Range &lt;/b&gt;personal&lt;/h5&gt;&lt;h5&gt;&lt;b&gt;Targets &lt;/b&gt;you&lt;/h5&gt;&lt;h5&gt;&lt;b&gt;Duration &lt;/b&gt;1 min/level (D)&lt;/h5&gt;&lt;/div&gt;&lt;div&gt;&lt;h4&gt;&lt;p&gt;This spell functions as &lt;i&gt;elemental body III&lt;/i&gt;, except that it also allows you to assume the form of a Huge air, earth, fire, or water elemental. The abilities you gain depend upon the type of elemental into which you change. You are also immune to critical hits and sneak attacks while in elemental form and gain DR 5/-.&lt;/p&gt;&lt;p&gt;&lt;i&gt;Air elemental&lt;/i&gt;: As &lt;i&gt;elemental body I&lt;/i&gt; except that you gain a +4 size bonus to your Strength, +6 size bonus to your Dexterity, and a +4 natural armor bonus. You also gain fly 120 feet (perfect).&lt;/p&gt;&lt;p&gt;&lt;i&gt;Earth elemental&lt;/i&gt;: As &lt;i&gt;elemental body I&lt;/i&gt; except that you gain a +8 size bonus to your Strength, a -2 penalty on your Dexterity, a +4 size bonus to your Constitution, and a +6 natural armor bonus.&lt;/p&gt;&lt;p&gt;&lt;i&gt;Fire elemental&lt;/i&gt;: As &lt;i&gt;elemental body I&lt;/i&gt; except that you gain a +6 size bonus to your Dexterity, a +4 size bonus to your Constitution, and a +4 natural armor bonus.&lt;/p&gt;&lt;p&gt;&lt;i&gt;Water elemental&lt;/i&gt;: As &lt;i&gt;elemental body I&lt;/i&gt; except that you gain a +4 size bonus to your Strength, a -2 penalty on your Dexterity, a +8 size bonus to your Constitution, and a +6 natural armor bonus. You also gain swim 120 feet.&lt;/p&gt;&lt;/h4&gt;&lt;/div&gt;</t>
  </si>
  <si>
    <t>Air, Earth, Fire, Water</t>
  </si>
  <si>
    <t> Turns you into a Huge elemental.</t>
  </si>
  <si>
    <t>Elemental Swarm</t>
  </si>
  <si>
    <t>druid 9, witch 9</t>
  </si>
  <si>
    <t>two or more summoned creatures, no two of which can be more than 30 ft. apart</t>
  </si>
  <si>
    <t>This spell opens a portal to an Elemental Plane and summons elementals from it. A druid can choose any plane (Air, Earth, Fire, or Water); a cleric opens a portal to the plane matching his domain. When the spell is complete, 2d4 Large elementals appear. Ten minutes later, 1d4 Huge elementals appear. Ten minutes after that, one greater elemental appears. Each elemental has maximum hit points per HD. Once these creatures appear, they serve you for the duration of the spell. The elementals obey you explicitly and never attack you, even if someone else manages to gain control over them. You do not need to concentrate to maintain control over the elementals. You can dismiss them singly or in groups at any time. When you use a summoning spell to summon an air, earth, fire, or water creature, it is a spell of that type.</t>
  </si>
  <si>
    <t>&lt;p&gt;This spell opens a portal to an Elemental Plane and summons elementals from it. A druid can choose any plane (Air, Earth, Fire, or Water); a cleric opens a portal to the plane matching his domain.&lt;/p&gt;&lt;p&gt;When the spell is complete, 2d4 Large elementals appear. Ten minutes later, 1d4 Huge elementals appear. Ten minutes after that, one greater elemental appears. Each elemental has maximum hit points per HD. Once these creatures appear, they serve you for the duration of the spell.&lt;/p&gt;&lt;p&gt;The elementals obey you explicitly and never attack you, even if someone else manages to gain control over them. You do not need to concentrate to maintain control over the elementals. You can dismiss them singly or in groups at any time.&lt;/p&gt;&lt;p&gt;When you use a summoning spell to summon an air, earth, fire, or water creature, it is a spell of that type.&lt;/p&gt;</t>
  </si>
  <si>
    <t>&lt;link rel="stylesheet"href="PF.css"&gt;&lt;div class="heading"&gt;&lt;p class="alignleft"&gt;Elemental Swarm&lt;/p&gt;&lt;div style="clear: both;"&gt;&lt;/div&gt;&lt;/div&gt;&lt;div&gt;&lt;h5&gt;&lt;b&gt;School &lt;/b&gt;conjuration (summoning) [see text]; &lt;b&gt;Level &lt;/b&gt;druid 9, witch 9&lt;/h5&gt;&lt;h5&gt;&lt;b&gt;Casting Time &lt;/b&gt;10 minutes&lt;/h5&gt;&lt;h5&gt;&lt;b&gt;Components &lt;/b&gt;V, S&lt;/h5&gt;&lt;h5&gt;&lt;b&gt;Range &lt;/b&gt;medium (100 ft. + 10 ft./level)&lt;/h5&gt;&lt;h5&gt;&lt;b&gt;Effect &lt;/b&gt;two or more summoned creatures, no two of which can be more than 30 ft. apart&lt;/h5&gt;&lt;h5&gt;&lt;b&gt;Duration &lt;/b&gt;10 min./level (D)&lt;/h5&gt;&lt;h5&gt;&lt;b&gt;Saving Throw &lt;/b&gt;none; &lt;b&gt;Spell Resistance &lt;/b&gt;no&lt;/h5&gt;&lt;/div&gt;&lt;div&gt;&lt;h4&gt;&lt;p&gt;This spell opens a portal to an Elemental Plane and summons elementals from it. A druid can choose any plane (Air, Earth, Fire, or Water); a cleric opens a portal to the plane matching his domain.&lt;/p&gt;&lt;p&gt;When the spell is complete, 2d4 Large elementals appear. Ten minutes later, 1d4 Huge elementals appear. Ten minutes after that, one greater elemental appears. Each elemental has maximum hit points per HD. Once these creatures appear, they serve you for the duration of the spell.&lt;/p&gt;&lt;p&gt;The elementals obey you explicitly and never attack you, even if someone else manages to gain control over them. You do not need to concentrate to maintain control over the elementals. You can dismiss them singly or in groups at any time.&lt;/p&gt;&lt;p&gt;When you use a summoning spell to summon an air, earth, fire, or water creature, it is a spell of that type.&lt;/p&gt;&lt;/h4&gt;&lt;/div&gt;</t>
  </si>
  <si>
    <t> Summons multiple elementals.</t>
  </si>
  <si>
    <t>Endure Elements</t>
  </si>
  <si>
    <t>cleric/oracle 1, druid 1, paladin 1, ranger 1, sorcerer/wizard 1, alchemist 1, summoner 1</t>
  </si>
  <si>
    <t>A creature protected by endure elements suffers no harm from being in a hot or cold environment. It can exist comfortably in conditions between -50 and 140 degrees Fahrenheit without having to make Fortitude saves. The creature's equipment is likewise protected. Endure elements doesn't provide any protection from fire or cold damage, nor does it protect against other environmental hazards such as smoke, lack of air, and so forth.</t>
  </si>
  <si>
    <t>&lt;p&gt;A creature protected by &lt;i&gt;endure elements&lt;/i&gt; suffers no harm from being in a hot or cold environment. It can exist comfortably in conditions between -50 and 140 degrees Fahrenheit without having to make Fortitude saves. The creature's equipment is likewise protected.&lt;/p&gt;&lt;p&gt;&lt;i&gt;Endure elements&lt;/i&gt; doesn't provide any protection from fire or cold damage, nor does it protect against other environmental hazards such as smoke, lack of air, and so forth.&lt;/p&gt;</t>
  </si>
  <si>
    <t>&lt;link rel="stylesheet"href="PF.css"&gt;&lt;div class="heading"&gt;&lt;p class="alignleft"&gt;Endure Elements&lt;/p&gt;&lt;div style="clear: both;"&gt;&lt;/div&gt;&lt;/div&gt;&lt;div&gt;&lt;h5&gt;&lt;b&gt;School &lt;/b&gt;abjuration; &lt;b&gt;Level &lt;/b&gt;cleric/oracle 1, druid 1, paladin 1, ranger 1, sorcerer/wizard 1, alchemist 1, summoner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&lt;/b&gt;24 hours&lt;/h5&gt;&lt;h5&gt;&lt;b&gt;Saving Throw &lt;/b&gt;Will negates (harmless); &lt;b&gt;Spell Resistance &lt;/b&gt;yes (harmless)&lt;/h5&gt;&lt;/div&gt;&lt;hr/&gt;&lt;div&gt;&lt;h5&gt;&lt;b&gt;DESCRIPTION&lt;/b&gt;&lt;/h5&gt;&lt;/div&gt;&lt;hr/&gt;&lt;div&gt;&lt;h4&gt;&lt;p&gt;A creature protected by &lt;i&gt;endure elements&lt;/i&gt; suffers no harm from being in a hot or cold environment. It can exist comfortably in conditions between -50 and 140 degrees Fahrenheit without having to make Fortitude saves. The creature's equipment is likewise protected.&lt;/p&gt;&lt;p&gt;&lt;i&gt;Endure elements&lt;/i&gt; doesn't provide any protection from fire or cold damage, nor does it protect against other environmental hazards such as smoke, lack of air, and so forth.&lt;/p&gt;&lt;/h4&gt;&lt;h5&gt;&lt;b&gt;Mythic: &lt;/b&gt;The target changes to one creature touched per level. Affected creatures gain cold resistance 5 and fire resistance 5. They're not slowed by snow, and ignore penalties on Perception checks and ranged weapon attacks from hail, rain, sleet, and snow. They treat wind as one category weaker.&lt;/h5&gt;&lt;/div&gt;</t>
  </si>
  <si>
    <t>Sun</t>
  </si>
  <si>
    <t>Exist comfortably in hot or cold regions.</t>
  </si>
  <si>
    <t>Martyred</t>
  </si>
  <si>
    <t>The target changes to one creature touched per level. Affected creatures gain cold resistance 5 and fire resistance 5. They're not slowed by snow, and ignore penalties on Perception checks and ranged weapon attacks from hail, rain, sleet, and snow. They treat wind as one category weaker.</t>
  </si>
  <si>
    <t>Energy Drain</t>
  </si>
  <si>
    <t>cleric 9/oracle 9, sorcerer/wizard 9</t>
  </si>
  <si>
    <t>ray of negative energy</t>
  </si>
  <si>
    <t>Fortitude partial; see text for enervation</t>
  </si>
  <si>
    <t>This spell functions like enervation, except that the creature struck gains 2d4 temporary negative levels. Twenty-four hours after gaining them, the subject must make a Fortitude saving throw (DC = energy drain spell's save DC) for each negative level. If the save succeeds, that negative level is removed. If it fails, that negative level becomes permanent. An undead creature struck by the ray gains 2d4x5 temporary hit points for 1 hour.</t>
  </si>
  <si>
    <t>&lt;p&gt;This spell functions like &lt;i&gt;enervation&lt;/i&gt;, except that the creature struck gains 2d4 temporary negative levels. Twenty-four hours after gaining them, the subject must make a Fortitude saving throw (DC = &lt;i&gt;energy drain&lt;/i&gt; spell's save DC) for each negative level. If the save succeeds, that negative level is removed. If it fails, that negative level becomes permanent.&lt;/p&gt;&lt;p&gt;An undead creature struck by the ray gains 2d4x5 temporary hit points for 1 hour.&lt;/p&gt;</t>
  </si>
  <si>
    <t>&lt;link rel="stylesheet"href="PF.css"&gt;&lt;div class="heading"&gt;&lt;p class="alignleft"&gt;Energy Drain&lt;/p&gt;&lt;div style="clear: both;"&gt;&lt;/div&gt;&lt;/div&gt;&lt;div&gt;&lt;h5&gt;&lt;b&gt;School &lt;/b&gt;necromancy; &lt;b&gt;Level &lt;/b&gt;cleric 9/oracle 9, sorcerer/wizard 9&lt;/h5&gt;&lt;h5&gt;&lt;b&gt;Casting Time &lt;/b&gt;1 standard action&lt;/h5&gt;&lt;h5&gt;&lt;b&gt;Components &lt;/b&gt;V, S&lt;/h5&gt;&lt;h5&gt;&lt;b&gt;Range &lt;/b&gt;close (25 ft. + 5 ft./2 levels)&lt;/h5&gt;&lt;h5&gt;&lt;b&gt;Effect &lt;/b&gt;ray of negative energy&lt;/h5&gt;&lt;h5&gt;&lt;b&gt;Duration &lt;/b&gt;instantaneous&lt;/h5&gt;&lt;h5&gt;&lt;b&gt;Saving Throw &lt;/b&gt;Fortitude partial; see text for enervation; &lt;b&gt;Spell Resistance &lt;/b&gt;yes&lt;/h5&gt;&lt;/div&gt;&lt;div&gt;&lt;h4&gt;&lt;p&gt;This spell functions like &lt;i&gt;enervation&lt;/i&gt;, except that the creature struck gains 2d4 temporary negative levels. Twenty-four hours after gaining them, the subject must make a Fortitude saving throw (DC = &lt;i&gt;energy drain&lt;/i&gt; spell's save DC) for each negative level. If the save succeeds, that negative level is removed. If it fails, that negative level becomes permanent.&lt;/p&gt;&lt;p&gt;An undead creature struck by the ray gains 2d4x5 temporary hit points for 1 hour.&lt;/p&gt;&lt;/h4&gt;&lt;/div&gt;</t>
  </si>
  <si>
    <t>Loss, Undead</t>
  </si>
  <si>
    <t>Subject gains 2d4 negative levels.</t>
  </si>
  <si>
    <t>Accursed, Undead</t>
  </si>
  <si>
    <t>Enervation</t>
  </si>
  <si>
    <t>sorcerer/wizard 4, witch 4</t>
  </si>
  <si>
    <t>You point your finger and fire a black ray of negative energy that suppresses the life force of any living creature it strikes. You must make a ranged touch attack to hit. If you hit, the subject gains 1d4 temporary negative levels (see Appendix 1). Negative levels stack. Assuming the subject survives, it regains lost levels after a number of hours equal to your caster level (maximum 15 hours). Usually, negative levels have a chance of becoming permanent, but the negative levels from enervation don't last long enough to do so. An undead creature struck by the ray gains 1d4 x 5 temporary hit points for 1 hour.</t>
  </si>
  <si>
    <t>&lt;p&gt;You point your finger and fire a black ray of negative energy that suppresses the life force of any living creature it strikes. You must make a ranged touch attack to hit. If you hit, the subject gains 1d4 temporary negative levels (see Appendix 1). Negative levels stack.&lt;/p&gt;&lt;p&gt;Assuming the subject survives, it regains lost levels after a number of hours equal to your caster level (maximum 15 hours).&lt;/p&gt;&lt;p&gt;Usually, negative levels have a chance of becoming permanent, but the negative levels from &lt;i&gt;enervation&lt;/i&gt; don't last long enough to do so.&lt;/p&gt;&lt;p&gt;An undead creature struck by the ray gains 1d4 x 5 temporary hit points for 1 hour.&lt;/p&gt;</t>
  </si>
  <si>
    <t>&lt;link rel="stylesheet"href="PF.css"&gt;&lt;div class="heading"&gt;&lt;p class="alignleft"&gt;Enervation&lt;/p&gt;&lt;div style="clear: both;"&gt;&lt;/div&gt;&lt;/div&gt;&lt;div&gt;&lt;h5&gt;&lt;b&gt;School &lt;/b&gt;necromancy; &lt;b&gt;Level &lt;/b&gt;sorcerer/wizard 4, witch 4&lt;/h5&gt;&lt;/div&gt;&lt;hr/&gt;&lt;div&gt;&lt;h5&gt;&lt;b&gt;CASTING&lt;/b&gt;&lt;/h5&gt;&lt;/div&gt;&lt;hr/&gt;&lt;div&gt;&lt;h5&gt;&lt;b&gt;Casting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levels)&lt;/h5&gt;&lt;h5&gt;&lt;b&gt;Effect &lt;/b&gt;ray of negative energy&lt;/h5&gt;&lt;h5&gt;&lt;b&gt;Duration &lt;/b&gt;instantaneous&lt;/h5&gt;&lt;h5&gt;&lt;b&gt;Saving Throw &lt;/b&gt;none; &lt;b&gt;Spell Resistance &lt;/b&gt;yes&lt;/h5&gt;&lt;/div&gt;&lt;hr/&gt;&lt;div&gt;&lt;h5&gt;&lt;b&gt;DESCRIPTION&lt;/b&gt;&lt;/h5&gt;&lt;/div&gt;&lt;hr/&gt;&lt;div&gt;&lt;h4&gt;&lt;p&gt;You point your finger and fire a black ray of negative energy that suppresses the life force of any living creature it strikes. You must make a ranged touch attack to hit. If you hit, the subject gains 1d4 temporary negative levels (see Appendix 1). Negative levels stack.&lt;/p&gt;&lt;p&gt;Assuming the subject survives, it regains lost levels after a number of hours equal to your caster level (maximum 15 hours).&lt;/p&gt;&lt;p&gt;Usually, negative levels have a chance of becoming permanent, but the negative levels from &lt;i&gt;enervation&lt;/i&gt; don't last long enough to do so.&lt;/p&gt;&lt;p&gt;An undead creature struck by the ray gains 1d4 x 5 temporary hit points for 1 hour.&lt;/p&gt;&lt;/h4&gt;&lt;h5&gt;&lt;b&gt;Mythic: &lt;/b&gt;The number of negative levels inflicted increases to 1d6, and the target is sickened for 24 hours. An undead creature struck by the ray gains 1d6 x 5 temporary hit points for a number of hours equal to your caster level.&lt;/h5&gt;&lt;h5&gt;&lt;b&gt;Augmented (3rd)&lt;/b&gt;: If you expend two uses of mythic power, any creature attempting to remove the target's negative levels must succeed at a caster level check (DC 10 + your caster level + your tier).&lt;/h5&gt;&lt;/div&gt;</t>
  </si>
  <si>
    <t> Subject gains 1d4 negative levels.</t>
  </si>
  <si>
    <t>The number of negative levels inflicted increases to 1d6, and the target is sickened for 24 hours. An undead creature struck by the ray gains 1d6 x 5 temporary hit points for a number of hours equal to your caster level.</t>
  </si>
  <si>
    <t>Augmented (3rd): If you expend two uses of mythic power, any creature attempting to remove the target's negative levels must succeed at a caster level check (DC 10 + your caster level + your tier).</t>
  </si>
  <si>
    <t>Enlarge Person</t>
  </si>
  <si>
    <t>sorcerer/wizard 1, alchemist 1, summoner 1, witch 1, magus 1</t>
  </si>
  <si>
    <t>V, S, M (powdered iron)</t>
  </si>
  <si>
    <t>This spell causes instant growth of a humanoid creature, doubling its height and multiplying its weight by 8. This increase changes the creature's size category to the next larger one. The target gains a +2 size bonus to Strength, a -2 size penalty to Dexterity (to a minimum of 1), and a -1 penalty on attack rolls and AC due to its increased size. A humanoid creature whose size increases to Large has a space of 10 feet and a natural reach of 10 feet. This spell does not change the target's speed. If insufficient room is available for the desired growth, the creature attains the maximum possible size and may make a Strength check (using its increased Strength) to burst any enclosures in the process. If it fails, it is constrained without harm by the materials enclosing it-the spell cannot be used to crush a creature by increasing its size. All equipment worn or carried by a creature is similarly enlarged by the spell. Melee weapons affected by this spell deal more damage (see page 145). Other magical properties are not affected by this spell. Any enlarged item that leaves an enlarged creature's possession (including a projectile or thrown weapon) instantly returns to its normal size. This means that thrown and projectile weapons deal their normal damage. Magical properties of enlarged items are not increased by this spell. Multiple magical effects that increase size do not stack. Enlarge person counters and dispels reduce person. Enlarge person can be made permanent with a permanency spell.</t>
  </si>
  <si>
    <t>&lt;p&gt;This spell causes instant growth of a humanoid creature, doubling its height and multiplying its weight by 8. This increase changes the creature's size category to the next larger one. The target gains a +2 size bonus to Strength, a -2 size penalty to Dexterity (to a minimum of 1), and a -1 penalty on attack rolls and AC due to its increased size.&lt;/p&gt;&lt;p&gt;A humanoid creature whose size increases to Large has a space of 10 feet and a natural reach of 10 feet. This spell does not change the target's speed.&lt;/p&gt;&lt;p&gt;If insufficient room is available for the desired growth, the creature attains the maximum possible size and may make a Strength check (using its increased Strength) to burst any enclosures in the process. If it fails, it is constrained without harm by the materials enclosing it-the spell cannot be used to crush a creature by increasing its size.&lt;/p&gt;&lt;p&gt;All equipment worn or carried by a creature is similarly &lt;i&gt;enlarged&lt;/i&gt; by the spell. Melee weapons affected by this spell deal more damage (see page 145). Other magical properties are not affected by this spell. Any &lt;i&gt;enlarged&lt;/i&gt; item that leaves an &lt;i&gt;enlarged&lt;/i&gt; creature's possession (including a projectile or thrown weapon) instantly returns to its normal size. This means that thrown and projectile weapons deal their normal damage. Magical properties of &lt;i&gt;enlarged&lt;/i&gt; items are not increased by this spell.&lt;/p&gt;&lt;p&gt;Multiple magical effects that increase size do not stack.&lt;/p&gt;&lt;p&gt;&lt;i&gt;Enlarge person&lt;/i&gt; counters and dispels &lt;i&gt;reduce person&lt;/i&gt;.&lt;/p&gt;&lt;p&gt;&lt;i&gt;Enlarge person&lt;/i&gt; can be made permanent with a &lt;i&gt;permanency&lt;/i&gt; spell.&lt;/p&gt;</t>
  </si>
  <si>
    <t>&lt;link rel="stylesheet"href="PF.css"&gt;&lt;div class="heading"&gt;&lt;p class="alignleft"&gt;Enlarge Person&lt;/p&gt;&lt;div style="clear: both;"&gt;&lt;/div&gt;&lt;/div&gt;&lt;div&gt;&lt;h5&gt;&lt;b&gt;School &lt;/b&gt;transmutation; &lt;b&gt;Level &lt;/b&gt;sorcerer/wizard 1, alchemist 1, summoner 1, witch 1, magus 1&lt;/h5&gt;&lt;/div&gt;&lt;hr/&gt;&lt;div&gt;&lt;h5&gt;&lt;b&gt;CASTING&lt;/b&gt;&lt;/h5&gt;&lt;/div&gt;&lt;hr/&gt;&lt;div&gt;&lt;h5&gt;&lt;b&gt;Casting Time &lt;/b&gt;1 round&lt;/h5&gt;&lt;h5&gt;&lt;b&gt;Components &lt;/b&gt;V, S, M (powdered iron)&lt;/h5&gt;&lt;/div&gt;&lt;hr/&gt;&lt;div&gt;&lt;h5&gt;&lt;b&gt;EFFECT&lt;/b&gt;&lt;/h5&gt;&lt;/div&gt;&lt;hr/&gt;&lt;div&gt;&lt;h5&gt;&lt;b&gt;Range &lt;/b&gt;close (25 ft. + 5 ft./2 levels)&lt;/h5&gt;&lt;h5&gt;&lt;b&gt;Targets &lt;/b&gt;one humanoid creature&lt;/h5&gt;&lt;h5&gt;&lt;b&gt;Duration &lt;/b&gt;1 min./level (D)&lt;/h5&gt;&lt;h5&gt;&lt;b&gt;Saving Throw &lt;/b&gt;Fortitude negates; &lt;b&gt;Spell Resistance &lt;/b&gt;yes&lt;/h5&gt;&lt;/div&gt;&lt;hr/&gt;&lt;div&gt;&lt;h5&gt;&lt;b&gt;DESCRIPTION&lt;/b&gt;&lt;/h5&gt;&lt;/div&gt;&lt;hr/&gt;&lt;div&gt;&lt;h4&gt;&lt;p&gt;This spell causes instant growth of a humanoid creature, doubling its height and multiplying its weight by 8. This increase changes the creature's size category to the next larger one. The target gains a +2 size bonus to Strength, a -2 size penalty to Dexterity (to a minimum of 1), and a -1 penalty on attack rolls and AC due to its increased size.&lt;/p&gt;&lt;p&gt;A humanoid creature whose size increases to Large has a space of 10 feet and a natural reach of 10 feet. This spell does not change the target's speed.&lt;/p&gt;&lt;p&gt;If insufficient room is available for the desired growth, the creature attains the maximum possible size and may make a Strength check (using its increased Strength) to burst any enclosures in the process. If it fails, it is constrained without harm by the materials enclosing it-the spell cannot be used to crush a creature by increasing its size.&lt;/p&gt;&lt;p&gt;All equipment worn or carried by a creature is similarly &lt;i&gt;enlarged&lt;/i&gt; by the spell. Melee weapons affected by this spell deal more damage (see page 145). Other magical properties are not affected by this spell. Any &lt;i&gt;enlarged&lt;/i&gt; item that leaves an &lt;i&gt;enlarged&lt;/i&gt; creature's possession (including a projectile or thrown weapon) instantly returns to its normal size. This means that thrown and projectile weapons deal their normal damage. Magical properties of &lt;i&gt;enlarged&lt;/i&gt; items are not increased by this spell.&lt;/p&gt;&lt;p&gt;Multiple magical effects that increase size do not stack.&lt;/p&gt;&lt;p&gt;&lt;i&gt;Enlarge person&lt;/i&gt; counters and dispels &lt;i&gt;reduce person&lt;/i&gt;.&lt;/p&gt;&lt;p&gt;&lt;i&gt;Enlarge person&lt;/i&gt; can be made permanent with a &lt;i&gt;permanency&lt;/i&gt; spell.&lt;/p&gt;&lt;/h4&gt;&lt;h5&gt;&lt;b&gt;Mythic: &lt;/b&gt;You can increase the target's size by up to two size categories, to a maximum of Huge. If the target grows two sizes, its weight increases by a factor of 25, it gains a +4 size bonus to Strength, and takes a -4 size penalty to Dexterity and a -2 penalty on attack rolls and to AC because of its increased size. A Medium humanoid creature whose size increases to Huge has a space of 15 feet and a natural reach of 10 feet. Mythic enlarge person counters and dispels mythic reduce person.&lt;/h5&gt;&lt;/div&gt;</t>
  </si>
  <si>
    <t>Growth, Strength</t>
  </si>
  <si>
    <t> Humanoid creature doubles in size.</t>
  </si>
  <si>
    <t>Aberrant, Boreal, Efreeti</t>
  </si>
  <si>
    <t>You can increase the target's size by up to two size categories, to a maximum of Huge. If the target grows two sizes, its weight increases by a factor of 25, it gains a +4 size bonus to Strength, and takes a -4 size penalty to Dexterity and a -2 penalty on attack rolls and to AC because of its increased size. A Medium humanoid creature whose size increases to Huge has a space of 15 feet and a natural reach of 10 feet. Mythic enlarge person counters and dispels mythic reduce person.</t>
  </si>
  <si>
    <t>Enlarge Person, Mass</t>
  </si>
  <si>
    <t>sorcerer/wizard 4, summoner 3</t>
  </si>
  <si>
    <t>One humanoid creature/level, no two of which can be more than 30 ft. apart</t>
  </si>
  <si>
    <t>This spell functions like enlarge person, except that it affects multiple creatures.</t>
  </si>
  <si>
    <t>&lt;p&gt;This spell functions like &lt;i&gt;enlarge person&lt;/i&gt;, except that it affects multiple creatures.&lt;/p&gt;</t>
  </si>
  <si>
    <t>&lt;link rel="stylesheet"href="PF.css"&gt;&lt;div class="heading"&gt;&lt;p class="alignleft"&gt;Enlarge Person, Mass&lt;/p&gt;&lt;div style="clear: both;"&gt;&lt;/div&gt;&lt;/div&gt;&lt;div&gt;&lt;h5&gt;&lt;b&gt;School &lt;/b&gt;transmutation; &lt;b&gt;Level &lt;/b&gt;sorcerer/wizard 4, summoner 3&lt;/h5&gt;&lt;/div&gt;&lt;hr/&gt;&lt;div&gt;&lt;h5&gt;&lt;b&gt;CASTING&lt;/b&gt;&lt;/h5&gt;&lt;/div&gt;&lt;hr/&gt;&lt;div&gt;&lt;h5&gt;&lt;b&gt;Casting Time &lt;/b&gt;1 round&lt;/h5&gt;&lt;h5&gt;&lt;b&gt;Components &lt;/b&gt;V, S, M (powdered iron)&lt;/h5&gt;&lt;/div&gt;&lt;hr/&gt;&lt;div&gt;&lt;h5&gt;&lt;b&gt;EFFECT&lt;/b&gt;&lt;/h5&gt;&lt;/div&gt;&lt;hr/&gt;&lt;div&gt;&lt;h5&gt;&lt;b&gt;Range &lt;/b&gt;close (25 ft. + 5 ft./2 levels)&lt;/h5&gt;&lt;h5&gt;&lt;b&gt;Targets &lt;/b&gt;One humanoid creature/level, no two of which can be more than 30 ft. apart&lt;/h5&gt;&lt;h5&gt;&lt;b&gt;Duration &lt;/b&gt;1 min./level (D)&lt;/h5&gt;&lt;h5&gt;&lt;b&gt;Saving Throw &lt;/b&gt;Fortitude negates; &lt;b&gt;Spell Resistance &lt;/b&gt;yes&lt;/h5&gt;&lt;/div&gt;&lt;hr/&gt;&lt;div&gt;&lt;h5&gt;&lt;b&gt;DESCRIPTION&lt;/b&gt;&lt;/h5&gt;&lt;/div&gt;&lt;hr/&gt;&lt;div&gt;&lt;h4&gt;&lt;p&gt;This spell functions like &lt;i&gt;enlarge person&lt;/i&gt;, except that it affects multiple creatures.&lt;/p&gt;&lt;/h4&gt;&lt;/div&gt;</t>
  </si>
  <si>
    <t> 1 humanoid creature/level doubles in size.</t>
  </si>
  <si>
    <t>Entangle</t>
  </si>
  <si>
    <t>plants in a 40-ft.-radius spread</t>
  </si>
  <si>
    <t>Reflex partial; see text</t>
  </si>
  <si>
    <t>This spell causes tall grass, weeds, and other plants to wrap around creatures in the area of effect or those that enter the area. Creatures that fail their save gain the entangled condition. Creatures that make their save can move as normal, but those that remain in the area must save again at the end of your turn. Creatures that move into the area must save immediately. Those that fail must end their movement and gain the entangled condition. Entangled creatures can attempt to break free as a move action, making a Strength or Escape Artist check. The DC for this check is equal to the DC of the spell. The entire area of effect is considered difficult terrain while the effect lasts. If the plants in the area are covered in thorns, those in the area take 1 point of damage each time they fail a save against the entangle or fail a check made to break free. Other effects, depending on the local plants, might be possible at GM discretion.</t>
  </si>
  <si>
    <t>&lt;p&gt;This spell causes tall grass, weeds, and other plants to wrap around creatures in the area of effect or those that enter the area. Creatures that fail their save gain the &lt;i&gt;entangle&lt;/i&gt;d condition. Creatures that make their save can move as normal, but those that remain in the area must save again at the end of your turn. Creatures that move into the area must save immediately. Those that fail must end their movement and gain the &lt;i&gt;entangle&lt;/i&gt;d condition. Entangled creatures can attempt to break free as a move action, making a Strength or Escape Artist check. The DC for this check is equal to the DC of the spell. The entire area of effect is considered difficult terrain while the effect lasts.&lt;/p&gt;&lt;p&gt;If the plants in the area are covered in thorns, those in the area take 1 point of damage each time they fail a save against the &lt;i&gt;entangle&lt;/i&gt; or fail a check made to break free. Other effects, depending on the local plants, might be possible at GM discretion.&lt;/p&gt;</t>
  </si>
  <si>
    <t>&lt;link rel="stylesheet"href="PF.css"&gt;&lt;div class="heading"&gt;&lt;p class="alignleft"&gt;Entangle&lt;/p&gt;&lt;div style="clear: both;"&gt;&lt;/div&gt;&lt;/div&gt;&lt;div&gt;&lt;h5&gt;&lt;b&gt;School &lt;/b&gt;transmutation; &lt;b&gt;Level &lt;/b&gt;druid 1, ranger 1&lt;/h5&gt;&lt;/div&gt;&lt;hr/&gt;&lt;div&gt;&lt;h5&gt;&lt;b&gt;CASTING&lt;/b&gt;&lt;/h5&gt;&lt;/div&gt;&lt;hr/&gt;&lt;div&gt;&lt;h5&gt;&lt;b&gt;Casting Time &lt;/b&gt;1 standard action&lt;/h5&gt;&lt;h5&gt;&lt;b&gt;Components &lt;/b&gt;V, S, DF&lt;/h5&gt;&lt;/div&gt;&lt;hr/&gt;&lt;div&gt;&lt;h5&gt;&lt;b&gt;EFFECT&lt;/b&gt;&lt;/h5&gt;&lt;/div&gt;&lt;hr/&gt;&lt;div&gt;&lt;h5&gt;&lt;b&gt;Range &lt;/b&gt;long (400 ft. + 40 ft./level)&lt;/h5&gt;&lt;h5&gt;&lt;b&gt;Area &lt;/b&gt;plants in a 40-ft.-radius spread&lt;/h5&gt;&lt;h5&gt;&lt;b&gt;Duration &lt;/b&gt;1 min./level (D)&lt;/h5&gt;&lt;h5&gt;&lt;b&gt;Saving Throw &lt;/b&gt;Reflex partial; see text; &lt;b&gt;Spell Resistance &lt;/b&gt;no&lt;/h5&gt;&lt;/div&gt;&lt;hr/&gt;&lt;div&gt;&lt;h5&gt;&lt;b&gt;DESCRIPTION&lt;/b&gt;&lt;/h5&gt;&lt;/div&gt;&lt;hr/&gt;&lt;div&gt;&lt;h4&gt;&lt;p&gt;This spell causes tall grass, weeds, and other plants to wrap around creatures in the area of effect or those that enter the area. Creatures that fail their save gain the &lt;i&gt;entangle&lt;/i&gt;d condition. Creatures that make their save can move as normal, but those that remain in the area must save again at the end of your turn. Creatures that move into the area must save immediately. Those that fail must end their movement and gain the &lt;i&gt;entangle&lt;/i&gt;d condition. Entangled creatures can attempt to break free as a move action, making a Strength or Escape Artist check. The DC for this check is equal to the DC of the spell. The entire area of effect is considered difficult terrain while the effect lasts.&lt;/p&gt;&lt;p&gt;If the plants in the area are covered in thorns, those in the area take 1 point of damage each time they fail a save against the &lt;i&gt;entangle&lt;/i&gt; or fail a check made to break free. Other effects, depending on the local plants, might be possible at GM discretion.&lt;/p&gt;&lt;/h4&gt;&lt;h5&gt;&lt;b&gt;Mythic: &lt;/b&gt;The spell functions in areas without any vegetation, causing plants to spring up out of the ground. These plants can reach creatures that are up to 10 feet in the air. Plants affected or created by the spell sprout thorns that deal 1d6 points of damage each round to creatures in the area.&lt;/h5&gt;&lt;/div&gt;</t>
  </si>
  <si>
    <t>Plants entangle everyone in 40-ft. radius.</t>
  </si>
  <si>
    <t>Fey, Verdant</t>
  </si>
  <si>
    <t>The spell functions in areas without any vegetation, causing plants to spring up out of the ground. These plants can reach creatures that are up to 10 feet in the air. Plants affected or created by the spell sprout thorns that deal 1d6 points of damage each round to creatures in the area.</t>
  </si>
  <si>
    <t>Enthrall</t>
  </si>
  <si>
    <t>language-dependent, mind-affecting, sonic</t>
  </si>
  <si>
    <t>bard 2, cleric 2/oracle 2, witch 2, inquisitor 2</t>
  </si>
  <si>
    <t>any number of creatures</t>
  </si>
  <si>
    <t>1 hour or less</t>
  </si>
  <si>
    <t>If you have the attention of a group of creatures, you can use this spell to hold them enthralled. To cast the spell, you must speak or sing without interruption for 1 full round. Thereafter, those affected give you their undivided attention, ignoring their surroundings. They are considered to have an attitude of friendly while under the effect of the spell. Any potentially affected creature of a race or religion unfriendly to yours gets a +4 bonus on the saving throw. A target with 4 or more HD or with a Wisdom score of 16 or higher remains aware of its surroundings and has an attitude of indifferent. It gains a new saving throw if it witnesses actions that it opposes. The effect lasts as long as you speak or sing, to a maximum of 1 hour. Those enthralled by your words take no action while you speak or sing and for 1d3 rounds thereafter while they discuss the topic or performance. Those entering the area during the performance must also successfully save or become enthralled. The speech ends (but the 1d3-round delay still applies) if you lose concentration or do anything other than speak or sing. If those not enthralled have unfriendly or hostile attitudes toward you, they can collectively make a Charisma check to try to end the spell by jeering and heckling. For this check, use the Charisma bonus of the creature with the highest Charisma in the group; others may make Charisma checks to assist. The heckling ends the spell if this check result beats your Charisma check result. Only one such challenge is allowed per use of the spell. If any member of the audience is attacked or subjected to some other overtly hostile act, the spell ends and the previously enthralled members become immediately unfriendly toward you. Each creature with 4 or more HD or with a Wisdom score of 16 or higher becomes hostile.</t>
  </si>
  <si>
    <t>&lt;p&gt;If you have the attention of a group of creatures, you can use this spell to hold them enthralled. To cast the spell, you must speak or sing without interruption for 1 full round. Thereafter, those affected give you their undivided attention, ignoring their surroundings. They are considered to have an attitude of friendly while under the effect of the spell. Any potentially affected creature of a race or religion unfriendly to yours gets a +4 bonus on the saving throw. A target with 4 or more HD or with a Wisdom score of 16 or higher remains aware of its surroundings and has an attitude of indifferent. It gains a new saving throw if it witnesses actions that it opposes. The effect lasts as long as you speak or sing, to a maximum of 1 hour. Those enthralled by your words take no action while you speak or sing and for 1d3 rounds thereafter while they discuss the topic or performance. Those entering the area during the performance must also successfully save or become enthralled. The speech ends (but the 1d3-round delay still applies) if you lose concentration or do anything other than speak or sing. If those not enthralled have unfriendly or hostile attitudes toward you, they can collectively make a Charisma check to try to end the spell by jeering and heckling. For this check, use the Charisma bonus of the creature with the highest Charisma in the group; others may make Charisma checks to assist. The heckling ends the spell if this check result beats your Charisma check result. Only one such challenge is allowed per use of the spell. If any member of the audience is attacked or subjected to some other overtly hostile act, the spell ends and the previously enthralled members become immediately unfriendly toward you. Each creature with 4 or more HD or with a Wisdom score of 16 or higher becomes hostile.&lt;/p&gt;</t>
  </si>
  <si>
    <t>&lt;link rel="stylesheet"href="PF.css"&gt;&lt;div class="heading"&gt;&lt;p class="alignleft"&gt;Enthrall&lt;/p&gt;&lt;div style="clear: both;"&gt;&lt;/div&gt;&lt;/div&gt;&lt;div&gt;&lt;h5&gt;&lt;b&gt;School &lt;/b&gt;enchantment (charm) [language-dependent, mind-affecting, sonic]; &lt;b&gt;Level &lt;/b&gt;bard 2, cleric 2/oracle 2, witch 2, inquisitor 2&lt;/h5&gt;&lt;/div&gt;&lt;hr/&gt;&lt;div&gt;&lt;h5&gt;&lt;b&gt;CASTING&lt;/b&gt;&lt;/h5&gt;&lt;/div&gt;&lt;hr/&gt;&lt;div&gt;&lt;h5&gt;&lt;b&gt;Casting Time &lt;/b&gt;1 round&lt;/h5&gt;&lt;h5&gt;&lt;b&gt;Components &lt;/b&gt;V, S&lt;/h5&gt;&lt;/div&gt;&lt;hr/&gt;&lt;div&gt;&lt;h5&gt;&lt;b&gt;EFFECT&lt;/b&gt;&lt;/h5&gt;&lt;/div&gt;&lt;hr/&gt;&lt;div&gt;&lt;h5&gt;&lt;b&gt;Range &lt;/b&gt;medium (100 ft. + 10 ft./level)&lt;/h5&gt;&lt;h5&gt;&lt;b&gt;Targets &lt;/b&gt;any number of creatures&lt;/h5&gt;&lt;h5&gt;&lt;b&gt;Duration &lt;/b&gt;1 hour or less&lt;/h5&gt;&lt;h5&gt;&lt;b&gt;Saving Throw &lt;/b&gt;Will negates; see text; &lt;b&gt;Spell Resistance &lt;/b&gt;yes&lt;/h5&gt;&lt;/div&gt;&lt;hr/&gt;&lt;div&gt;&lt;h5&gt;&lt;b&gt;DESCRIPTION&lt;/b&gt;&lt;/h5&gt;&lt;/div&gt;&lt;hr/&gt;&lt;div&gt;&lt;h4&gt;&lt;p&gt;If you have the attention of a group of creatures, you can use this spell to hold them enthralled. To cast the spell, you must speak or sing without interruption for 1 full round. Thereafter, those affected give you their undivided attention, ignoring their surroundings. They are considered to have an attitude of friendly while under the effect of the spell. Any potentially affected creature of a race or religion unfriendly to yours gets a +4 bonus on the saving throw. A target with 4 or more HD or with a Wisdom score of 16 or higher remains aware of its surroundings and has an attitude of indifferent. It gains a new saving throw if it witnesses actions that it opposes. The effect lasts as long as you speak or sing, to a maximum of 1 hour. Those enthralled by your words take no action while you speak or sing and for 1d3 rounds thereafter while they discuss the topic or performance. Those entering the area during the performance must also successfully save or become enthralled. The speech ends (but the 1d3-round delay still applies) if you lose concentration or do anything other than speak or sing. If those not enthralled have unfriendly or hostile attitudes toward you, they can collectively make a Charisma check to try to end the spell by jeering and heckling. For this check, use the Charisma bonus of the creature with the highest Charisma in the group; others may make Charisma checks to assist. The heckling ends the spell if this check result beats your Charisma check result. Only one such challenge is allowed per use of the spell. If any member of the audience is attacked or subjected to some other overtly hostile act, the spell ends and the previously enthralled members become immediately unfriendly toward you. Each creature with 4 or more HD or with a Wisdom score of 16 or higher becomes hostile.&lt;/p&gt;&lt;/h4&gt;&lt;/div&gt;</t>
  </si>
  <si>
    <t>Love, Nobility, Revolution</t>
  </si>
  <si>
    <t>Captivates all within 100 ft. + 10 ft./level.</t>
  </si>
  <si>
    <t>Entropic Shield</t>
  </si>
  <si>
    <t>cleric/oracle 1</t>
  </si>
  <si>
    <t>A magical field appears around you, glowing with a chaotic blast of multicolored hues. This field deflects incoming arrows, rays, and other ranged attacks. Each ranged attack directed at you for which the attacker must make an attack roll has a 20% miss chance (similar to the effects of concealment). Other attacks that simply work at a distance are not affected.</t>
  </si>
  <si>
    <t>&lt;p&gt;A magical field appears around you, glowing with a chaotic blast of multicolored hues. This field deflects incoming arrows, rays, and other ranged attacks. Each ranged attack directed at you for which the attacker must make an attack roll has a 20% miss chance (similar to the effects of concealment). Other attacks that simply work at a distance are not affected.&lt;/p&gt;</t>
  </si>
  <si>
    <t>&lt;link rel="stylesheet"href="PF.css"&gt;&lt;div class="heading"&gt;&lt;p class="alignleft"&gt;Entropic Shield&lt;/p&gt;&lt;div style="clear: both;"&gt;&lt;/div&gt;&lt;/div&gt;&lt;div&gt;&lt;h5&gt;&lt;b&gt;School &lt;/b&gt;abjuration; &lt;b&gt;Level &lt;/b&gt;cleric/oracle 1&lt;/h5&gt;&lt;/div&gt;&lt;hr/&gt;&lt;div&gt;&lt;h5&gt;&lt;b&gt;CASTING&lt;/b&gt;&lt;/h5&gt;&lt;/div&gt;&lt;hr/&gt;&lt;div&gt;&lt;h5&gt;&lt;b&gt;Casting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min./level (D)&lt;/h5&gt;&lt;/div&gt;&lt;hr/&gt;&lt;div&gt;&lt;h5&gt;&lt;b&gt;DESCRIPTION&lt;/b&gt;&lt;/h5&gt;&lt;/div&gt;&lt;hr/&gt;&lt;div&gt;&lt;h4&gt;&lt;p&gt;A magical field appears around you, glowing with a chaotic blast of multicolored hues. This field deflects incoming arrows, rays, and other ranged attacks. Each ranged attack directed at you for which the attacker must make an attack roll has a 20% miss chance (similar to the effects of concealment). Other attacks that simply work at a distance are not affected.&lt;/p&gt;&lt;/h4&gt;&lt;h5&gt;&lt;b&gt;Mythic: &lt;/b&gt;When a ranged attack misses because of this spell, there is a 50% chance that the attack is redirected back at the attacker rather than just being deflected harmlessly. The attack uses the same result as the attack roll the attacker made against you.&lt;/h5&gt;&lt;/div&gt;</t>
  </si>
  <si>
    <t> Ranged attacks against you have 20% miss chance.</t>
  </si>
  <si>
    <t>When a ranged attack misses because of this spell, there is a 50% chance that the attack is redirected back at the attacker rather than just being deflected harmlessly. The attack uses the same result as the attack roll the attacker made against you.</t>
  </si>
  <si>
    <t>Erase</t>
  </si>
  <si>
    <t>one scroll or two pages</t>
  </si>
  <si>
    <t>Erase removes writings of either magical or mundane nature from a scroll or from one or two pages of paper, parchment, or similar surfaces. With this spell, you can remove explosive runes, a glyph of warding, a sepia snake sigil, or an arcane mark, but not illusory script or a symbol spell. Nonmagical writing is automatically erased if you touch it and no one else is holding it. Otherwise, the chance of erasing nonmagical writing is 90%. Magic writing must be touched to be erased, and you also must succeed on a caster level check (1d20 + caster level) against DC 15. A natural 1 is always a failure on this check. If you fail to erase explosive runes, a glyph of warding, or a sepia snake sigil, you accidentally activate that writing instead.</t>
  </si>
  <si>
    <t>&lt;p&gt;&lt;i&gt;Erase&lt;/i&gt; removes writings of either magical or mundane nature from a scroll or from one or two pages of paper, parchment, or similar surfaces. With this spell, you can remove &lt;i&gt;&lt;i&gt;explosive runes&lt;/i&gt;,&lt;/i&gt; a &lt;i&gt;&lt;i&gt;glyph of warding&lt;/i&gt;, a &lt;i&gt;sepia snake sigil&lt;/i&gt;,&lt;/i&gt; or an &lt;i&gt;arcane mark&lt;/i&gt;, but not &lt;i&gt;illusory script&lt;/i&gt; or a &lt;i&gt;symbol&lt;/i&gt; spell. Nonmagical writing is automatically erased if you touch it and no one else is holding it. Otherwise, the chance of erasing nonmagical writing is 90%. Magic writing must be touched to be erased, and you also must succeed on a caster level check (1d20 + caster level) against DC 15. A natural 1 is always a failure on this check. If you fail to erase &lt;i&gt;&lt;i&gt;explosive runes&lt;/i&gt;,&lt;/i&gt; a &lt;i&gt;glyph of warding&lt;/i&gt;, or a &lt;i&gt;sepia snake sigil&lt;/i&gt;, you accidentally activate that writing instead.&lt;/p&gt;</t>
  </si>
  <si>
    <t>&lt;link rel="stylesheet"href="PF.css"&gt;&lt;div class="heading"&gt;&lt;p class="alignleft"&gt;Erase&lt;/p&gt;&lt;div style="clear: both;"&gt;&lt;/div&gt;&lt;/div&gt;&lt;div&gt;&lt;h5&gt;&lt;b&gt;School &lt;/b&gt;transmutation; &lt;b&gt;Level &lt;/b&gt;bard 1, sorcerer/wizard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scroll or two pages&lt;/h5&gt;&lt;h5&gt;&lt;b&gt;Duration &lt;/b&gt;instantaneous&lt;/h5&gt;&lt;h5&gt;&lt;b&gt;Saving Throw &lt;/b&gt;see text; &lt;b&gt;Spell Resistance &lt;/b&gt;no&lt;/h5&gt;&lt;/div&gt;&lt;hr/&gt;&lt;div&gt;&lt;h5&gt;&lt;b&gt;DESCRIPTION&lt;/b&gt;&lt;/h5&gt;&lt;/div&gt;&lt;hr/&gt;&lt;div&gt;&lt;h4&gt;&lt;p&gt;&lt;i&gt;Erase&lt;/i&gt; removes writings of either magical or mundane nature from a scroll or from one or two pages of paper, parchment, or similar surfaces. With this spell, you can remove &lt;i&gt;&lt;i&gt;explosive runes&lt;/i&gt;,&lt;/i&gt; a &lt;i&gt;&lt;i&gt;glyph of warding&lt;/i&gt;, a &lt;i&gt;sepia snake sigil&lt;/i&gt;,&lt;/i&gt; or an &lt;i&gt;arcane mark&lt;/i&gt;, but not &lt;i&gt;illusory script&lt;/i&gt; or a &lt;i&gt;symbol&lt;/i&gt; spell. Nonmagical writing is automatically erased if you touch it and no one else is holding it. Otherwise, the chance of erasing nonmagical writing is 90%. Magic writing must be touched to be erased, and you also must succeed on a caster level check (1d20 + caster level) against DC 15. A natural 1 is always a failure on this check. If you fail to erase &lt;i&gt;&lt;i&gt;explosive runes&lt;/i&gt;,&lt;/i&gt; a &lt;i&gt;glyph of warding&lt;/i&gt;, or a &lt;i&gt;sepia snake sigil&lt;/i&gt;, you accidentally activate that writing instead.&lt;/p&gt;&lt;/h4&gt;&lt;/div&gt;</t>
  </si>
  <si>
    <t>Rune</t>
  </si>
  <si>
    <t>Mundane or magical writing vanishes.</t>
  </si>
  <si>
    <t>Ethereal Jaunt</t>
  </si>
  <si>
    <t>cleric 7/oracle 7, sorcerer/wizard 7</t>
  </si>
  <si>
    <t>You become ethereal, along with your equipment. For the duration of the spell, you are in the Ethereal Plane, which overlaps the Material Plane. When the spell expires, you return to material existence. An ethereal creature is invisible, insubstantial, and capable of moving in any direction, even up or down, albeit at half normal speed. As an insubstantial creature, you can move through solid objects, including living creatures. An ethereal creature can see and hear on the Material Plane, but everything looks gray and ephemeral. Sight and hearing onto the Material Plane are limited to 60 feet. Force effects and abjurations affect an ethereal creature normally. Their effects extend onto the Ethereal Plane from the Material Plane, but not vice versa. An ethereal creature can't attack material creatures, and spells you cast while ethereal affect only other ethereal things. Certain material creatures or objects have attacks or effects that work on the Ethereal Plane. Treat other ethereal creatures and ethereal objects as if they were material. If you end the spell and become material while inside a material object (such as a solid wall), you are shunted off to the nearest open space and take 1d6 points of damage per 5 feet that you so travel.</t>
  </si>
  <si>
    <t>&lt;p&gt;You become ethereal, along with your equipment. For the duration of the spell, you are in the Ethereal Plane, which overlaps the Material Plane. When the spell expires, you return to material existence. An ethereal creature is invisible, insubstantial, and capable of moving in any direction, even up or down, albeit at half normal speed. As an insubstantial creature, you can move through solid objects, including living creatures. An ethereal creature can see and hear on the Material Plane, but everything looks gray and ephemeral. Sight and hearing onto the Material Plane are limited to 60 feet. Force effects and abjurations affect an ethereal creature normally. Their effects extend onto the Ethereal Plane from the Material Plane, but not vice versa. An ethereal creature can't attack material creatures, and spells you cast while ethereal affect only other ethereal things. Certain material creatures or objects have attacks or effects that work on the Ethereal Plane. Treat other ethereal creatures and ethereal objects as if they were material. If you end the spell and become material while inside a material object (such as a solid wall), you are shunted off to the nearest open space and take 1d6 points of damage per 5 feet that you so travel.&lt;/p&gt;</t>
  </si>
  <si>
    <t>&lt;link rel="stylesheet"href="PF.css"&gt;&lt;div class="heading"&gt;&lt;p class="alignleft"&gt;Ethereal Jaunt&lt;/p&gt;&lt;div style="clear: both;"&gt;&lt;/div&gt;&lt;/div&gt;&lt;div&gt;&lt;h5&gt;&lt;b&gt;School &lt;/b&gt;transmutation; &lt;b&gt;Level &lt;/b&gt;cleric 7/oracle 7, sorcerer/wizard 7&lt;/h5&gt;&lt;/div&gt;&lt;hr/&gt;&lt;div&gt;&lt;h5&gt;&lt;b&gt;CASTING&lt;/b&gt;&lt;/h5&gt;&lt;/div&gt;&lt;hr/&gt;&lt;div&gt;&lt;h5&gt;&lt;b&gt;Casting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 (D)&lt;/h5&gt;&lt;/div&gt;&lt;hr/&gt;&lt;div&gt;&lt;h5&gt;&lt;b&gt;DESCRIPTION&lt;/b&gt;&lt;/h5&gt;&lt;/div&gt;&lt;hr/&gt;&lt;div&gt;&lt;h4&gt;&lt;p&gt;You become ethereal, along with your equipment. For the duration of the spell, you are in the Ethereal Plane, which overlaps the Material Plane. When the spell expires, you return to material existence. An ethereal creature is invisible, insubstantial, and capable of moving in any direction, even up or down, albeit at half normal speed. As an insubstantial creature, you can move through solid objects, including living creatures. An ethereal creature can see and hear on the Material Plane, but everything looks gray and ephemeral. Sight and hearing onto the Material Plane are limited to 60 feet. Force effects and abjurations affect an ethereal creature normally. Their effects extend onto the Ethereal Plane from the Material Plane, but not vice versa. An ethereal creature can't attack material creatures, and spells you cast while ethereal affect only other ethereal things. Certain material creatures or objects have attacks or effects that work on the Ethereal Plane. Treat other ethereal creatures and ethereal objects as if they were material. If you end the spell and become material while inside a material object (such as a solid wall), you are shunted off to the nearest open space and take 1d6 points of damage per 5 feet that you so travel.&lt;/p&gt;&lt;/h4&gt;&lt;/div&gt;</t>
  </si>
  <si>
    <t>Thievery</t>
  </si>
  <si>
    <t>You become ethereal for 1 round/level.</t>
  </si>
  <si>
    <t>Agility, Boundaries, Spirits</t>
  </si>
  <si>
    <t>Etherealness</t>
  </si>
  <si>
    <t>touch; see text</t>
  </si>
  <si>
    <t>you and one other touched creature per three levels</t>
  </si>
  <si>
    <t>This spell functions like ethereal jaunt, except that you and other willing creatures joined by linked hands (along with their equipment) become ethereal. Besides yourself, you can bring one creature per three caster levels to the Ethereal Plane. Once ethereal, the subjects need not stay together. When the spell expires, all affected creatures on the Ethereal Plane return to material existence.</t>
  </si>
  <si>
    <t>&lt;p&gt;This spell functions like &lt;i&gt;ethereal jaunt,&lt;/i&gt; except that you and other willing creatures joined by linked hands (along with their equipment) become ethereal. Besides yourself, you can bring one creature per three caster levels to the Ethereal Plane. Once ethereal, the subjects need not stay together. When the spell expires, all affected creatures on the Ethereal Plane return to material existence.&lt;/p&gt;</t>
  </si>
  <si>
    <t>&lt;link rel="stylesheet"href="PF.css"&gt;&lt;div class="heading"&gt;&lt;p class="alignleft"&gt;Etherealness&lt;/p&gt;&lt;div style="clear: both;"&gt;&lt;/div&gt;&lt;/div&gt;&lt;div&gt;&lt;h5&gt;&lt;b&gt;School &lt;/b&gt;transmutation; &lt;b&gt;Level &lt;/b&gt;cleric 9/oracle 9, sorcerer/wizard 9&lt;/h5&gt;&lt;/div&gt;&lt;hr/&gt;&lt;div&gt;&lt;h5&gt;&lt;b&gt;CASTING&lt;/b&gt;&lt;/h5&gt;&lt;/div&gt;&lt;hr/&gt;&lt;div&gt;&lt;h5&gt;&lt;b&gt;Casting Time &lt;/b&gt;1 standard action&lt;/h5&gt;&lt;h5&gt;&lt;b&gt;Components &lt;/b&gt;V, S&lt;/h5&gt;&lt;/div&gt;&lt;hr/&gt;&lt;div&gt;&lt;h5&gt;&lt;b&gt;EFFECT&lt;/b&gt;&lt;/h5&gt;&lt;/div&gt;&lt;hr/&gt;&lt;div&gt;&lt;h5&gt;&lt;b&gt;Range &lt;/b&gt;touch; see text&lt;/h5&gt;&lt;h5&gt;&lt;b&gt;Targets &lt;/b&gt;you and one other touched creature per three levels&lt;/h5&gt;&lt;h5&gt;&lt;b&gt;Duration &lt;/b&gt;1 min./level (D)&lt;/h5&gt;&lt;/div&gt;&lt;hr/&gt;&lt;div&gt;&lt;h5&gt;&lt;b&gt;DESCRIPTION&lt;/b&gt;&lt;/h5&gt;&lt;/div&gt;&lt;hr/&gt;&lt;div&gt;&lt;h4&gt;&lt;p&gt;This spell functions like &lt;i&gt;ethereal jaunt,&lt;/i&gt; except that you and other willing creatures joined by linked hands (along with their equipment) become ethereal. Besides yourself, you can bring one creature per three caster levels to the Ethereal Plane. Once ethereal, the subjects need not stay together. When the spell expires, all affected creatures on the Ethereal Plane return to material existence.&lt;/p&gt;&lt;/h4&gt;&lt;/div&gt;</t>
  </si>
  <si>
    <t>Travel to Ethereal Plane with companions.</t>
  </si>
  <si>
    <t>Spirits</t>
  </si>
  <si>
    <t>Expeditious Retreat</t>
  </si>
  <si>
    <t>bard 1, sorcerer/wizard 1, alchemist 1, summoner 1, inquisitor 1, magus 1</t>
  </si>
  <si>
    <t>This spell increases your base land speed by 30 feet. This adjustment is treated as an enhancement bonus. There is no effect on other modes of movement, such as burrow, climb, fly, or swim. As with any effect that increases your speed, this spell affects your jumping distance (see the Acrobatics skill).</t>
  </si>
  <si>
    <t>&lt;p&gt;This spell increases your base land speed by 30 feet. This adjustment is treated as an enhancement bonus. There is no effect on other modes of movement, such as burrow, climb, fly, or swim. As with any effect that increases your speed, this spell affects your jumping distance (see the Acrobatics skill).&lt;/p&gt;</t>
  </si>
  <si>
    <t>&lt;link rel="stylesheet"href="PF.css"&gt;&lt;div class="heading"&gt;&lt;p class="alignleft"&gt;Expeditious Retreat&lt;/p&gt;&lt;div style="clear: both;"&gt;&lt;/div&gt;&lt;/div&gt;&lt;div&gt;&lt;h5&gt;&lt;b&gt;School &lt;/b&gt;transmutation; &lt;b&gt;Level &lt;/b&gt;bard 1, sorcerer/wizard 1, alchemist 1, summoner 1, inquisitor 1, magus 1&lt;/h5&gt;&lt;/div&gt;&lt;hr/&gt;&lt;div&gt;&lt;h5&gt;&lt;b&gt;CASTING&lt;/b&gt;&lt;/h5&gt;&lt;/div&gt;&lt;hr/&gt;&lt;div&gt;&lt;h5&gt;&lt;b&gt;Casting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min./level (D)&lt;/h5&gt;&lt;/div&gt;&lt;hr/&gt;&lt;div&gt;&lt;h5&gt;&lt;b&gt;DESCRIPTION&lt;/b&gt;&lt;/h5&gt;&lt;/div&gt;&lt;hr/&gt;&lt;div&gt;&lt;h4&gt;&lt;p&gt;This spell increases your base land speed by 30 feet. This adjustment is treated as an enhancement bonus. There is no effect on other modes of movement, such as burrow, climb, fly, or swim. As with any effect that increases your speed, this spell affects your jumping distance (see the Acrobatics skill).&lt;/p&gt;&lt;/h4&gt;&lt;h5&gt;&lt;b&gt;Mythic: &lt;/b&gt;The speed bonus from the spell increases to 40 feet. Add your tier to Acrobatics checks to avoid attacks of opportunity from movement, and when your movement provokes an attack of opportunity, add your tier to your AC against that attack.&lt;/h5&gt;&lt;/div&gt;</t>
  </si>
  <si>
    <t>Azata, Exploration</t>
  </si>
  <si>
    <t>Your base land speed increases by 30 ft.</t>
  </si>
  <si>
    <t>The speed bonus from the spell increases to 40 feet. Add your tier to Acrobatics checks to avoid attacks of opportunity from movement, and when your movement provokes an attack of opportunity, add your tier to your AC against that attack.</t>
  </si>
  <si>
    <t>Explosive Runes</t>
  </si>
  <si>
    <t>sorcerer/wizard 3</t>
  </si>
  <si>
    <t>one touched object weighing no more than 10 lbs.</t>
  </si>
  <si>
    <t>permanent until discharged</t>
  </si>
  <si>
    <t>You trace mystic runes upon a book, map, scroll, or similar object bearing written information. The explosive runes detonate when read, dealing 6d6 points of force damage. Anyone next to the explosive runes (close enough to read them) takes the full damage with no saving throw; any other creature within 10 feet of the explosive runes is entitled to a Reflex save for half damage. The object on which the explosive runes were written also takes full damage (no saving throw). You and any characters you specifically instruct can read the protected writing without triggering the explosive runes. Likewise, you can remove the explosive runes whenever desired. Another creature can remove them with a successful dispel magic or erase spell, but attempting to dispel or erase the explosive runes and failing to do so triggers the explosion. Magic traps such as explosive runes are hard to detect and disable. A character with the trapfinding class feature (only) can use Disable Device to thwart explosive runes. The DC to find magic traps using Perception and to disable them is 25 + spell level, or 28 for explosive runes.</t>
  </si>
  <si>
    <t>&lt;p&gt;You trace mystic runes upon a book, map, scroll, or similar object bearing written information. The &lt;i&gt;explosive runes&lt;/i&gt; detonate when read, dealing 6d6 points of force damage. Anyone next to the &lt;i&gt;explosive runes&lt;/i&gt; (close enough to read them) takes the full damage with no saving throw; any other creature within 10 feet of the &lt;i&gt;explosive runes&lt;/i&gt; is entitled to a Reflex save for half damage. The object on which the &lt;i&gt;explosive runes&lt;/i&gt; were written also takes full damage (no saving throw). You and any characters you specifically instruct can read the protected writing without triggering the &lt;i&gt;explosive runes&lt;/i&gt;. Likewise, you can remove the &lt;i&gt;explosive runes&lt;/i&gt; whenever desired. Another creature can remove them with a successful &lt;i&gt;dispel magic&lt;/i&gt; or &lt;i&gt;erase&lt;/i&gt; spell, but attempting to dispel or &lt;i&gt;erase&lt;/i&gt; the &lt;i&gt;explosive runes&lt;/i&gt; and failing to do so triggers the explosion. Magic traps such as &lt;i&gt;explosive runes&lt;/i&gt; are hard to detect and disable. A character with the trapfinding class feature (only) can use Disable Device to thwart &lt;i&gt;explosive runes&lt;/i&gt;. The DC to find magic traps using Perception and to disable them is 25 + spell level, or 28 for &lt;i&gt;explosive runes&lt;/i&gt;.&lt;/p&gt;</t>
  </si>
  <si>
    <t>&lt;link rel="stylesheet"href="PF.css"&gt;&lt;div class="heading"&gt;&lt;p class="alignleft"&gt;Explosive Runes&lt;/p&gt;&lt;div style="clear: both;"&gt;&lt;/div&gt;&lt;/div&gt;&lt;div&gt;&lt;h5&gt;&lt;b&gt;School &lt;/b&gt;abjuration [force]; &lt;b&gt;Level &lt;/b&gt;sorcerer/wizard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&lt;/b&gt;one touched object weighing no more than 10 lbs.&lt;/h5&gt;&lt;h5&gt;&lt;b&gt;Duration &lt;/b&gt;permanent until discharged (D)&lt;/h5&gt;&lt;h5&gt;&lt;b&gt;Saving Throw &lt;/b&gt;see text; &lt;b&gt;Spell Resistance &lt;/b&gt;yes&lt;/h5&gt;&lt;/div&gt;&lt;hr/&gt;&lt;div&gt;&lt;h5&gt;&lt;b&gt;DESCRIPTION&lt;/b&gt;&lt;/h5&gt;&lt;/div&gt;&lt;hr/&gt;&lt;div&gt;&lt;h4&gt;&lt;p&gt;You trace mystic runes upon a book, map, scroll, or similar object bearing written information. The &lt;i&gt;explosive runes&lt;/i&gt; detonate when read, dealing 6d6 points of force damage. Anyone next to the &lt;i&gt;explosive runes&lt;/i&gt; (close enough to read them) takes the full damage with no saving throw; any other creature within 10 feet of the &lt;i&gt;explosive runes&lt;/i&gt; is entitled to a Reflex save for half damage. The object on which the &lt;i&gt;explosive runes&lt;/i&gt; were written also takes full damage (no saving throw). You and any characters you specifically instruct can read the protected writing without triggering the &lt;i&gt;explosive runes&lt;/i&gt;. Likewise, you can remove the &lt;i&gt;explosive runes&lt;/i&gt; whenever desired. Another creature can remove them with a successful &lt;i&gt;dispel magic&lt;/i&gt; or &lt;i&gt;erase&lt;/i&gt; spell, but attempting to dispel or &lt;i&gt;erase&lt;/i&gt; the &lt;i&gt;explosive runes&lt;/i&gt; and failing to do so triggers the explosion. Magic traps such as &lt;i&gt;explosive runes&lt;/i&gt; are hard to detect and disable. A character with the trapfinding class feature (only) can use Disable Device to thwart &lt;i&gt;explosive runes&lt;/i&gt;. The DC to find magic traps using Perception and to disable them is 25 + spell level, or 28 for &lt;i&gt;explosive runes&lt;/i&gt;.&lt;/p&gt;&lt;/h4&gt;&lt;/div&gt;</t>
  </si>
  <si>
    <t> Deals 6d6 damage when read.</t>
  </si>
  <si>
    <t>Kobold Sorcerer</t>
  </si>
  <si>
    <t>Eyebite</t>
  </si>
  <si>
    <t>emotion, pain</t>
  </si>
  <si>
    <t>bard 6, sorcerer/wizard 6, alchemist 6, witch 6</t>
  </si>
  <si>
    <t>Each round, you can target a single living creature, striking it with waves of power. Depending on the target's HD, this attack has as many as three effects. HD Effect 10 or more Sickened 5-9 Panicked, sickened 4 or less Comatose, panicked, sickened The effects are cumulative and concurrent. Sickened: Sudden pain and fever sweeps over the subject's body. A creature affected by this spell remains sickened for 10 minutes per caster level. The effects cannot be negated by a remove disease or heal spell, but a remove curse is effective. Panicked: The subject becomes panicked for 1d4 rounds. Even after the panic ends, the creature remains shaken for 10 minutes per caster level, and it automatically becomes panicked again if it comes within sight of you during that time. This is a fear effect. Comatose: The subject falls into a catatonic coma for 10 minutes per caster level. During this time, it cannot be awakened by any means short of dispelling the effect. This is not a sleep effect, and thus elves are not immune to it. You must spend a swift action each round after the first to target a foe.</t>
  </si>
  <si>
    <t>&lt;p&gt;Each round, you can target a single living creature, striking it with waves of power. Depending on the target's HD, this attack has as many as three effects. &lt;table&gt;&lt;tr&gt;&lt;th&gt;hd&lt;/th&gt;&lt;th&gt;Effect&lt;/th&gt;&lt;/tr&gt;&lt;tr&gt;&lt;td&gt;10 or more&lt;/td&gt;&lt;td&gt;Sickened&lt;/td&gt;&lt;/tr&gt;&lt;tr&gt;&lt;td&gt;5-9&lt;/td&gt;&lt;td&gt;Panicked, sickened&lt;/td&gt;&lt;/tr&gt;&lt;tr&gt;&lt;td&gt;4 or less&lt;/td&gt;&lt;td&gt;Comatose, panicked, sickened&lt;/td&gt;&lt;/tr&gt;&lt;/table&gt; The effects are cumulative and concurrent. &lt;i&gt;Sickened:&lt;/i&gt; Sudden pain and fever sweeps over the subject's body. A creature affected by this spell remains sickened for 10 minutes per caster level. The effects cannot be negated by a &lt;i&gt;remove disease&lt;/i&gt; or &lt;i&gt;heal&lt;/i&gt; spell, but a &lt;i&gt;remove curse&lt;/i&gt; is effective. &lt;i&gt;Panicked:&lt;/i&gt; The subject becomes panicked for 1d4 rounds. Even after the panic ends, the creature remains shaken for 10 minutes per caster level, and it automatically becomes panicked again if it comes within sight of you during that time. This is a fear effect. &lt;i&gt;Comatose:&lt;/i&gt; The subject falls into a catatonic coma for 10 minutes per caster level. During this time, it cannot be awakened by any means short of dispelling the effect. This is not a &lt;i&gt;sleep&lt;/i&gt; effect, and thus elves are not immune to it. You must spend a swift action each round after the first to target a foe.&lt;/p&gt;</t>
  </si>
  <si>
    <t>&lt;link rel="stylesheet"href="PF.css"&gt;&lt;div class="heading"&gt;&lt;p class="alignleft"&gt;Eyebite&lt;/p&gt;&lt;div style="clear: both;"&gt;&lt;/div&gt;&lt;/div&gt;&lt;div&gt;&lt;h5&gt;&lt;b&gt;School &lt;/b&gt;necromancy [emotion, pain]; &lt;b&gt;Level &lt;/b&gt;bard 6, sorcerer/wizard 6, alchemist 6, witch 6&lt;/h5&gt;&lt;/div&gt;&lt;hr/&gt;&lt;div&gt;&lt;h5&gt;&lt;b&gt;CASTING&lt;/b&gt;&lt;/h5&gt;&lt;/div&gt;&lt;hr/&gt;&lt;div&gt;&lt;h5&gt;&lt;b&gt;Casting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living creature&lt;/h5&gt;&lt;h5&gt;&lt;b&gt;Duration &lt;/b&gt;1 round/level&lt;/h5&gt;&lt;h5&gt;&lt;b&gt;Saving Throw &lt;/b&gt;Fortitude negates; &lt;b&gt;Spell Resistance &lt;/b&gt;yes&lt;/h5&gt;&lt;/div&gt;&lt;hr/&gt;&lt;div&gt;&lt;h5&gt;&lt;b&gt;DESCRIPTION&lt;/b&gt;&lt;/h5&gt;&lt;/div&gt;&lt;hr/&gt;&lt;div&gt;&lt;h4&gt;&lt;p&gt;Each round, you can target a single living creature, striking it with waves of power. Depending on the target's HD, this attack has as many as three effects. &lt;table&gt;&lt;tr&gt;&lt;th&gt;hd&lt;/th&gt;&lt;th&gt;Effect&lt;/th&gt;&lt;/tr&gt;&lt;tr&gt;&lt;td&gt;10 or more&lt;/td&gt;&lt;td&gt;Sickened&lt;/td&gt;&lt;/tr&gt;&lt;tr&gt;&lt;td&gt;5-9&lt;/td&gt;&lt;td&gt;Panicked, sickened&lt;/td&gt;&lt;/tr&gt;&lt;tr&gt;&lt;td&gt;4 or less&lt;/td&gt;&lt;td&gt;Comatose, panicked, sickened&lt;/td&gt;&lt;/tr&gt;&lt;/table&gt; The effects are cumulative and concurrent. &lt;i&gt;Sickened:&lt;/i&gt; Sudden pain and fever sweeps over the subject's body. A creature affected by this spell remains sickened for 10 minutes per caster level. The effects cannot be negated by a &lt;i&gt;remove disease&lt;/i&gt; or &lt;i&gt;heal&lt;/i&gt; spell, but a &lt;i&gt;remove curse&lt;/i&gt; is effective. &lt;i&gt;Panicked:&lt;/i&gt; The subject becomes panicked for 1d4 rounds. Even after the panic ends, the creature remains shaken for 10 minutes per caster level, and it automatically becomes panicked again if it comes within sight of you during that time. This is a fear effect. &lt;i&gt;Comatose:&lt;/i&gt; The subject falls into a catatonic coma for 10 minutes per caster level. During this time, it cannot be awakened by any means short of dispelling the effect. This is not a &lt;i&gt;sleep&lt;/i&gt; effect, and thus elves are not immune to it. You must spend a swift action each round after the first to target a foe.&lt;/p&gt;&lt;/h4&gt;&lt;/div&gt;</t>
  </si>
  <si>
    <t>Curse, Scalykind</t>
  </si>
  <si>
    <t>Target becomes panicked, sickened, and/or comatose.</t>
  </si>
  <si>
    <t>Accursed, Pestilence</t>
  </si>
  <si>
    <t>Fabricate</t>
  </si>
  <si>
    <t>sorcerer/wizard 5</t>
  </si>
  <si>
    <t>V, S, M (the original material, which costs the same amount as the raw materials required to craft the item to be created)</t>
  </si>
  <si>
    <t>up to 10 cu. ft./level; see text</t>
  </si>
  <si>
    <t>You convert material of one sort into a product that is of the same material. Creatures or magic items cannot be created or transmuted by the fabricate spell. The quality of items made by this spell is commensurate with the quality of material used as the basis for the new fabrication. If you work with a mineral, the target is reduced to 1 cubic foot per level instead of 10 cubic feet. You must make an appropriate Craft check to fabricate articles requiring a high degree of craftsmanship. Casting requires 1 round per 10 cubic feet of material to be affected by the spell.</t>
  </si>
  <si>
    <t>&lt;p&gt;You convert material of one sort into a product that is of the same material. Creatures or magic items cannot be created or transmuted by the &lt;i&gt;fabricate&lt;/i&gt; spell. The quality of items made by this spell is commensurate with the quality of material used as the basis for the new fabrication. If you work with a mineral, the target is reduced to 1 cubic foot per level instead of 10 cubic feet. You must make an appropriate Craft check to &lt;i&gt;fabricate&lt;/i&gt; articles requiring a high degree of craftsmanship. Casting requires 1 round per 10 cubic feet of material to be affected by the spell.&lt;/p&gt;</t>
  </si>
  <si>
    <t>&lt;link rel="stylesheet"href="PF.css"&gt;&lt;div class="heading"&gt;&lt;p class="alignleft"&gt;Fabricate&lt;/p&gt;&lt;div style="clear: both;"&gt;&lt;/div&gt;&lt;/div&gt;&lt;div&gt;&lt;h5&gt;&lt;b&gt;School &lt;/b&gt;transmutation; &lt;b&gt;Level &lt;/b&gt;sorcerer/wizard 5&lt;/h5&gt;&lt;/div&gt;&lt;hr/&gt;&lt;div&gt;&lt;h5&gt;&lt;b&gt;CASTING&lt;/b&gt;&lt;/h5&gt;&lt;/div&gt;&lt;hr/&gt;&lt;div&gt;&lt;h5&gt;&lt;b&gt;Casting Time &lt;/b&gt;see text&lt;/h5&gt;&lt;h5&gt;&lt;b&gt;Components &lt;/b&gt;V, S, M (the original material, which costs the same amount as the raw materials required to craft the item to be created)&lt;/h5&gt;&lt;/div&gt;&lt;hr/&gt;&lt;div&gt;&lt;h5&gt;&lt;b&gt;EFFECT&lt;/b&gt;&lt;/h5&gt;&lt;/div&gt;&lt;hr/&gt;&lt;div&gt;&lt;h5&gt;&lt;b&gt;Range &lt;/b&gt;close (25 ft. + 5 ft./2 levels)&lt;/h5&gt;&lt;h5&gt;&lt;b&gt;Targets &lt;/b&gt;up to 10 cu. ft./level; see text&lt;/h5&gt;&lt;h5&gt;&lt;b&gt;Duration &lt;/b&gt;instantaneous&lt;/h5&gt;&lt;h5&gt;&lt;b&gt;Saving Throw &lt;/b&gt;none; &lt;b&gt;Spell Resistance &lt;/b&gt;no&lt;/h5&gt;&lt;/div&gt;&lt;hr/&gt;&lt;div&gt;&lt;h5&gt;&lt;b&gt;DESCRIPTION&lt;/b&gt;&lt;/h5&gt;&lt;/div&gt;&lt;hr/&gt;&lt;div&gt;&lt;h4&gt;&lt;p&gt;You convert material of one sort into a product that is of the same material. Creatures or magic items cannot be created or transmuted by the &lt;i&gt;fabricate&lt;/i&gt; spell. The quality of items made by this spell is commensurate with the quality of material used as the basis for the new fabrication. If you work with a mineral, the target is reduced to 1 cubic foot per level instead of 10 cubic feet. You must make an appropriate Craft check to &lt;i&gt;fabricate&lt;/i&gt; articles requiring a high degree of craftsmanship. Casting requires 1 round per 10 cubic feet of material to be affected by the spell.&lt;/p&gt;&lt;/h4&gt;&lt;/div&gt;</t>
  </si>
  <si>
    <t> Transforms raw materials into finished items.</t>
  </si>
  <si>
    <t>Faerie Fire</t>
  </si>
  <si>
    <t>druid 1</t>
  </si>
  <si>
    <t>creatures and objects within a 5-ft.-radius burst</t>
  </si>
  <si>
    <t>A pale glow surrounds and outlines the subjects. Outlined subjects shed light as candles. Creatures outlined by faerie fire take a -20 penalty on all Stealth checks. Outlined creatures do not benefit from the concealment normally provided by darkness (though a 2nd-level or higher magical darkness effect functions normally), blur, displacement, invisibility, or similar effects. The light is too dim to have any special effect on undead or dark-dwelling creatures vulnerable to light. The faerie fire can be blue, green, or violet, according to your choice at the time of casting. The faerie fire does not cause any harm to the objects or creatures thus outlined.</t>
  </si>
  <si>
    <t>&lt;p&gt;A pale glow surrounds and outlines the subjects. Outlined subjects shed light as candles. Creatures outlined by &lt;i&gt;faerie fire&lt;/i&gt; take a -20 penalty on all Stealth checks. Outlined creatures do not benefit from the concealment normally provided by &lt;i&gt;darkness&lt;/i&gt; (though a 2nd-level or higher magical &lt;i&gt;darkness&lt;/i&gt; effect functions normally), &lt;i&gt;blur&lt;/i&gt;, &lt;i&gt;displacement&lt;/i&gt;, &lt;i&gt;invisibility&lt;/i&gt;, or similar effects. The light is too dim to have any special effect on undead or dark-dwelling creatures vulnerable to light. The &lt;i&gt;faerie fire&lt;/i&gt; can be blue, green, or violet, according to your choice at the time of casting. The &lt;i&gt;faerie fire&lt;/i&gt; does not cause any harm to the objects or creatures thus outlined.&lt;/p&gt;</t>
  </si>
  <si>
    <t>&lt;link rel="stylesheet"href="PF.css"&gt;&lt;div class="heading"&gt;&lt;p class="alignleft"&gt;Faerie Fire&lt;/p&gt;&lt;div style="clear: both;"&gt;&lt;/div&gt;&lt;/div&gt;&lt;div&gt;&lt;h5&gt;&lt;b&gt;School &lt;/b&gt;evocation [light]; &lt;b&gt;Level &lt;/b&gt;druid 1&lt;/h5&gt;&lt;/div&gt;&lt;hr/&gt;&lt;div&gt;&lt;h5&gt;&lt;b&gt;CASTING&lt;/b&gt;&lt;/h5&gt;&lt;/div&gt;&lt;hr/&gt;&lt;div&gt;&lt;h5&gt;&lt;b&gt;Casting Time &lt;/b&gt;1 standard action&lt;/h5&gt;&lt;h5&gt;&lt;b&gt;Components &lt;/b&gt;V, S, DF&lt;/h5&gt;&lt;/div&gt;&lt;hr/&gt;&lt;div&gt;&lt;h5&gt;&lt;b&gt;EFFECT&lt;/b&gt;&lt;/h5&gt;&lt;/div&gt;&lt;hr/&gt;&lt;div&gt;&lt;h5&gt;&lt;b&gt;Range &lt;/b&gt;long (400 ft. + 40 ft./level)&lt;/h5&gt;&lt;h5&gt;&lt;b&gt;Area &lt;/b&gt;creatures and objects within a 5-ft.-radius burst&lt;/h5&gt;&lt;h5&gt;&lt;b&gt;Duration &lt;/b&gt;1 min./level (D)&lt;/h5&gt;&lt;h5&gt;&lt;b&gt;Saving Throw &lt;/b&gt;none; &lt;b&gt;Spell Resistance &lt;/b&gt;yes&lt;/h5&gt;&lt;/div&gt;&lt;hr/&gt;&lt;div&gt;&lt;h5&gt;&lt;b&gt;DESCRIPTION&lt;/b&gt;&lt;/h5&gt;&lt;/div&gt;&lt;hr/&gt;&lt;div&gt;&lt;h4&gt;&lt;p&gt;A pale glow surrounds and outlines the subjects. Outlined subjects shed light as candles. Creatures outlined by &lt;i&gt;faerie fire&lt;/i&gt; take a -20 penalty on all Stealth checks. Outlined creatures do not benefit from the concealment normally provided by &lt;i&gt;darkness&lt;/i&gt; (though a 2nd-level or higher magical &lt;i&gt;darkness&lt;/i&gt; effect functions normally), &lt;i&gt;blur&lt;/i&gt;, &lt;i&gt;displacement&lt;/i&gt;, &lt;i&gt;invisibility&lt;/i&gt;, or similar effects. The light is too dim to have any special effect on undead or dark-dwelling creatures vulnerable to light. The &lt;i&gt;faerie fire&lt;/i&gt; can be blue, green, or violet, according to your choice at the time of casting. The &lt;i&gt;faerie fire&lt;/i&gt; does not cause any harm to the objects or creatures thus outlined.&lt;/p&gt;&lt;/h4&gt;&lt;h5&gt;&lt;b&gt;Mythic: &lt;/b&gt;Outlined creatures are dazzled. The spell outlines figment illusions in the burst, revealing them as such. This effect applies only to figments with a caster level equal to or less than your tier.&lt;/h5&gt;&lt;h5&gt;&lt;b&gt;Augmented (2nd)&lt;/b&gt;: If you expend two uses of mythic power, each creature in the burst must succeed at a Fortitude save or be blinded for 1 round.&lt;/h5&gt;&lt;/div&gt;</t>
  </si>
  <si>
    <t> Outlines subjects with light, canceling blur, concealment, and the like.</t>
  </si>
  <si>
    <t>Outlined creatures are dazzled. The spell outlines figment illusions in the burst, revealing them as such. This effect applies only to figments with a caster level equal to or less than your tier.</t>
  </si>
  <si>
    <t>Augmented (2nd): If you expend two uses of mythic power, each creature in the burst must succeed at a Fortitude save or be blinded for 1 round.</t>
  </si>
  <si>
    <t>False Life</t>
  </si>
  <si>
    <t>sorcerer/wizard 2, alchemist 2, witch 2</t>
  </si>
  <si>
    <t>V, S, M (a drop of blood)</t>
  </si>
  <si>
    <t>1 hour/level or until discharged; see text</t>
  </si>
  <si>
    <t>You harness the power of unlife to grant yourself a limited ability to avoid death. While this spell is in effect, you gain temporary hit points equal to 1d10 + 1 per caster level (maximum +10).</t>
  </si>
  <si>
    <t>&lt;p&gt;You harness the power of unlife to grant yourself a limited ability to avoid death. While this spell is in effect, you gain temporary hit points equal to 1d10 + 1 per caster level (maximum +10).&lt;/p&gt;</t>
  </si>
  <si>
    <t>&lt;link rel="stylesheet"href="PF.css"&gt;&lt;div class="heading"&gt;&lt;p class="alignleft"&gt;False Life&lt;/p&gt;&lt;div style="clear: both;"&gt;&lt;/div&gt;&lt;/div&gt;&lt;div&gt;&lt;h5&gt;&lt;b&gt;School &lt;/b&gt;necromancy; &lt;b&gt;Level &lt;/b&gt;sorcerer/wizard 2, alchemist 2, witch 2&lt;/h5&gt;&lt;/div&gt;&lt;hr/&gt;&lt;div&gt;&lt;h5&gt;&lt;b&gt;CASTING&lt;/b&gt;&lt;/h5&gt;&lt;/div&gt;&lt;hr/&gt;&lt;div&gt;&lt;h5&gt;&lt;b&gt;Casting Time &lt;/b&gt;1 standard action&lt;/h5&gt;&lt;h5&gt;&lt;b&gt;Components &lt;/b&gt;V, S, M (a drop of blood)&lt;/h5&gt;&lt;/div&gt;&lt;hr/&gt;&lt;div&gt;&lt;h5&gt;&lt;b&gt;EFFECT&lt;/b&gt;&lt;/h5&gt;&lt;/div&gt;&lt;hr/&gt;&lt;div&gt;&lt;h5&gt;&lt;b&gt;Range &lt;/b&gt;personal&lt;/h5&gt;&lt;h5&gt;&lt;b&gt;Targets &lt;/b&gt;you&lt;/h5&gt;&lt;h5&gt;&lt;b&gt;Duration &lt;/b&gt;1 hour/level or until discharged; see text&lt;/h5&gt;&lt;/div&gt;&lt;hr/&gt;&lt;div&gt;&lt;h5&gt;&lt;b&gt;DESCRIPTION&lt;/b&gt;&lt;/h5&gt;&lt;/div&gt;&lt;hr/&gt;&lt;div&gt;&lt;h4&gt;&lt;p&gt;You harness the power of unlife to grant yourself a limited ability to avoid death. While this spell is in effect, you gain temporary hit points equal to 1d10 + 1 per caster level (maximum +10).&lt;/p&gt;&lt;/h4&gt;&lt;/div&gt;</t>
  </si>
  <si>
    <t> Gain 1d10 temporary hp + 1/level (max +10).</t>
  </si>
  <si>
    <t>False Vision</t>
  </si>
  <si>
    <t>bard 5, sorcerer/wizard 5</t>
  </si>
  <si>
    <t>V, S, M (crushed jade worth 250 gp)</t>
  </si>
  <si>
    <t>40-ft.-radius emanation</t>
  </si>
  <si>
    <t>This spell creates a subtle illusion, causing any divination (scrying) spell used to view anything within the area of this spell to instead receive a false image (as the major image spell), as defined by you at the time of casting. As long as the duration lasts, you can concentrate to change the image as desired. While you aren't concentrating, the image remains static.</t>
  </si>
  <si>
    <t>&lt;p&gt;This spell creates a subtle illusion, causing any divination (scrying) spell used to view anything within the area of this spell to instead receive a false image (as the &lt;i&gt;major image&lt;/i&gt; spell), as defined by you at the time of casting. As long as the duration lasts, you can concentrate to change the image as desired. While you aren't concentrating, the image remains static.&lt;/p&gt;</t>
  </si>
  <si>
    <t>&lt;link rel="stylesheet"href="PF.css"&gt;&lt;div class="heading"&gt;&lt;p class="alignleft"&gt;False Vision&lt;/p&gt;&lt;div style="clear: both;"&gt;&lt;/div&gt;&lt;/div&gt;&lt;div&gt;&lt;h5&gt;&lt;b&gt;School &lt;/b&gt;illusion (glamer); &lt;b&gt;Level &lt;/b&gt;bard 5, sorcerer/wizard 5&lt;/h5&gt;&lt;/div&gt;&lt;hr/&gt;&lt;div&gt;&lt;h5&gt;&lt;b&gt;CASTING&lt;/b&gt;&lt;/h5&gt;&lt;/div&gt;&lt;hr/&gt;&lt;div&gt;&lt;h5&gt;&lt;b&gt;Casting Time &lt;/b&gt;1 standard action&lt;/h5&gt;&lt;h5&gt;&lt;b&gt;Components &lt;/b&gt;V, S, M (crushed jade worth 250 gp)&lt;/h5&gt;&lt;/div&gt;&lt;hr/&gt;&lt;div&gt;&lt;h5&gt;&lt;b&gt;EFFECT&lt;/b&gt;&lt;/h5&gt;&lt;/div&gt;&lt;hr/&gt;&lt;div&gt;&lt;h5&gt;&lt;b&gt;Range &lt;/b&gt;touch&lt;/h5&gt;&lt;h5&gt;&lt;b&gt;Area &lt;/b&gt;40-ft.-radius emanation&lt;/h5&gt;&lt;h5&gt;&lt;b&gt;Duration &lt;/b&gt;1 hour/level (D)&lt;/h5&gt;&lt;h5&gt;&lt;b&gt;Saving Throw &lt;/b&gt;none; &lt;b&gt;Spell Resistance &lt;/b&gt;no&lt;/h5&gt;&lt;/div&gt;&lt;hr/&gt;&lt;div&gt;&lt;h5&gt;&lt;b&gt;DESCRIPTION&lt;/b&gt;&lt;/h5&gt;&lt;/div&gt;&lt;hr/&gt;&lt;div&gt;&lt;h4&gt;&lt;p&gt;This spell creates a subtle illusion, causing any divination (scrying) spell used to view anything within the area of this spell to instead receive a false image (as the &lt;i&gt;major image&lt;/i&gt; spell), as defined by you at the time of casting. As long as the duration lasts, you can concentrate to change the image as desired. While you aren't concentrating, the image remains static.&lt;/p&gt;&lt;/h4&gt;&lt;/div&gt;</t>
  </si>
  <si>
    <t>Fools scrying with an illusion.</t>
  </si>
  <si>
    <t>Feather Fall</t>
  </si>
  <si>
    <t>bard 1, sorcerer/wizard 1, summoner 1, magus 1</t>
  </si>
  <si>
    <t>1 immediate action</t>
  </si>
  <si>
    <t>one Medium or smaller freefalling object or creature/level, no two of which may be more than 20 ft. apart</t>
  </si>
  <si>
    <t>until landing or 1 round/level</t>
  </si>
  <si>
    <t>Will negates (harmless) or Will negates (object)</t>
  </si>
  <si>
    <t>The affected creatures or objects fall slowly. Feather fall instantly changes the rate at which the targets fall to a mere 60 feet per round (equivalent to the end of a fall from a few feet), and the subjects take no damage upon landing while the spell is in effect. When the spell duration expires, a normal rate of falling resumes. The spell affects one or more Medium or smaller creatures (including gear and carried objects up to each creature's maximum load) or objects, or the equivalent in larger creatures: a Large creature or object counts as two Medium creatures or objects, a Huge creature or object counts as four Medium creatures or objects, and so forth. This spell has no special effect on ranged weapons unless they are falling quite a distance. If the spell is cast on a falling item, the object does half normal damage based on its weight, with no bonus for the height of the drop. Feather fall works only upon free-falling objects. It does not affect a sword blow or a charging or flying creature.</t>
  </si>
  <si>
    <t>&lt;p&gt;The affected creatures or objects fall slowly. &lt;i&gt;Feather fall&lt;/i&gt; instantly changes the rate at which the targets fall to a mere 60 feet per round (equivalent to the end of a fall from a few feet), and the subjects take no damage upon landing while the spell is in effect. When the spell duration expires, a normal rate of falling resumes.&lt;/p&gt;&lt;p&gt;The spell affects one or more Medium or smaller creatures (including gear and carried objects up to each creature's maximum load) or objects, or the equivalent in larger creatures: a Large creature or object counts as two Medium creatures or objects, a Huge creature or object counts as four Medium creatures or objects, and so forth.&lt;/p&gt;&lt;p&gt;This spell has no special effect on ranged weapons unless they are falling quite a distance. If the spell is cast on a falling item, the object does half normal damage based on its weight, with no bonus for the height of the drop.&lt;/p&gt;&lt;p&gt;&lt;i&gt;Feather fall&lt;/i&gt; works only upon free-falling objects. It does not affect a sword blow or a charging or flying creature.&lt;/p&gt;</t>
  </si>
  <si>
    <t>&lt;link rel="stylesheet"href="PF.css"&gt;&lt;div class="heading"&gt;&lt;p class="alignleft"&gt;Feather Fall&lt;/p&gt;&lt;div style="clear: both;"&gt;&lt;/div&gt;&lt;/div&gt;&lt;div&gt;&lt;h5&gt;&lt;b&gt;School &lt;/b&gt;transmutation; &lt;b&gt;Level &lt;/b&gt;bard 1, sorcerer/wizard 1, summoner 1, magus 1&lt;/h5&gt;&lt;/div&gt;&lt;hr/&gt;&lt;div&gt;&lt;h5&gt;&lt;b&gt;CASTING&lt;/b&gt;&lt;/h5&gt;&lt;/div&gt;&lt;hr/&gt;&lt;div&gt;&lt;h5&gt;&lt;b&gt;Casting Time &lt;/b&gt;1 immediate action&lt;/h5&gt;&lt;h5&gt;&lt;b&gt;Components &lt;/b&gt;V&lt;/h5&gt;&lt;/div&gt;&lt;hr/&gt;&lt;div&gt;&lt;h5&gt;&lt;b&gt;EFFECT&lt;/b&gt;&lt;/h5&gt;&lt;/div&gt;&lt;hr/&gt;&lt;div&gt;&lt;h5&gt;&lt;b&gt;Range &lt;/b&gt;close (25 ft. + 5 ft./2 levels)&lt;/h5&gt;&lt;h5&gt;&lt;b&gt;Targets &lt;/b&gt;one Medium or smaller freefalling object or creature/level, no two of which may be more than 20 ft. apart&lt;/h5&gt;&lt;h5&gt;&lt;b&gt;Duration &lt;/b&gt;until landing or 1 round/level&lt;/h5&gt;&lt;h5&gt;&lt;b&gt;Saving Throw &lt;/b&gt;Will negates (harmless) or Will negates (object); &lt;b&gt;Spell Resistance &lt;/b&gt;yes (object)&lt;/h5&gt;&lt;/div&gt;&lt;hr/&gt;&lt;div&gt;&lt;h5&gt;&lt;b&gt;DESCRIPTION&lt;/b&gt;&lt;/h5&gt;&lt;/div&gt;&lt;hr/&gt;&lt;div&gt;&lt;h4&gt;&lt;p&gt;The affected creatures or objects fall slowly. &lt;i&gt;Feather fall&lt;/i&gt; instantly changes the rate at which the targets fall to a mere 60 feet per round (equivalent to the end of a fall from a few feet), and the subjects take no damage upon landing while the spell is in effect. When the spell duration expires, a normal rate of falling resumes.&lt;/p&gt;&lt;p&gt;The spell affects one or more Medium or smaller creatures (including gear and carried objects up to each creature's maximum load) or objects, or the equivalent in larger creatures: a Large creature or object counts as two Medium creatures or objects, a Huge creature or object counts as four Medium creatures or objects, and so forth.&lt;/p&gt;&lt;p&gt;This spell has no special effect on ranged weapons unless they are falling quite a distance. If the spell is cast on a falling item, the object does half normal damage based on its weight, with no bonus for the height of the drop.&lt;/p&gt;&lt;p&gt;&lt;i&gt;Feather fall&lt;/i&gt; works only upon free-falling objects. It does not affect a sword blow or a charging or flying creature.&lt;/p&gt;&lt;/h4&gt;&lt;h5&gt;&lt;b&gt;Mythic: &lt;/b&gt;The spell affects one additional target per level. The targets don't have to be within 20 feet of each other.&lt;/h5&gt;&lt;h5&gt;&lt;b&gt;Augmented (4th)&lt;/b&gt;: If you expend two uses of mythic power, the spell absorbs the targets' velocity and transforms it into a concussive blast. Targets fall at the normal rate (not slowed) but land safely. When a target lands, it creates a 10-foot-radius burst of force that deals 1d6 points of damage per caster level (maximum 5d6, Reflex half, DC equal to the DC of feather fall). The targets of this spell are unaffected by these concussive blasts.&lt;/h5&gt;&lt;/div&gt;</t>
  </si>
  <si>
    <t>Feather</t>
  </si>
  <si>
    <t>Objects or creatures fall slowly.</t>
  </si>
  <si>
    <t>The spell affects one additional target per level. The targets don't have to be within 20 feet of each other.</t>
  </si>
  <si>
    <t>Augmented (4th): If you expend two uses of mythic power, the spell absorbs the targets' velocity and transforms it into a concussive blast. Targets fall at the normal rate (not slowed) but land safely. When a target lands, it creates a 10-foot-radius burst of force that deals 1d6 points of damage per caster level (maximum 5d6, Reflex half, DC equal to the DC of feather fall). The targets of this spell are unaffected by these concussive blasts.</t>
  </si>
  <si>
    <t>Feeblemind</t>
  </si>
  <si>
    <t>sorcerer/wizard 5, witch 5</t>
  </si>
  <si>
    <t>V, S, M (a handful of clay, crystal, or glass spheres)</t>
  </si>
  <si>
    <t>Target creature's Intelligence and Charisma scores each drop to 1. The affected creature is unable to use Intelligence- or Charismabased skills, cast spells, understand language, or communicate coherently. Still, it knows who its friends are and can follow them and even protect them. The subject remains in this state until a heal, limited wish, miracle, or wish spell is used to cancel the of the feeblemind. A creature that can cast arcane spells, such as a sorcerer or a wizard, takes a -4 penalty on its saving throw.</t>
  </si>
  <si>
    <t>&lt;p&gt;Target creature's Intelligence and Charisma scores each drop to 1. The affected creature is unable to use Intelligence- or Charismabased skills, cast spells, understand language, or communicate coherently. Still, it knows who its friends are and can follow them and even protect them. The subject remains in this state until a heal, limited &lt;i&gt;wish&lt;/i&gt;, miracle, or &lt;i&gt;wish&lt;/i&gt; spell is used to cancel the of the &lt;i&gt;feeblemind.&lt;/i&gt; A creature that can cast arcane spells, such as a sorcerer or a wizard, takes a -4 penalty on its saving throw.&lt;/p&gt;</t>
  </si>
  <si>
    <t>&lt;link rel="stylesheet"href="PF.css"&gt;&lt;div class="heading"&gt;&lt;p class="alignleft"&gt;Feeblemind&lt;/p&gt;&lt;div style="clear: both;"&gt;&lt;/div&gt;&lt;/div&gt;&lt;div&gt;&lt;h5&gt;&lt;b&gt;School &lt;/b&gt;enchantment (compulsion) [mind-affecting]; &lt;b&gt;Level &lt;/b&gt;sorcerer/wizard 5, witch 5&lt;/h5&gt;&lt;/div&gt;&lt;hr/&gt;&lt;div&gt;&lt;h5&gt;&lt;b&gt;CASTING&lt;/b&gt;&lt;/h5&gt;&lt;/div&gt;&lt;hr/&gt;&lt;div&gt;&lt;h5&gt;&lt;b&gt;Casting Time &lt;/b&gt;1 standard action&lt;/h5&gt;&lt;h5&gt;&lt;b&gt;Components &lt;/b&gt;V, S, M (a handful of clay, crystal, or glass spheres)&lt;/h5&gt;&lt;/div&gt;&lt;hr/&gt;&lt;div&gt;&lt;h5&gt;&lt;b&gt;EFFECT&lt;/b&gt;&lt;/h5&gt;&lt;/div&gt;&lt;hr/&gt;&lt;div&gt;&lt;h5&gt;&lt;b&gt;Range &lt;/b&gt;medium (100 ft. + 10 ft./level)&lt;/h5&gt;&lt;h5&gt;&lt;b&gt;Targets &lt;/b&gt;one creature&lt;/h5&gt;&lt;h5&gt;&lt;b&gt;Duration &lt;/b&gt;instantaneous&lt;/h5&gt;&lt;h5&gt;&lt;b&gt;Saving Throw &lt;/b&gt;Will negates; see text; &lt;b&gt;Spell Resistance &lt;/b&gt;yes&lt;/h5&gt;&lt;/div&gt;&lt;hr/&gt;&lt;div&gt;&lt;h5&gt;&lt;b&gt;DESCRIPTION&lt;/b&gt;&lt;/h5&gt;&lt;/div&gt;&lt;hr/&gt;&lt;div&gt;&lt;h4&gt;&lt;p&gt;Target creature's Intelligence and Charisma scores each drop to 1. The affected creature is unable to use Intelligence- or Charismabased skills, cast spells, understand language, or communicate coherently. Still, it knows who its friends are and can follow them and even protect them. The subject remains in this state until a heal, limited &lt;i&gt;wish&lt;/i&gt;, miracle, or &lt;i&gt;wish&lt;/i&gt; spell is used to cancel the of the &lt;i&gt;feeblemind.&lt;/i&gt; A creature that can cast arcane spells, such as a sorcerer or a wizard, takes a -4 penalty on its saving throw.&lt;/p&gt;&lt;/h4&gt;&lt;/div&gt;</t>
  </si>
  <si>
    <t> Subject's Int and Cha drop to 1.</t>
  </si>
  <si>
    <t>Aberrant, Accursed</t>
  </si>
  <si>
    <t>Find the Path</t>
  </si>
  <si>
    <t>bard 6, cleric 6/oracle 6, druid 6, witch 6, inquisitor 6</t>
  </si>
  <si>
    <t>3 rounds</t>
  </si>
  <si>
    <t>V, S, F (a set of divination counters)</t>
  </si>
  <si>
    <t>personal or touch</t>
  </si>
  <si>
    <t>you or creature touched</t>
  </si>
  <si>
    <t>none or Will negates (harmless)</t>
  </si>
  <si>
    <t>no or yes (harmless)</t>
  </si>
  <si>
    <t>The recipient of this spell can find the shortest, most direct physical route to a prominent specified destination, such as a city, keep, lake, or dungeon. The locale can be outdoors or underground, as long as it is prominent. For example, a hunter's cabin is not prominent enough, but a logging camp is. Find the path works with respect to locations, not objects or creatures at a locale. The location must be on the same plane as the subject at the time of casting. The spell enables the subject to sense the correct direction that will eventually lead it to its destination, indicating at appropriate times the exact path to follow or physical actions to take. For example, the spell enables the subject to sense what cavern corridor to take when a choice presents itself. The spell ends when the destination is reached or the duration expires, whichever comes first. Find the path can be used to remove the subject and its companions from the effect of a maze spell in a single round, specifying the destination as "outside the maze." This divination is keyed to the recipient, not its companions, and its effect does not predict or allow for the actions of creatures (including guardians) who might take action to oppose the caster as he follows the path revealed by this spell.</t>
  </si>
  <si>
    <t>&lt;p&gt;The recipient of this spell can find the shortest, most direct physical route to a prominent specified destination, such as a city, keep, lake, or dungeon. The locale can be outdoors or underground, as long as it is prominent. For example, a hunter's cabin is not prominent enough, but a logging camp is. &lt;i&gt;Find the path&lt;/i&gt; works with respect to locations, not objects or creatures at a locale. The location must be on the same plane as the subject at the time of casting. The spell enables the subject to sense the correct direction that will eventually lead it to its destination, indicating at appropriate times the exact path to follow or physical actions to take. For example, the spell enables the subject to sense what cavern corridor to take when a choice presents itself. The spell ends when the destination is reached or the duration expires, whichever comes first. &lt;i&gt;Find the path&lt;/i&gt; can be used to remove the subject and its companions from the effect of a &lt;i&gt;maze&lt;/i&gt; spell in a single round, specifying the destination as "outside the &lt;i&gt;maze&lt;/i&gt;." This divination is keyed to the recipient, not its companions, and its effect does not predict or allow for the actions of creatures (including guardians) who might take action to oppose the caster as he follows the path revealed by this spell.&lt;/p&gt;</t>
  </si>
  <si>
    <t>&lt;link rel="stylesheet"href="PF.css"&gt;&lt;div class="heading"&gt;&lt;p class="alignleft"&gt;Find the Path&lt;/p&gt;&lt;div style="clear: both;"&gt;&lt;/div&gt;&lt;/div&gt;&lt;div&gt;&lt;h5&gt;&lt;b&gt;School &lt;/b&gt;divination; &lt;b&gt;Level &lt;/b&gt;bard 6, cleric 6/oracle 6, druid 6, witch 6, inquisitor 6&lt;/h5&gt;&lt;/div&gt;&lt;hr/&gt;&lt;div&gt;&lt;h5&gt;&lt;b&gt;CASTING&lt;/b&gt;&lt;/h5&gt;&lt;/div&gt;&lt;hr/&gt;&lt;div&gt;&lt;h5&gt;&lt;b&gt;Casting Time &lt;/b&gt;3 rounds&lt;/h5&gt;&lt;h5&gt;&lt;b&gt;Components &lt;/b&gt;V, S, F (a set of divination counters)&lt;/h5&gt;&lt;/div&gt;&lt;hr/&gt;&lt;div&gt;&lt;h5&gt;&lt;b&gt;EFFECT&lt;/b&gt;&lt;/h5&gt;&lt;/div&gt;&lt;hr/&gt;&lt;div&gt;&lt;h5&gt;&lt;b&gt;Range &lt;/b&gt;personal or touch&lt;/h5&gt;&lt;h5&gt;&lt;b&gt;Targets &lt;/b&gt;you or creature touched&lt;/h5&gt;&lt;h5&gt;&lt;b&gt;Duration &lt;/b&gt;10 min./level&lt;/h5&gt;&lt;h5&gt;&lt;b&gt;Saving Throw &lt;/b&gt;none or Will negates (harmless); &lt;b&gt;Spell Resistance &lt;/b&gt;no or yes (harmless)&lt;/h5&gt;&lt;/div&gt;&lt;hr/&gt;&lt;div&gt;&lt;h5&gt;&lt;b&gt;DESCRIPTION&lt;/b&gt;&lt;/h5&gt;&lt;/div&gt;&lt;hr/&gt;&lt;div&gt;&lt;h4&gt;&lt;p&gt;The recipient of this spell can find the shortest, most direct physical route to a prominent specified destination, such as a city, keep, lake, or dungeon. The locale can be outdoors or underground, as long as it is prominent. For example, a hunter's cabin is not prominent enough, but a logging camp is. &lt;i&gt;Find the path&lt;/i&gt; works with respect to locations, not objects or creatures at a locale. The location must be on the same plane as the subject at the time of casting. The spell enables the subject to sense the correct direction that will eventually lead it to its destination, indicating at appropriate times the exact path to follow or physical actions to take. For example, the spell enables the subject to sense what cavern corridor to take when a choice presents itself. The spell ends when the destination is reached or the duration expires, whichever comes first. &lt;i&gt;Find the path&lt;/i&gt; can be used to remove the subject and its companions from the effect of a &lt;i&gt;maze&lt;/i&gt; spell in a single round, specifying the destination as "outside the &lt;i&gt;maze&lt;/i&gt;." This divination is keyed to the recipient, not its companions, and its effect does not predict or allow for the actions of creatures (including guardians) who might take action to oppose the caster as he follows the path revealed by this spell.&lt;/p&gt;&lt;/h4&gt;&lt;/div&gt;</t>
  </si>
  <si>
    <t>Knowledge, Travel</t>
  </si>
  <si>
    <t>Shows most direct way to a location.</t>
  </si>
  <si>
    <t>Find Traps</t>
  </si>
  <si>
    <t>cleric 2/oracle 2, witch 2, inquisitor 2</t>
  </si>
  <si>
    <t>You gain intuitive insight into the workings of traps. You gain an insight bonus equal to 1/2 your caster level (maximum +10) on Perception checks made to find traps while the spell is in effect. You receive a check to notice traps within 10 feet of you, even if you are not actively searching for them. Note that find traps grants no ability to disable the traps that you may find.</t>
  </si>
  <si>
    <t>&lt;p&gt;You gain intuitive insight into the workings of traps. You gain an insight bonus equal to 1/2 your caster level (maximum +10) on Perception checks made to &lt;i&gt;find traps&lt;/i&gt; while the spell is in effect. You receive a check to notice traps within 10 feet of you, even if you are not actively searching for them. Note that &lt;i&gt;find traps&lt;/i&gt; grants no ability to disable the traps that you may find.&lt;/p&gt;</t>
  </si>
  <si>
    <t>&lt;link rel="stylesheet"href="PF.css"&gt;&lt;div class="heading"&gt;&lt;p class="alignleft"&gt;Find Traps&lt;/p&gt;&lt;div style="clear: both;"&gt;&lt;/div&gt;&lt;/div&gt;&lt;div&gt;&lt;h5&gt;&lt;b&gt;School &lt;/b&gt;divination; &lt;b&gt;Level &lt;/b&gt;cleric 2/oracle 2, witch 2, inquisitor 2&lt;/h5&gt;&lt;/div&gt;&lt;hr/&gt;&lt;div&gt;&lt;h5&gt;&lt;b&gt;CASTING&lt;/b&gt;&lt;/h5&gt;&lt;/div&gt;&lt;hr/&gt;&lt;div&gt;&lt;h5&gt;&lt;b&gt;Casting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min./level&lt;/h5&gt;&lt;/div&gt;&lt;hr/&gt;&lt;div&gt;&lt;h5&gt;&lt;b&gt;DESCRIPTION&lt;/b&gt;&lt;/h5&gt;&lt;/div&gt;&lt;hr/&gt;&lt;div&gt;&lt;h4&gt;&lt;p&gt;You gain intuitive insight into the workings of traps. You gain an insight bonus equal to 1/2 your caster level (maximum +10) on Perception checks made to &lt;i&gt;find traps&lt;/i&gt; while the spell is in effect. You receive a check to notice traps within 10 feet of you, even if you are not actively searching for them. Note that &lt;i&gt;find traps&lt;/i&gt; grants no ability to disable the traps that you may find.&lt;/p&gt;&lt;/h4&gt;&lt;/div&gt;</t>
  </si>
  <si>
    <t> Notice traps as a rogue does.</t>
  </si>
  <si>
    <t>Finger Of Death</t>
  </si>
  <si>
    <t>druid 8, sorcerer/wizard 7</t>
  </si>
  <si>
    <t>This spell instantly delivers 10 points of damage per caster level. If the target's Fortitude saving throw succeeds, it instead takes 3d6 points of damage + 1 point per caster level. The subject might die from damage even if it succeeds on its saving throw.</t>
  </si>
  <si>
    <t>&lt;p&gt;This spell instantly delivers 10 points of damage per caster level. If the target's Fortitude saving throw succeeds, it instead takes 3d6 points of damage + 1 point per caster level. The subject might die from damage even if it succeeds on its saving throw.&lt;/p&gt;</t>
  </si>
  <si>
    <t>&lt;link rel="stylesheet"href="PF.css"&gt;&lt;div class="heading"&gt;&lt;p class="alignleft"&gt;Finger Of Death&lt;/p&gt;&lt;div style="clear: both;"&gt;&lt;/div&gt;&lt;/div&gt;&lt;div&gt;&lt;h5&gt;&lt;b&gt;School &lt;/b&gt;necromancy [death]; &lt;b&gt;Level &lt;/b&gt;druid 8, sorcerer/wizard 7&lt;/h5&gt;&lt;/div&gt;&lt;hr/&gt;&lt;div&gt;&lt;h5&gt;&lt;b&gt;CASTING&lt;/b&gt;&lt;/h5&gt;&lt;/div&gt;&lt;hr/&gt;&lt;div&gt;&lt;h5&gt;&lt;b&gt;Casting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&lt;/b&gt;instantaneous&lt;/h5&gt;&lt;h5&gt;&lt;b&gt;Saving Throw &lt;/b&gt;Fortitude partial; &lt;b&gt;Spell Resistance &lt;/b&gt;yes&lt;/h5&gt;&lt;/div&gt;&lt;hr/&gt;&lt;div&gt;&lt;h5&gt;&lt;b&gt;DESCRIPTION&lt;/b&gt;&lt;/h5&gt;&lt;/div&gt;&lt;hr/&gt;&lt;div&gt;&lt;h4&gt;&lt;p&gt;This spell instantly delivers 10 points of damage per caster level. If the target's Fortitude saving throw succeeds, it instead takes 3d6 points of damage + 1 point per caster level. The subject might die from damage even if it succeeds on its saving throw.&lt;/p&gt;&lt;/h4&gt;&lt;h5&gt;&lt;b&gt;Mythic: &lt;/b&gt;The damage dealt increases to 15 points of damage per caster level plus 1d8 points of Constitution damage. A creature that succeeds at its saving throw takes 3d8 points of damage + 1 point per caster level, takes 1d4 points of Constitution damage, and is staggered for 1 round.&lt;/h5&gt;&lt;/div&gt;</t>
  </si>
  <si>
    <t>Deals 10 damage/level to one subject.</t>
  </si>
  <si>
    <t>The damage dealt increases to 15 points of damage per caster level plus 1d8 points of Constitution damage. A creature that succeeds at its saving throw takes 3d8 points of damage + 1 point per caster level, takes 1d4 points of Constitution damage, and is staggered for 1 round.</t>
  </si>
  <si>
    <t>Fire Shield</t>
  </si>
  <si>
    <t>fire or cold</t>
  </si>
  <si>
    <t>sorcerer/wizard 4, alchemist 4, summoner 3, magus 4</t>
  </si>
  <si>
    <t>V, S, M (phosphorus for the warm shield; a firefly or glowworm for the chill shield)</t>
  </si>
  <si>
    <t>This spell wreathes you in flame and causes damage to each creature that attacks you in melee. The flames also protect you from either cold-based or fire-based attacks, depending on if you choose cool or warm flames for your fire shield. Any creature striking you with its body or a handheld weapon deals normal damage, but at the same time the attacker takes 1d6 points of damage + 1 point per caster level (maximum +15). This damage is either cold damage (if you choose a chill shield) or fire damage (if you choose a warm shield). If the attacker has spell resistance, it applies to this effect. Creatures wielding melee weapons with reach are not subject to this damage if they attack you. When casting this spell, you appear to immolate yourself, but the flames are thin and wispy, increasing the light level within 10 feet by one step, up to normal light. The color of the flames is blue or green if the chill shield is cast, violet or red if the warm shield is employed. The special powers of each version are as follows. Chill Shield: The flames are cool to the touch. You take only half damage from fire-based attacks. If such an attack allows a Reflex save for half damage, you take no damage on a successful saving throw. Warm Shield: The flames are warm to the touch. You take only half damage from cold-based attacks. If such an attack allows a Reflex save for half damage, you take no damage on a successful saving throw.</t>
  </si>
  <si>
    <t>&lt;p&gt;This spell wreathes you in flame and causes damage to each creature that attacks you in melee. The flames also protect you from either cold-based or fire-based attacks, depending on if you choose cool or &lt;i&gt;warm&lt;/i&gt; flames for your &lt;i&gt;fire shield&lt;/i&gt;.&lt;/p&gt;&lt;p&gt;Any creature striking you with its body or a handheld weapon deals normal damage, but at the same time the attacker takes 1d6 points of damage + 1 point per caster level (maximum +15).&lt;/p&gt;&lt;p&gt;This damage is either cold damage (if you choose a &lt;i&gt;&lt;i&gt;chill&lt;/i&gt; shield)&lt;/i&gt; or fire damage (if you choose a &lt;i&gt;&lt;i&gt;warm&lt;/i&gt; shield&lt;/i&gt;). If the attacker has spell resistance, it applies to this effect. Creatures wielding melee weapons with reach are not subject to this damage if they attack you.&lt;/p&gt;&lt;p&gt;When casting this spell, you appear to immolate yourself, but the flames are thin and wispy, increasing the light level within 10 feet by one step, up to normal light. The color of the flames is blue or green if the &lt;i&gt;chill&lt;/i&gt; shield is cast, violet or red if the &lt;i&gt;&lt;i&gt;warm&lt;/i&gt; shield&lt;/i&gt; is employed. The special powers of each version are as follows.&lt;/p&gt;&lt;p&gt;&lt;i&gt;Chill Shield&lt;/i&gt;: The flames are cool to the touch. You take only half damage from fire-based attacks. If such an attack allows a Reflex save for half damage, you take no damage on a successful saving throw.&lt;/p&gt;&lt;p&gt;&lt;i&gt;Warm Shield&lt;/i&gt;: The flames are &lt;i&gt;warm&lt;/i&gt; to the touch. You take only half damage from cold-based attacks. If such an attack allows a Reflex save for half damage, you take no damage on a successful saving throw.&lt;/p&gt;</t>
  </si>
  <si>
    <t>&lt;link rel="stylesheet"href="PF.css"&gt;&lt;div class="heading"&gt;&lt;p class="alignleft"&gt;Fire Shield&lt;/p&gt;&lt;div style="clear: both;"&gt;&lt;/div&gt;&lt;/div&gt;&lt;div&gt;&lt;h5&gt;&lt;b&gt;School &lt;/b&gt;evocation [fire or cold]; &lt;b&gt;Level &lt;/b&gt;sorcerer/wizard 4, alchemist 4, summoner 3, magus 4&lt;/h5&gt;&lt;/div&gt;&lt;hr/&gt;&lt;div&gt;&lt;h5&gt;&lt;b&gt;CASTING&lt;/b&gt;&lt;/h5&gt;&lt;/div&gt;&lt;hr/&gt;&lt;div&gt;&lt;h5&gt;&lt;b&gt;Casting Time &lt;/b&gt;1 standard action&lt;/h5&gt;&lt;h5&gt;&lt;b&gt;Components &lt;/b&gt;V, S, M (phosphorus for the warm shield; a firefly or glowworm for the chill shield)&lt;/h5&gt;&lt;/div&gt;&lt;hr/&gt;&lt;div&gt;&lt;h5&gt;&lt;b&gt;EFFECT&lt;/b&gt;&lt;/h5&gt;&lt;/div&gt;&lt;hr/&gt;&lt;div&gt;&lt;h5&gt;&lt;b&gt;Range &lt;/b&gt;personal&lt;/h5&gt;&lt;h5&gt;&lt;b&gt;Targets &lt;/b&gt;you&lt;/h5&gt;&lt;h5&gt;&lt;b&gt;Duration &lt;/b&gt;1 round/level (D)&lt;/h5&gt;&lt;/div&gt;&lt;hr/&gt;&lt;div&gt;&lt;h5&gt;&lt;b&gt;DESCRIPTION&lt;/b&gt;&lt;/h5&gt;&lt;/div&gt;&lt;hr/&gt;&lt;div&gt;&lt;h4&gt;&lt;p&gt;This spell wreathes you in flame and causes damage to each creature that attacks you in melee. The flames also protect you from either cold-based or fire-based attacks, depending on if you choose cool or &lt;i&gt;warm&lt;/i&gt; flames for your &lt;i&gt;fire shield&lt;/i&gt;.&lt;/p&gt;&lt;p&gt;Any creature striking you with its body or a handheld weapon deals normal damage, but at the same time the attacker takes 1d6 points of damage + 1 point per caster level (maximum +15).&lt;/p&gt;&lt;p&gt;This damage is either cold damage (if you choose a &lt;i&gt;&lt;i&gt;chill&lt;/i&gt; shield)&lt;/i&gt; or fire damage (if you choose a &lt;i&gt;&lt;i&gt;warm&lt;/i&gt; shield&lt;/i&gt;). If the attacker has spell resistance, it applies to this effect. Creatures wielding melee weapons with reach are not subject to this damage if they attack you.&lt;/p&gt;&lt;p&gt;When casting this spell, you appear to immolate yourself, but the flames are thin and wispy, increasing the light level within 10 feet by one step, up to normal light. The color of the flames is blue or green if the &lt;i&gt;chill&lt;/i&gt; shield is cast, violet or red if the &lt;i&gt;&lt;i&gt;warm&lt;/i&gt; shield&lt;/i&gt; is employed. The special powers of each version are as follows.&lt;/p&gt;&lt;p&gt;&lt;i&gt;Chill Shield&lt;/i&gt;: The flames are cool to the touch. You take only half damage from fire-based attacks. If such an attack allows a Reflex save for half damage, you take no damage on a successful saving throw.&lt;/p&gt;&lt;p&gt;&lt;i&gt;Warm Shield&lt;/i&gt;: The flames are &lt;i&gt;warm&lt;/i&gt; to the touch. You take only half damage from cold-based attacks. If such an attack allows a Reflex save for half damage, you take no damage on a successful saving throw.&lt;/p&gt;&lt;/h4&gt;&lt;h5&gt;&lt;b&gt;Mythic: &lt;/b&gt;The damage dealt to your attackers increases to 1d8 points of damage + 1 point per caster level (maximum +15). A chill shield gives you fire immunity. A warm shield gives you cold immunity.&lt;/h5&gt;&lt;/div&gt;</t>
  </si>
  <si>
    <t>Fire, Sun</t>
  </si>
  <si>
    <t> Creatures attacking you take fire damage; you're protected from heat or cold.</t>
  </si>
  <si>
    <t>The damage dealt to your attackers increases to 1d8 points of damage + 1 point per caster level (maximum +15). A chill shield gives you fire immunity. A warm shield gives you cold immunity.</t>
  </si>
  <si>
    <t>Fire Seeds</t>
  </si>
  <si>
    <t>druid 6</t>
  </si>
  <si>
    <t>V, S, M (acorns or holly berries)</t>
  </si>
  <si>
    <t>up to four acorns or up to eight holly berries</t>
  </si>
  <si>
    <t>10 min./level or until used</t>
  </si>
  <si>
    <t>none or Reflex half; see text</t>
  </si>
  <si>
    <t>Depending on the version of fire seeds you choose, you turn acorns into splash weapons that you or another character can throw, or you turn holly berries into bombs that you can detonate on command. Acorn Grenades: As many as four acorns turn into special thrown splash weapons. An acorn grenade has a range increment of 20 feet. A ranged touch attack roll is required to strike the intended target. Together, the acorns are capable of dealing 1d4 points of fire damage per caster level (maximum 20d4) divided among the acorns as you wish. No acorn can deal more than 10d4 points of damage. Each acorn grenade explodes upon striking any hard surface. In addition to its regular fire damage, all creatures adjacent to the explosion take 1 point of fire damage per die of the explosion. This explosion of fire ignites any combustible materials adjacent to the target. Holly Berry Bombs: You turn as many as eight holly berries into special bombs. The holly berries are usually placed by hand, since they are too light to make effective thrown weapons (they can be tossed only 5 feet). If you are within 200 feet and speak a word of command, each berry instantly bursts into flame, causing 1d8 points of fire damage + 1 point per caster level to every creature in a 5-foot-radius burst and igniting any combustible materials within 5 feet. A creature in the area that makes a successful Reflex saving throw takes only half damage.</t>
  </si>
  <si>
    <t>&lt;p&gt;Depending on the version of &lt;i&gt;fire seeds&lt;/i&gt; you choose, you turn acorns into splash weapons that you or another character can throw, or you turn holly berries into bombs that you can detonate on command.&lt;/p&gt;&lt;p&gt;&lt;i&gt;Acorn Grenades&lt;/i&gt;: As many as four acorns turn into special thrown splash weapons. An acorn grenade has a range increment of 20 feet. A ranged touch attack roll is required to strike the intended target. Together, the acorns are capable of dealing 1d4 points of fire damage per caster level (maximum 20d4) divided among the acorns as you wish. No acorn can deal more than 10d4 points of damage.&lt;/p&gt;&lt;p&gt;Each acorn grenade explodes upon striking any hard surface.&lt;/p&gt;&lt;p&gt;In addition to its regular fire damage, all creatures adjacent to the explosion take 1 point of fire damage per die of the explosion.&lt;/p&gt;&lt;p&gt;This explosion of fire ignites any combustible materials adjacent to the target.&lt;/p&gt;&lt;p&gt;&lt;i&gt;Holly Berry Bombs&lt;/i&gt;: You turn as many as eight holly berries into special bombs. The holly berries are usually placed by hand, since they are too light to make effective thrown weapons (they can be tossed only 5 feet). If you are within 200 feet and speak a word of command, each berry instantly bursts into flame, causing 1d8 points of fire damage + 1 point per caster level to every creature in a 5-foot-radius burst and igniting any combustible materials within 5 feet. A creature in the area that makes a successful Reflex saving throw takes only half damage.&lt;/p&gt;</t>
  </si>
  <si>
    <t>&lt;link rel="stylesheet"href="PF.css"&gt;&lt;div class="heading"&gt;&lt;p class="alignleft"&gt;Fire Seeds&lt;/p&gt;&lt;div style="clear: both;"&gt;&lt;/div&gt;&lt;/div&gt;&lt;div&gt;&lt;h5&gt;&lt;b&gt;School &lt;/b&gt;conjuration (creation) [fire]; &lt;b&gt;Level &lt;/b&gt;druid 6&lt;/h5&gt;&lt;/div&gt;&lt;hr/&gt;&lt;div&gt;&lt;h5&gt;&lt;b&gt;CASTING&lt;/b&gt;&lt;/h5&gt;&lt;/div&gt;&lt;hr/&gt;&lt;div&gt;&lt;h5&gt;&lt;b&gt;Casting Time &lt;/b&gt;1 standard action&lt;/h5&gt;&lt;h5&gt;&lt;b&gt;Components &lt;/b&gt;V, S, M (acorns or holly berries)&lt;/h5&gt;&lt;/div&gt;&lt;hr/&gt;&lt;div&gt;&lt;h5&gt;&lt;b&gt;EFFECT&lt;/b&gt;&lt;/h5&gt;&lt;/div&gt;&lt;hr/&gt;&lt;div&gt;&lt;h5&gt;&lt;b&gt;Range &lt;/b&gt;touch&lt;/h5&gt;&lt;h5&gt;&lt;b&gt;Targets &lt;/b&gt;up to four acorns or up to eight holly berries&lt;/h5&gt;&lt;h5&gt;&lt;b&gt;Duration &lt;/b&gt;10 min./level or until used&lt;/h5&gt;&lt;h5&gt;&lt;b&gt;Saving Throw &lt;/b&gt;none or Reflex half; see text; &lt;b&gt;Spell Resistance &lt;/b&gt;no&lt;/h5&gt;&lt;/div&gt;&lt;hr/&gt;&lt;div&gt;&lt;h5&gt;&lt;b&gt;DESCRIPTION&lt;/b&gt;&lt;/h5&gt;&lt;/div&gt;&lt;hr/&gt;&lt;div&gt;&lt;h4&gt;&lt;p&gt;Depending on the version of &lt;i&gt;fire seeds&lt;/i&gt; you choose, you turn acorns into splash weapons that you or another character can throw, or you turn holly berries into bombs that you can detonate on command.&lt;/p&gt;&lt;p&gt;&lt;i&gt;Acorn Grenades&lt;/i&gt;: As many as four acorns turn into special thrown splash weapons. An acorn grenade has a range increment of 20 feet. A ranged touch attack roll is required to strike the intended target. Together, the acorns are capable of dealing 1d4 points of fire damage per caster level (maximum 20d4) divided among the acorns as you wish. No acorn can deal more than 10d4 points of damage.&lt;/p&gt;&lt;p&gt;Each acorn grenade explodes upon striking any hard surface.&lt;/p&gt;&lt;p&gt;In addition to its regular fire damage, all creatures adjacent to the explosion take 1 point of fire damage per die of the explosion.&lt;/p&gt;&lt;p&gt;This explosion of fire ignites any combustible materials adjacent to the target.&lt;/p&gt;&lt;p&gt;&lt;i&gt;Holly Berry Bombs&lt;/i&gt;: You turn as many as eight holly berries into special bombs. The holly berries are usually placed by hand, since they are too light to make effective thrown weapons (they can be tossed only 5 feet). If you are within 200 feet and speak a word of command, each berry instantly bursts into flame, causing 1d8 points of fire damage + 1 point per caster level to every creature in a 5-foot-radius burst and igniting any combustible materials within 5 feet. A creature in the area that makes a successful Reflex saving throw takes only half damage.&lt;/p&gt;&lt;/h4&gt;&lt;h5&gt;&lt;b&gt;Mythic: &lt;/b&gt;Each acorn's damage increases to 1d6 points of fire damage per caster level (maximum 20d6 for all acorns, no more than 10d6 for any particular acorn). Each holly berry's damage increases to 2d6 points of fire damage + 2 points per caster level. Any creature that fails its Reflex save against an acorn or holly berry catches on fire (Core Rulebook 444), taking 2d6 points of fire damage each round until the fire is extinguished. Attempts to extinguish this fire use the spell's save DC.&lt;/h5&gt;&lt;/div&gt;</t>
  </si>
  <si>
    <t> Acorns and berries become grenades and bombs.</t>
  </si>
  <si>
    <t>Each acorn's damage increases to 1d6 points of fire damage per caster level (maximum 20d6 for all acorns, no more than 10d6 for any particular acorn). Each holly berry's damage increases to 2d6 points of fire damage + 2 points per caster level. Any creature that fails its Reflex save against an acorn or holly berry catches on fire (Core Rulebook 444), taking 2d6 points of fire damage each round until the fire is extinguished. Attempts to extinguish this fire use the spell's save DC.</t>
  </si>
  <si>
    <t>Fire Storm</t>
  </si>
  <si>
    <t>cleric/oracle 8, druid 7</t>
  </si>
  <si>
    <t>two 10-ft. cubes per level (S)</t>
  </si>
  <si>
    <t>When a fire storm spell is cast, the whole area is shot through with sheets of roaring flame. The raging flames do not harm natural vegetation, ground cover, or any plant creatures in the area that you wish to exclude from damage. Any other creature within the area takes 1d6 points of fire damage per caster level (maximum 20d6). Creatures that fail their Reflex save catch on fire, taking 4d6 points of fire damage each round until the flames are extinguished. Extinguishing the flames is a full-round action that requires a DC 20 Reflex save.</t>
  </si>
  <si>
    <t>&lt;p&gt;When a &lt;i&gt;fire storm&lt;/i&gt; spell is cast, the whole area is shot through with sheets of roaring flame. The raging flames do not harm natural vegetation, ground cover, or any plant creatures in the area that you wish to exclude from damage. Any other creature within the area takes 1d6 points of fire damage per caster level (maximum 20d6). Creatures that fail their Reflex save catch on fire, taking 4d6 points of fire damage each round until the flames are extinguished. Extinguishing the flames is a full-round action that requires a DC 20 Reflex save.&lt;/p&gt;</t>
  </si>
  <si>
    <t>&lt;link rel="stylesheet"href="PF.css"&gt;&lt;div class="heading"&gt;&lt;p class="alignleft"&gt;Fire Storm&lt;/p&gt;&lt;div style="clear: both;"&gt;&lt;/div&gt;&lt;/div&gt;&lt;div&gt;&lt;h5&gt;&lt;b&gt;School &lt;/b&gt;evocation [fire]; &lt;b&gt;Level &lt;/b&gt;cleric/oracle 8, druid 7&lt;/h5&gt;&lt;/div&gt;&lt;hr/&gt;&lt;div&gt;&lt;h5&gt;&lt;b&gt;CASTING&lt;/b&gt;&lt;/h5&gt;&lt;/div&gt;&lt;hr/&gt;&lt;div&gt;&lt;h5&gt;&lt;b&gt;Casting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ft./level)&lt;/h5&gt;&lt;h5&gt;&lt;b&gt;Area &lt;/b&gt;two 10-ft. cubes per level (S)&lt;/h5&gt;&lt;h5&gt;&lt;b&gt;Duration &lt;/b&gt;instantaneous&lt;/h5&gt;&lt;h5&gt;&lt;b&gt;Saving Throw &lt;/b&gt;Reflex half; &lt;b&gt;Spell Resistance &lt;/b&gt;yes&lt;/h5&gt;&lt;/div&gt;&lt;hr/&gt;&lt;div&gt;&lt;h5&gt;&lt;b&gt;DESCRIPTION&lt;/b&gt;&lt;/h5&gt;&lt;/div&gt;&lt;hr/&gt;&lt;div&gt;&lt;h4&gt;&lt;p&gt;When a &lt;i&gt;fire storm&lt;/i&gt; spell is cast, the whole area is shot through with sheets of roaring flame. The raging flames do not harm natural vegetation, ground cover, or any plant creatures in the area that you wish to exclude from damage. Any other creature within the area takes 1d6 points of fire damage per caster level (maximum 20d6). Creatures that fail their Reflex save catch on fire, taking 4d6 points of fire damage each round until the flames are extinguished. Extinguishing the flames is a full-round action that requires a DC 20 Reflex save.&lt;/p&gt;&lt;/h4&gt;&lt;h5&gt;&lt;b&gt;Mythic: &lt;/b&gt;The damage dealt increases to 1d8 points of damage per caster level (maximum 20d8). Half of this damage is fire damage, and the other half is divine energy that bypasses fire resistance and fire immunity. You can exclude any number of animals from damage just as you can plant creatures.&lt;/h5&gt;&lt;h5&gt;&lt;b&gt;Augmented (8th)&lt;/b&gt;: If you expend two uses of mythic power, choose one creature type (and subtype, if humanoid or outsider) to exclude from the effects of the spell. For each additional use of mythic power you expend when casting the spell, exclude another creature type. For example, if you expend two uses of mythic power and choose magical beasts, you can exclude from damage any number of magical beasts in the spell's area.&lt;/h5&gt;&lt;/div&gt;</t>
  </si>
  <si>
    <t>Deals 1d6/level fire damage.</t>
  </si>
  <si>
    <t>Elements</t>
  </si>
  <si>
    <t>The damage dealt increases to 1d8 points of damage per caster level (maximum 20d8). Half of this damage is fire damage, and the other half is divine energy that bypasses fire resistance and fire immunity. You can exclude any number of animals from damage just as you can plant creatures.</t>
  </si>
  <si>
    <t>Augmented (8th): If you expend two uses of mythic power, choose one creature type (and subtype, if humanoid or outsider) to exclude from the effects of the spell. For each additional use of mythic power you expend when casting the spell, exclude another creature type. For example, if you expend two uses of mythic power and choose magical beasts, you can exclude from damage any number of magical beasts in the spell's area.</t>
  </si>
  <si>
    <t>Fire Trap</t>
  </si>
  <si>
    <t>druid 2, sorcerer/wizard 4</t>
  </si>
  <si>
    <t>permanent until discharged (D)</t>
  </si>
  <si>
    <t>Reflex half; see text</t>
  </si>
  <si>
    <t>Fire trap creates a fiery explosion when an intruder opens the item that the trap protects. A fire trap spell can ward any object that can be opened and closed. When casting fire trap, you select a point on the object as the spell's center. When someone other than you opens the object, a fiery explosion fills the area within a 5-foot radius around the spell's center. The flames deal 1d4 points of fire damage + 1 point per caster level (maximum +20). The item protected by the trap is not harmed by this explosion. A fire-trapped item cannot have a second closure or warding spell placed on it. A knock spell does not bypass a fire trap. An unsuccessful dispel magic spell does not detonate the spell. Underwater, this ward deals half damage and creates a large cloud of steam. You can use the fire-trapped object without discharging it, as can any individual to whom the object was specifically attuned when cast. Attuning a fire-trapped object to an individual usually involves setting a password that you can share with friends. Magic traps such as fire trap are hard to detect and disable. A character with trapfinding can use the Perception skill to find a fire trap and Disable Device to thwart it. The DC in each case is 25 + spell level (DC 27 for a druid's fire trap or DC 29 for the arcane version).</t>
  </si>
  <si>
    <t>&lt;p&gt;&lt;i&gt;Fire trap&lt;/i&gt; creates a fiery explosion when an intruder opens the item that the trap protects. A &lt;i&gt;fire trap&lt;/i&gt; spell can ward any object that can be opened and closed.&lt;/p&gt;&lt;p&gt;When casting &lt;i&gt;fire trap&lt;/i&gt;, you select a point on the object as the spell's center. When someone other than you opens the object, a fiery explosion fills the area within a 5-foot radius around the spell's center. The flames deal 1d4 points of fire damage + 1 point per caster level (maximum +20). The item protected by the trap is not harmed by this explosion.&lt;/p&gt;&lt;p&gt;A fire-trapped item cannot have a second closure or warding spell placed on it. A &lt;i&gt;knock&lt;/i&gt; spell does not bypass a &lt;i&gt;fire trap&lt;/i&gt;. An unsuccessful &lt;i&gt;dispel magic&lt;/i&gt; spell does not detonate the spell.&lt;/p&gt;&lt;p&gt;Underwater, this ward deals half damage and creates a large cloud of steam.&lt;/p&gt;&lt;p&gt;You can use the fire-trapped object without discharging it, as can any individual to whom the object was specifically attuned when cast. Attuning a fire-trapped object to an individual usually involves setting a password that you can share with friends.&lt;/p&gt;&lt;p&gt;Magic traps such as &lt;i&gt;fire trap&lt;/i&gt; are hard to detect and disable. A character with trapfinding can use the Perception skill to find a &lt;i&gt;fire trap&lt;/i&gt; and Disable Device to thwart it. The DC in each case is 25 + spell level (DC 27 for a druid's &lt;i&gt;fire trap&lt;/i&gt; or DC 29 for the arcane version).&lt;/p&gt;</t>
  </si>
  <si>
    <t>&lt;link rel="stylesheet"href="PF.css"&gt;&lt;div class="heading"&gt;&lt;p class="alignleft"&gt;Fire Trap&lt;/p&gt;&lt;div style="clear: both;"&gt;&lt;/div&gt;&lt;/div&gt;&lt;div&gt;&lt;h5&gt;&lt;b&gt;School &lt;/b&gt;abjuration [fire]; &lt;b&gt;Level &lt;/b&gt;druid 2, sorcerer/wizard 4&lt;/h5&gt;&lt;/div&gt;&lt;hr/&gt;&lt;div&gt;&lt;h5&gt;&lt;b&gt;CASTING&lt;/b&gt;&lt;/h5&gt;&lt;/div&gt;&lt;hr/&gt;&lt;div&gt;&lt;h5&gt;&lt;b&gt;Casting Time &lt;/b&gt;10 minutes&lt;/h5&gt;&lt;h5&gt;&lt;b&gt;Components &lt;/b&gt;V, S, M (gold dust worth 25 gp)&lt;/h5&gt;&lt;/div&gt;&lt;hr/&gt;&lt;div&gt;&lt;h5&gt;&lt;b&gt;EFFECT&lt;/b&gt;&lt;/h5&gt;&lt;/div&gt;&lt;hr/&gt;&lt;div&gt;&lt;h5&gt;&lt;b&gt;Range &lt;/b&gt;touch&lt;/h5&gt;&lt;h5&gt;&lt;b&gt;Targets &lt;/b&gt;object touched&lt;/h5&gt;&lt;h5&gt;&lt;b&gt;Duration &lt;/b&gt;permanent until discharged (D)&lt;/h5&gt;&lt;h5&gt;&lt;b&gt;Saving Throw &lt;/b&gt;Reflex half; see text; &lt;b&gt;Spell Resistance &lt;/b&gt;yes&lt;/h5&gt;&lt;/div&gt;&lt;hr/&gt;&lt;div&gt;&lt;h5&gt;&lt;b&gt;DESCRIPTION&lt;/b&gt;&lt;/h5&gt;&lt;/div&gt;&lt;hr/&gt;&lt;div&gt;&lt;h4&gt;&lt;p&gt;&lt;i&gt;Fire trap&lt;/i&gt; creates a fiery explosion when an intruder opens the item that the trap protects. A &lt;i&gt;fire trap&lt;/i&gt; spell can ward any object that can be opened and closed.&lt;/p&gt;&lt;p&gt;When casting &lt;i&gt;fire trap&lt;/i&gt;, you select a point on the object as the spell's center. When someone other than you opens the object, a fiery explosion fills the area within a 5-foot radius around the spell's center. The flames deal 1d4 points of fire damage + 1 point per caster level (maximum +20). The item protected by the trap is not harmed by this explosion.&lt;/p&gt;&lt;p&gt;A fire-trapped item cannot have a second closure or warding spell placed on it. A &lt;i&gt;knock&lt;/i&gt; spell does not bypass a &lt;i&gt;fire trap&lt;/i&gt;. An unsuccessful &lt;i&gt;dispel magic&lt;/i&gt; spell does not detonate the spell.&lt;/p&gt;&lt;p&gt;Underwater, this ward deals half damage and creates a large cloud of steam.&lt;/p&gt;&lt;p&gt;You can use the fire-trapped object without discharging it, as can any individual to whom the object was specifically attuned when cast. Attuning a fire-trapped object to an individual usually involves setting a password that you can share with friends.&lt;/p&gt;&lt;p&gt;Magic traps such as &lt;i&gt;fire trap&lt;/i&gt; are hard to detect and disable. A character with trapfinding can use the Perception skill to find a &lt;i&gt;fire trap&lt;/i&gt; and Disable Device to thwart it. The DC in each case is 25 + spell level (DC 27 for a druid's &lt;i&gt;fire trap&lt;/i&gt; or DC 29 for the arcane version).&lt;/p&gt;&lt;/h4&gt;&lt;/div&gt;</t>
  </si>
  <si>
    <t>Opened object deals 1d4 + 1/level damage.</t>
  </si>
  <si>
    <t>Fireball</t>
  </si>
  <si>
    <t>sorcerer/wizard 3, magus 3</t>
  </si>
  <si>
    <t>A fireball spell generates a searing explosion of flame that detonates with a low roar and deals 1d6 points of fire damage per caster level (maximum 10d6) to every creature within the area. Unattended objects also take this damage. The explosion creates almost no pressure. You point your finger and determine the range (distance and height) at which the fireball is to burst. A glowing, pea-sized bead streaks from the pointing digit and, unless it impacts upon a material body or solid barrier prior to attaining the prescribed range, blossoms into the fireball at that point. An early impact results in an early detonation. If you attempt to send the bead through a narrow passage, such as through an arrow slit, you must "hit" the opening with a ranged touch attack, or else the bead strikes the barrier and detonates prematurely. The fireball sets fire to combustibles and damages objects in the area. It can melt metals with low melting points, such as lead, gold, copper, silver, and bronze. If the damage caused to an interposing barrier shatters or breaks through it, the fireball may continue beyond the barrier if the area permits; otherwise it stops at the barrier just as any other spell effect does.</t>
  </si>
  <si>
    <t>&lt;p&gt;A &lt;i&gt;fireball&lt;/i&gt; spell generates a searing explosion of flame that detonates with a low roar and deals 1d6 points of fire damage per caster level (maximum 10d6) to every creature within the area.&lt;/p&gt;&lt;p&gt;Unattended objects also take this damage. The explosion creates almost no pressure.&lt;/p&gt;&lt;p&gt;You point your finger and determine the range (distance and height) at which the &lt;i&gt;fireball&lt;/i&gt; is to burst. A glowing, pea-sized bead streaks from the pointing digit and, unless it impacts upon a material body or solid barrier prior to attaining the prescribed range, blossoms into the &lt;i&gt;fireball&lt;/i&gt; at that point. An early impact results in an early detonation. If you attempt to send the bead through a narrow passage, such as through an arrow slit, you must "hit" the opening with a ranged touch attack, or else the bead strikes the barrier and detonates prematurely.&lt;/p&gt;&lt;p&gt;The &lt;i&gt;fireball&lt;/i&gt; sets fire to combustibles and damages objects in the area. It can melt metals with low melting points, such as lead, gold, copper, silver, and bronze. If the damage caused to an interposing barrier shatters or breaks through it, the &lt;i&gt;fireball&lt;/i&gt; may continue beyond the barrier if the area permits; otherwise it stops at the barrier just as any other spell effect does.&lt;/p&gt;</t>
  </si>
  <si>
    <t>&lt;link rel="stylesheet"href="PF.css"&gt;&lt;div class="heading"&gt;&lt;p class="alignleft"&gt;Fireball&lt;/p&gt;&lt;div style="clear: both;"&gt;&lt;/div&gt;&lt;/div&gt;&lt;div&gt;&lt;h5&gt;&lt;b&gt;School &lt;/b&gt;evocation [fire]; &lt;b&gt;Level &lt;/b&gt;sorcerer/wizard 3, magus 3&lt;/h5&gt;&lt;/div&gt;&lt;hr/&gt;&lt;div&gt;&lt;h5&gt;&lt;b&gt;CASTING&lt;/b&gt;&lt;/h5&gt;&lt;/div&gt;&lt;hr/&gt;&lt;div&gt;&lt;h5&gt;&lt;b&gt;Casting Time &lt;/b&gt;1 standard action&lt;/h5&gt;&lt;h5&gt;&lt;b&gt;Components &lt;/b&gt;V, S, M (a ball of bat guano and sulfur)&lt;/h5&gt;&lt;/div&gt;&lt;hr/&gt;&lt;div&gt;&lt;h5&gt;&lt;b&gt;EFFECT&lt;/b&gt;&lt;/h5&gt;&lt;/div&gt;&lt;hr/&gt;&lt;div&gt;&lt;h5&gt;&lt;b&gt;Range &lt;/b&gt;long (400 ft. + 40 ft./level)&lt;/h5&gt;&lt;h5&gt;&lt;b&gt;Area &lt;/b&gt;20-ft.-radius spread&lt;/h5&gt;&lt;h5&gt;&lt;b&gt;Duration &lt;/b&gt;instantaneous&lt;/h5&gt;&lt;h5&gt;&lt;b&gt;Saving Throw &lt;/b&gt;Reflex half; &lt;b&gt;Spell Resistance &lt;/b&gt;yes&lt;/h5&gt;&lt;/div&gt;&lt;hr/&gt;&lt;div&gt;&lt;h5&gt;&lt;b&gt;DESCRIPTION&lt;/b&gt;&lt;/h5&gt;&lt;/div&gt;&lt;hr/&gt;&lt;div&gt;&lt;h4&gt;&lt;p&gt;A &lt;i&gt;fireball&lt;/i&gt; spell generates a searing explosion of flame that detonates with a low roar and deals 1d6 points of fire damage per caster level (maximum 10d6) to every creature within the area.&lt;/p&gt;&lt;p&gt;Unattended objects also take this damage. The explosion creates almost no pressure.&lt;/p&gt;&lt;p&gt;You point your finger and determine the range (distance and height) at which the &lt;i&gt;fireball&lt;/i&gt; is to burst. A glowing, pea-sized bead streaks from the pointing digit and, unless it impacts upon a material body or solid barrier prior to attaining the prescribed range, blossoms into the &lt;i&gt;fireball&lt;/i&gt; at that point. An early impact results in an early detonation. If you attempt to send the bead through a narrow passage, such as through an arrow slit, you must "hit" the opening with a ranged touch attack, or else the bead strikes the barrier and detonates prematurely.&lt;/p&gt;&lt;p&gt;The &lt;i&gt;fireball&lt;/i&gt; sets fire to combustibles and damages objects in the area. It can melt metals with low melting points, such as lead, gold, copper, silver, and bronze. If the damage caused to an interposing barrier shatters or breaks through it, the &lt;i&gt;fireball&lt;/i&gt; may continue beyond the barrier if the area permits; otherwise it stops at the barrier just as any other spell effect does.&lt;/p&gt;&lt;/h4&gt;&lt;h5&gt;&lt;b&gt;Mythic: &lt;/b&gt;The damage dealt increases to 1d10 points of fire damage per caster level (maximum 10d10). Any creature that fails its Reflex saving throw catches on fire (Core Rulebook 444), taking 2d6 points of fire damage each round until the fire is extinguished. Attempts to extinguish this fire use the spell's save DC.&lt;/h5&gt;&lt;h5&gt;&lt;b&gt;Augmented (6th)&lt;/b&gt;: If you expend two uses of mythic power, the maximum damage increases to 20d10, the area increases to a 40-foot radius spread, and any fire damage dealt by the spell bypasses fire resistance and fire immunity.&lt;/h5&gt;&lt;/div&gt;</t>
  </si>
  <si>
    <t> 1d6 damage per level, 20-ft. radius.</t>
  </si>
  <si>
    <t>Efreeti</t>
  </si>
  <si>
    <t>The damage dealt increases to 1d10 points of fire damage per caster level (maximum 10d10). Any creature that fails its Reflex saving throw catches on fire (Core Rulebook 444), taking 2d6 points of fire damage each round until the fire is extinguished. Attempts to extinguish this fire use the spell's save DC.</t>
  </si>
  <si>
    <t>Augmented (6th): If you expend two uses of mythic power, the maximum damage increases to 20d10, the area increases to a 40-foot radius spread, and any fire damage dealt by the spell bypasses fire resistance and fire immunity.</t>
  </si>
  <si>
    <t>Flame Arrow</t>
  </si>
  <si>
    <t>V, S, M (a drop of oil and a small piece of flint)</t>
  </si>
  <si>
    <t>fifty projectiles, all of which must be together at the time of casting</t>
  </si>
  <si>
    <t>This spell allows you to turn ammunition (such as arrows, crossbow bolts, shuriken, and sling stones) into fiery projectiles. Each piece of ammunition deals an extra 1d6 points of fire damage to any target it hits. A flaming projectile can easily ignite a flammable object or structure, but it won't ignite a creature it strikes.</t>
  </si>
  <si>
    <t>&lt;p&gt;This spell allows you to turn ammunition (such as arrows, crossbow bolts, shuriken, and sling stones) into fiery projectiles. Each piece of ammunition deals an extra 1d6 points of fire damage to any target it hits. A flaming projectile can easily ignite a flammable object or structure, but it won't ignite a creature it strikes.&lt;/p&gt;</t>
  </si>
  <si>
    <t>&lt;link rel="stylesheet"href="PF.css"&gt;&lt;div class="heading"&gt;&lt;p class="alignleft"&gt;Flame Arrow&lt;/p&gt;&lt;div style="clear: both;"&gt;&lt;/div&gt;&lt;/div&gt;&lt;div&gt;&lt;h5&gt;&lt;b&gt;School &lt;/b&gt;transmutation [fire]; &lt;b&gt;Level &lt;/b&gt;sorcerer/wizard 3, magus 3&lt;/h5&gt;&lt;/div&gt;&lt;hr/&gt;&lt;div&gt;&lt;h5&gt;&lt;b&gt;CASTING&lt;/b&gt;&lt;/h5&gt;&lt;/div&gt;&lt;hr/&gt;&lt;div&gt;&lt;h5&gt;&lt;b&gt;Casting Time &lt;/b&gt;1 standard action&lt;/h5&gt;&lt;h5&gt;&lt;b&gt;Components &lt;/b&gt;V, S, M (a drop of oil and a small piece of flint)&lt;/h5&gt;&lt;/div&gt;&lt;hr/&gt;&lt;div&gt;&lt;h5&gt;&lt;b&gt;EFFECT&lt;/b&gt;&lt;/h5&gt;&lt;/div&gt;&lt;hr/&gt;&lt;div&gt;&lt;h5&gt;&lt;b&gt;Range &lt;/b&gt;close (25 ft. + 5 ft./2 levels)&lt;/h5&gt;&lt;h5&gt;&lt;b&gt;Targets &lt;/b&gt;fifty projectiles, all of which must be together at the time of casting&lt;/h5&gt;&lt;h5&gt;&lt;b&gt;Duration &lt;/b&gt;10 min./level&lt;/h5&gt;&lt;h5&gt;&lt;b&gt;Saving Throw &lt;/b&gt;none; &lt;b&gt;Spell Resistance &lt;/b&gt;no&lt;/h5&gt;&lt;/div&gt;&lt;hr/&gt;&lt;div&gt;&lt;h5&gt;&lt;b&gt;DESCRIPTION&lt;/b&gt;&lt;/h5&gt;&lt;/div&gt;&lt;hr/&gt;&lt;div&gt;&lt;h4&gt;&lt;p&gt;This spell allows you to turn ammunition (such as arrows, crossbow bolts, shuriken, and sling stones) into fiery projectiles. Each piece of ammunition deals an extra 1d6 points of fire damage to any target it hits. A flaming projectile can easily ignite a flammable object or structure, but it won't ignite a creature it strikes.&lt;/p&gt;&lt;/h4&gt;&lt;/div&gt;</t>
  </si>
  <si>
    <t> Arrows deal +1d6 fire damage.</t>
  </si>
  <si>
    <t>Flame Blade</t>
  </si>
  <si>
    <t>sword-like beam</t>
  </si>
  <si>
    <t>A 3-foot-long, blazing beam of red-hot fire springs forth from your hand. You wield this blade-like beam as if it were a scimitar. Attacks with the flame blade are melee touch attacks. The blade deals 1d8 points of fire damage + 1 point per two caster levels (maximum +10). Since the blade is immaterial, your Strength modifier does not apply to the damage. A flame blade can ignite combustible materials such as parchment, straw, dry sticks, and cloth.</t>
  </si>
  <si>
    <t>&lt;p&gt;A 3-foot-long, blazing beam of red-hot fire springs forth from your hand. You wield this blade-like beam as if it were a scimitar. Attacks with the &lt;i&gt;flame blade&lt;/i&gt; are melee touch attacks.&lt;/p&gt;&lt;p&gt;The blade deals 1d8 points of fire damage + 1 point per two caster levels (maximum +10). Since the blade is immaterial, your Strength modifier does not apply to the damage. A &lt;i&gt;flame blade&lt;/i&gt; can ignite combustible materials such as parchment, straw, dry sticks, and cloth.&lt;/p&gt;</t>
  </si>
  <si>
    <t>&lt;link rel="stylesheet"href="PF.css"&gt;&lt;div class="heading"&gt;&lt;p class="alignleft"&gt;Flame Blade&lt;/p&gt;&lt;div style="clear: both;"&gt;&lt;/div&gt;&lt;/div&gt;&lt;div&gt;&lt;h5&gt;&lt;b&gt;School &lt;/b&gt;evocation [fire]; &lt;b&gt;Level &lt;/b&gt;druid 2&lt;/h5&gt;&lt;/div&gt;&lt;hr/&gt;&lt;div&gt;&lt;h5&gt;&lt;b&gt;CASTING&lt;/b&gt;&lt;/h5&gt;&lt;/div&gt;&lt;hr/&gt;&lt;div&gt;&lt;h5&gt;&lt;b&gt;Casting Time &lt;/b&gt;1 standard action&lt;/h5&gt;&lt;h5&gt;&lt;b&gt;Components &lt;/b&gt;V, S, DF&lt;/h5&gt;&lt;/div&gt;&lt;hr/&gt;&lt;div&gt;&lt;h5&gt;&lt;b&gt;EFFECT&lt;/b&gt;&lt;/h5&gt;&lt;/div&gt;&lt;hr/&gt;&lt;div&gt;&lt;h5&gt;&lt;b&gt;Range &lt;/b&gt;0 ft.&lt;/h5&gt;&lt;h5&gt;&lt;b&gt;Effect &lt;/b&gt;sword-like beam&lt;/h5&gt;&lt;h5&gt;&lt;b&gt;Duration &lt;/b&gt;1 min./level (D)&lt;/h5&gt;&lt;h5&gt;&lt;b&gt;Saving Throw &lt;/b&gt;none; &lt;b&gt;Spell Resistance &lt;/b&gt;yes&lt;/h5&gt;&lt;/div&gt;&lt;hr/&gt;&lt;div&gt;&lt;h5&gt;&lt;b&gt;DESCRIPTION&lt;/b&gt;&lt;/h5&gt;&lt;/div&gt;&lt;hr/&gt;&lt;div&gt;&lt;h4&gt;&lt;p&gt;A 3-foot-long, blazing beam of red-hot fire springs forth from your hand. You wield this blade-like beam as if it were a scimitar. Attacks with the &lt;i&gt;flame blade&lt;/i&gt; are melee touch attacks.&lt;/p&gt;&lt;p&gt;The blade deals 1d8 points of fire damage + 1 point per two caster levels (maximum +10). Since the blade is immaterial, your Strength modifier does not apply to the damage. A &lt;i&gt;flame blade&lt;/i&gt; can ignite combustible materials such as parchment, straw, dry sticks, and cloth.&lt;/p&gt;&lt;/h4&gt;&lt;h5&gt;&lt;b&gt;Mythic: &lt;/b&gt;The blade's damage increases to 2d6 points of fire damage + 1 point per caster level (maximum +20). The blade threatens a critical hit on a natural 18-20 as if it were an actual scimitar.&lt;/h5&gt;&lt;h5&gt;&lt;b&gt;Augmented (3rd)&lt;/b&gt;: If you expend two uses of mythic power, the blade threatens a critical hit on a natural 15-20, and bypasses hardness, fire resistance, and fire immunity.&lt;/h5&gt;&lt;/div&gt;</t>
  </si>
  <si>
    <t> Touch attack deals 1d8 + 1/two levels damage.</t>
  </si>
  <si>
    <t>The blade's damage increases to 2d6 points of fire damage + 1 point per caster level (maximum +20). The blade threatens a critical hit on a natural 18-20 as if it were an actual scimitar.</t>
  </si>
  <si>
    <t>Augmented (3rd): If you expend two uses of mythic power, the blade threatens a critical hit on a natural 15-20, and bypasses hardness, fire resistance, and fire immunity.</t>
  </si>
  <si>
    <t>Flame Strike</t>
  </si>
  <si>
    <t>cleric/oracle 5, druid 4, inquisitor 5</t>
  </si>
  <si>
    <t>cylinder (10-ft. radius, 40-ft. high)</t>
  </si>
  <si>
    <t>A flame strike evokes a vertical column of divine fire. The spell deals 1d6 points of damage per caster level (maximum 15d6). Half the damage is fire damage, but the other half results directly from divine power and is therefore not subject to being reduced by resistance to fire-based attacks.</t>
  </si>
  <si>
    <t>&lt;p&gt;A &lt;i&gt;flame strike&lt;/i&gt; evokes a vertical column of divine fire. The spell deals 1d6 points of damage per caster level (maximum 15d6). Half the damage is fire damage, but the other half results directly from divine power and is therefore not subject to being reduced by resistance to fire-based attacks.&lt;/p&gt;</t>
  </si>
  <si>
    <t>&lt;link rel="stylesheet"href="PF.css"&gt;&lt;div class="heading"&gt;&lt;p class="alignleft"&gt;Flame Strike&lt;/p&gt;&lt;div style="clear: both;"&gt;&lt;/div&gt;&lt;/div&gt;&lt;div&gt;&lt;h5&gt;&lt;b&gt;School &lt;/b&gt;evocation [fire]; &lt;b&gt;Level &lt;/b&gt;cleric/oracle 5, druid 4, inquisitor 5&lt;/h5&gt;&lt;/div&gt;&lt;hr/&gt;&lt;div&gt;&lt;h5&gt;&lt;b&gt;CASTING&lt;/b&gt;&lt;/h5&gt;&lt;/div&gt;&lt;hr/&gt;&lt;div&gt;&lt;h5&gt;&lt;b&gt;Casting Time &lt;/b&gt;1 standard action&lt;/h5&gt;&lt;h5&gt;&lt;b&gt;Components &lt;/b&gt;V, S, DF&lt;/h5&gt;&lt;/div&gt;&lt;hr/&gt;&lt;div&gt;&lt;h5&gt;&lt;b&gt;EFFECT&lt;/b&gt;&lt;/h5&gt;&lt;/div&gt;&lt;hr/&gt;&lt;div&gt;&lt;h5&gt;&lt;b&gt;Range &lt;/b&gt;medium (100 ft. + 10 ft./level)&lt;/h5&gt;&lt;h5&gt;&lt;b&gt;Area &lt;/b&gt;cylinder (10-ft. radius, 40-ft. high)&lt;/h5&gt;&lt;h5&gt;&lt;b&gt;Duration &lt;/b&gt;instantaneous&lt;/h5&gt;&lt;h5&gt;&lt;b&gt;Saving Throw &lt;/b&gt;Reflex half; &lt;b&gt;Spell Resistance &lt;/b&gt;yes&lt;/h5&gt;&lt;/div&gt;&lt;hr/&gt;&lt;div&gt;&lt;h5&gt;&lt;b&gt;DESCRIPTION&lt;/b&gt;&lt;/h5&gt;&lt;/div&gt;&lt;hr/&gt;&lt;div&gt;&lt;h4&gt;&lt;p&gt;A &lt;i&gt;flame strike&lt;/i&gt; evokes a vertical column of divine fire. The spell deals 1d6 points of damage per caster level (maximum 15d6). Half the damage is fire damage, but the other half results directly from divine power and is therefore not subject to being reduced by resistance to fire-based attacks.&lt;/p&gt;&lt;/h4&gt;&lt;h5&gt;&lt;b&gt;Mythic: &lt;/b&gt;The damage dealt increases to 1d8 per caster level (maximum 15d8). The area increases to a 20-foot-radius, 40-foot-high cylinder. You may have the divine half of the damage affect only one specific creature type (as the bane weapon quality).&lt;/h5&gt;&lt;/div&gt;</t>
  </si>
  <si>
    <t>Sun, War</t>
  </si>
  <si>
    <t>Smites foes with divine fire (1d6/level damage).</t>
  </si>
  <si>
    <t>Devotion, Elements</t>
  </si>
  <si>
    <t>The damage dealt increases to 1d8 per caster level (maximum 15d8). The area increases to a 20-foot-radius, 40-foot-high cylinder. You may have the divine half of the damage affect only one specific creature type (as the bane weapon quality).</t>
  </si>
  <si>
    <t>Flaming Sphere</t>
  </si>
  <si>
    <t>druid 2, sorcerer/wizard 2, magus 2</t>
  </si>
  <si>
    <t>V, S, M/DF (tallow, brimstone, and powdered iron)</t>
  </si>
  <si>
    <t>5-ft.-diameter sphere</t>
  </si>
  <si>
    <t>Reflex negates</t>
  </si>
  <si>
    <t>A burning globe of fire rolls in whichever direction you point and burns those it strikes. It moves 30 feet per round. As part of this movement, it can ascend or jump up to 30 feet to strike a target. If it enters a space with a creature, it stops moving for the round and deals 3d6 points of fire damage to that creature, though a successful Reflex save negates that damage. A flaming sphere rolls over barriers less than 4 feet tall. It ignites flammable substances it touches and illuminates the same area as a torch would. The sphere moves as long as you actively direct it (a move action for you); otherwise, it merely stays at rest and burns. It can be extinguished by any means that would put out a normal fire of its size. The surface of the sphere has a spongy, yielding consistency and so does not cause damage except by its flame. It cannot push aside unwilling creatures or batter down large obstacles. A flaming sphere winks out if it exceeds the spell's range.</t>
  </si>
  <si>
    <t>&lt;p&gt;A burning globe of fire rolls in whichever direction you point and burns those it strikes. It moves 30 feet per round. As part of this movement, it can ascend or jump up to 30 feet to strike a target. If it enters a space with a creature, it stops moving for the round and deals 3d6 points of fire damage to that creature, though a successful Reflex save negates that damage. A &lt;i&gt;flaming sphere&lt;/i&gt; rolls over barriers less than 4 feet tall. It ignites flammable substances it touches and illuminates the same area as a torch would.&lt;/p&gt;&lt;p&gt;The sphere moves as long as you actively direct it (a move action for you); otherwise, it merely stays at rest and burns. It can be extinguished by any means that would put out a normal fire of its size. The surface of the sphere has a spongy, yielding consistency and so does not cause damage except by its flame. It cannot push aside unwilling creatures or batter down large obstacles. A &lt;i&gt;flaming sphere&lt;/i&gt; winks out if it exceeds the spell's range.&lt;/p&gt;</t>
  </si>
  <si>
    <t>&lt;link rel="stylesheet"href="PF.css"&gt;&lt;div class="heading"&gt;&lt;p class="alignleft"&gt;Flaming Sphere&lt;/p&gt;&lt;div style="clear: both;"&gt;&lt;/div&gt;&lt;/div&gt;&lt;div&gt;&lt;h5&gt;&lt;b&gt;School &lt;/b&gt;evocation [fire]; &lt;b&gt;Level &lt;/b&gt;druid 2, sorcerer/wizard 2, magus 2&lt;/h5&gt;&lt;/div&gt;&lt;hr/&gt;&lt;div&gt;&lt;h5&gt;&lt;b&gt;CASTING&lt;/b&gt;&lt;/h5&gt;&lt;/div&gt;&lt;hr/&gt;&lt;div&gt;&lt;h5&gt;&lt;b&gt;Casting Time &lt;/b&gt;1 standard action&lt;/h5&gt;&lt;h5&gt;&lt;b&gt;Components &lt;/b&gt;V, S, M/DF (tallow, brimstone, and powdered iron)&lt;/h5&gt;&lt;/div&gt;&lt;hr/&gt;&lt;div&gt;&lt;h5&gt;&lt;b&gt;EFFECT&lt;/b&gt;&lt;/h5&gt;&lt;/div&gt;&lt;hr/&gt;&lt;div&gt;&lt;h5&gt;&lt;b&gt;Range &lt;/b&gt;medium (100 ft. + 10 ft./level)&lt;/h5&gt;&lt;h5&gt;&lt;b&gt;Effect &lt;/b&gt;5-ft.-diameter sphere&lt;/h5&gt;&lt;h5&gt;&lt;b&gt;Duration &lt;/b&gt;1 round/level&lt;/h5&gt;&lt;h5&gt;&lt;b&gt;Saving Throw &lt;/b&gt;Reflex negates; &lt;b&gt;Spell Resistance &lt;/b&gt;yes&lt;/h5&gt;&lt;/div&gt;&lt;hr/&gt;&lt;div&gt;&lt;h5&gt;&lt;b&gt;DESCRIPTION&lt;/b&gt;&lt;/h5&gt;&lt;/div&gt;&lt;hr/&gt;&lt;div&gt;&lt;h4&gt;&lt;p&gt;A burning globe of fire rolls in whichever direction you point and burns those it strikes. It moves 30 feet per round. As part of this movement, it can ascend or jump up to 30 feet to strike a target. If it enters a space with a creature, it stops moving for the round and deals 3d6 points of fire damage to that creature, though a successful Reflex save negates that damage. A &lt;i&gt;flaming sphere&lt;/i&gt; rolls over barriers less than 4 feet tall. It ignites flammable substances it touches and illuminates the same area as a torch would.&lt;/p&gt;&lt;p&gt;The sphere moves as long as you actively direct it (a move action for you); otherwise, it merely stays at rest and burns. It can be extinguished by any means that would put out a normal fire of its size. The surface of the sphere has a spongy, yielding consistency and so does not cause damage except by its flame. It cannot push aside unwilling creatures or batter down large obstacles. A &lt;i&gt;flaming sphere&lt;/i&gt; winks out if it exceeds the spell's range.&lt;/p&gt;&lt;/h4&gt;&lt;/div&gt;</t>
  </si>
  <si>
    <t>Rolling ball of fire deals 3d6 fire damage.</t>
  </si>
  <si>
    <t>Flare</t>
  </si>
  <si>
    <t>bard 0, druid 0, sorcerer/wizard 0, magus 0</t>
  </si>
  <si>
    <t>burst of light</t>
  </si>
  <si>
    <t>This cantrip creates a burst of light. If you cause the light to burst in front of a single creature, that creature is dazzled for 1 minute unless it makes a successful Fortitude save. Sightless creatures, as well as creatures already dazzled, are not affected by flare.</t>
  </si>
  <si>
    <t>&lt;p&gt;This cantrip creates a burst of light. If you cause the light to burst in front of a single creature, that creature is dazzled for 1 minute unless it makes a successful Fortitude save. Sightless creatures, as well as creatures already dazzled, are not affected by flare.&lt;/p&gt;</t>
  </si>
  <si>
    <t>&lt;link rel="stylesheet"href="PF.css"&gt;&lt;div class="heading"&gt;&lt;p class="alignleft"&gt;Flare&lt;/p&gt;&lt;div style="clear: both;"&gt;&lt;/div&gt;&lt;/div&gt;&lt;div&gt;&lt;h5&gt;&lt;b&gt;School &lt;/b&gt;evocation [light]; &lt;b&gt;Level &lt;/b&gt;bard 0, druid 0, sorcerer/wizard 0, magus 0&lt;/h5&gt;&lt;/div&gt;&lt;hr/&gt;&lt;div&gt;&lt;h5&gt;&lt;b&gt;CASTING&lt;/b&gt;&lt;/h5&gt;&lt;/div&gt;&lt;hr/&gt;&lt;div&gt;&lt;h5&gt;&lt;b&gt;Casting Time &lt;/b&gt;1 standard action&lt;/h5&gt;&lt;h5&gt;&lt;b&gt;Components &lt;/b&gt;V&lt;/h5&gt;&lt;/div&gt;&lt;hr/&gt;&lt;div&gt;&lt;h5&gt;&lt;b&gt;EFFECT&lt;/b&gt;&lt;/h5&gt;&lt;/div&gt;&lt;hr/&gt;&lt;div&gt;&lt;h5&gt;&lt;b&gt;Range &lt;/b&gt;close (25 ft. + 5 ft./2 levels)&lt;/h5&gt;&lt;h5&gt;&lt;b&gt;Effect &lt;/b&gt;burst of light&lt;/h5&gt;&lt;h5&gt;&lt;b&gt;Duration &lt;/b&gt;instantaneous&lt;/h5&gt;&lt;h5&gt;&lt;b&gt;Saving Throw &lt;/b&gt;Fortitude negates; &lt;b&gt;Spell Resistance &lt;/b&gt;yes&lt;/h5&gt;&lt;/div&gt;&lt;hr/&gt;&lt;div&gt;&lt;h5&gt;&lt;b&gt;DESCRIPTION&lt;/b&gt;&lt;/h5&gt;&lt;/div&gt;&lt;hr/&gt;&lt;div&gt;&lt;h4&gt;&lt;p&gt;This cantrip creates a burst of light. If you cause the light to burst in front of a single creature, that creature is dazzled for 1 minute unless it makes a successful Fortitude save. Sightless creatures, as well as creatures already dazzled, are not affected by flare.&lt;/p&gt;&lt;/h4&gt;&lt;/div&gt;</t>
  </si>
  <si>
    <t>Dazzles one creature (–1 on attack rolls).</t>
  </si>
  <si>
    <t>Flesh to Stone</t>
  </si>
  <si>
    <t>sorcerer/wizard 6, witch 6, magus 6</t>
  </si>
  <si>
    <t>V, S, M (lime, water, and earth)</t>
  </si>
  <si>
    <t>The subject, along with all its carried gear, turns into a mindless, inert statue. If the statue resulting from this spell is broken or damaged, the subject (if ever returned to its original state) has similar damage or deformities. The creature is not dead, but it does not seem to be alive either when viewed with spells such as deathwatch. Only creatures made of flesh are affected by this spell.</t>
  </si>
  <si>
    <t>&lt;p&gt;The subject, along with all its carried gear, turns into a mindless, inert statue. If the statue resulting from this spell is broken or damaged, the subject (if ever returned to its original state) has similar damage or deformities. The creature is not dead, but it does not seem to be alive either when viewed with spells such as &lt;i&gt;deathwatch.&lt;/i&gt;&lt;/p&gt;&lt;p&gt;Only creatures made of flesh are affected by this spell.&lt;/p&gt;</t>
  </si>
  <si>
    <t>&lt;link rel="stylesheet"href="PF.css"&gt;&lt;div class="heading"&gt;&lt;p class="alignleft"&gt;Flesh to Stone&lt;/p&gt;&lt;div style="clear: both;"&gt;&lt;/div&gt;&lt;/div&gt;&lt;div&gt;&lt;h5&gt;&lt;b&gt;School &lt;/b&gt;transmutation; &lt;b&gt;Level &lt;/b&gt;sorcerer/wizard 6, witch 6, magus 6&lt;/h5&gt;&lt;/div&gt;&lt;hr/&gt;&lt;div&gt;&lt;h5&gt;&lt;b&gt;CASTING&lt;/b&gt;&lt;/h5&gt;&lt;/div&gt;&lt;hr/&gt;&lt;div&gt;&lt;h5&gt;&lt;b&gt;Casting Time &lt;/b&gt;1 standard action&lt;/h5&gt;&lt;h5&gt;&lt;b&gt;Components &lt;/b&gt;V, S, M (lime, water, and earth)&lt;/h5&gt;&lt;/div&gt;&lt;hr/&gt;&lt;div&gt;&lt;h5&gt;&lt;b&gt;EFFECT&lt;/b&gt;&lt;/h5&gt;&lt;/div&gt;&lt;hr/&gt;&lt;div&gt;&lt;h5&gt;&lt;b&gt;Range &lt;/b&gt;medium (100 ft. + 10 ft./level)&lt;/h5&gt;&lt;h5&gt;&lt;b&gt;Targets &lt;/b&gt;one creature&lt;/h5&gt;&lt;h5&gt;&lt;b&gt;Duration &lt;/b&gt;instantaneous&lt;/h5&gt;&lt;h5&gt;&lt;b&gt;Saving Throw &lt;/b&gt;Fortitude negates; &lt;b&gt;Spell Resistance &lt;/b&gt;yes&lt;/h5&gt;&lt;/div&gt;&lt;hr/&gt;&lt;div&gt;&lt;h5&gt;&lt;b&gt;DESCRIPTION&lt;/b&gt;&lt;/h5&gt;&lt;/div&gt;&lt;hr/&gt;&lt;div&gt;&lt;h4&gt;&lt;p&gt;The subject, along with all its carried gear, turns into a mindless, inert statue. If the statue resulting from this spell is broken or damaged, the subject (if ever returned to its original state) has similar damage or deformities. The creature is not dead, but it does not seem to be alive either when viewed with spells such as &lt;i&gt;deathwatch.&lt;/i&gt;&lt;/p&gt;&lt;p&gt;Only creatures made of flesh are affected by this spell.&lt;/p&gt;&lt;/h4&gt;&lt;/div&gt;</t>
  </si>
  <si>
    <t> Turns subject creature into statue.</t>
  </si>
  <si>
    <t>Floating Disk</t>
  </si>
  <si>
    <t>V, S, M (a drop of mercury)</t>
  </si>
  <si>
    <t>3-ft.-diameter disk of force</t>
  </si>
  <si>
    <t>You create a slightly concave, circular plane of force that follows you about and carries loads for you. The disk is 3 feet in diameter and 1 inch deep at its center. It can hold 100 pounds of weight per caster level. If used to transport a liquid, its capacity is 2 gallons. The disk floats approximately 3 feet above the ground at all times and remains level. It floats along horizontally within spell range and will accompany you at a rate of no more than your normal speed each round. If not otherwise directed, it maintains a constant interval of 5 feet between itself and you. The disk winks out of existence when the spell duration expires. The disk also winks out if you move beyond its range or try to take the disk more than 3 feet away from the surface beneath it. When the disk winks out, whatever it was supporting falls to the surface beneath it.</t>
  </si>
  <si>
    <t>&lt;p&gt;You create a slightly concave, circular plane of force that follows you about and carries loads for you. The disk is 3 feet in diameter and 1 inch deep at its center. It can hold 100 pounds of weight per caster level. If used to transport a liquid, its capacity is 2 gallons. The disk floats approximately 3 feet above the ground at all times and remains level. It floats along horizontally within spell range and will accompany you at a rate of no more than your normal speed each round. If not otherwise directed, it maintains a constant interval of 5 feet between itself and you.&lt;/p&gt;&lt;p&gt;The disk winks out of existence when the spell duration expires.&lt;/p&gt;&lt;p&gt;The disk also winks out if you move beyond its range or try to take the disk more than 3 feet away from the surface beneath it.&lt;/p&gt;&lt;p&gt;When the disk winks out, whatever it was supporting falls to the surface beneath it.&lt;/p&gt;</t>
  </si>
  <si>
    <t>&lt;link rel="stylesheet"href="PF.css"&gt;&lt;div class="heading"&gt;&lt;p class="alignleft"&gt;Floating Disk&lt;/p&gt;&lt;div style="clear: both;"&gt;&lt;/div&gt;&lt;/div&gt;&lt;div&gt;&lt;h5&gt;&lt;b&gt;School &lt;/b&gt;evocation [force]; &lt;b&gt;Level &lt;/b&gt;sorcerer/wizard 1, magus 1&lt;/h5&gt;&lt;/div&gt;&lt;hr/&gt;&lt;div&gt;&lt;h5&gt;&lt;b&gt;CASTING&lt;/b&gt;&lt;/h5&gt;&lt;/div&gt;&lt;hr/&gt;&lt;div&gt;&lt;h5&gt;&lt;b&gt;Casting Time &lt;/b&gt;1 standard action&lt;/h5&gt;&lt;h5&gt;&lt;b&gt;Components &lt;/b&gt;V, S, M (a drop of mercury)&lt;/h5&gt;&lt;/div&gt;&lt;hr/&gt;&lt;div&gt;&lt;h5&gt;&lt;b&gt;EFFECT&lt;/b&gt;&lt;/h5&gt;&lt;/div&gt;&lt;hr/&gt;&lt;div&gt;&lt;h5&gt;&lt;b&gt;Range &lt;/b&gt;close (25 ft. + 5 ft./2 levels)&lt;/h5&gt;&lt;h5&gt;&lt;b&gt;Effect &lt;/b&gt;3-ft.-diameter disk of force&lt;/h5&gt;&lt;h5&gt;&lt;b&gt;Duration &lt;/b&gt;1 hour/level&lt;/h5&gt;&lt;h5&gt;&lt;b&gt;Saving Throw &lt;/b&gt;none; &lt;b&gt;Spell Resistance &lt;/b&gt;no&lt;/h5&gt;&lt;/div&gt;&lt;hr/&gt;&lt;div&gt;&lt;h5&gt;&lt;b&gt;DESCRIPTION&lt;/b&gt;&lt;/h5&gt;&lt;/div&gt;&lt;hr/&gt;&lt;div&gt;&lt;h4&gt;&lt;p&gt;You create a slightly concave, circular plane of force that follows you about and carries loads for you. The disk is 3 feet in diameter and 1 inch deep at its center. It can hold 100 pounds of weight per caster level. If used to transport a liquid, its capacity is 2 gallons. The disk floats approximately 3 feet above the ground at all times and remains level. It floats along horizontally within spell range and will accompany you at a rate of no more than your normal speed each round. If not otherwise directed, it maintains a constant interval of 5 feet between itself and you.&lt;/p&gt;&lt;p&gt;The disk winks out of existence when the spell duration expires.&lt;/p&gt;&lt;p&gt;The disk also winks out if you move beyond its range or try to take the disk more than 3 feet away from the surface beneath it.&lt;/p&gt;&lt;p&gt;When the disk winks out, whatever it was supporting falls to the surface beneath it.&lt;/p&gt;&lt;/h4&gt;&lt;/div&gt;</t>
  </si>
  <si>
    <t>Trade</t>
  </si>
  <si>
    <t> Creates 3-ft.-diameter horizontal disk that holds 100 lbs./level.</t>
  </si>
  <si>
    <t>Fly</t>
  </si>
  <si>
    <t>sorcerer/wizard 3, alchemist 3, summoner 3, witch 3, magus 3</t>
  </si>
  <si>
    <t>V, S, F (a wing feather)</t>
  </si>
  <si>
    <t>The subject can fly at a speed of 60 feet (or 40 feet if it wears medium or heavy armor, or if it carries a medium or heavy load). It can ascend at half speed and descend at double speed, and its maneuverability is good. Using a fly spell requires only as much concentration as walking, so the subject can attack or cast spells normally. The subject of a fly spell can charge but not run, and it cannot carry aloft more weight than its maximum load, plus any armor it wears. The subject gains a bonus on Fly skill checks equal to 1/2 your caster level. Should the spell duration expire while the subject is still aloft, the magic fails slowly. The subject floats downward 60 feet per round for 1d6 rounds. If it reaches the ground in that amount of time, it lands safely. If not, it falls the rest of the distance, taking 1d6 points of damage per 10 feet of fall. Since dispelling a spell effectively ends it, the subject also descends safely in this way if the fly spell is dispelled, but not if it is negated by an antimagic field.</t>
  </si>
  <si>
    <t>&lt;p&gt;The subject can &lt;i&gt;fly&lt;/i&gt; at a speed of 60 feet (or 40 feet if it wears medium or heavy armor, or if it carries a medium or heavy load).&lt;/p&gt;&lt;p&gt;It can ascend at half speed and descend at double speed, and its maneuverability is good. Using a &lt;i&gt;fly&lt;/i&gt; spell requires only as much concentration as walking, so the subject can attack or cast spells normally. The subject of a &lt;i&gt;fly&lt;/i&gt; spell can charge but not run, and it cannot carry aloft more weight than its maximum load, plus any armor it wears. The subject gains a bonus on Fly skill checks equal to 1/2 your caster level.&lt;/p&gt;&lt;p&gt;Should the spell duration expire while the subject is still aloft, the magic fails slowly. The subject floats downward 60 feet per round for 1d6 rounds. If it reaches the ground in that amount of time, it lands safely. If not, it falls the rest of the distance, taking 1d6 points of damage per 10 feet of fall. Since dispelling a spell effectively ends it, the subject also descends safely in this way if the &lt;i&gt;fly&lt;/i&gt; spell is dispelled, but not if it is negated by an &lt;i&gt;antimagic field&lt;/i&gt;.&lt;/p&gt;</t>
  </si>
  <si>
    <t>&lt;link rel="stylesheet"href="PF.css"&gt;&lt;div class="heading"&gt;&lt;p class="alignleft"&gt;Fly&lt;/p&gt;&lt;div style="clear: both;"&gt;&lt;/div&gt;&lt;/div&gt;&lt;div&gt;&lt;h5&gt;&lt;b&gt;School &lt;/b&gt;transmutation; &lt;b&gt;Level &lt;/b&gt;sorcerer/wizard 3, alchemist 3, summoner 3, witch 3, magus 3&lt;/h5&gt;&lt;/div&gt;&lt;hr/&gt;&lt;div&gt;&lt;h5&gt;&lt;b&gt;CASTING&lt;/b&gt;&lt;/h5&gt;&lt;/div&gt;&lt;hr/&gt;&lt;div&gt;&lt;h5&gt;&lt;b&gt;Casting Time &lt;/b&gt;1 standard action&lt;/h5&gt;&lt;h5&gt;&lt;b&gt;Components &lt;/b&gt;V, S, F (a wing feather)&lt;/h5&gt;&lt;/div&gt;&lt;hr/&gt;&lt;div&gt;&lt;h5&gt;&lt;b&gt;EFFECT&lt;/b&gt;&lt;/h5&gt;&lt;/div&gt;&lt;hr/&gt;&lt;div&gt;&lt;h5&gt;&lt;b&gt;Range &lt;/b&gt;touch&lt;/h5&gt;&lt;h5&gt;&lt;b&gt;Targets &lt;/b&gt;creature touched&lt;/h5&gt;&lt;h5&gt;&lt;b&gt;Duration &lt;/b&gt;1 min./level&lt;/h5&gt;&lt;h5&gt;&lt;b&gt;Saving Throw &lt;/b&gt;Will negates (harmless); &lt;b&gt;Spell Resistance &lt;/b&gt;yes (harmless)&lt;/h5&gt;&lt;/div&gt;&lt;hr/&gt;&lt;div&gt;&lt;h5&gt;&lt;b&gt;DESCRIPTION&lt;/b&gt;&lt;/h5&gt;&lt;/div&gt;&lt;hr/&gt;&lt;div&gt;&lt;h4&gt;&lt;p&gt;The subject can &lt;i&gt;fly&lt;/i&gt; at a speed of 60 feet (or 40 feet if it wears medium or heavy armor, or if it carries a medium or heavy load).&lt;/p&gt;&lt;p&gt;It can ascend at half speed and descend at double speed, and its maneuverability is good. Using a &lt;i&gt;fly&lt;/i&gt; spell requires only as much concentration as walking, so the subject can attack or cast spells normally. The subject of a &lt;i&gt;fly&lt;/i&gt; spell can charge but not run, and it cannot carry aloft more weight than its maximum load, plus any armor it wears. The subject gains a bonus on Fly skill checks equal to 1/2 your caster level.&lt;/p&gt;&lt;p&gt;Should the spell duration expire while the subject is still aloft, the magic fails slowly. The subject floats downward 60 feet per round for 1d6 rounds. If it reaches the ground in that amount of time, it lands safely. If not, it falls the rest of the distance, taking 1d6 points of damage per 10 feet of fall. Since dispelling a spell effectively ends it, the subject also descends safely in this way if the &lt;i&gt;fly&lt;/i&gt; spell is dispelled, but not if it is negated by an &lt;i&gt;antimagic field&lt;/i&gt;.&lt;/p&gt;&lt;/h4&gt;&lt;h5&gt;&lt;b&gt;Mythic: &lt;/b&gt;The fly speed changes to 120 feet (or 80 feet if the target is wearing medium or heavy armor, or carrying a medium or heavy load) with perfect maneuverability. When the duration expires, the target is protected by feather fall for a number of rounds equal to your caster level.&lt;/h5&gt;&lt;h5&gt;&lt;b&gt;Augmented (3rd)&lt;/b&gt;: If you expend two uses of mythic power, the target adds your tier on Reflex saves and as a dodge bonus to AC. It gains these bonuses only while flying.&lt;/h5&gt;&lt;/div&gt;</t>
  </si>
  <si>
    <t>Azata, Feather, Travel</t>
  </si>
  <si>
    <t> Subject flies at speed of 60 ft.</t>
  </si>
  <si>
    <t>Djinni, Draconic, Oni</t>
  </si>
  <si>
    <t>The fly speed changes to 120 feet (or 80 feet if the target is wearing medium or heavy armor, or carrying a medium or heavy load) with perfect maneuverability. When the duration expires, the target is protected by feather fall for a number of rounds equal to your caster level.</t>
  </si>
  <si>
    <t>Augmented (3rd): If you expend two uses of mythic power, the target adds your tier on Reflex saves and as a dodge bonus to AC. It gains these bonuses only while flying.</t>
  </si>
  <si>
    <t>Fog Cloud</t>
  </si>
  <si>
    <t>druid 2, magus 2, sorcerer/wizard 2, witch 2</t>
  </si>
  <si>
    <t>medium (100 ft. + 10 ft. level)</t>
  </si>
  <si>
    <t>fog spreads in 20-ft. radius</t>
  </si>
  <si>
    <t>A bank of fog billows out from the point you designate. The fog obscures all sight, including darkvision, beyond 5 feet. A creature within 5 feet has concealment (attacks have a 20% miss chance). Creatures farther away have total concealment (50% miss chance, and the attacker can't use sight to locate the target). A moderate wind (11+ mph) disperses the fog in 4 rounds; a strong wind (21+ mph) disperses the fog in 1 round. The spell does not function underwater.</t>
  </si>
  <si>
    <t>&lt;p&gt;A bank of fog billows out from the point you designate. The fog obscures all sight, including darkvision, beyond 5 feet. A creature within 5 feet has concealment (attacks have a 20% miss chance).&lt;/p&gt;&lt;p&gt;Creatures farther away have total concealment (50% miss chance, and the attacker can't use sight to locate the target).&lt;/p&gt;&lt;p&gt;A moderate wind (11+ mph) disperses the fog in 4 rounds; a strong wind (21+ mph) disperses the fog in 1 round.&lt;/p&gt;&lt;p&gt;The spell does not function underwater.&lt;/p&gt;</t>
  </si>
  <si>
    <t>&lt;link rel="stylesheet"href="PF.css"&gt;&lt;div class="heading"&gt;&lt;p class="alignleft"&gt;Fog Cloud&lt;/p&gt;&lt;div style="clear: both;"&gt;&lt;/div&gt;&lt;/div&gt;&lt;div&gt;&lt;h5&gt;&lt;b&gt;School &lt;/b&gt;conjuration (creation); &lt;b&gt;Level &lt;/b&gt;druid 2, magus 2, sorcerer/wizard 2, witch 2&lt;/h5&gt;&lt;/div&gt;&lt;hr/&gt;&lt;div&gt;&lt;h5&gt;&lt;b&gt;CASTING&lt;/b&gt;&lt;/h5&gt;&lt;/div&gt;&lt;hr/&gt;&lt;div&gt;&lt;h5&gt;&lt;b&gt;Casting Time &lt;/b&gt;1 standard action&lt;/h5&gt;&lt;h5&gt;&lt;b&gt;Components &lt;/b&gt;V, S&lt;/h5&gt;&lt;/div&gt;&lt;hr/&gt;&lt;div&gt;&lt;h5&gt;&lt;b&gt;EFFECT&lt;/b&gt;&lt;/h5&gt;&lt;/div&gt;&lt;hr/&gt;&lt;div&gt;&lt;h5&gt;&lt;b&gt;Range &lt;/b&gt;medium (100 ft. + 10 ft. level)&lt;/h5&gt;&lt;h5&gt;&lt;b&gt;Effect &lt;/b&gt;fog spreads in 20-ft. radius&lt;/h5&gt;&lt;h5&gt;&lt;b&gt;Duration &lt;/b&gt;10 min./level&lt;/h5&gt;&lt;h5&gt;&lt;b&gt;Saving Throw &lt;/b&gt;none; &lt;b&gt;Spell Resistance &lt;/b&gt;no&lt;/h5&gt;&lt;/div&gt;&lt;hr/&gt;&lt;div&gt;&lt;h5&gt;&lt;b&gt;DESCRIPTION&lt;/b&gt;&lt;/h5&gt;&lt;/div&gt;&lt;hr/&gt;&lt;div&gt;&lt;h4&gt;&lt;p&gt;A bank of fog billows out from the point you designate. The fog obscures all sight, including darkvision, beyond 5 feet. A creature within 5 feet has concealment (attacks have a 20% miss chance).&lt;/p&gt;&lt;p&gt;Creatures farther away have total concealment (50% miss chance, and the attacker can't use sight to locate the target).&lt;/p&gt;&lt;p&gt;A moderate wind (11+ mph) disperses the fog in 4 rounds; a strong wind (21+ mph) disperses the fog in 1 round.&lt;/p&gt;&lt;p&gt;The spell does not function underwater.&lt;/p&gt;&lt;/h4&gt;&lt;h5&gt;&lt;b&gt;Mythic: &lt;/b&gt;The radius of the fog increases to 50 feet.&lt;/h5&gt;&lt;h5&gt;&lt;b&gt;Augmented (3rd)&lt;/b&gt;: If you expend two uses of mythic power, the fog's radius changes to 500 feet, and its height changes to 100 feet. Winds can't dissipate the fog unless the area of the wind affects the entire area of the augmented mythic fog cloud. If you're at least 6th tier and instead expend three uses of mythic power, the range increases to 1 mile, the fog's radius changes to 1 mile, and its height changes to 500 feet. The cloud is as resistant to wind as the 3rd-tier augmented version.&lt;/h5&gt;&lt;/div&gt;</t>
  </si>
  <si>
    <t>Water, Weather</t>
  </si>
  <si>
    <t>Fog obscures vision.</t>
  </si>
  <si>
    <t>The radius of the fog increases to 50 feet.</t>
  </si>
  <si>
    <t>Augmented (3rd): If you expend two uses of mythic power, the fog's radius changes to 500 feet, and its height changes to 100 feet. Winds can't dissipate the fog unless the area of the wind affects the entire area of the augmented mythic fog cloud. If you're at least 6th tier and instead expend three uses of mythic power, the range increases to 1 mile, the fog's radius changes to 1 mile, and its height changes to 500 feet. The cloud is as resistant to wind as the 3rd-tier augmented version.</t>
  </si>
  <si>
    <t>Forbiddance</t>
  </si>
  <si>
    <t>cleric 6/oracle 6, inquisitor 6</t>
  </si>
  <si>
    <t>6 rounds</t>
  </si>
  <si>
    <t>V, S, M (holy water and incense worth 1,500 gp, plus 1,500 gp per 60-foot cube), DF</t>
  </si>
  <si>
    <t>60-ft. cube/level</t>
  </si>
  <si>
    <t>Forbiddance seals an area against all planar travel into or within it. This includes all teleportation spells (such as dimension door and teleport), plane shifting, astral travel, ethereal travel, and all summoning spells. Such effects simply fail automatically. In addition, it damages entering creatures whose alignments are different from yours. The effect on those attempting to enter the warded area is based on their alignment relative to yours (see below). A creature inside the area when the spell is cast takes no damage unless it exits the area and attempts to reenter, at which time it is affected as normal. Alignments identical: No effect. The creature may enter the area freely (although not by planar travel). Alignments different with respect to either law/chaos or good/evil: The creature takes 6d6 points of damage. A successful Will save halves the damage, and spell resistance applies. Alignments different with respect to both law/chaos and good/evil: The creature takes 12d6 points of damage. A successful Will save halves the damage, and spell resistance applies. At your option, the abjuration can include a password, in which case creatures of alignments different from yours can avoid the damage by speaking the password as they enter the area. You must select this option (and the password) at the time of casting. Adding a password requires the burning of additional rare incenses worth at least 1,000 gp, plus 1,000 gp per 60-foot cube. Dispel magic does not dispel a forbiddance effect unless the dispeller's level is at least as high as your caster level. You can't have multiple overlapping forbiddance effects. In such a case, the more recent effect stops at the boundary of the older effect.</t>
  </si>
  <si>
    <t>&lt;p&gt;&lt;i&gt;Forbiddance&lt;/i&gt; seals an area against all planar travel into or within it. This includes all teleportation spells (such as &lt;i&gt;dimension door&lt;/i&gt; and &lt;i&gt;teleport),&lt;/i&gt; plane shifting, astral travel, ethereal travel, and all summoning spells. Such effects simply fail automatically.&lt;/p&gt;&lt;p&gt;In addition, it damages entering creatures whose alignments are different from yours. The effect on those attempting to enter the warded area is based on their alignment relative to yours (see below). A creature inside the area when the spell is cast takes no damage unless it exits the area and attempts to reenter, at which time it is affected as normal.&lt;/p&gt;&lt;p&gt;&lt;i&gt;Alignments identical&lt;/i&gt;: No effect. The creature may enter the area freely (although not by planar travel).&lt;/p&gt;&lt;p&gt;&lt;i&gt;Alignments different with respect to either law/chaos or good/evil&lt;/i&gt;: The creature takes 6d6 points of damage. A successful Will save halves the damage, and spell resistance applies.&lt;/p&gt;&lt;p&gt;&lt;i&gt;Alignments different with respect to both law/chaos and good/evil&lt;/i&gt;: The creature takes 12d6 points of damage. A successful Will save halves the damage, and spell resistance applies.&lt;/p&gt;&lt;p&gt;At your option, the abjuration can include a password, in which case creatures of alignments different from yours can avoid the damage by speaking the password as they enter the area. You must select this option (and the password) at the time of casting. Adding a password requires the burning of additional rare incenses worth at least 1,000 gp, plus 1,000 gp per 60-foot cube.&lt;/p&gt;&lt;p&gt;&lt;i&gt;Dispel magic&lt;/i&gt; does not dispel a &lt;i&gt;forbiddance&lt;/i&gt; effect unless the dispeller's level is at least as high as your caster level.&lt;/p&gt;&lt;p&gt;You can't have multiple overlapping &lt;i&gt;forbiddance&lt;/i&gt; effects. In such a case, the more recent effect stops at the boundary of the older effect.&lt;/p&gt;</t>
  </si>
  <si>
    <t>&lt;link rel="stylesheet"href="PF.css"&gt;&lt;div class="heading"&gt;&lt;p class="alignleft"&gt;Forbiddance&lt;/p&gt;&lt;div style="clear: both;"&gt;&lt;/div&gt;&lt;/div&gt;&lt;div&gt;&lt;h5&gt;&lt;b&gt;School &lt;/b&gt;abjuration; &lt;b&gt;Level &lt;/b&gt;cleric 6/oracle 6, inquisitor 6&lt;/h5&gt;&lt;/div&gt;&lt;hr/&gt;&lt;div&gt;&lt;h5&gt;&lt;b&gt;CASTING&lt;/b&gt;&lt;/h5&gt;&lt;/div&gt;&lt;hr/&gt;&lt;div&gt;&lt;h5&gt;&lt;b&gt;Casting Time &lt;/b&gt;6 rounds&lt;/h5&gt;&lt;h5&gt;&lt;b&gt;Components &lt;/b&gt;V, S, M (holy water and incense worth 1,500 gp, plus 1,500 gp per 60-foot cube), DF&lt;/h5&gt;&lt;/div&gt;&lt;hr/&gt;&lt;div&gt;&lt;h5&gt;&lt;b&gt;EFFECT&lt;/b&gt;&lt;/h5&gt;&lt;/div&gt;&lt;hr/&gt;&lt;div&gt;&lt;h5&gt;&lt;b&gt;Range &lt;/b&gt;medium (100 ft. + 10 ft./level)&lt;/h5&gt;&lt;h5&gt;&lt;b&gt;Area &lt;/b&gt;60-ft. cube/level (S)&lt;/h5&gt;&lt;h5&gt;&lt;b&gt;Duration &lt;/b&gt;permanent&lt;/h5&gt;&lt;h5&gt;&lt;b&gt;Saving Throw &lt;/b&gt;see text; &lt;b&gt;Spell Resistance &lt;/b&gt;yes&lt;/h5&gt;&lt;/div&gt;&lt;hr/&gt;&lt;div&gt;&lt;h5&gt;&lt;b&gt;DESCRIPTION&lt;/b&gt;&lt;/h5&gt;&lt;/div&gt;&lt;hr/&gt;&lt;div&gt;&lt;h4&gt;&lt;p&gt;&lt;i&gt;Forbiddance&lt;/i&gt; seals an area against all planar travel into or within it. This includes all teleportation spells (such as &lt;i&gt;dimension door&lt;/i&gt; and &lt;i&gt;teleport),&lt;/i&gt; plane shifting, astral travel, ethereal travel, and all summoning spells. Such effects simply fail automatically.&lt;/p&gt;&lt;p&gt;In addition, it damages entering creatures whose alignments are different from yours. The effect on those attempting to enter the warded area is based on their alignment relative to yours (see below). A creature inside the area when the spell is cast takes no damage unless it exits the area and attempts to reenter, at which time it is affected as normal.&lt;/p&gt;&lt;p&gt;&lt;i&gt;Alignments identical&lt;/i&gt;: No effect. The creature may enter the area freely (although not by planar travel).&lt;/p&gt;&lt;p&gt;&lt;i&gt;Alignments different with respect to either law/chaos or good/evil&lt;/i&gt;: The creature takes 6d6 points of damage. A successful Will save halves the damage, and spell resistance applies.&lt;/p&gt;&lt;p&gt;&lt;i&gt;Alignments different with respect to both law/chaos and good/evil&lt;/i&gt;: The creature takes 12d6 points of damage. A successful Will save halves the damage, and spell resistance applies.&lt;/p&gt;&lt;p&gt;At your option, the abjuration can include a password, in which case creatures of alignments different from yours can avoid the damage by speaking the password as they enter the area. You must select this option (and the password) at the time of casting. Adding a password requires the burning of additional rare incenses worth at least 1,000 gp, plus 1,000 gp per 60-foot cube.&lt;/p&gt;&lt;p&gt;&lt;i&gt;Dispel magic&lt;/i&gt; does not dispel a &lt;i&gt;forbiddance&lt;/i&gt; effect unless the dispeller's level is at least as high as your caster level.&lt;/p&gt;&lt;p&gt;You can't have multiple overlapping &lt;i&gt;forbiddance&lt;/i&gt; effects. In such a case, the more recent effect stops at the boundary of the older effect.&lt;/p&gt;&lt;/h4&gt;&lt;/div&gt;</t>
  </si>
  <si>
    <t> Blocks planar travel, damages creatures of different alignment.</t>
  </si>
  <si>
    <t>Forcecage</t>
  </si>
  <si>
    <t>V, S, M (ruby dust worth 500 gp)</t>
  </si>
  <si>
    <t>barred cage (20-ft. cube) or windowless cell (10-ft. cube)</t>
  </si>
  <si>
    <t>This spell creates an immobile, invisible cubical prison composed of either bars of force or solid walls of force (your choice). Creatures within the area are caught and contained unless they are too big to fit inside, in which case the spell automatically fails. Teleportation and other forms of astral travel provide a means of escape, but the force walls or bars extend into the Ethereal Plane, blocking ethereal travel. Like a wall of force, a forcecage resists dispel magic, although a mage's disjunction still functions. The walls of a forcecage can be damaged by spells as normal, except for disintegrate, which automatically destroys it. The walls of a forcecage can be damaged by weapons and supernatural abilities, but they have a Hardness of 30 and a number of hit points equal to 20 per caster level. Contact with a sphere of annihilation or rod of cancellation instantly destroys a forcecage. Barred Cage: This version of the spell produces a 20-foot cube made of bands of force (similar to a wall of force spell) for bars. The bands are a half-inch wide, with half-inch gaps between them. Any creature capable of passing through such a small space can escape; others are confined within the barred cage. You can't attack a creature in a barred cage with a weapon unless the weapon can fit between the gaps. Even against such weapons (including arrows and similar ranged attacks), a creature in the barred cage has cover. All spells and breath weapons can pass through the gaps in the bars. Windowless Cell: This version of the spell produces a 10-foot cube with no way in and no way out. Solid walls of force form its six sides.</t>
  </si>
  <si>
    <t>&lt;p&gt;This spell creates an immobile, invisible cubical prison composed of either bars of force or solid walls of force (your choice).&lt;/p&gt;&lt;p&gt;Creatures within the area are caught and contained unless they are too big to fit inside, in which case the spell automatically fails.&lt;/p&gt;&lt;p&gt;Teleportation and other forms of astral travel provide a means of escape, but the force walls or bars extend into the Ethereal Plane, blocking ethereal travel.&lt;/p&gt;&lt;p&gt;Like a &lt;i&gt;wall of force&lt;/i&gt;, a &lt;i&gt;forcecage&lt;/i&gt; resists &lt;i&gt;dispel magic,&lt;/i&gt; although a mage's disjunction still functions. The walls of a &lt;i&gt;forcecage&lt;/i&gt; can be damaged by spells as normal, except for &lt;i&gt;disintegrate,&lt;/i&gt; which automatically destroys it. The walls of a &lt;i&gt;forcecage&lt;/i&gt; can be damaged by weapons and supernatural abilities, but they have a Hardness of 30 and a number of hit points equal to 20 per caster level. Contact with a &lt;i&gt;sphere of annihilation&lt;/i&gt; or &lt;i&gt;rod of cancellation&lt;/i&gt; instantly destroys a &lt;i&gt;forcecage&lt;/i&gt;.&lt;/p&gt;&lt;p&gt;Barred Cage: This version of the spell produces a 20-foot cube made of bands of force (similar to a &lt;i&gt;wall of force&lt;/i&gt; spell) for bars. The bands are a half-inch wide, with half-inch gaps between them. Any creature capable of passing through such a small space can escape; others are confined within the barred cage. You can't attack a creature in a barred cage with a weapon unless the weapon can fit between the gaps. Even against such weapons (including arrows and similar ranged attacks), a creature in the barred cage has cover. All spells and breath weapons can pass through the gaps in the bars.&lt;/p&gt;&lt;p&gt;&lt;i&gt;Windowless Cell&lt;/i&gt;: This version of the spell produces a 10-foot cube with no way in and no way out. Solid walls of force form its six sides.&lt;/p&gt;</t>
  </si>
  <si>
    <t>&lt;link rel="stylesheet"href="PF.css"&gt;&lt;div class="heading"&gt;&lt;p class="alignleft"&gt;Forcecage&lt;/p&gt;&lt;div style="clear: both;"&gt;&lt;/div&gt;&lt;/div&gt;&lt;div&gt;&lt;h5&gt;&lt;b&gt;School &lt;/b&gt;evocation [force]; &lt;b&gt;Level &lt;/b&gt;sorcerer/wizard 7&lt;/h5&gt;&lt;/div&gt;&lt;hr/&gt;&lt;div&gt;&lt;h5&gt;&lt;b&gt;CASTING&lt;/b&gt;&lt;/h5&gt;&lt;/div&gt;&lt;hr/&gt;&lt;div&gt;&lt;h5&gt;&lt;b&gt;Casting Time &lt;/b&gt;1 standard action&lt;/h5&gt;&lt;h5&gt;&lt;b&gt;Components &lt;/b&gt;V, S, M (ruby dust worth 500 gp)&lt;/h5&gt;&lt;/div&gt;&lt;hr/&gt;&lt;div&gt;&lt;h5&gt;&lt;b&gt;EFFECT&lt;/b&gt;&lt;/h5&gt;&lt;/div&gt;&lt;hr/&gt;&lt;div&gt;&lt;h5&gt;&lt;b&gt;Range &lt;/b&gt;close (25 ft. + 5 ft./2 levels)&lt;/h5&gt;&lt;h5&gt;&lt;b&gt;Area &lt;/b&gt;barred cage (20-ft. cube) or windowless cell (10-ft. cube)&lt;/h5&gt;&lt;h5&gt;&lt;b&gt;Duration &lt;/b&gt;1 round/level (D)&lt;/h5&gt;&lt;h5&gt;&lt;b&gt;Saving Throw &lt;/b&gt;Reflex negates; &lt;b&gt;Spell Resistance &lt;/b&gt;no&lt;/h5&gt;&lt;/div&gt;&lt;hr/&gt;&lt;div&gt;&lt;h5&gt;&lt;b&gt;DESCRIPTION&lt;/b&gt;&lt;/h5&gt;&lt;/div&gt;&lt;hr/&gt;&lt;div&gt;&lt;h4&gt;&lt;p&gt;This spell creates an immobile, invisible cubical prison composed of either bars of force or solid walls of force (your choice).&lt;/p&gt;&lt;p&gt;Creatures within the area are caught and contained unless they are too big to fit inside, in which case the spell automatically fails.&lt;/p&gt;&lt;p&gt;Teleportation and other forms of astral travel provide a means of escape, but the force walls or bars extend into the Ethereal Plane, blocking ethereal travel.&lt;/p&gt;&lt;p&gt;Like a &lt;i&gt;wall of force&lt;/i&gt;, a &lt;i&gt;forcecage&lt;/i&gt; resists &lt;i&gt;dispel magic,&lt;/i&gt; although a mage's disjunction still functions. The walls of a &lt;i&gt;forcecage&lt;/i&gt; can be damaged by spells as normal, except for &lt;i&gt;disintegrate,&lt;/i&gt; which automatically destroys it. The walls of a &lt;i&gt;forcecage&lt;/i&gt; can be damaged by weapons and supernatural abilities, but they have a Hardness of 30 and a number of hit points equal to 20 per caster level. Contact with a &lt;i&gt;sphere of annihilation&lt;/i&gt; or &lt;i&gt;rod of cancellation&lt;/i&gt; instantly destroys a &lt;i&gt;forcecage&lt;/i&gt;.&lt;/p&gt;&lt;p&gt;Barred Cage: This version of the spell produces a 20-foot cube made of bands of force (similar to a &lt;i&gt;wall of force&lt;/i&gt; spell) for bars. The bands are a half-inch wide, with half-inch gaps between them. Any creature capable of passing through such a small space can escape; others are confined within the barred cage. You can't attack a creature in a barred cage with a weapon unless the weapon can fit between the gaps. Even against such weapons (including arrows and similar ranged attacks), a creature in the barred cage has cover. All spells and breath weapons can pass through the gaps in the bars.&lt;/p&gt;&lt;p&gt;&lt;i&gt;Windowless Cell&lt;/i&gt;: This version of the spell produces a 10-foot cube with no way in and no way out. Solid walls of force form its six sides.&lt;/p&gt;&lt;/h4&gt;&lt;/div&gt;</t>
  </si>
  <si>
    <t> Cube or cage of force imprisons all inside.</t>
  </si>
  <si>
    <t>Forceful Hand</t>
  </si>
  <si>
    <t>This spell functions as interposing hand, except that it can also pursue and bull rush one opponent you select. The forceful hand gets one bull rush attack per round. This attack does not provoke an attack of opportunity. Its CMB for bull rush checks uses your caster level in place of its base attack bonus, with a +8 bonus for its Strength score (27), and a +1 bonus for being Large. The hand always moves with the opponent to push them back as far as possible. It has no movement limit for this purpose. Directing the spell to a new target is a move action. Forceful hand prevents the opponent from moving closer to you without first succeeding on a bull rush attack, moving both the forceful hand and the target closer to you. The forceful hand can instead be directed to interpose itself, as interposing hand does.</t>
  </si>
  <si>
    <t>&lt;p&gt;This spell functions as &lt;i&gt;interposing hand&lt;/i&gt;, except that it can also pursue and bull rush one opponent you select. The &lt;i&gt;&lt;i&gt;forceful&lt;/i&gt; hand&lt;/i&gt; gets one bull rush attack per round. This attack does not provoke an attack of opportunity. Its CMB for bull rush checks uses your caster level in place of its base attack bonus, with a +8 bonus for its Strength score (27), and a +1 bonus for being Large. The hand always moves with the opponent to push them back as far as possible. It has no movement limit for this purpose. Directing the spell to a new target is a move action. &lt;i&gt;Forceful hand&lt;/i&gt; prevents the opponent from moving closer to you without first succeeding on a bull rush attack, moving both the &lt;i&gt;&lt;i&gt;forceful&lt;/i&gt; hand&lt;/i&gt; and the target closer to you. The &lt;i&gt;&lt;i&gt;forceful&lt;/i&gt; hand&lt;/i&gt; can instead be directed to interpose itself, as &lt;i&gt;interposing hand&lt;/i&gt; does.&lt;/p&gt;</t>
  </si>
  <si>
    <t>&lt;link rel="stylesheet"href="PF.css"&gt;&lt;div class="heading"&gt;&lt;p class="alignleft"&gt;Forceful Hand&lt;/p&gt;&lt;div style="clear: both;"&gt;&lt;/div&gt;&lt;/div&gt;&lt;div&gt;&lt;h5&gt;&lt;b&gt;School &lt;/b&gt;evocation [force]; &lt;b&gt;Level &lt;/b&gt;sorcerer/wizard 6, magus 6&lt;/h5&gt;&lt;/div&gt;&lt;hr/&gt;&lt;div&gt;&lt;h5&gt;&lt;b&gt;CASTING&lt;/b&gt;&lt;/h5&gt;&lt;/div&gt;&lt;hr/&gt;&lt;div&gt;&lt;h5&gt;&lt;b&gt;Casting Time &lt;/b&gt;1 standard action&lt;/h5&gt;&lt;h5&gt;&lt;b&gt;Components &lt;/b&gt;V, S, F (a soft glove)&lt;/h5&gt;&lt;/div&gt;&lt;hr/&gt;&lt;div&gt;&lt;h5&gt;&lt;b&gt;EFFECT&lt;/b&gt;&lt;/h5&gt;&lt;/div&gt;&lt;hr/&gt;&lt;div&gt;&lt;h5&gt;&lt;b&gt;Range &lt;/b&gt;medium (100 ft. + 10 ft./level)&lt;/h5&gt;&lt;h5&gt;&lt;b&gt;Effect &lt;/b&gt;10-ft. hand&lt;/h5&gt;&lt;h5&gt;&lt;b&gt;Duration &lt;/b&gt;1 round/level (D)&lt;/h5&gt;&lt;h5&gt;&lt;b&gt;Saving Throw &lt;/b&gt;none; &lt;b&gt;Spell Resistance &lt;/b&gt;yes&lt;/h5&gt;&lt;/div&gt;&lt;hr/&gt;&lt;div&gt;&lt;h5&gt;&lt;b&gt;DESCRIPTION&lt;/b&gt;&lt;/h5&gt;&lt;/div&gt;&lt;hr/&gt;&lt;div&gt;&lt;h4&gt;&lt;p&gt;This spell functions as &lt;i&gt;interposing hand&lt;/i&gt;, except that it can also pursue and bull rush one opponent you select. The &lt;i&gt;&lt;i&gt;forceful&lt;/i&gt; hand&lt;/i&gt; gets one bull rush attack per round. This attack does not provoke an attack of opportunity. Its CMB for bull rush checks uses your caster level in place of its base attack bonus, with a +8 bonus for its Strength score (27), and a +1 bonus for being Large. The hand always moves with the opponent to push them back as far as possible. It has no movement limit for this purpose. Directing the spell to a new target is a move action. &lt;i&gt;Forceful hand&lt;/i&gt; prevents the opponent from moving closer to you without first succeeding on a bull rush attack, moving both the &lt;i&gt;&lt;i&gt;forceful&lt;/i&gt; hand&lt;/i&gt; and the target closer to you. The &lt;i&gt;&lt;i&gt;forceful&lt;/i&gt; hand&lt;/i&gt; can instead be directed to interpose itself, as &lt;i&gt;interposing hand&lt;/i&gt; does.&lt;/p&gt;&lt;/h4&gt;&lt;/div&gt;</t>
  </si>
  <si>
    <t> Hand pushes creatures away.</t>
  </si>
  <si>
    <t>Foresight</t>
  </si>
  <si>
    <t>druid 9, sorcerer/wizard 9, witch 9</t>
  </si>
  <si>
    <t>V, S, M/DF (a hummingbird's feather)</t>
  </si>
  <si>
    <t>This spell grants you a powerful sixth sense in relation to yourself or another. Once foresight is cast, you receive instantaneous warnings of impending danger or harm to the subject of the spell. You are never surprised or flat-footed. In addition, the spell gives you a general idea of what action you might take to best protect yourself and gives you a +2 insight bonus to AC and on Reflex saves. This insight bonus is lost whenever you would lose a Dexterity bonus to AC. When another creature is the subject of the spell, you receive warnings about that creature. You must communicate what you learn to the other creature for the warning to be useful, and the creature can be caught unprepared in the absence of such a warning. Shouting a warning, yanking a person back, and even telepathically communicating (via an appropriate spell) can all be accomplished before some danger befalls the subject, provided you act on the warning without delay. The subject, however, does not gain the insight bonus to AC and Reflex saves.</t>
  </si>
  <si>
    <t>&lt;p&gt;This spell grants you a powerful sixth sense in relation to yourself or another. Once &lt;i&gt;foresight&lt;/i&gt; is cast, you receive instantaneous warnings of impending danger or harm to the subject of the spell. You are never surprised or flat-footed. In addition, the spell gives you a general idea of what action you might take to best protect yourself and gives you a +2 insight bonus to AC and on Reflex saves. This insight bonus is lost whenever you would lose a Dexterity bonus to AC.&lt;/p&gt;&lt;p&gt;When another creature is the subject of the spell, you receive warnings about that creature. You must communicate what you learn to the other creature for the warning to be useful, and the creature can be caught unprepared in the absence of such a warning. Shouting a warning, yanking a person back, and even telepathically communicating (via an appropriate spell) can all be accomplished before some danger befalls the subject, provided you act on the warning without delay. The subject, however, does not gain the insight bonus to AC and Reflex saves.&lt;/p&gt;</t>
  </si>
  <si>
    <t>&lt;link rel="stylesheet"href="PF.css"&gt;&lt;div class="heading"&gt;&lt;p class="alignleft"&gt;Foresight&lt;/p&gt;&lt;div style="clear: both;"&gt;&lt;/div&gt;&lt;/div&gt;&lt;div&gt;&lt;h5&gt;&lt;b&gt;School &lt;/b&gt;divination; &lt;b&gt;Level &lt;/b&gt;druid 9, sorcerer/wizard 9, witch 9&lt;/h5&gt;&lt;/div&gt;&lt;hr/&gt;&lt;div&gt;&lt;h5&gt;&lt;b&gt;CASTING&lt;/b&gt;&lt;/h5&gt;&lt;/div&gt;&lt;hr/&gt;&lt;div&gt;&lt;h5&gt;&lt;b&gt;Casting Time &lt;/b&gt;1 standard action&lt;/h5&gt;&lt;h5&gt;&lt;b&gt;Components &lt;/b&gt;V, S, M/DF (a hummingbird's feather)&lt;/h5&gt;&lt;/div&gt;&lt;hr/&gt;&lt;div&gt;&lt;h5&gt;&lt;b&gt;EFFECT&lt;/b&gt;&lt;/h5&gt;&lt;/div&gt;&lt;hr/&gt;&lt;div&gt;&lt;h5&gt;&lt;b&gt;Range &lt;/b&gt;personal or touch&lt;/h5&gt;&lt;h5&gt;&lt;b&gt;Targets &lt;/b&gt;see text&lt;/h5&gt;&lt;h5&gt;&lt;b&gt;Duration &lt;/b&gt;10 min./level&lt;/h5&gt;&lt;h5&gt;&lt;b&gt;Saving Throw &lt;/b&gt;none or Will negates (harmless); &lt;b&gt;Spell Resistance &lt;/b&gt;no or yes (harmless)&lt;/h5&gt;&lt;/div&gt;&lt;hr/&gt;&lt;div&gt;&lt;h5&gt;&lt;b&gt;DESCRIPTION&lt;/b&gt;&lt;/h5&gt;&lt;/div&gt;&lt;hr/&gt;&lt;div&gt;&lt;h4&gt;&lt;p&gt;This spell grants you a powerful sixth sense in relation to yourself or another. Once &lt;i&gt;foresight&lt;/i&gt; is cast, you receive instantaneous warnings of impending danger or harm to the subject of the spell. You are never surprised or flat-footed. In addition, the spell gives you a general idea of what action you might take to best protect yourself and gives you a +2 insight bonus to AC and on Reflex saves. This insight bonus is lost whenever you would lose a Dexterity bonus to AC.&lt;/p&gt;&lt;p&gt;When another creature is the subject of the spell, you receive warnings about that creature. You must communicate what you learn to the other creature for the warning to be useful, and the creature can be caught unprepared in the absence of such a warning. Shouting a warning, yanking a person back, and even telepathically communicating (via an appropriate spell) can all be accomplished before some danger befalls the subject, provided you act on the warning without delay. The subject, however, does not gain the insight bonus to AC and Reflex saves.&lt;/p&gt;&lt;/h4&gt;&lt;h5&gt;&lt;b&gt;Mythic: &lt;/b&gt;The spell's insight bonus increases to +3. If you cast the spell on another creature, you and the target are simultaneously warned by the spell, and the target gains the spell's insight bonuses.&lt;/h5&gt;&lt;/div&gt;</t>
  </si>
  <si>
    <t>“Sixth sense” warns of impending danger.</t>
  </si>
  <si>
    <t>The spell's insight bonus increases to +3. If you cast the spell on another creature, you and the target are simultaneously warned by the spell, and the target gains the spell's insight bonuses.</t>
  </si>
  <si>
    <t>Form of the Dragon I</t>
  </si>
  <si>
    <t>V, S, M (a scale of the dragon type you plan to assume)</t>
  </si>
  <si>
    <t>see below</t>
  </si>
  <si>
    <t>You become a Medium chromatic or metallic dragon (see the Pathfinder RPG Bestiary). You gain a +4 size bonus to Strength, a +2 size bonus to Constitution, a +4 natural armor bonus, fly 60 feet (poor), darkvision 60 feet, a breath weapon, and resistance to one element. You also gain one bite (1d8), two claws (1d6), and two wing attacks (1d4). Your breath weapon and resistance depend on the type of dragon. You can only use the breath weapon once per casting of this spell. All breath weapons deal 6d8 points of damage and allow a Reflex save for half damage. In addition, some of the dragon types grant additional abilities, as noted below. Black dragon: 60-foot line of acid, resist acid 20, swim 60 feet Blue dragon: 60-foot line of electricity, resist electricity 20, burrow 20 feet Green dragon: 30-foot cone of acid, resist acid 20, swim 40 feet Red dragon: 30-foot cone of fire, resist fire 30, vulnerability to cold White dragon: 30-foot cone of cold, resist cold 20, swim 60 feet, vulnerability to fire Brass dragon: 60-foot line of fire, resist fire 20, burrow 30 feet, vulnerability to cold Bronze dragon: 60-foot line of electricity, resist electricity 20, swim 60 feet Copper dragon: 60-foot line of acid, resist acid 20, spider climb (always active) Gold dragon: 30-foot cone of fire, resist fire 20, swim 60 feet Silver dragon: 30-foot cone of cold, resist cold 30, vulnerability to fire</t>
  </si>
  <si>
    <t>&lt;p&gt;You become a Medium chromatic or metallic dragon (see the &lt;i&gt;Pathfinder RPG Bestiary&lt;/i&gt;). You gain a +4 size bonus to Strength, a +2 size bonus to Constitution, a +4 natural armor bonus, fly 60 feet (poor), darkvision 60 feet, a breath weapon, and resistance to one element. You also gain one bite (1d8), two claws (1d6), and two wing attacks (1d4). Your breath weapon and resistance depend on the type of dragon. You can only use the breath weapon once per casting of this spell. All breath weapons deal 6d8 points of damage and allow a Reflex save for half damage. In addition, some of the dragon types grant additional abilities, as noted below.&lt;/p&gt;&lt;p&gt;&lt;br&gt;&lt;i&gt;Black dragon&lt;/i&gt;: 60-foot line of acid, resist acid 20, swim 60 feet &lt;br&gt;&lt;i&gt;Blue dragon&lt;/i&gt;: 60-foot line of electricity, resist electricity 20, burrow 20 feet &lt;br&gt;&lt;i&gt;Green dragon&lt;/i&gt;: 30-foot cone of acid, resist acid 20, swim 40 feet &lt;br&gt;&lt;i&gt;Red dragon&lt;/i&gt;: 30-foot cone of fire, resist fire 30, vulnerability to cold &lt;br&gt;&lt;i&gt;White dragon&lt;/i&gt;: 30-foot cone of cold, resist cold 20, swim 60 feet, vulnerability to fire &lt;br&gt;&lt;i&gt;Brass dragon&lt;/i&gt;: 60-foot line of fire, resist fire 20, burrow 30 feet, vulnerability to cold &lt;br&gt;&lt;i&gt;Bronze dragon&lt;/i&gt;: 60-foot line of electricity, resist electricity 20, swim 60 feet &lt;br&gt;&lt;i&gt;Copper dragon&lt;/i&gt;: 60-foot line of acid, resist acid 20, &lt;i&gt;spider climb&lt;/i&gt; (always active) &lt;br&gt;&lt;i&gt;Gold dragon&lt;/i&gt;: 30-foot cone of fire, resist fire 20, swim 60 feet &lt;br&gt;&lt;i&gt;Silver dragon&lt;/i&gt;: 30-foot cone of cold, resist cold 30, vulnerability to fire&lt;/p&gt;</t>
  </si>
  <si>
    <t>&lt;link rel="stylesheet"href="PF.css"&gt;&lt;div class="heading"&gt;&lt;p class="alignleft"&gt;Form of the Dragon I&lt;/p&gt;&lt;div style="clear: both;"&gt;&lt;/div&gt;&lt;/div&gt;&lt;div&gt;&lt;h5&gt;&lt;b&gt;School &lt;/b&gt;transmutation (polymorph); &lt;b&gt;Level &lt;/b&gt;sorcerer/wizard 6, alchemist 6, magus 6&lt;/h5&gt;&lt;/div&gt;&lt;hr/&gt;&lt;div&gt;&lt;h5&gt;&lt;b&gt;CASTING&lt;/b&gt;&lt;/h5&gt;&lt;/div&gt;&lt;hr/&gt;&lt;div&gt;&lt;h5&gt;&lt;b&gt;Casting Time &lt;/b&gt;1 standard action&lt;/h5&gt;&lt;h5&gt;&lt;b&gt;Components &lt;/b&gt;V, S, M (a scale of the dragon type you plan to assume)&lt;/h5&gt;&lt;/div&gt;&lt;hr/&gt;&lt;div&gt;&lt;h5&gt;&lt;b&gt;EFFECT&lt;/b&gt;&lt;/h5&gt;&lt;/div&gt;&lt;hr/&gt;&lt;div&gt;&lt;h5&gt;&lt;b&gt;Range &lt;/b&gt;personal&lt;/h5&gt;&lt;h5&gt;&lt;b&gt;Targets &lt;/b&gt;you&lt;/h5&gt;&lt;h5&gt;&lt;b&gt;Duration &lt;/b&gt;1 min./level (D)&lt;/h5&gt;&lt;h5&gt;&lt;b&gt;Saving Throw &lt;/b&gt;see below; &lt;b&gt;Spell Resistance &lt;/b&gt;no&lt;/h5&gt;&lt;/div&gt;&lt;hr/&gt;&lt;div&gt;&lt;h5&gt;&lt;b&gt;DESCRIPTION&lt;/b&gt;&lt;/h5&gt;&lt;/div&gt;&lt;hr/&gt;&lt;div&gt;&lt;h4&gt;&lt;p&gt;You become a Medium chromatic or metallic dragon (see the &lt;i&gt;Pathfinder RPG Bestiary&lt;/i&gt;). You gain a +4 size bonus to Strength, a +2 size bonus to Constitution, a +4 natural armor bonus, fly 60 feet (poor), darkvision 60 feet, a breath weapon, and resistance to one element. You also gain one bite (1d8), two claws (1d6), and two wing attacks (1d4). Your breath weapon and resistance depend on the type of dragon. You can only use the breath weapon once per casting of this spell. All breath weapons deal 6d8 points of damage and allow a Reflex save for half damage. In addition, some of the dragon types grant additional abilities, as noted below.&lt;/p&gt;&lt;p&gt;&lt;br&gt;&lt;i&gt;Black dragon&lt;/i&gt;: 60-foot line of acid, resist acid 20, swim 60 feet &lt;br&gt;&lt;i&gt;Blue dragon&lt;/i&gt;: 60-foot line of electricity, resist electricity 20, burrow 20 feet &lt;br&gt;&lt;i&gt;Green dragon&lt;/i&gt;: 30-foot cone of acid, resist acid 20, swim 40 feet &lt;br&gt;&lt;i&gt;Red dragon&lt;/i&gt;: 30-foot cone of fire, resist fire 30, vulnerability to cold &lt;br&gt;&lt;i&gt;White dragon&lt;/i&gt;: 30-foot cone of cold, resist cold 20, swim 60 feet, vulnerability to fire &lt;br&gt;&lt;i&gt;Brass dragon&lt;/i&gt;: 60-foot line of fire, resist fire 20, burrow 30 feet, vulnerability to cold &lt;br&gt;&lt;i&gt;Bronze dragon&lt;/i&gt;: 60-foot line of electricity, resist electricity 20, swim 60 feet &lt;br&gt;&lt;i&gt;Copper dragon&lt;/i&gt;: 60-foot line of acid, resist acid 20, &lt;i&gt;spider climb&lt;/i&gt; (always active) &lt;br&gt;&lt;i&gt;Gold dragon&lt;/i&gt;: 30-foot cone of fire, resist fire 20, swim 60 feet &lt;br&gt;&lt;i&gt;Silver dragon&lt;/i&gt;: 30-foot cone of cold, resist cold 30, vulnerability to fire&lt;/p&gt;&lt;/h4&gt;&lt;/div&gt;</t>
  </si>
  <si>
    <t>Dragon</t>
  </si>
  <si>
    <t> Turns you into a Medium dragon.</t>
  </si>
  <si>
    <t>Draconic</t>
  </si>
  <si>
    <t>Form of the Dragon II</t>
  </si>
  <si>
    <t>This spell functions as form of the dragon I except that it also allows you to assume the form of a Large chromatic or metallic dragon. You gain the following abilities: a +6 size bonus to Strength, a +4 size bonus to Constitution, a +6 natural armor bonus, fly 90 feet (poor), darkvision 60 feet, a breath weapon, DR 5/magic, and resistance to one element. You also gain one bite (2d6), two claws (1d8), two wing attacks (1d6), and one tail slap attack (1d8). You can only use the breath weapon twice per casting of this spell, and you must wait 1d4 rounds between uses. All breath weapons deal 8d8 points of damage and allow a Reflex save for half damage. Line breath weapons increase to 80-foot lines and cones increase to 40-foot cones.</t>
  </si>
  <si>
    <t>&lt;p&gt;This spell functions as &lt;i&gt;form of the dragon I&lt;/i&gt; except that it also allows you to assume the form of a Large chromatic or metallic dragon.&lt;/p&gt;&lt;p&gt;You gain the following abilities: a +6 size bonus to Strength, a +4 size bonus to Constitution, a +6 natural armor bonus, fly 90 feet (poor), darkvision 60 feet, a breath weapon, DR 5/magic, and resistance to one element. You also gain one bite (2d6), two claws (1d8), two wing attacks (1d6), and one tail slap attack (1d8). You can only use the breath weapon twice per casting of this spell, and you must wait 1d4 rounds between uses. All breath weapons deal 8d8 points of damage and allow a Reflex save for half damage. Line breath weapons increase to 80-foot lines and cones increase to 40-foot cones.&lt;/p&gt;</t>
  </si>
  <si>
    <t>&lt;link rel="stylesheet"href="PF.css"&gt;&lt;div class="heading"&gt;&lt;p class="alignleft"&gt;Form of the Dragon II&lt;/p&gt;&lt;div style="clear: both;"&gt;&lt;/div&gt;&lt;/div&gt;&lt;div&gt;&lt;h5&gt;&lt;b&gt;School &lt;/b&gt;transmutation (polymorph); &lt;b&gt;Level &lt;/b&gt;sorcerer/wizard 7&lt;/h5&gt;&lt;/div&gt;&lt;hr/&gt;&lt;div&gt;&lt;h5&gt;&lt;b&gt;CASTING&lt;/b&gt;&lt;/h5&gt;&lt;/div&gt;&lt;hr/&gt;&lt;div&gt;&lt;h5&gt;&lt;b&gt;Casting Time &lt;/b&gt;1 standard action&lt;/h5&gt;&lt;h5&gt;&lt;b&gt;Components &lt;/b&gt;V, S, M (a scale of the dragon type you plan to assume)&lt;/h5&gt;&lt;/div&gt;&lt;hr/&gt;&lt;div&gt;&lt;h5&gt;&lt;b&gt;EFFECT&lt;/b&gt;&lt;/h5&gt;&lt;/div&gt;&lt;hr/&gt;&lt;div&gt;&lt;h5&gt;&lt;b&gt;Range &lt;/b&gt;personal&lt;/h5&gt;&lt;h5&gt;&lt;b&gt;Targets &lt;/b&gt;you&lt;/h5&gt;&lt;h5&gt;&lt;b&gt;Duration &lt;/b&gt;1 min./level (D)&lt;/h5&gt;&lt;h5&gt;&lt;b&gt;Saving Throw &lt;/b&gt;see below; &lt;b&gt;Spell Resistance &lt;/b&gt;no&lt;/h5&gt;&lt;/div&gt;&lt;hr/&gt;&lt;div&gt;&lt;h5&gt;&lt;b&gt;DESCRIPTION&lt;/b&gt;&lt;/h5&gt;&lt;/div&gt;&lt;hr/&gt;&lt;div&gt;&lt;h4&gt;&lt;p&gt;This spell functions as &lt;i&gt;form of the dragon I&lt;/i&gt; except that it also allows you to assume the form of a Large chromatic or metallic dragon.&lt;/p&gt;&lt;p&gt;You gain the following abilities: a +6 size bonus to Strength, a +4 size bonus to Constitution, a +6 natural armor bonus, fly 90 feet (poor), darkvision 60 feet, a breath weapon, DR 5/magic, and resistance to one element. You also gain one bite (2d6), two claws (1d8), two wing attacks (1d6), and one tail slap attack (1d8). You can only use the breath weapon twice per casting of this spell, and you must wait 1d4 rounds between uses. All breath weapons deal 8d8 points of damage and allow a Reflex save for half damage. Line breath weapons increase to 80-foot lines and cones increase to 40-foot cones.&lt;/p&gt;&lt;/h4&gt;&lt;/div&gt;</t>
  </si>
  <si>
    <t> Turns you into a Large dragon.</t>
  </si>
  <si>
    <t>Form of the Dragon III</t>
  </si>
  <si>
    <t>This spell functions as form of the dragon II save that it also allows you to take the form of a Huge chromatic or metallic dragon. You gain the following abilities: a +10 size bonus to Strength, a +8 size bonus to Constitution, a +8 natural armor bonus, fly 120 feet (poor), blindsense 60 feet, darkvision 120 feet, a breath weapon, DR 10/magic, frightful presence (DC equal to the DC for this spell), and immunity to one element (of the same type form of the dragon I grants resistance to). You also gain one bite (2d8), two claws (2d6), two wing attacks (1d8), and one tail slap attack (2d6). You can use the breath weapon as often as you like, but you must wait 1d4 rounds between uses. All breath weapons deal 12d8 points of damage and allow a Reflex save for half damage. Line breath weapons increase to 100-foot lines and cones increase to 50-foot cones.</t>
  </si>
  <si>
    <t>&lt;p&gt;This spell functions as &lt;i&gt;&lt;i&gt;form of the dragon I&lt;/i&gt;I&lt;/i&gt; save that it also allows you to take the form of a Huge chromatic or metallic dragon. You gain the following abilities: a +10 size bonus to Strength, a +8 size bonus to Constitution, a +8 natural armor bonus, fly 120 feet (poor), blindsense 60 feet, darkvision 120 feet, a breath weapon, DR 10/magic, frightful presence (DC equal to the DC for this spell), and immunity to one element (of the same type &lt;i&gt;form of the dragon I&lt;/i&gt; grants resistance to).&lt;/p&gt;&lt;p&gt;You also gain one bite (2d8), two claws (2d6), two wing attacks (1d8), and one tail slap attack (2d6). You can use the breath weapon as often as you like, but you must wait 1d4 rounds between uses. All breath weapons deal 12d8 points of damage and allow a Reflex save for half damage. Line breath weapons increase to 100-foot lines and cones increase to 50-foot cones.&lt;/p&gt;</t>
  </si>
  <si>
    <t>&lt;link rel="stylesheet"href="PF.css"&gt;&lt;div class="heading"&gt;&lt;p class="alignleft"&gt;Form of the Dragon III&lt;/p&gt;&lt;div style="clear: both;"&gt;&lt;/div&gt;&lt;/div&gt;&lt;div&gt;&lt;h5&gt;&lt;b&gt;School &lt;/b&gt;transmutation (polymorph); &lt;b&gt;Level &lt;/b&gt;sorcerer/wizard 8&lt;/h5&gt;&lt;/div&gt;&lt;hr/&gt;&lt;div&gt;&lt;h5&gt;&lt;b&gt;CASTING&lt;/b&gt;&lt;/h5&gt;&lt;/div&gt;&lt;hr/&gt;&lt;div&gt;&lt;h5&gt;&lt;b&gt;Casting Time &lt;/b&gt;1 standard action&lt;/h5&gt;&lt;h5&gt;&lt;b&gt;Components &lt;/b&gt;V, S, M (a scale of the dragon type you plan to assume)&lt;/h5&gt;&lt;/div&gt;&lt;hr/&gt;&lt;div&gt;&lt;h5&gt;&lt;b&gt;EFFECT&lt;/b&gt;&lt;/h5&gt;&lt;/div&gt;&lt;hr/&gt;&lt;div&gt;&lt;h5&gt;&lt;b&gt;Range &lt;/b&gt;personal&lt;/h5&gt;&lt;h5&gt;&lt;b&gt;Targets &lt;/b&gt;you&lt;/h5&gt;&lt;h5&gt;&lt;b&gt;Duration &lt;/b&gt;1 min./level (D)&lt;/h5&gt;&lt;h5&gt;&lt;b&gt;Saving Throw &lt;/b&gt;see below; &lt;b&gt;Spell Resistance &lt;/b&gt;no&lt;/h5&gt;&lt;/div&gt;&lt;hr/&gt;&lt;div&gt;&lt;h5&gt;&lt;b&gt;DESCRIPTION&lt;/b&gt;&lt;/h5&gt;&lt;/div&gt;&lt;hr/&gt;&lt;div&gt;&lt;h4&gt;&lt;p&gt;This spell functions as &lt;i&gt;&lt;i&gt;form of the dragon I&lt;/i&gt;I&lt;/i&gt; save that it also allows you to take the form of a Huge chromatic or metallic dragon. You gain the following abilities: a +10 size bonus to Strength, a +8 size bonus to Constitution, a +8 natural armor bonus, fly 120 feet (poor), blindsense 60 feet, darkvision 120 feet, a breath weapon, DR 10/magic, frightful presence (DC equal to the DC for this spell), and immunity to one element (of the same type &lt;i&gt;form of the dragon I&lt;/i&gt; grants resistance to).&lt;/p&gt;&lt;p&gt;You also gain one bite (2d8), two claws (2d6), two wing attacks (1d8), and one tail slap attack (2d6). You can use the breath weapon as often as you like, but you must wait 1d4 rounds between uses. All breath weapons deal 12d8 points of damage and allow a Reflex save for half damage. Line breath weapons increase to 100-foot lines and cones increase to 50-foot cones.&lt;/p&gt;&lt;/h4&gt;&lt;/div&gt;</t>
  </si>
  <si>
    <t> Turns you into a Huge dragon.</t>
  </si>
  <si>
    <t>Draconic, Kobold Sorcerer</t>
  </si>
  <si>
    <t>Fox's Cunning</t>
  </si>
  <si>
    <t>bard 2, sorcerer/wizard 2, alchemist 2, summoner 2</t>
  </si>
  <si>
    <t>V, S, M/DF (hairs or dung from a fox)</t>
  </si>
  <si>
    <t>The target becomes smarter. The spell grants a +4 enhancement bonus to Intelligence, adding the usual benefits to Intelligencebased skill checks and other uses of the Intelligence modifier. Wizards (and other spellcasters who rely on Intelligence) affected by this spell do not gain any additional bonus spells for the increased Intelligence, but the save DCs for spells they cast while under this spell's effect do increase. This spell doesn't grant extra skill ranks.</t>
  </si>
  <si>
    <t>&lt;p&gt;The target becomes smarter. The spell grants a +4 enhancement bonus to Intelligence, adding the usual benefits to Intelligencebased skill checks and other uses of the Intelligence modifier.&lt;/p&gt;&lt;p&gt;Wizards (and other spellcasters who rely on Intelligence) affected by this spell do not gain any additional bonus spells for the increased Intelligence, but the save DCs for spells they cast while under this spell's effect do increase. This spell doesn't grant extra skill ranks.&lt;/p&gt;</t>
  </si>
  <si>
    <t>&lt;link rel="stylesheet"href="PF.css"&gt;&lt;div class="heading"&gt;&lt;p class="alignleft"&gt;Fox's Cunning&lt;/p&gt;&lt;div style="clear: both;"&gt;&lt;/div&gt;&lt;/div&gt;&lt;div&gt;&lt;h5&gt;&lt;b&gt;School &lt;/b&gt;transmutation; &lt;b&gt;Level &lt;/b&gt;bard 2, sorcerer/wizard 2, alchemist 2, summoner 2&lt;/h5&gt;&lt;/div&gt;&lt;hr/&gt;&lt;div&gt;&lt;h5&gt;&lt;b&gt;CASTING&lt;/b&gt;&lt;/h5&gt;&lt;/div&gt;&lt;hr/&gt;&lt;div&gt;&lt;h5&gt;&lt;b&gt;Casting Time &lt;/b&gt;1 standard action&lt;/h5&gt;&lt;h5&gt;&lt;b&gt;Components &lt;/b&gt;V, S, M/DF (hairs or dung from a fox)&lt;/h5&gt;&lt;/div&gt;&lt;hr/&gt;&lt;div&gt;&lt;h5&gt;&lt;b&gt;EFFECT&lt;/b&gt;&lt;/h5&gt;&lt;/div&gt;&lt;hr/&gt;&lt;div&gt;&lt;h5&gt;&lt;b&gt;Range &lt;/b&gt;touch&lt;/h5&gt;&lt;h5&gt;&lt;b&gt;Targets &lt;/b&gt;creature touched&lt;/h5&gt;&lt;h5&gt;&lt;b&gt;Duration &lt;/b&gt;1 min./level&lt;/h5&gt;&lt;h5&gt;&lt;b&gt;Saving Throw &lt;/b&gt;Will negates (harmless); &lt;b&gt;Spell Resistance &lt;/b&gt;yes&lt;/h5&gt;&lt;/div&gt;&lt;hr/&gt;&lt;div&gt;&lt;h5&gt;&lt;b&gt;DESCRIPTION&lt;/b&gt;&lt;/h5&gt;&lt;/div&gt;&lt;hr/&gt;&lt;div&gt;&lt;h4&gt;&lt;p&gt;The target becomes smarter. The spell grants a +4 enhancement bonus to Intelligence, adding the usual benefits to Intelligencebased skill checks and other uses of the Intelligence modifier.&lt;/p&gt;&lt;p&gt;Wizards (and other spellcasters who rely on Intelligence) affected by this spell do not gain any additional bonus spells for the increased Intelligence, but the save DCs for spells they cast while under this spell's effect do increase. This spell doesn't grant extra skill ranks.&lt;/p&gt;&lt;/h4&gt;&lt;/div&gt;</t>
  </si>
  <si>
    <t>Subject gains +4 to Int for 1 min./level.</t>
  </si>
  <si>
    <t>Fox's Cunning, Mass</t>
  </si>
  <si>
    <t>bard 6, sorcerer/wizard 6, summoner 4</t>
  </si>
  <si>
    <t>This spell functions like fox's cunning, except that it affects multiple creatures.</t>
  </si>
  <si>
    <t>&lt;p&gt;This spell functions like fox's cunning, except that it affects multiple creatures.&lt;/p&gt;</t>
  </si>
  <si>
    <t>&lt;link rel="stylesheet"href="PF.css"&gt;&lt;div class="heading"&gt;&lt;p class="alignleft"&gt;Fox's Cunning, Mass&lt;/p&gt;&lt;div style="clear: both;"&gt;&lt;/div&gt;&lt;/div&gt;&lt;div&gt;&lt;h5&gt;&lt;b&gt;School &lt;/b&gt;transmutation; &lt;b&gt;Level &lt;/b&gt;bard 6, sorcerer/wizard 6, summoner 4&lt;/h5&gt;&lt;/div&gt;&lt;hr/&gt;&lt;div&gt;&lt;h5&gt;&lt;b&gt;CASTING&lt;/b&gt;&lt;/h5&gt;&lt;/div&gt;&lt;hr/&gt;&lt;div&gt;&lt;h5&gt;&lt;b&gt;Casting Time &lt;/b&gt;1 standard action&lt;/h5&gt;&lt;h5&gt;&lt;b&gt;Components &lt;/b&gt;V, S, M/DF (hairs or dung from a fox)&lt;/h5&gt;&lt;/div&gt;&lt;hr/&gt;&lt;div&gt;&lt;h5&gt;&lt;b&gt;EFFECT&lt;/b&gt;&lt;/h5&gt;&lt;/div&gt;&lt;hr/&gt;&lt;div&gt;&lt;h5&gt;&lt;b&gt;Range &lt;/b&gt;close (25 ft. + 5 ft./2 levels)&lt;/h5&gt;&lt;h5&gt;&lt;b&gt;Targets &lt;/b&gt;one creature/level, no two of which can be more than 30 ft. apart&lt;/h5&gt;&lt;h5&gt;&lt;b&gt;Duration &lt;/b&gt;1 min./level&lt;/h5&gt;&lt;h5&gt;&lt;b&gt;Saving Throw &lt;/b&gt;Will negates (harmless); &lt;b&gt;Spell Resistance &lt;/b&gt;yes&lt;/h5&gt;&lt;/div&gt;&lt;hr/&gt;&lt;div&gt;&lt;h5&gt;&lt;b&gt;DESCRIPTION&lt;/b&gt;&lt;/h5&gt;&lt;/div&gt;&lt;hr/&gt;&lt;div&gt;&lt;h4&gt;&lt;p&gt;This spell functions like fox's cunning, except that it affects multiple creatures.&lt;/p&gt;&lt;/h4&gt;&lt;/div&gt;</t>
  </si>
  <si>
    <t>As fox’s cunning, affects 1 subject/level.</t>
  </si>
  <si>
    <t>Freedom</t>
  </si>
  <si>
    <t>close (25 ft. + 5 ft./2 levels) or see text</t>
  </si>
  <si>
    <t>The subject is freed from spells and effects that restrict movement, including binding, entangle, grappling, imprisonment, maze, paralysis, petrification, pinning, sleep, slow, stunning, temporal stasis, and web. To free a creature from imprisonment or maze, you must know its name and background, and you must cast this spell at the spot where it was entombed or banished into the maze.</t>
  </si>
  <si>
    <t>&lt;p&gt;The subject is freed from spells and effects that restrict movement, including &lt;i&gt;binding, entangle&lt;/i&gt;, grappling, &lt;i&gt;&lt;i&gt;imprisonment&lt;/i&gt;, maze&lt;/i&gt;, paralysis, petrification, pinning, &lt;i&gt;sleep, slow&lt;/i&gt;, stunning, &lt;i&gt;temporal stasis&lt;/i&gt;, and &lt;i&gt;web.&lt;/i&gt; To free a creature from &lt;i&gt;imprisonment&lt;/i&gt; or &lt;i&gt;maze,&lt;/i&gt; you must know its name and background, and you must cast this spell at the spot where it was entombed or banished into the maze.&lt;/p&gt;</t>
  </si>
  <si>
    <t>&lt;link rel="stylesheet"href="PF.css"&gt;&lt;div class="heading"&gt;&lt;p class="alignleft"&gt;Freedom&lt;/p&gt;&lt;div style="clear: both;"&gt;&lt;/div&gt;&lt;/div&gt;&lt;div&gt;&lt;h5&gt;&lt;b&gt;School &lt;/b&gt;abjuration; &lt;b&gt;Level &lt;/b&gt;sorcerer/wizard 9&lt;/h5&gt;&lt;/div&gt;&lt;hr/&gt;&lt;div&gt;&lt;h5&gt;&lt;b&gt;CASTING&lt;/b&gt;&lt;/h5&gt;&lt;/div&gt;&lt;hr/&gt;&lt;div&gt;&lt;h5&gt;&lt;b&gt;Casting Time &lt;/b&gt;1 standard action&lt;/h5&gt;&lt;h5&gt;&lt;b&gt;Components &lt;/b&gt;V, S&lt;/h5&gt;&lt;/div&gt;&lt;hr/&gt;&lt;div&gt;&lt;h5&gt;&lt;b&gt;EFFECT&lt;/b&gt;&lt;/h5&gt;&lt;/div&gt;&lt;hr/&gt;&lt;div&gt;&lt;h5&gt;&lt;b&gt;Range &lt;/b&gt;close (25 ft. + 5 ft./2 levels) or see text&lt;/h5&gt;&lt;h5&gt;&lt;b&gt;Targets &lt;/b&gt;one creature&lt;/h5&gt;&lt;h5&gt;&lt;b&gt;Duration &lt;/b&gt;instantaneous&lt;/h5&gt;&lt;h5&gt;&lt;b&gt;Saving Throw &lt;/b&gt;Will negates (harmless); &lt;b&gt;Spell Resistance &lt;/b&gt;yes&lt;/h5&gt;&lt;/div&gt;&lt;hr/&gt;&lt;div&gt;&lt;h5&gt;&lt;b&gt;DESCRIPTION&lt;/b&gt;&lt;/h5&gt;&lt;/div&gt;&lt;hr/&gt;&lt;div&gt;&lt;h4&gt;&lt;p&gt;The subject is freed from spells and effects that restrict movement, including &lt;i&gt;binding, entangle&lt;/i&gt;, grappling, &lt;i&gt;&lt;i&gt;imprisonment&lt;/i&gt;, maze&lt;/i&gt;, paralysis, petrification, pinning, &lt;i&gt;sleep, slow&lt;/i&gt;, stunning, &lt;i&gt;temporal stasis&lt;/i&gt;, and &lt;i&gt;web.&lt;/i&gt; To free a creature from &lt;i&gt;imprisonment&lt;/i&gt; or &lt;i&gt;maze,&lt;/i&gt; you must know its name and background, and you must cast this spell at the spot where it was entombed or banished into the maze.&lt;/p&gt;&lt;/h4&gt;&lt;/div&gt;</t>
  </si>
  <si>
    <t> Releases creature from imprisonment.</t>
  </si>
  <si>
    <t>Freedom of Movement</t>
  </si>
  <si>
    <t>bard 4, cleric 4/oracle 4, druid 4, ranger 4, alchemist 4, inquisitor 4, alchemist 4, inquisitor 4</t>
  </si>
  <si>
    <t>V, S, M (a leather strip bound to the target), DF</t>
  </si>
  <si>
    <t>This spell enables you or a creature you touch to move and attack normally for the duration of the spell, even under the influence of magic that usually impedes movement, such as paralysis, solid fog, slow, and web. All combat maneuver checks made to grapple the target automatically fail. The subject automatically succeeds on any combat maneuver checks and Escape Artist checks made to escape a grapple or a pin. The spell also allows the subject to move and attack normally while underwater, even with slashing weapons such as axes and swords or with bludgeoning weapons such as flails, hammers, and maces, provided that the weapon is wielded in the hand rather than hurled. The freedom of movement spell does not, however, grant water breathing.</t>
  </si>
  <si>
    <t>&lt;p&gt;This spell enables you or a creature you touch to move and attack normally for the duration of the spell, even under the influence of magic that usually impedes movement, such as paralysis, solid fog, slow, and &lt;i&gt;web.&lt;/i&gt; All combat maneuver checks made to grapple the target automatically fail. The subject automatically succeeds on any combat maneuver checks and Escape Artist checks made to escape a grapple or a pin.&lt;/p&gt;&lt;p&gt;The spell also allows the subject to move and attack normally while underwater, even with slashing weapons such as axes and swords or with bludgeoning weapons such as flails, hammers, and maces, provided that the weapon is wielded in the hand rather than hurled. The &lt;i&gt;freedom of movement&lt;/i&gt; spell does not, however, grant water breathing.&lt;/p&gt;</t>
  </si>
  <si>
    <t>&lt;link rel="stylesheet"href="PF.css"&gt;&lt;div class="heading"&gt;&lt;p class="alignleft"&gt;Freedom of Movement&lt;/p&gt;&lt;div style="clear: both;"&gt;&lt;/div&gt;&lt;/div&gt;&lt;div&gt;&lt;h5&gt;&lt;b&gt;School &lt;/b&gt;abjuration; &lt;b&gt;Level &lt;/b&gt;bard 4, cleric 4/oracle 4, druid 4, ranger 4, alchemist 4, inquisitor 4, alchemist 4, inquisitor 4&lt;/h5&gt;&lt;/div&gt;&lt;hr/&gt;&lt;div&gt;&lt;h5&gt;&lt;b&gt;CASTING&lt;/b&gt;&lt;/h5&gt;&lt;/div&gt;&lt;hr/&gt;&lt;div&gt;&lt;h5&gt;&lt;b&gt;Casting Time &lt;/b&gt;1 standard action&lt;/h5&gt;&lt;h5&gt;&lt;b&gt;Components &lt;/b&gt;V, S, M (a leather strip bound to the target), DF&lt;/h5&gt;&lt;/div&gt;&lt;hr/&gt;&lt;div&gt;&lt;h5&gt;&lt;b&gt;EFFECT&lt;/b&gt;&lt;/h5&gt;&lt;/div&gt;&lt;hr/&gt;&lt;div&gt;&lt;h5&gt;&lt;b&gt;Range &lt;/b&gt;personal or touch&lt;/h5&gt;&lt;h5&gt;&lt;b&gt;Targets &lt;/b&gt;you or creature touched&lt;/h5&gt;&lt;h5&gt;&lt;b&gt;Duration &lt;/b&gt;10 min./level&lt;/h5&gt;&lt;h5&gt;&lt;b&gt;Saving Throw &lt;/b&gt;Will negates (harmless); &lt;b&gt;Spell Resistance &lt;/b&gt;yes (harmless)&lt;/h5&gt;&lt;/div&gt;&lt;hr/&gt;&lt;div&gt;&lt;h5&gt;&lt;b&gt;DESCRIPTION&lt;/b&gt;&lt;/h5&gt;&lt;/div&gt;&lt;hr/&gt;&lt;div&gt;&lt;h4&gt;&lt;p&gt;This spell enables you or a creature you touch to move and attack normally for the duration of the spell, even under the influence of magic that usually impedes movement, such as paralysis, solid fog, slow, and &lt;i&gt;web.&lt;/i&gt; All combat maneuver checks made to grapple the target automatically fail. The subject automatically succeeds on any combat maneuver checks and Escape Artist checks made to escape a grapple or a pin.&lt;/p&gt;&lt;p&gt;The spell also allows the subject to move and attack normally while underwater, even with slashing weapons such as axes and swords or with bludgeoning weapons such as flails, hammers, and maces, provided that the weapon is wielded in the hand rather than hurled. The &lt;i&gt;freedom of movement&lt;/i&gt; spell does not, however, grant water breathing.&lt;/p&gt;&lt;/h4&gt;&lt;/div&gt;</t>
  </si>
  <si>
    <t>Liberation, Luck</t>
  </si>
  <si>
    <t>Subject moves normally despite impediments to restrict movement.</t>
  </si>
  <si>
    <t>Freezing Sphere</t>
  </si>
  <si>
    <t>V, S, F (a small crystal sphere)</t>
  </si>
  <si>
    <t>see Text</t>
  </si>
  <si>
    <t>instantaneous or 1 round/level; see text</t>
  </si>
  <si>
    <t>Freezing sphere creates a frigid globe of cold energy that streaks from your fingertips to the location you select, where it explodes in a 40-foot-radius burst, dealing 1d6 points of cold damage per caster level (maximum 15d6) to each creature in the area. A creature of the water subtype instead takes 1d8 points of cold damage per caster level (maximum 15d8) and is staggered for 1d4 rounds. If the freezing sphere strikes a body of water or a liquid that is principally water (not including water-based creatures), it freezes the liquid to a depth of 6 inches in a 40-foot radius. This ice lasts for 1 round per caster level. Creatures that were swimming on the surface of a targeted body of water become trapped in the ice. Attempting to break free is a full-round action. A trapped creature must make a DC 25 Strength check or a DC 25 Escape Artist check to do so. You can refrain from firing the globe after completing the spell, if you wish. Treat this as a touch spell for which you are holding the charge. You can hold the charge for as long as 1 round per level, at the end of which time the freezing sphere bursts centered on you (and you receive no saving throw to resist its effect). Firing the globe in a later round is a standard action.</t>
  </si>
  <si>
    <t>&lt;p&gt;&lt;i&gt;Freezing sphere&lt;/i&gt; creates a frigid globe of cold energy that streaks from your fingertips to the location you select, where it explodes in a 40-foot-radius burst, dealing 1d6 points of cold damage per caster level (maximum 15d6) to each creature in the area. A creature of the water subtype instead takes 1d8 points of cold damage per caster level (maximum 15d8) and is staggered for 1d4 rounds.&lt;/p&gt;&lt;p&gt;If the &lt;i&gt;freezing sphere&lt;/i&gt; strikes a body of water or a liquid that is principally water (not including water-based creatures), it freezes the liquid to a depth of 6 inches in a 40-foot radius. This ice lasts for 1 round per caster level. Creatures that were swimming on the surface of a targeted body of water become trapped in the ice. Attempting to break free is a full-round action. A trapped creature must make a DC 25 Strength check or a DC 25 Escape Artist check to do so.&lt;/p&gt;&lt;p&gt;You can refrain from firing the globe after completing the spell, if you wish. Treat this as a touch spell for which you are holding the charge. You can hold the charge for as long as 1 round per level, at the end of which time the &lt;i&gt;freezing sphere&lt;/i&gt; bursts centered on you (and you receive no saving throw to resist its effect). Firing the globe in a later round is a standard action.&lt;/p&gt;</t>
  </si>
  <si>
    <t>&lt;link rel="stylesheet"href="PF.css"&gt;&lt;div class="heading"&gt;&lt;p class="alignleft"&gt;Freezing Sphere&lt;/p&gt;&lt;div style="clear: both;"&gt;&lt;/div&gt;&lt;/div&gt;&lt;div&gt;&lt;h5&gt;&lt;b&gt;School &lt;/b&gt;evocation [cold]; &lt;b&gt;Level &lt;/b&gt;sorcerer/wizard 6, magus 6&lt;/h5&gt;&lt;/div&gt;&lt;hr/&gt;&lt;div&gt;&lt;h5&gt;&lt;b&gt;CASTING&lt;/b&gt;&lt;/h5&gt;&lt;/div&gt;&lt;hr/&gt;&lt;div&gt;&lt;h5&gt;&lt;b&gt;Casting Time &lt;/b&gt;1 standard action&lt;/h5&gt;&lt;h5&gt;&lt;b&gt;Components &lt;/b&gt;V, S, F (a small crystal sphere)&lt;/h5&gt;&lt;/div&gt;&lt;hr/&gt;&lt;div&gt;&lt;h5&gt;&lt;b&gt;EFFECT&lt;/b&gt;&lt;/h5&gt;&lt;/div&gt;&lt;hr/&gt;&lt;div&gt;&lt;h5&gt;&lt;b&gt;Range &lt;/b&gt;long (400 ft. + 40 ft./level)&lt;/h5&gt;&lt;h5&gt;&lt;b&gt;Targets &lt;/b&gt;see text&lt;/h5&gt;&lt;h5&gt;&lt;b&gt;Duration &lt;/b&gt;instantaneous or 1 round/level; see text&lt;/h5&gt;&lt;h5&gt;&lt;b&gt;Saving Throw &lt;/b&gt;Reflex half; see text; &lt;b&gt;Spell Resistance &lt;/b&gt;yes&lt;/h5&gt;&lt;/div&gt;&lt;hr/&gt;&lt;div&gt;&lt;h5&gt;&lt;b&gt;DESCRIPTION&lt;/b&gt;&lt;/h5&gt;&lt;/div&gt;&lt;hr/&gt;&lt;div&gt;&lt;h4&gt;&lt;p&gt;&lt;i&gt;Freezing sphere&lt;/i&gt; creates a frigid globe of cold energy that streaks from your fingertips to the location you select, where it explodes in a 40-foot-radius burst, dealing 1d6 points of cold damage per caster level (maximum 15d6) to each creature in the area. A creature of the water subtype instead takes 1d8 points of cold damage per caster level (maximum 15d8) and is staggered for 1d4 rounds.&lt;/p&gt;&lt;p&gt;If the &lt;i&gt;freezing sphere&lt;/i&gt; strikes a body of water or a liquid that is principally water (not including water-based creatures), it freezes the liquid to a depth of 6 inches in a 40-foot radius. This ice lasts for 1 round per caster level. Creatures that were swimming on the surface of a targeted body of water become trapped in the ice. Attempting to break free is a full-round action. A trapped creature must make a DC 25 Strength check or a DC 25 Escape Artist check to do so.&lt;/p&gt;&lt;p&gt;You can refrain from firing the globe after completing the spell, if you wish. Treat this as a touch spell for which you are holding the charge. You can hold the charge for as long as 1 round per level, at the end of which time the &lt;i&gt;freezing sphere&lt;/i&gt; bursts centered on you (and you receive no saving throw to resist its effect). Firing the globe in a later round is a standard action.&lt;/p&gt;&lt;/h4&gt;&lt;/div&gt;</t>
  </si>
  <si>
    <t>Ice</t>
  </si>
  <si>
    <t> Freezes water or deals cold damage.</t>
  </si>
  <si>
    <t>Elements, Winter</t>
  </si>
  <si>
    <t>Gaseous Form</t>
  </si>
  <si>
    <t>bard 3, sorcerer/wizard 3, alchemist 3, magus 3</t>
  </si>
  <si>
    <t>S, M/DF (a bit of gauze and a wisp of smoke)</t>
  </si>
  <si>
    <t>willing corporeal creature touched</t>
  </si>
  <si>
    <t>2 min./level (D)</t>
  </si>
  <si>
    <t>The subject and all its gear become insubstantial, misty, and translucent. Its material armor (including natural armor) becomes worthless, though its size, Dexterity, deflection bonuses, and armor bonuses from force effects still apply. The subject gains DR 10/ magic and becomes immune to poison, sneak attacks, and critical hits. It can't attack or cast spells with verbal, somatic, material, or focus components while in gaseous form. This does not rule out the use of certain spells that the subject may have prepared using the feats Silent Spell, Still Spell, and Eschew Materials. The subject also loses supernatural abilities while in gaseous form. If it has a touch spell ready to use, that spell is discharged harmlessly when the gaseous form spell takes effect. A gaseous creature can't run, but it can fly at a speed of 10 feet and automatically succeeds on all Fly skill checks. It can pass through small holes or narrow openings, even mere cracks, with all it was wearing or holding in its hands, as long as the spell persists. The creature is subject to the effects of wind, and it can't enter water or other liquid. It also can't manipulate objects or activate items, even those carried along with its gaseous form. Continuously active items remain active, though in some cases their effects may be moot.</t>
  </si>
  <si>
    <t>&lt;p&gt;The subject and all its gear become insubstantial, misty, and translucent. Its material armor (including natural armor) becomes worthless, though its size, Dexterity, deflection bonuses, and armor bonuses from force effects still apply. The subject gains DR 10/ magic and becomes immune to poison, sneak attacks, and critical hits. It can't attack or cast spells with verbal, somatic, material, or focus components while in &lt;i&gt;gaseous form&lt;/i&gt;. This does not rule out the use of certain spells that the subject may have prepared using the feats Silent Spell, Still Spell, and Eschew Materials. The subject also loses supernatural abilities while in &lt;i&gt;gaseous form&lt;/i&gt;. If it has a touch spell ready to use, that spell is discharged harmlessly when the &lt;i&gt;gaseous form&lt;/i&gt; spell takes effect.&lt;/p&gt;&lt;p&gt;A gaseous creature can't run, but it can fly at a speed of 10 feet and automatically succeeds on all Fly skill checks. It can pass through small holes or narrow openings, even mere cracks, with all it was wearing or holding in its hands, as long as the spell persists. The creature is subject to the effects of wind, and it can't enter water or other liquid. It also can't manipulate objects or activate items, even those carried along with its &lt;i&gt;gaseous form&lt;/i&gt;. Continuously active items remain active, though in some cases their effects may be moot.&lt;/p&gt;</t>
  </si>
  <si>
    <t>&lt;link rel="stylesheet"href="PF.css"&gt;&lt;div class="heading"&gt;&lt;p class="alignleft"&gt;Gaseous Form&lt;/p&gt;&lt;div style="clear: both;"&gt;&lt;/div&gt;&lt;/div&gt;&lt;div&gt;&lt;h5&gt;&lt;b&gt;School &lt;/b&gt;transmutation; &lt;b&gt;Level &lt;/b&gt;bard 3, sorcerer/wizard 3, alchemist 3, magus 3&lt;/h5&gt;&lt;/div&gt;&lt;hr/&gt;&lt;div&gt;&lt;h5&gt;&lt;b&gt;CASTING&lt;/b&gt;&lt;/h5&gt;&lt;/div&gt;&lt;hr/&gt;&lt;div&gt;&lt;h5&gt;&lt;b&gt;Casting Time &lt;/b&gt;1 standard action&lt;/h5&gt;&lt;h5&gt;&lt;b&gt;Components &lt;/b&gt;S, M/DF (a bit of gauze and a wisp of smoke)&lt;/h5&gt;&lt;/div&gt;&lt;hr/&gt;&lt;div&gt;&lt;h5&gt;&lt;b&gt;EFFECT&lt;/b&gt;&lt;/h5&gt;&lt;/div&gt;&lt;hr/&gt;&lt;div&gt;&lt;h5&gt;&lt;b&gt;Range &lt;/b&gt;touch&lt;/h5&gt;&lt;h5&gt;&lt;b&gt;Targets &lt;/b&gt;willing corporeal creature touched&lt;/h5&gt;&lt;h5&gt;&lt;b&gt;Duration &lt;/b&gt;2 min./level (D)&lt;/h5&gt;&lt;h5&gt;&lt;b&gt;Saving Throw &lt;/b&gt;none; &lt;b&gt;Spell Resistance &lt;/b&gt;no&lt;/h5&gt;&lt;/div&gt;&lt;hr/&gt;&lt;div&gt;&lt;h5&gt;&lt;b&gt;DESCRIPTION&lt;/b&gt;&lt;/h5&gt;&lt;/div&gt;&lt;hr/&gt;&lt;div&gt;&lt;h4&gt;&lt;p&gt;The subject and all its gear become insubstantial, misty, and translucent. Its material armor (including natural armor) becomes worthless, though its size, Dexterity, deflection bonuses, and armor bonuses from force effects still apply. The subject gains DR 10/ magic and becomes immune to poison, sneak attacks, and critical hits. It can't attack or cast spells with verbal, somatic, material, or focus components while in &lt;i&gt;gaseous form&lt;/i&gt;. This does not rule out the use of certain spells that the subject may have prepared using the feats Silent Spell, Still Spell, and Eschew Materials. The subject also loses supernatural abilities while in &lt;i&gt;gaseous form&lt;/i&gt;. If it has a touch spell ready to use, that spell is discharged harmlessly when the &lt;i&gt;gaseous form&lt;/i&gt; spell takes effect.&lt;/p&gt;&lt;p&gt;A gaseous creature can't run, but it can fly at a speed of 10 feet and automatically succeeds on all Fly skill checks. It can pass through small holes or narrow openings, even mere cracks, with all it was wearing or holding in its hands, as long as the spell persists. The creature is subject to the effects of wind, and it can't enter water or other liquid. It also can't manipulate objects or activate items, even those carried along with its &lt;i&gt;gaseous form&lt;/i&gt;. Continuously active items remain active, though in some cases their effects may be moot.&lt;/p&gt;&lt;/h4&gt;&lt;h5&gt;&lt;b&gt;Mythic: &lt;/b&gt;The damage reduction changes to DR 10/epic and magic, and the fly speed increases to 30 feet. The target can expand itself as a free action, filling an area equal to double its normal space and height (a Medium creature fills a 10-foot-by-10-foot space to a height of about 10 feet) and blocking vision as obscuring mist. Returning from expanded to normal size is also a free action.&lt;/h5&gt;&lt;h5&gt;&lt;b&gt;Augmented&lt;/b&gt;: If you expend two uses of mythic power, the target can shift into or out of gaseous form as a move action.&lt;/h5&gt;&lt;/div&gt;</t>
  </si>
  <si>
    <t>Subject becomes insubstantial and can fly slowly.</t>
  </si>
  <si>
    <t>Marid</t>
  </si>
  <si>
    <t>The damage reduction changes to DR 10/epic and magic, and the fly speed increases to 30 feet. The target can expand itself as a free action, filling an area equal to double its normal space and height (a Medium creature fills a 10-foot-by-10-foot space to a height of about 10 feet) and blocking vision as obscuring mist. Returning from expanded to normal size is also a free action.</t>
  </si>
  <si>
    <t>Augmented: If you expend two uses of mythic power, the target can shift into or out of gaseous form as a move action.</t>
  </si>
  <si>
    <t>Gate</t>
  </si>
  <si>
    <t>creation or calling</t>
  </si>
  <si>
    <t>V, S, M (see text)</t>
  </si>
  <si>
    <t>instantaneous or concentration (up to 1 round/level); see text</t>
  </si>
  <si>
    <t>Casting a gate spell has two effects. First, it creates an interdimensional connection between your plane of existence and a plane you specify, allowing travel between those two planes in either direction. Second, you may then call a particular individual or kind of being through the gate. The gate itself is a circular hoop or disk from 5 to 20 feet in diameter (caster's choice) oriented in the direction you desire when it comes into existence (typically vertical and facing you). It is a two-dimensional window looking into the plane you specified when casting the spell, and anyone or anything that moves through is shunted instantly to the other side. A gate has a front and a back. Creatures moving through the gate from the front are transported to the other plane; creatures moving through it from the back are not. Planar Travel: As a mode of planar travel, a gate spell functions much like a plane shift spell, except that the gate opens precisely at the point you desire (a creation effect). Deities and other beings who rule a planar realm can prevent a gate from opening in their presence or personal demesnes if they so desire. Travelers need not join hands with you-anyone who chooses to step through the portal is transported. A gate cannot be opened to another point on the same plane; the spell works only for interplanar travel. You may hold the gate open only for a brief time (no more than 1 round per caster level), and you must concentrate on doing so, or else the interplanar connection is severed. Calling Creatures: The second effect of the gate spell is to call an extraplanar creature to your aid (a calling effect). By naming a particular being or kind of being as you cast the spell, you cause the gate to open in the immediate vicinity of the desired creature and pull the subject through, willing or unwilling. Deities and unique beings are under no compulsion to come through the gate, although they may choose to do so of their own accord. This use of the spell creates a gate that remains open just long enough to transport the called creatures. This use of the spell has a material cost of 10,000 gp in rare incense and offerings. This cost is in addition to any cost that must be paid to the called creatures. If you choose to call a kind of creature instead of a known individual, you may call either a single creature or several creatures. In either case, their total HD cannot exceed twice your caster level. In the case of a single creature, you can control it if its HD does not exceed your caster level. A creature with more HD than your caster level can't be controlled. Deities and unique beings cannot be controlled in any event. An uncontrolled being acts as it pleases, making the calling of such creatures rather dangerous. An uncontrolled being may return to its home plane at any time. If you choose to exact a longer or more involved form of service from a called creature, you must offer some fair trade in return for that service. The service exacted must be reasonable with respect to the promised favor or reward; see the lesser planar ally spell for appropriate rewards. Some creatures may want their payment in "livestock" rather than in coin, which could involve complications. Immediately upon completion of the service, the being is transported to your vicinity, and you must then and there turn over the promised reward. After this is done, the creature is instantly freed to return to its own plane. Failure to fulfill the promise to the letter results in your being subjected to service by the creature or by its liege and master, at the very least. At worst, the creature or its kin may attack you. Note: When you use a calling spell such as gate to call an air, chaotic, earth, evil, fire, good, lawful, or water creature, it becomes a spell of that type.</t>
  </si>
  <si>
    <t>&lt;p&gt;Casting a &lt;i&gt;gate&lt;/i&gt; spell has two effects. First, it creates an interdimensional connection between your plane of existence and a plane you specify, allowing travel between those two planes in either direction.&lt;/p&gt;&lt;p&gt;Second, you may then call a particular individual or kind of being through the &lt;i&gt;gate&lt;/i&gt;.&lt;/p&gt;&lt;p&gt;The &lt;i&gt;gate&lt;/i&gt; itself is a circular hoop or disk from 5 to 20 feet in diameter (caster's choice) oriented in the direction you desire when it comes into existence (typically vertical and facing you). It is a two-dimensional window looking into the plane you specified when casting the spell, and anyone or anything that moves through is shunted instantly to the other side.&lt;/p&gt;&lt;p&gt;A &lt;i&gt;gate&lt;/i&gt; has a front and a back. Creatures moving through the &lt;i&gt;gate&lt;/i&gt; from the front are transported to the other plane; creatures moving through it from the back are not.&lt;/p&gt;&lt;p&gt;&lt;i&gt;Planar Travel&lt;/i&gt;: As a mode of planar travel, a &lt;i&gt;gate&lt;/i&gt; spell functions much like a &lt;i&gt;plane shift&lt;/i&gt; spell, except that the &lt;i&gt;gate&lt;/i&gt; opens precisely at the point you desire (a creation effect). Deities and other beings who rule a planar realm can prevent a &lt;i&gt;gate&lt;/i&gt; from opening in their presence or personal demesnes if they so desire. Travelers need not join hands with you-anyone who chooses to step through the portal is transported. A &lt;i&gt;gate&lt;/i&gt; cannot be opened to another point on the same plane; the spell works only for interplanar travel.&lt;/p&gt;&lt;p&gt;You may hold the &lt;i&gt;gate&lt;/i&gt; open only for a brief time (no more than 1 round per caster level), and you must concentrate on doing so, or else the interplanar connection is severed.&lt;/p&gt;&lt;p&gt;&lt;i&gt;Calling Creatures&lt;/i&gt;: The second effect of the &lt;i&gt;gate&lt;/i&gt; spell is to call an extraplanar creature to your aid (a calling effect). By naming a particular being or kind of being as you cast the spell, you cause the &lt;i&gt;gate&lt;/i&gt; to open in the immediate vicinity of the desired creature and pull the subject through, willing or unwilling. Deities and unique beings are under no compulsion to come through the &lt;i&gt;gate&lt;/i&gt;, although they may choose to do so of their own accord. This use of the spell creates a &lt;i&gt;gate&lt;/i&gt; that remains open just long enough to transport the called creatures. This use of the spell has a material cost of 10,000 gp in rare incense and offerings. This cost is in addition to any cost that must be paid to the called creatures.&lt;/p&gt;&lt;p&gt;If you choose to call a kind of creature instead of a known individual, you may call either a single creature or several creatures.&lt;/p&gt;&lt;p&gt;In either case, their total HD cannot exceed twice your caster level. In the case of a single creature, you can control it if its HD does not exceed your caster level. A creature with more HD than your caster level can't be controlled. Deities and unique beings cannot be controlled in any event. An uncontrolled being acts as it pleases, making the calling of such creatures rather dangerous. An uncontrolled being may return to its home plane at any time.&lt;/p&gt;&lt;p&gt;If you choose to exact a longer or more involved form of service from a called creature, you must offer some fair trade in return for that service. The service exacted must be reasonable with respect to the promised favor or reward; see the &lt;i&gt;lesser planar ally&lt;/i&gt; spell for appropriate rewards. Some creatures may want their payment in "livestock" rather than in coin, which could involve complications.&lt;/p&gt;&lt;p&gt;Immediately upon completion of the service, the being is transported to your vicinity, and you must then and there turn over the promised reward. After this is done, the creature is instantly freed to return to its own plane.&lt;/p&gt;&lt;p&gt;Failure to fulfill the promise to the letter results in your being subjected to service by the creature or by its liege and master, at the very least. At worst, the creature or its kin may attack you.&lt;/p&gt;&lt;p&gt;&lt;i&gt;Note:&lt;/i&gt; When you use a calling spell such as &lt;i&gt;gate&lt;/i&gt; to call an air, chaotic, earth, evil, fire, good, lawful, or water creature, it becomes a spell of that type.&lt;/p&gt;</t>
  </si>
  <si>
    <t>&lt;link rel="stylesheet"href="PF.css"&gt;&lt;div class="heading"&gt;&lt;p class="alignleft"&gt;Gate&lt;/p&gt;&lt;div style="clear: both;"&gt;&lt;/div&gt;&lt;/div&gt;&lt;div&gt;&lt;h5&gt;&lt;b&gt;School &lt;/b&gt;conjuration (creation or calling); &lt;b&gt;Level &lt;/b&gt;cleric 9/oracle 9, sorcerer/wizard 9&lt;/h5&gt;&lt;/div&gt;&lt;hr/&gt;&lt;div&gt;&lt;h5&gt;&lt;b&gt;CASTING&lt;/b&gt;&lt;/h5&gt;&lt;/div&gt;&lt;hr/&gt;&lt;div&gt;&lt;h5&gt;&lt;b&gt;Casting Time &lt;/b&gt;1 standard action&lt;/h5&gt;&lt;h5&gt;&lt;b&gt;Components &lt;/b&gt;V, S, M (see text)&lt;/h5&gt;&lt;/div&gt;&lt;hr/&gt;&lt;div&gt;&lt;h5&gt;&lt;b&gt;EFFECT&lt;/b&gt;&lt;/h5&gt;&lt;/div&gt;&lt;hr/&gt;&lt;div&gt;&lt;h5&gt;&lt;b&gt;Range &lt;/b&gt;medium (100 ft. + 10 ft./level)&lt;/h5&gt;&lt;h5&gt;&lt;b&gt;Effect &lt;/b&gt;see text&lt;/h5&gt;&lt;h5&gt;&lt;b&gt;Duration &lt;/b&gt;instantaneous or concentration (up to 1 round/level); see text&lt;/h5&gt;&lt;h5&gt;&lt;b&gt;Saving Throw &lt;/b&gt;none; &lt;b&gt;Spell Resistance &lt;/b&gt;no&lt;/h5&gt;&lt;/div&gt;&lt;hr/&gt;&lt;div&gt;&lt;h5&gt;&lt;b&gt;DESCRIPTION&lt;/b&gt;&lt;/h5&gt;&lt;/div&gt;&lt;hr/&gt;&lt;div&gt;&lt;h4&gt;&lt;p&gt;Casting a &lt;i&gt;gate&lt;/i&gt; spell has two effects. First, it creates an interdimensional connection between your plane of existence and a plane you specify, allowing travel between those two planes in either direction.&lt;/p&gt;&lt;p&gt;Second, you may then call a particular individual or kind of being through the &lt;i&gt;gate&lt;/i&gt;.&lt;/p&gt;&lt;p&gt;The &lt;i&gt;gate&lt;/i&gt; itself is a circular hoop or disk from 5 to 20 feet in diameter (caster's choice) oriented in the direction you desire when it comes into existence (typically vertical and facing you). It is a two-dimensional window looking into the plane you specified when casting the spell, and anyone or anything that moves through is shunted instantly to the other side.&lt;/p&gt;&lt;p&gt;A &lt;i&gt;gate&lt;/i&gt; has a front and a back. Creatures moving through the &lt;i&gt;gate&lt;/i&gt; from the front are transported to the other plane; creatures moving through it from the back are not.&lt;/p&gt;&lt;p&gt;&lt;i&gt;Planar Travel&lt;/i&gt;: As a mode of planar travel, a &lt;i&gt;gate&lt;/i&gt; spell functions much like a &lt;i&gt;plane shift&lt;/i&gt; spell, except that the &lt;i&gt;gate&lt;/i&gt; opens precisely at the point you desire (a creation effect). Deities and other beings who rule a planar realm can prevent a &lt;i&gt;gate&lt;/i&gt; from opening in their presence or personal demesnes if they so desire. Travelers need not join hands with you-anyone who chooses to step through the portal is transported. A &lt;i&gt;gate&lt;/i&gt; cannot be opened to another point on the same plane; the spell works only for interplanar travel.&lt;/p&gt;&lt;p&gt;You may hold the &lt;i&gt;gate&lt;/i&gt; open only for a brief time (no more than 1 round per caster level), and you must concentrate on doing so, or else the interplanar connection is severed.&lt;/p&gt;&lt;p&gt;&lt;i&gt;Calling Creatures&lt;/i&gt;: The second effect of the &lt;i&gt;gate&lt;/i&gt; spell is to call an extraplanar creature to your aid (a calling effect). By naming a particular being or kind of being as you cast the spell, you cause the &lt;i&gt;gate&lt;/i&gt; to open in the immediate vicinity of the desired creature and pull the subject through, willing or unwilling. Deities and unique beings are under no compulsion to come through the &lt;i&gt;gate&lt;/i&gt;, although they may choose to do so of their own accord. This use of the spell creates a &lt;i&gt;gate&lt;/i&gt; that remains open just long enough to transport the called creatures. This use of the spell has a material cost of 10,000 gp in rare incense and offerings. This cost is in addition to any cost that must be paid to the called creatures.&lt;/p&gt;&lt;p&gt;If you choose to call a kind of creature instead of a known individual, you may call either a single creature or several creatures.&lt;/p&gt;&lt;p&gt;In either case, their total HD cannot exceed twice your caster level. In the case of a single creature, you can control it if its HD does not exceed your caster level. A creature with more HD than your caster level can't be controlled. Deities and unique beings cannot be controlled in any event. An uncontrolled being acts as it pleases, making the calling of such creatures rather dangerous. An uncontrolled being may return to its home plane at any time.&lt;/p&gt;&lt;p&gt;If you choose to exact a longer or more involved form of service from a called creature, you must offer some fair trade in return for that service. The service exacted must be reasonable with respect to the promised favor or reward; see the &lt;i&gt;lesser planar ally&lt;/i&gt; spell for appropriate rewards. Some creatures may want their payment in "livestock" rather than in coin, which could involve complications.&lt;/p&gt;&lt;p&gt;Immediately upon completion of the service, the being is transported to your vicinity, and you must then and there turn over the promised reward. After this is done, the creature is instantly freed to return to its own plane.&lt;/p&gt;&lt;p&gt;Failure to fulfill the promise to the letter results in your being subjected to service by the creature or by its liege and master, at the very least. At worst, the creature or its kin may attack you.&lt;/p&gt;&lt;p&gt;&lt;i&gt;Note:&lt;/i&gt; When you use a calling spell such as &lt;i&gt;gate&lt;/i&gt; to call an air, chaotic, earth, evil, fire, good, lawful, or water creature, it becomes a spell of that type.&lt;/p&gt;&lt;/h4&gt;&lt;/div&gt;</t>
  </si>
  <si>
    <t>Glory, Trade</t>
  </si>
  <si>
    <t>Connects two planes for travel or summoning.</t>
  </si>
  <si>
    <t>Boundaries, Occult</t>
  </si>
  <si>
    <t>Geas/Quest</t>
  </si>
  <si>
    <t>language-dependent, mind-affecting, curse</t>
  </si>
  <si>
    <t>bard 6, cleric 6/oracle 6, sorcerer/wizard 6, inquisitor 5, witch 6</t>
  </si>
  <si>
    <t>1 day/level or until discharged</t>
  </si>
  <si>
    <t>This spell functions similarly to lesser geas, except that it affects a creature of any HD and allows no saving throw. If the subject is prevented from obeying the geas/quest for 24 hours, it takes a -3 penalty to each of its ability scores. Each day, another -3 penalty accumulates, up to a total of -12. No ability score can be reduced to less than 1 by this effect. The ability score penalties are removed 24 hours after the subject resumes obeying the geas/quest. A remove curse spell ends a geas/quest spell only if its caster level is at least two higher than your caster level. Break enchantment does not end a geas/quest, but limited wish, miracle, and wish do. Bards, sorcerers, and wizards usually refer to this spell as geas, while clerics call the same spell quest.</t>
  </si>
  <si>
    <t>&lt;p&gt;This spell functions similarly to &lt;i&gt;lesser &lt;i&gt;geas,&lt;/i&gt;&lt;/i&gt; except that it affects a creature of any HD and allows no saving throw.&lt;/p&gt;&lt;p&gt;If the subject is prevented from obeying the &lt;i&gt;geas/quest&lt;/i&gt; for 24 hours, it takes a -3 penalty to each of its ability scores. Each day, another -3 penalty accumulates, up to a total of -12. No ability score can be reduced to less than 1 by this effect. The ability score penalties are removed 24 hours after the subject resumes obeying the &lt;i&gt;geas/quest&lt;/i&gt;.&lt;/p&gt;&lt;p&gt;A remove curse spell ends a &lt;i&gt;geas/quest&lt;/i&gt; spell only if its caster level is at least two higher than your caster level. &lt;i&gt;Break enchantment&lt;/i&gt; does not end a &lt;i&gt;geas/quest&lt;/i&gt;, but limited &lt;i&gt;wish&lt;/i&gt;, miracle, and &lt;i&gt;wish&lt;/i&gt; do.&lt;/p&gt;&lt;p&gt;Bards, sorcerers, and wizards usually refer to this spell as &lt;i&gt;geas,&lt;/i&gt; while clerics call the same spell quest.&lt;/p&gt;</t>
  </si>
  <si>
    <t>&lt;link rel="stylesheet"href="PF.css"&gt;&lt;div class="heading"&gt;&lt;p class="alignleft"&gt;Geas /Quest&lt;/p&gt;&lt;div style="clear: both;"&gt;&lt;/div&gt;&lt;/div&gt;&lt;div&gt;&lt;h5&gt;&lt;b&gt;School &lt;/b&gt;enchantment (compulsion) [language-dependent, mind-affecting, curse]; &lt;b&gt;Level &lt;/b&gt;bard 6, cleric 6/oracle 6, sorcerer/wizard 6, inquisitor 5, witch 6&lt;/h5&gt;&lt;/div&gt;&lt;hr/&gt;&lt;div&gt;&lt;h5&gt;&lt;b&gt;CASTING&lt;/b&gt;&lt;/h5&gt;&lt;/div&gt;&lt;hr/&gt;&lt;div&gt;&lt;h5&gt;&lt;b&gt;Casting Time &lt;/b&gt;10 minutes&lt;/h5&gt;&lt;h5&gt;&lt;b&gt;Components &lt;/b&gt;V&lt;/h5&gt;&lt;/div&gt;&lt;hr/&gt;&lt;div&gt;&lt;h5&gt;&lt;b&gt;EFFECT&lt;/b&gt;&lt;/h5&gt;&lt;/div&gt;&lt;hr/&gt;&lt;div&gt;&lt;h5&gt;&lt;b&gt;Range &lt;/b&gt;close (25 ft. + 5 ft./2 levels)&lt;/h5&gt;&lt;h5&gt;&lt;b&gt;Targets &lt;/b&gt;one living creature&lt;/h5&gt;&lt;h5&gt;&lt;b&gt;Duration &lt;/b&gt;1 day/level or until discharged (D)&lt;/h5&gt;&lt;h5&gt;&lt;b&gt;Saving Throw &lt;/b&gt;none; &lt;b&gt;Spell Resistance &lt;/b&gt;yes&lt;/h5&gt;&lt;/div&gt;&lt;hr/&gt;&lt;div&gt;&lt;h5&gt;&lt;b&gt;DESCRIPTION&lt;/b&gt;&lt;/h5&gt;&lt;/div&gt;&lt;hr/&gt;&lt;div&gt;&lt;h4&gt;&lt;p&gt;This spell functions similarly to &lt;i&gt;lesser &lt;i&gt;geas,&lt;/i&gt;&lt;/i&gt; except that it affects a creature of any HD and allows no saving throw.&lt;/p&gt;&lt;p&gt;If the subject is prevented from obeying the &lt;i&gt;geas/quest&lt;/i&gt; for 24 hours, it takes a -3 penalty to each of its ability scores. Each day, another -3 penalty accumulates, up to a total of -12. No ability score can be reduced to less than 1 by this effect. The ability score penalties are removed 24 hours after the subject resumes obeying the &lt;i&gt;geas/quest&lt;/i&gt;.&lt;/p&gt;&lt;p&gt;A remove curse spell ends a &lt;i&gt;geas/quest&lt;/i&gt; spell only if its caster level is at least two higher than your caster level. &lt;i&gt;Break enchantment&lt;/i&gt; does not end a &lt;i&gt;geas/quest&lt;/i&gt;, but limited &lt;i&gt;wish&lt;/i&gt;, miracle, and &lt;i&gt;wish&lt;/i&gt; do.&lt;/p&gt;&lt;p&gt;Bards, sorcerers, and wizards usually refer to this spell as &lt;i&gt;geas,&lt;/i&gt; while clerics call the same spell quest.&lt;/p&gt;&lt;/h4&gt;&lt;/div&gt;</t>
  </si>
  <si>
    <t>Ancestors, Charm, Honor, Nobility</t>
  </si>
  <si>
    <t>As lesser geas, but affects any creature.</t>
  </si>
  <si>
    <t>Geas, Lesser</t>
  </si>
  <si>
    <t>bard 3, sorcerer/wizard 4, witch 4, inquisitor 4</t>
  </si>
  <si>
    <t>one living creature with 7 HD or less</t>
  </si>
  <si>
    <t>A lesser geas places a magical command on a creature to carry out some service or to refrain from some action or course of activity, as desired by you. The creature must have 7 or fewer HD and be able to understand you. While a geas cannot compel a creature to kill itself or perform acts that would result in certain death, it can cause almost any other course of activity. The geased creature must follow the given instructions until the geas is completed, no matter how long it takes. If the instructions involve some open-ended task that the recipient cannot complete through his own actions, the spell remains in effect for a maximum of 1 day per caster level. A clever recipient can subvert some instructions. If the subject is prevented from obeying the lesser geas for 24 hours, it takes a -2 penalty to each of its ability scores. Each day, another -2 penalty accumulates, up to a total of -8. No ability score can be reduced to less than 1 by this effect. The ability score penalties are removed 24 hours after the subject resumes obeying the lesser geas. A lesser geas (and all ability score penalties) can be ended by break enchantment, limited wish, remove curse, miracle, or wish. Dispel magic does not affect a lesser geas.</t>
  </si>
  <si>
    <t>&lt;p&gt;A &lt;i&gt;lesser &lt;i&gt;geas&lt;/i&gt;&lt;/i&gt; places a magical command on a creature to carry out some service or to refrain from some action or course of activity, as desired by you. The creature must have 7 or fewer HD and be able to understand you. While a &lt;i&gt;geas&lt;/i&gt; cannot compel a creature to kill itself or perform acts that would result in certain death, it can cause almost any other course of activity.&lt;/p&gt;&lt;p&gt;The &lt;i&gt;geas&lt;/i&gt;ed creature must follow the given instructions until the &lt;i&gt;geas&lt;/i&gt; is completed, no matter how long it takes.&lt;/p&gt;&lt;p&gt;If the instructions involve some open-ended task that the recipient cannot complete through his own actions, the spell remains in effect for a maximum of 1 day per caster level. A clever recipient can subvert some instructions.&lt;/p&gt;&lt;p&gt;If the subject is prevented from obeying the &lt;i&gt;lesser &lt;i&gt;geas&lt;/i&gt;&lt;/i&gt; for 24 hours, it takes a -2 penalty to each of its ability scores. Each day, another -2 penalty accumulates, up to a total of -8. No ability score can be reduced to less than 1 by this effect. The ability score penalties are removed 24 hours after the subject resumes obeying the &lt;i&gt;lesser &lt;i&gt;geas&lt;/i&gt;&lt;/i&gt;.&lt;/p&gt;&lt;p&gt;A &lt;i&gt;lesser &lt;i&gt;geas&lt;/i&gt;&lt;/i&gt; (and all ability score penalties) can be ended by break enchantment, limited wish, remove curse, miracle, or &lt;i&gt;wish. Dispel magic&lt;/i&gt; does not affect a &lt;i&gt;lesser &lt;i&gt;geas&lt;/i&gt;&lt;/i&gt;.&lt;/p&gt;</t>
  </si>
  <si>
    <t>&lt;link rel="stylesheet"href="PF.css"&gt;&lt;div class="heading"&gt;&lt;p class="alignleft"&gt;Geas, Lesser&lt;/p&gt;&lt;div style="clear: both;"&gt;&lt;/div&gt;&lt;/div&gt;&lt;div&gt;&lt;h5&gt;&lt;b&gt;School &lt;/b&gt;enchantment (compulsion) [language-dependent, mind-affecting, curse]; &lt;b&gt;Level &lt;/b&gt;bard 3, sorcerer/wizard 4, witch 4, inquisitor 4&lt;/h5&gt;&lt;/div&gt;&lt;hr/&gt;&lt;div&gt;&lt;h5&gt;&lt;b&gt;CASTING&lt;/b&gt;&lt;/h5&gt;&lt;/div&gt;&lt;hr/&gt;&lt;div&gt;&lt;h5&gt;&lt;b&gt;Casting Time &lt;/b&gt;1 round&lt;/h5&gt;&lt;h5&gt;&lt;b&gt;Components &lt;/b&gt;V&lt;/h5&gt;&lt;/div&gt;&lt;hr/&gt;&lt;div&gt;&lt;h5&gt;&lt;b&gt;EFFECT&lt;/b&gt;&lt;/h5&gt;&lt;/div&gt;&lt;hr/&gt;&lt;div&gt;&lt;h5&gt;&lt;b&gt;Range &lt;/b&gt;close (25 ft. + 5 ft./2 levels)&lt;/h5&gt;&lt;h5&gt;&lt;b&gt;Targets &lt;/b&gt;one living creature with 7 HD or less&lt;/h5&gt;&lt;h5&gt;&lt;b&gt;Duration &lt;/b&gt;1 day/level or until discharged (D)&lt;/h5&gt;&lt;h5&gt;&lt;b&gt;Saving Throw &lt;/b&gt;Will negates; &lt;b&gt;Spell Resistance &lt;/b&gt;yes&lt;/h5&gt;&lt;/div&gt;&lt;hr/&gt;&lt;div&gt;&lt;h5&gt;&lt;b&gt;DESCRIPTION&lt;/b&gt;&lt;/h5&gt;&lt;/div&gt;&lt;hr/&gt;&lt;div&gt;&lt;h4&gt;&lt;p&gt;A &lt;i&gt;lesser &lt;i&gt;geas&lt;/i&gt;&lt;/i&gt; places a magical command on a creature to carry out some service or to refrain from some action or course of activity, as desired by you. The creature must have 7 or fewer HD and be able to understand you. While a &lt;i&gt;geas&lt;/i&gt; cannot compel a creature to kill itself or perform acts that would result in certain death, it can cause almost any other course of activity.&lt;/p&gt;&lt;p&gt;The &lt;i&gt;geas&lt;/i&gt;ed creature must follow the given instructions until the &lt;i&gt;geas&lt;/i&gt; is completed, no matter how long it takes.&lt;/p&gt;&lt;p&gt;If the instructions involve some open-ended task that the recipient cannot complete through his own actions, the spell remains in effect for a maximum of 1 day per caster level. A clever recipient can subvert some instructions.&lt;/p&gt;&lt;p&gt;If the subject is prevented from obeying the &lt;i&gt;lesser &lt;i&gt;geas&lt;/i&gt;&lt;/i&gt; for 24 hours, it takes a -2 penalty to each of its ability scores. Each day, another -2 penalty accumulates, up to a total of -8. No ability score can be reduced to less than 1 by this effect. The ability score penalties are removed 24 hours after the subject resumes obeying the &lt;i&gt;lesser &lt;i&gt;geas&lt;/i&gt;&lt;/i&gt;.&lt;/p&gt;&lt;p&gt;A &lt;i&gt;lesser &lt;i&gt;geas&lt;/i&gt;&lt;/i&gt; (and all ability score penalties) can be ended by break enchantment, limited wish, remove curse, miracle, or &lt;i&gt;wish. Dispel magic&lt;/i&gt; does not affect a &lt;i&gt;lesser &lt;i&gt;geas&lt;/i&gt;&lt;/i&gt;.&lt;/p&gt;&lt;/h4&gt;&lt;/div&gt;</t>
  </si>
  <si>
    <t>Commands subject of 7 HD or less.</t>
  </si>
  <si>
    <t>Gentle Repose</t>
  </si>
  <si>
    <t>cleric 2/oracle 2, sorcerer/wizard 3, witch 2</t>
  </si>
  <si>
    <t>V, S, M/DF (salt and a copper piece for each of the corpse's eyes)</t>
  </si>
  <si>
    <t>corpse touched</t>
  </si>
  <si>
    <t>You preserve the remains of a dead creature so that they do not decay. Doing so effectively extends the time limit on raising that creature from the dead (see raise dead). Days spent under the influence of this spell don't count against the time limit. Additionally, this spell makes transporting a slain (and thus decaying) comrade less unpleasant. The spell also works on severed body parts and the like.</t>
  </si>
  <si>
    <t>&lt;p&gt;You preserve the remains of a dead creature so that they do not decay. Doing so effectively extends the time limit on raising that creature from the dead (see &lt;i&gt;raise dead&lt;/i&gt;). Days spent under the influence of this spell don't count against the time limit.&lt;/p&gt;&lt;p&gt;Additionally, this spell makes transporting a slain (and thus decaying) comrade less unpleasant.&lt;/p&gt;&lt;p&gt;The spell also works on severed body parts and the like.&lt;/p&gt;</t>
  </si>
  <si>
    <t>&lt;link rel="stylesheet"href="PF.css"&gt;&lt;div class="heading"&gt;&lt;p class="alignleft"&gt;Gentle Repose&lt;/p&gt;&lt;div style="clear: both;"&gt;&lt;/div&gt;&lt;/div&gt;&lt;div&gt;&lt;h5&gt;&lt;b&gt;School &lt;/b&gt;necromancy; &lt;b&gt;Level &lt;/b&gt;cleric 2/oracle 2, sorcerer/wizard 3, witch 2&lt;/h5&gt;&lt;/div&gt;&lt;hr/&gt;&lt;div&gt;&lt;h5&gt;&lt;b&gt;CASTING&lt;/b&gt;&lt;/h5&gt;&lt;/div&gt;&lt;hr/&gt;&lt;div&gt;&lt;h5&gt;&lt;b&gt;Casting Time &lt;/b&gt;1 standard action&lt;/h5&gt;&lt;h5&gt;&lt;b&gt;Components &lt;/b&gt;V, S, M/DF (salt and a copper piece for each of the corpse's eyes)&lt;/h5&gt;&lt;/div&gt;&lt;hr/&gt;&lt;div&gt;&lt;h5&gt;&lt;b&gt;EFFECT&lt;/b&gt;&lt;/h5&gt;&lt;/div&gt;&lt;hr/&gt;&lt;div&gt;&lt;h5&gt;&lt;b&gt;Range &lt;/b&gt;touch&lt;/h5&gt;&lt;h5&gt;&lt;b&gt;Targets &lt;/b&gt;corpse touched&lt;/h5&gt;&lt;h5&gt;&lt;b&gt;Duration &lt;/b&gt;1 day/level&lt;/h5&gt;&lt;h5&gt;&lt;b&gt;Saving Throw &lt;/b&gt;Will negates (object); &lt;b&gt;Spell Resistance &lt;/b&gt;yes (object)&lt;/h5&gt;&lt;/div&gt;&lt;hr/&gt;&lt;div&gt;&lt;h5&gt;&lt;b&gt;DESCRIPTION&lt;/b&gt;&lt;/h5&gt;&lt;/div&gt;&lt;hr/&gt;&lt;div&gt;&lt;h4&gt;&lt;p&gt;You preserve the remains of a dead creature so that they do not decay. Doing so effectively extends the time limit on raising that creature from the dead (see &lt;i&gt;raise dead&lt;/i&gt;). Days spent under the influence of this spell don't count against the time limit.&lt;/p&gt;&lt;p&gt;Additionally, this spell makes transporting a slain (and thus decaying) comrade less unpleasant.&lt;/p&gt;&lt;p&gt;The spell also works on severed body parts and the like.&lt;/p&gt;&lt;/h4&gt;&lt;/div&gt;</t>
  </si>
  <si>
    <t>Preserves one corpse.</t>
  </si>
  <si>
    <t>Ghost Sound</t>
  </si>
  <si>
    <t>figment</t>
  </si>
  <si>
    <t>bard 0, sorcerer/wizard 0, magus 0</t>
  </si>
  <si>
    <t>V, S, M (a bit of wool or a small lump of wax)</t>
  </si>
  <si>
    <t>illusory sounds</t>
  </si>
  <si>
    <t>Will disbelief</t>
  </si>
  <si>
    <t>Ghost sound allows you to create a volume of sound that rises, recedes, approaches, or remains at a fixed place. You choose what type of sound ghost sound creates when casting it and cannot thereafter change the sound's basic character. The volume of sound created depends on your level. You can produce as much noise as four normal humans per caster level (maximum 40 humans). Thus, talking, singing, shouting, walking, marching, or running sounds can be created. The noise a ghost sound spell produces can be virtually any type of sound within the volume limit. A horde of rats running and squeaking is about the same volume as eight humans running and shouting. A roaring lion is equal to the noise from 16 humans, while a roaring dragon is equal to the noise from 32 humans. Anyone who hears a ghost sound receives a Will save to disbelieve. Ghost sound can enhance the effectiveness of a silent image spell. Ghost sound can be made permanent with a permanency spell.</t>
  </si>
  <si>
    <t>&lt;p&gt;&lt;i&gt;Ghost sound&lt;/i&gt; allows you to create a volume of sound that rises, recedes, approaches, or remains at a fixed place. You choose what type of sound &lt;i&gt;ghost sound&lt;/i&gt; creates when casting it and cannot thereafter change the sound's basic character.&lt;/p&gt;&lt;p&gt;The volume of sound created depends on your level. You can produce as much noise as four normal humans per caster level (maximum 40 humans). Thus, talking, singing, shouting, walking, marching, or running sounds can be created. The noise a &lt;i&gt;ghost sound&lt;/i&gt; spell produces can be virtually any type of sound within the volume limit. A horde of rats running and squeaking is about the same volume as eight humans running and shouting. A roaring lion is equal to the noise from 16 humans, while a roaring dragon is equal to the noise from 32 humans. Anyone who hears a &lt;i&gt;ghost sound&lt;/i&gt; receives a Will save to disbelieve.&lt;/p&gt;&lt;p&gt;&lt;i&gt;Ghost sound&lt;/i&gt; can enhance the effectiveness of a &lt;i&gt;silent image&lt;/i&gt; spell.&lt;/p&gt;&lt;p&gt;&lt;i&gt;Ghost sound&lt;/i&gt; can be made permanent with a &lt;i&gt;permanency&lt;/i&gt; spell.&lt;/p&gt;</t>
  </si>
  <si>
    <t>&lt;link rel="stylesheet"href="PF.css"&gt;&lt;div class="heading"&gt;&lt;p class="alignleft"&gt;Ghost Sound&lt;/p&gt;&lt;div style="clear: both;"&gt;&lt;/div&gt;&lt;/div&gt;&lt;div&gt;&lt;h5&gt;&lt;b&gt;School &lt;/b&gt;illusion (figment); &lt;b&gt;Level &lt;/b&gt;bard 0, sorcerer/wizard 0, magus 0&lt;/h5&gt;&lt;/div&gt;&lt;hr/&gt;&lt;div&gt;&lt;h5&gt;&lt;b&gt;CASTING&lt;/b&gt;&lt;/h5&gt;&lt;/div&gt;&lt;hr/&gt;&lt;div&gt;&lt;h5&gt;&lt;b&gt;Casting Time &lt;/b&gt;1 standard action&lt;/h5&gt;&lt;h5&gt;&lt;b&gt;Components &lt;/b&gt;V, S, M (a bit of wool or a small lump of wax)&lt;/h5&gt;&lt;/div&gt;&lt;hr/&gt;&lt;div&gt;&lt;h5&gt;&lt;b&gt;EFFECT&lt;/b&gt;&lt;/h5&gt;&lt;/div&gt;&lt;hr/&gt;&lt;div&gt;&lt;h5&gt;&lt;b&gt;Range &lt;/b&gt;close (25 ft. + 5 ft./2 levels)&lt;/h5&gt;&lt;h5&gt;&lt;b&gt;Effect &lt;/b&gt;illusory sounds&lt;/h5&gt;&lt;h5&gt;&lt;b&gt;Duration &lt;/b&gt;1 round/level (D)&lt;/h5&gt;&lt;h5&gt;&lt;b&gt;Saving Throw &lt;/b&gt;Will disbelief; &lt;b&gt;Spell Resistance &lt;/b&gt;no&lt;/h5&gt;&lt;/div&gt;&lt;hr/&gt;&lt;div&gt;&lt;h5&gt;&lt;b&gt;DESCRIPTION&lt;/b&gt;&lt;/h5&gt;&lt;/div&gt;&lt;hr/&gt;&lt;div&gt;&lt;h4&gt;&lt;p&gt;&lt;i&gt;Ghost sound&lt;/i&gt; allows you to create a volume of sound that rises, recedes, approaches, or remains at a fixed place. You choose what type of sound &lt;i&gt;ghost sound&lt;/i&gt; creates when casting it and cannot thereafter change the sound's basic character.&lt;/p&gt;&lt;p&gt;The volume of sound created depends on your level. You can produce as much noise as four normal humans per caster level (maximum 40 humans). Thus, talking, singing, shouting, walking, marching, or running sounds can be created. The noise a &lt;i&gt;ghost sound&lt;/i&gt; spell produces can be virtually any type of sound within the volume limit. A horde of rats running and squeaking is about the same volume as eight humans running and shouting. A roaring lion is equal to the noise from 16 humans, while a roaring dragon is equal to the noise from 32 humans. Anyone who hears a &lt;i&gt;ghost sound&lt;/i&gt; receives a Will save to disbelieve.&lt;/p&gt;&lt;p&gt;&lt;i&gt;Ghost sound&lt;/i&gt; can enhance the effectiveness of a &lt;i&gt;silent image&lt;/i&gt; spell.&lt;/p&gt;&lt;p&gt;&lt;i&gt;Ghost sound&lt;/i&gt; can be made permanent with a &lt;i&gt;permanency&lt;/i&gt; spell.&lt;/p&gt;&lt;/h4&gt;&lt;/div&gt;</t>
  </si>
  <si>
    <t>Figment sounds.</t>
  </si>
  <si>
    <t>Ghoul touch</t>
  </si>
  <si>
    <t>V, S, M (cloth from a ghoul or earth from a ghoul's lair)</t>
  </si>
  <si>
    <t>living humanoid touched</t>
  </si>
  <si>
    <t>1d6+2 rounds</t>
  </si>
  <si>
    <t>Imbuing you with negative energy, this spell allows you to paralyze a single living humanoid for the duration of the spell with a successful melee touch attack. A paralyzed subject exudes a carrion stench that causes all living creatures (except you) in a 10-foot-radius spread to become sickened (Fortitude negates). A neutralize poison spell removes the effect from a sickened creature, and creatures immune to poison are unaffected by the stench. This is a poison effect.</t>
  </si>
  <si>
    <t>&lt;p&gt;Imbuing you with negative energy, this spell allows you to paralyze a single living humanoid for the duration of the spell with a successful melee touch attack.&lt;/p&gt;&lt;p&gt;A paralyzed subject exudes a carrion stench that causes all living creatures (except you) in a 10-foot-radius spread to become sickened (Fortitude negates). A &lt;i&gt;neutralize poison&lt;/i&gt; spell removes the effect from a sickened creature, and creatures immune to poison are unaffected by the stench. This is a poison effect.&lt;/p&gt;</t>
  </si>
  <si>
    <t>&lt;link rel="stylesheet"href="PF.css"&gt;&lt;div class="heading"&gt;&lt;p class="alignleft"&gt;Ghoul touch&lt;/p&gt;&lt;div style="clear: both;"&gt;&lt;/div&gt;&lt;/div&gt;&lt;div&gt;&lt;h5&gt;&lt;b&gt;School &lt;/b&gt;necromancy; &lt;b&gt;Level &lt;/b&gt;sorcerer/wizard 2&lt;/h5&gt;&lt;/div&gt;&lt;hr/&gt;&lt;div&gt;&lt;h5&gt;&lt;b&gt;CASTING&lt;/b&gt;&lt;/h5&gt;&lt;/div&gt;&lt;hr/&gt;&lt;div&gt;&lt;h5&gt;&lt;b&gt;Casting Time &lt;/b&gt;1 standard action&lt;/h5&gt;&lt;h5&gt;&lt;b&gt;Components &lt;/b&gt;V, S, M (cloth from a ghoul or earth from a ghoul's lair)&lt;/h5&gt;&lt;/div&gt;&lt;hr/&gt;&lt;div&gt;&lt;h5&gt;&lt;b&gt;EFFECT&lt;/b&gt;&lt;/h5&gt;&lt;/div&gt;&lt;hr/&gt;&lt;div&gt;&lt;h5&gt;&lt;b&gt;Range &lt;/b&gt;touch&lt;/h5&gt;&lt;h5&gt;&lt;b&gt;Targets &lt;/b&gt;living humanoid touched&lt;/h5&gt;&lt;h5&gt;&lt;b&gt;Duration &lt;/b&gt;1d6+2 rounds&lt;/h5&gt;&lt;h5&gt;&lt;b&gt;Saving Throw &lt;/b&gt;Fortitude negates; &lt;b&gt;Spell Resistance &lt;/b&gt;yes&lt;/h5&gt;&lt;/div&gt;&lt;hr/&gt;&lt;div&gt;&lt;h5&gt;&lt;b&gt;DESCRIPTION&lt;/b&gt;&lt;/h5&gt;&lt;/div&gt;&lt;hr/&gt;&lt;div&gt;&lt;h4&gt;&lt;p&gt;Imbuing you with negative energy, this spell allows you to paralyze a single living humanoid for the duration of the spell with a successful melee touch attack.&lt;/p&gt;&lt;p&gt;A paralyzed subject exudes a carrion stench that causes all living creatures (except you) in a 10-foot-radius spread to become sickened (Fortitude negates). A &lt;i&gt;neutralize poison&lt;/i&gt; spell removes the effect from a sickened creature, and creatures immune to poison are unaffected by the stench. This is a poison effect.&lt;/p&gt;&lt;/h4&gt;&lt;/div&gt;</t>
  </si>
  <si>
    <t> Paralyzes one subject, which exudes stench that makes those nearby sickened.</t>
  </si>
  <si>
    <t>Giant Form I</t>
  </si>
  <si>
    <t>sorcerer/wizard 7, alchemist 6</t>
  </si>
  <si>
    <t>When you cast this spell you can assume the form of any Large humanoid creature of the giant subtype (see the Pathfinder RPG Bestiary). Once you assume your new form, you gain the following abilities: a +6 size bonus to Strength, a -2 penalty to Dexterity, a +4 size bonus to Constitution, a +4 natural armor bonus, and low-light vision. If the form you assume has any of the following abilities, you gain the listed ability: darkvision 60 feet, rend (2d6 damage), regeneration 5, rock catching, and rock throwing (range 60 feet, 2d6 damage). If the creature has immunity or resistance to any elements, you gain resistance 20 to those elements. If the creature has vulnerability to an element, you gain that vulnerability.</t>
  </si>
  <si>
    <t>&lt;p&gt;When you cast this spell you can assume the form of any Large humanoid creature of the giant subtype (see the &lt;i&gt;Pathfinder RPG Bestiary&lt;/i&gt;). Once you assume your new form, you gain the following abilities: a +6 size bonus to Strength, a -2 penalty to Dexterity, a +4 size bonus to Constitution, a +4 natural armor bonus, and low-light vision. If the form you assume has any of the following abilities, you gain the listed ability: darkvision 60 feet, rend (2d6 damage), regeneration 5, rock catching, and rock throwing (range 60 feet, 2d6 damage). If the creature has immunity or resistance to any elements, you gain resistance 20 to those elements. If the creature has vulnerability to an element, you gain that vulnerability.&lt;/p&gt;</t>
  </si>
  <si>
    <t>&lt;link rel="stylesheet"href="PF.css"&gt;&lt;div class="heading"&gt;&lt;p class="alignleft"&gt;Giant Form I&lt;/p&gt;&lt;div style="clear: both;"&gt;&lt;/div&gt;&lt;/div&gt;&lt;div&gt;&lt;h5&gt;&lt;b&gt;School &lt;/b&gt;transmutation (polymorph); &lt;b&gt;Level &lt;/b&gt;sorcerer/wizard 7, alchemist 6&lt;/h5&gt;&lt;/div&gt;&lt;hr/&gt;&lt;div&gt;&lt;h5&gt;&lt;b&gt;CASTING&lt;/b&gt;&lt;/h5&gt;&lt;/div&gt;&lt;hr/&gt;&lt;div&gt;&lt;h5&gt;&lt;b&gt;Casting Time &lt;/b&gt;1 standard action&lt;/h5&gt;&lt;h5&gt;&lt;b&gt;Components &lt;/b&gt;V, S, M (a piece of the creature whose form you plan to assume)&lt;/h5&gt;&lt;/div&gt;&lt;hr/&gt;&lt;div&gt;&lt;h5&gt;&lt;b&gt;EFFECT&lt;/b&gt;&lt;/h5&gt;&lt;/div&gt;&lt;hr/&gt;&lt;div&gt;&lt;h5&gt;&lt;b&gt;Range &lt;/b&gt;personal&lt;/h5&gt;&lt;h5&gt;&lt;b&gt;Targets &lt;/b&gt;you&lt;/h5&gt;&lt;h5&gt;&lt;b&gt;Duration &lt;/b&gt;1 min./level (D)&lt;/h5&gt;&lt;/div&gt;&lt;hr/&gt;&lt;div&gt;&lt;h5&gt;&lt;b&gt;DESCRIPTION&lt;/b&gt;&lt;/h5&gt;&lt;/div&gt;&lt;hr/&gt;&lt;div&gt;&lt;h4&gt;&lt;p&gt;When you cast this spell you can assume the form of any Large humanoid creature of the giant subtype (see the &lt;i&gt;Pathfinder RPG Bestiary&lt;/i&gt;). Once you assume your new form, you gain the following abilities: a +6 size bonus to Strength, a -2 penalty to Dexterity, a +4 size bonus to Constitution, a +4 natural armor bonus, and low-light vision. If the form you assume has any of the following abilities, you gain the listed ability: darkvision 60 feet, rend (2d6 damage), regeneration 5, rock catching, and rock throwing (range 60 feet, 2d6 damage). If the creature has immunity or resistance to any elements, you gain resistance 20 to those elements. If the creature has vulnerability to an element, you gain that vulnerability.&lt;/p&gt;&lt;/h4&gt;&lt;/div&gt;</t>
  </si>
  <si>
    <t> Turns you into a Large giant.</t>
  </si>
  <si>
    <t>Boreal</t>
  </si>
  <si>
    <t>Giant Form II</t>
  </si>
  <si>
    <t>Transmutation</t>
  </si>
  <si>
    <t>This spell functions as giant form I except that it also allows you to assume the form of any Huge creature of the giant type. You gain the following abilities: a +8 size bonus to Strength, a -2 penalty to Dexterity, a +6 size bonus to Constitution, a +6 natural armor bonus, low-light vision, and a +10 foot enhancement bonus to your speed. If the form you assume has any of the following abilities, you gain the listed ability: swim 60 feet, darkvision 60 feet, rend (2d8 damage), regeneration 5, rock catching, and rock throwing (range 120 feet, 2d10 damage). If the creature has immunity or resistance to one element, you gain that immunity or resistance. If the creature has vulnerability to an element, you gain that vulnerability.</t>
  </si>
  <si>
    <t>&lt;p&gt;This spell functions as &lt;i&gt;giant form I&lt;/i&gt; except that it also allows you to assume the form of any Huge creature of the giant type. You gain the following abilities: a +8 size bonus to Strength, a -2 penalty to Dexterity, a +6 size bonus to Constitution, a +6 natural armor bonus, low-light vision, and a +10 foot enhancement bonus to your speed. If the form you assume has any of the following abilities, you gain the listed ability: swim 60 feet, darkvision 60 feet, rend (2d8 damage), regeneration 5, rock catching, and rock throwing (range 120 feet, 2d10 damage). If the creature has immunity or resistance to one element, you gain that immunity or resistance. If the creature has vulnerability to an element, you gain that vulnerability.&lt;/p&gt;</t>
  </si>
  <si>
    <t>&lt;link rel="stylesheet"href="PF.css"&gt;&lt;div class="heading"&gt;&lt;p class="alignleft"&gt;Giant Form II&lt;/p&gt;&lt;div style="clear: both;"&gt;&lt;/div&gt;&lt;/div&gt;&lt;div&gt;&lt;h5&gt;&lt;b&gt;School &lt;/b&gt;Transmutation (polymorph); &lt;b&gt;Level &lt;/b&gt;sorcerer/wizard 8&lt;/h5&gt;&lt;/div&gt;&lt;hr/&gt;&lt;div&gt;&lt;h5&gt;&lt;b&gt;CASTING&lt;/b&gt;&lt;/h5&gt;&lt;/div&gt;&lt;hr/&gt;&lt;div&gt;&lt;h5&gt;&lt;b&gt;Casting Time &lt;/b&gt;1 standard action&lt;/h5&gt;&lt;h5&gt;&lt;b&gt;Components &lt;/b&gt;V, S, M (a piece of the creature whose form you plan to assume)&lt;/h5&gt;&lt;/div&gt;&lt;hr/&gt;&lt;div&gt;&lt;h5&gt;&lt;b&gt;EFFECT&lt;/b&gt;&lt;/h5&gt;&lt;/div&gt;&lt;hr/&gt;&lt;div&gt;&lt;h5&gt;&lt;b&gt;Range &lt;/b&gt;personal&lt;/h5&gt;&lt;h5&gt;&lt;b&gt;Targets &lt;/b&gt;you&lt;/h5&gt;&lt;h5&gt;&lt;b&gt;Duration &lt;/b&gt;1 min./level (D)&lt;/h5&gt;&lt;/div&gt;&lt;hr/&gt;&lt;div&gt;&lt;h5&gt;&lt;b&gt;DESCRIPTION&lt;/b&gt;&lt;/h5&gt;&lt;/div&gt;&lt;hr/&gt;&lt;div&gt;&lt;h4&gt;&lt;p&gt;This spell functions as &lt;i&gt;giant form I&lt;/i&gt; except that it also allows you to assume the form of any Huge creature of the giant type. You gain the following abilities: a +8 size bonus to Strength, a -2 penalty to Dexterity, a +6 size bonus to Constitution, a +6 natural armor bonus, low-light vision, and a +10 foot enhancement bonus to your speed. If the form you assume has any of the following abilities, you gain the listed ability: swim 60 feet, darkvision 60 feet, rend (2d8 damage), regeneration 5, rock catching, and rock throwing (range 120 feet, 2d10 damage). If the creature has immunity or resistance to one element, you gain that immunity or resistance. If the creature has vulnerability to an element, you gain that vulnerability.&lt;/p&gt;&lt;/h4&gt;&lt;/div&gt;</t>
  </si>
  <si>
    <t> Turns you into a Huge giant.</t>
  </si>
  <si>
    <t>Giant Vermin</t>
  </si>
  <si>
    <t>cleric 4/oracle 4, druid 4</t>
  </si>
  <si>
    <t>1 or more vermin, no two of which can be more than 30 ft. apart</t>
  </si>
  <si>
    <t>You turn a number of normal-sized centipedes, scorpions, or spiders into their giant counterparts (see the Pathfinder RPG Bestiary). Only one type of vermin can be transmuted (so a single casting cannot affect both a centipede and a spider). The number of vermin which can be affected by this spell depends on your caster level, as noted on the table below. Giant vermin created by this spell do not attempt to harm you, but your control of such creatures is limited to simple commands ("Attack," "Defend," "Stop," and so forth). Orders to attack a certain creature when it appears or guard against a particular occurrence are too complex for the vermin to understand. Unless commanded to do otherwise, the giant vermin attack whomever or whatever is near them. Caster Level C entipedes Scorpions Spiders 9th or lower 3 1 2 10th-13th 4 2 3 14th-17th 6 3 4 18th-19th 8 4 5 20th or higher 12 6 8</t>
  </si>
  <si>
    <t>&lt;p&gt;You turn a number of normal-sized centipedes, scorpions, or spiders into their giant counterparts (see the &lt;i&gt;Pathfinder RPG Bestiary&lt;/i&gt;). Only one type of vermin can be transmuted (so a single casting cannot affect both a centipede and a spider). The number of vermin which can be affected by this spell depends on your caster level, as noted on the table below.&lt;/p&gt;&lt;p&gt;Giant vermin created by this spell do not attempt to harm you, but your control of such creatures is limited to simple commands ("Attack," "Defend," "Stop," and so forth). Orders to attack a certain creature when it appears or guard against a particular occurrence are too complex for the vermin to understand. Unless commanded to do otherwise, the giant vermin attack whomever or whatever is near them.&lt;/p&gt;&lt;p&gt; &lt;table&gt;&lt;tr&gt;&lt;th&gt;Caster Level&lt;/th&gt;&lt;th&gt;Centipedes&lt;/th&gt;&lt;th&gt;Scorpions&lt;/th&gt;&lt;th&gt;Spiders&lt;/th&gt;&lt;/tr&gt;&lt;tr&gt;&lt;td&gt;9th or lower&lt;/td&gt;&lt;td&gt;3&lt;/td&gt;&lt;td&gt;1&lt;/td&gt;&lt;td&gt;2&lt;/td&gt;&lt;/tr&gt;&lt;tr&gt;&lt;td&gt;10th-13th&lt;/td&gt;&lt;td&gt;4&lt;/td&gt;&lt;td&gt;2&lt;/td&gt;&lt;td&gt;3&lt;/td&gt;&lt;/tr&gt;&lt;tr&gt;&lt;td&gt;14th-17th&lt;/td&gt;&lt;td&gt;6&lt;/td&gt;&lt;td&gt;3&lt;/td&gt;&lt;td&gt;4&lt;/td&gt;&lt;/tr&gt;&lt;tr&gt;&lt;td&gt;18th-19th&lt;/td&gt;&lt;td&gt;8&lt;/td&gt;&lt;td&gt;4&lt;/td&gt;&lt;td&gt;5&lt;/td&gt;&lt;/tr&gt;&lt;tr&gt;&lt;td&gt;20th or higher&lt;/td&gt;&lt;td&gt;12&lt;/td&gt;&lt;td&gt;6&lt;/td&gt;&lt;td&gt;8&lt;/td&gt;&lt;/tr&gt;&lt;/table&gt; &lt;/p&gt;</t>
  </si>
  <si>
    <t>&lt;link rel="stylesheet"href="PF.css"&gt;&lt;div class="heading"&gt;&lt;p class="alignleft"&gt;Giant Vermin&lt;/p&gt;&lt;div style="clear: both;"&gt;&lt;/div&gt;&lt;/div&gt;&lt;div&gt;&lt;h5&gt;&lt;b&gt;School &lt;/b&gt;transmutation; &lt;b&gt;Level &lt;/b&gt;cleric 4/oracle 4, druid 4&lt;/h5&gt;&lt;/div&gt;&lt;hr/&gt;&lt;div&gt;&lt;h5&gt;&lt;b&gt;CASTING&lt;/b&gt;&lt;/h5&gt;&lt;/div&gt;&lt;hr/&gt;&lt;div&gt;&lt;h5&gt;&lt;b&gt;Casting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levels)&lt;/h5&gt;&lt;h5&gt;&lt;b&gt;Targets &lt;/b&gt;1 or more vermin, no two of which can be more than 30 ft. apart&lt;/h5&gt;&lt;h5&gt;&lt;b&gt;Duration &lt;/b&gt;1 min./level&lt;/h5&gt;&lt;h5&gt;&lt;b&gt;Saving Throw &lt;/b&gt;none; &lt;b&gt;Spell Resistance &lt;/b&gt;yes&lt;/h5&gt;&lt;/div&gt;&lt;hr/&gt;&lt;div&gt;&lt;h5&gt;&lt;b&gt;DESCRIPTION&lt;/b&gt;&lt;/h5&gt;&lt;/div&gt;&lt;hr/&gt;&lt;div&gt;&lt;h4&gt;&lt;p&gt;You turn a number of normal-sized centipedes, scorpions, or spiders into their giant counterparts (see the &lt;i&gt;Pathfinder RPG Bestiary&lt;/i&gt;). Only one type of vermin can be transmuted (so a single casting cannot affect both a centipede and a spider). The number of vermin which can be affected by this spell depends on your caster level, as noted on the table below.&lt;/p&gt;&lt;p&gt;Giant vermin created by this spell do not attempt to harm you, but your control of such creatures is limited to simple commands ("Attack," "Defend," "Stop," and so forth). Orders to attack a certain creature when it appears or guard against a particular occurrence are too complex for the vermin to understand. Unless commanded to do otherwise, the giant vermin attack whomever or whatever is near them.&lt;/p&gt;&lt;p&gt; &lt;table&gt;&lt;tr&gt;&lt;th&gt;Caster Level&lt;/th&gt;&lt;th&gt;Centipedes&lt;/th&gt;&lt;th&gt;Scorpions&lt;/th&gt;&lt;th&gt;Spiders&lt;/th&gt;&lt;/tr&gt;&lt;tr&gt;&lt;td&gt;9th or lower&lt;/td&gt;&lt;td&gt;3&lt;/td&gt;&lt;td&gt;1&lt;/td&gt;&lt;td&gt;2&lt;/td&gt;&lt;/tr&gt;&lt;tr&gt;&lt;td&gt;10th-13th&lt;/td&gt;&lt;td&gt;4&lt;/td&gt;&lt;td&gt;2&lt;/td&gt;&lt;td&gt;3&lt;/td&gt;&lt;/tr&gt;&lt;tr&gt;&lt;td&gt;14th-17th&lt;/td&gt;&lt;td&gt;6&lt;/td&gt;&lt;td&gt;3&lt;/td&gt;&lt;td&gt;4&lt;/td&gt;&lt;/tr&gt;&lt;tr&gt;&lt;td&gt;18th-19th&lt;/td&gt;&lt;td&gt;8&lt;/td&gt;&lt;td&gt;4&lt;/td&gt;&lt;td&gt;5&lt;/td&gt;&lt;/tr&gt;&lt;tr&gt;&lt;td&gt;20th or higher&lt;/td&gt;&lt;td&gt;12&lt;/td&gt;&lt;td&gt;6&lt;/td&gt;&lt;td&gt;8&lt;/td&gt;&lt;/tr&gt;&lt;/table&gt; &lt;/p&gt;&lt;/h4&gt;&lt;/div&gt;</t>
  </si>
  <si>
    <t>Turns centipedes, scorpions, or spiders into giant vermin.</t>
  </si>
  <si>
    <t>Glibness</t>
  </si>
  <si>
    <t>bard 3</t>
  </si>
  <si>
    <t>S</t>
  </si>
  <si>
    <t>Your speech becomes fluent and more believable, causing those who hear you to believe every word you say. You gain a +20 bonus on Bluff checks made to convince another of the truth of your words. This bonus doesn't apply to other uses of the Bluff skill, such as feinting in combat, creating a diversion to hide, or communicating a hidden message via innuendo. If a magical effect is used against you that would detect your lies or force you to speak the truth, the user of the effect must succeed on a caster level check (1d20 + caster level) against a DC of 15 + your caster level to succeed. Failure means the effect does not detect your lies or force you to speak only the truth.</t>
  </si>
  <si>
    <t>&lt;p&gt;Your speech becomes fluent and more believable, causing those who hear you to believe every word you say. You gain a +20 bonus on Bluff checks made to convince another of the truth of your words. This bonus doesn't apply to other uses of the Bluff skill, such as feinting in combat, creating a diversion to hide, or communicating a hidden message via innuendo.&lt;/p&gt;&lt;p&gt;If a magical effect is used against you that would detect your lies or force you to speak the truth, the user of the effect must succeed on a caster level check (1d20 + caster level) against a DC of 15 + your caster level to succeed. Failure means the effect does not detect your lies or force you to speak only the truth.&lt;/p&gt;</t>
  </si>
  <si>
    <t>&lt;link rel="stylesheet"href="PF.css"&gt;&lt;div class="heading"&gt;&lt;p class="alignleft"&gt;Glibness&lt;/p&gt;&lt;div style="clear: both;"&gt;&lt;/div&gt;&lt;/div&gt;&lt;div&gt;&lt;h5&gt;&lt;b&gt;School &lt;/b&gt;transmutation; &lt;b&gt;Level &lt;/b&gt;bard 3&lt;/h5&gt;&lt;/div&gt;&lt;hr/&gt;&lt;div&gt;&lt;h5&gt;&lt;b&gt;CASTING&lt;/b&gt;&lt;/h5&gt;&lt;/div&gt;&lt;hr/&gt;&lt;div&gt;&lt;h5&gt;&lt;b&gt;Casting Time &lt;/b&gt;1 standard action&lt;/h5&gt;&lt;h5&gt;&lt;b&gt;Components &lt;/b&gt;S&lt;/h5&gt;&lt;/div&gt;&lt;hr/&gt;&lt;div&gt;&lt;h5&gt;&lt;b&gt;EFFECT&lt;/b&gt;&lt;/h5&gt;&lt;/div&gt;&lt;hr/&gt;&lt;div&gt;&lt;h5&gt;&lt;b&gt;Range &lt;/b&gt;personal&lt;/h5&gt;&lt;h5&gt;&lt;b&gt;Targets &lt;/b&gt;you&lt;/h5&gt;&lt;h5&gt;&lt;b&gt;Duration &lt;/b&gt;10 min./level (D)&lt;/h5&gt;&lt;/div&gt;&lt;hr/&gt;&lt;div&gt;&lt;h5&gt;&lt;b&gt;DESCRIPTION&lt;/b&gt;&lt;/h5&gt;&lt;/div&gt;&lt;hr/&gt;&lt;div&gt;&lt;h4&gt;&lt;p&gt;Your speech becomes fluent and more believable, causing those who hear you to believe every word you say. You gain a +20 bonus on Bluff checks made to convince another of the truth of your words. This bonus doesn't apply to other uses of the Bluff skill, such as feinting in combat, creating a diversion to hide, or communicating a hidden message via innuendo.&lt;/p&gt;&lt;p&gt;If a magical effect is used against you that would detect your lies or force you to speak the truth, the user of the effect must succeed on a caster level check (1d20 + caster level) against a DC of 15 + your caster level to succeed. Failure means the effect does not detect your lies or force you to speak only the truth.&lt;/p&gt;&lt;/h4&gt;&lt;/div&gt;</t>
  </si>
  <si>
    <t> You gain +20 bonus on Bluff checks, and your lies can escape magical discernment.</t>
  </si>
  <si>
    <t>Glitterdust</t>
  </si>
  <si>
    <t>bard 2, sorcerer/wizard 2, summoner 2, witch 2, magus 2</t>
  </si>
  <si>
    <t>V, S, M (ground mica)</t>
  </si>
  <si>
    <t>creatures and objects within 10-ft.-radius spread</t>
  </si>
  <si>
    <t>Will negates (blinding only)</t>
  </si>
  <si>
    <t>A cloud of golden particles covers everyone and everything in the area, causing creatures to become blinded and visibly outlining invisible things for the duration of the spell. All within the area are covered by the dust, which cannot be removed and continues to sparkle until it fades. Each round at the end of their turn blinded creatures may attempt new saving throws to end the blindness effect. Any creature covered by the dust takes a -40 penalty on Stealth checks.</t>
  </si>
  <si>
    <t>&lt;p&gt;A cloud of golden particles covers everyone and everything in the area, causing creatures to become blinded and visibly outlining invisible things for the duration of the spell. All within the area are covered by the dust, which cannot be removed and continues to sparkle until it fades. Each round at the end of their turn blinded creatures may attempt new saving throws to end the blindness effect.&lt;/p&gt;&lt;p&gt;Any creature covered by the dust takes a -40 penalty on Stealth checks.&lt;/p&gt;</t>
  </si>
  <si>
    <t>&lt;link rel="stylesheet"href="PF.css"&gt;&lt;div class="heading"&gt;&lt;p class="alignleft"&gt;Glitterdust&lt;/p&gt;&lt;div style="clear: both;"&gt;&lt;/div&gt;&lt;/div&gt;&lt;div&gt;&lt;h5&gt;&lt;b&gt;School &lt;/b&gt;conjuration (creation); &lt;b&gt;Level &lt;/b&gt;bard 2, sorcerer/wizard 2, summoner 2, witch 2, magus 2&lt;/h5&gt;&lt;/div&gt;&lt;hr/&gt;&lt;div&gt;&lt;h5&gt;&lt;b&gt;CASTING&lt;/b&gt;&lt;/h5&gt;&lt;/div&gt;&lt;hr/&gt;&lt;div&gt;&lt;h5&gt;&lt;b&gt;Casting Time &lt;/b&gt;1 standard action&lt;/h5&gt;&lt;h5&gt;&lt;b&gt;Components &lt;/b&gt;V, S, M (ground mica)&lt;/h5&gt;&lt;/div&gt;&lt;hr/&gt;&lt;div&gt;&lt;h5&gt;&lt;b&gt;EFFECT&lt;/b&gt;&lt;/h5&gt;&lt;/div&gt;&lt;hr/&gt;&lt;div&gt;&lt;h5&gt;&lt;b&gt;Range &lt;/b&gt;medium (100 ft. + 10 ft./level)&lt;/h5&gt;&lt;h5&gt;&lt;b&gt;Area &lt;/b&gt;creatures and objects within 10-ft.-radius spread&lt;/h5&gt;&lt;h5&gt;&lt;b&gt;Duration &lt;/b&gt;1 round/level&lt;/h5&gt;&lt;h5&gt;&lt;b&gt;Saving Throw &lt;/b&gt;Will negates (blinding only); &lt;b&gt;Spell Resistance &lt;/b&gt;no&lt;/h5&gt;&lt;/div&gt;&lt;hr/&gt;&lt;div&gt;&lt;h5&gt;&lt;b&gt;DESCRIPTION&lt;/b&gt;&lt;/h5&gt;&lt;/div&gt;&lt;hr/&gt;&lt;div&gt;&lt;h4&gt;&lt;p&gt;A cloud of golden particles covers everyone and everything in the area, causing creatures to become blinded and visibly outlining invisible things for the duration of the spell. All within the area are covered by the dust, which cannot be removed and continues to sparkle until it fades. Each round at the end of their turn blinded creatures may attempt new saving throws to end the blindness effect.&lt;/p&gt;&lt;p&gt;Any creature covered by the dust takes a -40 penalty on Stealth checks.&lt;/p&gt;&lt;/h4&gt;&lt;/div&gt;</t>
  </si>
  <si>
    <t>Blinds creatures, outlines invisible creatures.</t>
  </si>
  <si>
    <t>Shaitan, Starsoul</t>
  </si>
  <si>
    <t>Globe of Invulnerability, Lesser</t>
  </si>
  <si>
    <t>sorcerer/wizard 4</t>
  </si>
  <si>
    <t>V, S, M (a glass or crystal bead)</t>
  </si>
  <si>
    <t>10-ft.-radius spherical emanation, centered on you</t>
  </si>
  <si>
    <t>An immobile, faintly shimmering magical sphere surrounds you and excludes all spell effects of 3rd level or lower. The area or effect of any such spells does not include the area of the lesser globe of invulnerability. Such spells fail to affect any target located within the globe. Excluded effects include spell-like abilities and spells or spell-like effects from items. Any type of spell, however, can be cast through or out of the magical globe. Spells of 4th level and higher are not affected by the globe, nor are spells already in effect when the globe is cast. The globe can be brought down by a dispel magic spell. You can leave and return to the globe without penalty. Note that spell effects are not disrupted unless their effects enter the globe, and even then they are merely suppressed, not dispelled. If a given spell has more than one level depending on which character class is casting it, use the level appropriate to the caster to determine whether lesser globe of invulnerability stops it.</t>
  </si>
  <si>
    <t>&lt;p&gt;An immobile, faintly shimmering magical sphere surrounds you and excludes all spell effects of 3rd level or lower. The area or effect of any such spells does not include the area of the &lt;i&gt;lesser globe of invulnerability&lt;/i&gt;. Such spells fail to affect any target located within the globe. Excluded effects include spell-like abilities and spells or spell-like effects from items. Any type of spell, however, can be cast through or out of the magical globe.&lt;/p&gt;&lt;p&gt;Spells of 4th level and higher are not affected by the globe, nor are spells already in effect when the globe is cast. The globe can be brought down by a &lt;i&gt;dispel magic&lt;/i&gt; spell. You can leave and return to the globe without penalty.&lt;/p&gt;&lt;p&gt;Note that spell effects are not disrupted unless their effects enter the globe, and even then they are merely suppressed, not dispelled.&lt;/p&gt;&lt;p&gt;If a given spell has more than one level depending on which character class is casting it, use the level appropriate to the caster to determine whether &lt;i&gt;lesser globe of invulnerability&lt;/i&gt; stops it.&lt;/p&gt;</t>
  </si>
  <si>
    <t>&lt;link rel="stylesheet"href="PF.css"&gt;&lt;div class="heading"&gt;&lt;p class="alignleft"&gt;Globe of Invulnerability, Lesser&lt;/p&gt;&lt;div style="clear: both;"&gt;&lt;/div&gt;&lt;/div&gt;&lt;div&gt;&lt;h5&gt;&lt;b&gt;School &lt;/b&gt;abjuration; &lt;b&gt;Level &lt;/b&gt;sorcerer/wizard 4&lt;/h5&gt;&lt;/div&gt;&lt;hr/&gt;&lt;div&gt;&lt;h5&gt;&lt;b&gt;CASTING&lt;/b&gt;&lt;/h5&gt;&lt;/div&gt;&lt;hr/&gt;&lt;div&gt;&lt;h5&gt;&lt;b&gt;Casting Time &lt;/b&gt;1 standard action&lt;/h5&gt;&lt;h5&gt;&lt;b&gt;Components &lt;/b&gt;V, S, M (a glass or crystal bead)&lt;/h5&gt;&lt;/div&gt;&lt;hr/&gt;&lt;div&gt;&lt;h5&gt;&lt;b&gt;EFFECT&lt;/b&gt;&lt;/h5&gt;&lt;/div&gt;&lt;hr/&gt;&lt;div&gt;&lt;h5&gt;&lt;b&gt;Range &lt;/b&gt;10 ft.&lt;/h5&gt;&lt;h5&gt;&lt;b&gt;Area &lt;/b&gt;10-ft.-radius spherical emanation, centered on you&lt;/h5&gt;&lt;h5&gt;&lt;b&gt;Duration &lt;/b&gt;1 round/level (D)&lt;/h5&gt;&lt;h5&gt;&lt;b&gt;Saving Throw &lt;/b&gt;none; &lt;b&gt;Spell Resistance &lt;/b&gt;no&lt;/h5&gt;&lt;/div&gt;&lt;hr/&gt;&lt;div&gt;&lt;h5&gt;&lt;b&gt;DESCRIPTION&lt;/b&gt;&lt;/h5&gt;&lt;/div&gt;&lt;hr/&gt;&lt;div&gt;&lt;h4&gt;&lt;p&gt;An immobile, faintly shimmering magical sphere surrounds you and excludes all spell effects of 3rd level or lower. The area or effect of any such spells does not include the area of the &lt;i&gt;lesser globe of invulnerability&lt;/i&gt;. Such spells fail to affect any target located within the globe. Excluded effects include spell-like abilities and spells or spell-like effects from items. Any type of spell, however, can be cast through or out of the magical globe.&lt;/p&gt;&lt;p&gt;Spells of 4th level and higher are not affected by the globe, nor are spells already in effect when the globe is cast. The globe can be brought down by a &lt;i&gt;dispel magic&lt;/i&gt; spell. You can leave and return to the globe without penalty.&lt;/p&gt;&lt;p&gt;Note that spell effects are not disrupted unless their effects enter the globe, and even then they are merely suppressed, not dispelled.&lt;/p&gt;&lt;p&gt;If a given spell has more than one level depending on which character class is casting it, use the level appropriate to the caster to determine whether &lt;i&gt;lesser globe of invulnerability&lt;/i&gt; stops it.&lt;/p&gt;&lt;/h4&gt;&lt;/div&gt;</t>
  </si>
  <si>
    <t> Stops 1st- through 3rd-level spell effects.</t>
  </si>
  <si>
    <t>Wisdom</t>
  </si>
  <si>
    <t>Globe Of Invulnerability</t>
  </si>
  <si>
    <t>This spell functions like lesser globe of invulnerability, except that it also excludes 4th-level spells and spell-like effects.</t>
  </si>
  <si>
    <t>&lt;p&gt;This spell functions like &lt;i&gt;lesser globe of invulnerability&lt;/i&gt;, except that it also excludes 4th-level spells and spell-like effects.&lt;/p&gt;</t>
  </si>
  <si>
    <t>&lt;link rel="stylesheet"href="PF.css"&gt;&lt;div class="heading"&gt;&lt;p class="alignleft"&gt;Globe Of Invulnerability&lt;/p&gt;&lt;div style="clear: both;"&gt;&lt;/div&gt;&lt;/div&gt;&lt;div&gt;&lt;h5&gt;&lt;b&gt;School &lt;/b&gt;abjuration; &lt;b&gt;Level &lt;/b&gt;sorcerer/wizard 6&lt;/h5&gt;&lt;/div&gt;&lt;hr/&gt;&lt;div&gt;&lt;h5&gt;&lt;b&gt;CASTING&lt;/b&gt;&lt;/h5&gt;&lt;/div&gt;&lt;hr/&gt;&lt;div&gt;&lt;h5&gt;&lt;b&gt;Casting Time &lt;/b&gt;1 standard action&lt;/h5&gt;&lt;h5&gt;&lt;b&gt;Components &lt;/b&gt;V, S, M (a glass or crystal bead)&lt;/h5&gt;&lt;/div&gt;&lt;hr/&gt;&lt;div&gt;&lt;h5&gt;&lt;b&gt;EFFECT&lt;/b&gt;&lt;/h5&gt;&lt;/div&gt;&lt;hr/&gt;&lt;div&gt;&lt;h5&gt;&lt;b&gt;Range &lt;/b&gt;10 ft.&lt;/h5&gt;&lt;h5&gt;&lt;b&gt;Area &lt;/b&gt;10-ft.-radius spherical emanation, centered on you&lt;/h5&gt;&lt;h5&gt;&lt;b&gt;Duration &lt;/b&gt;1 round/level (D)&lt;/h5&gt;&lt;h5&gt;&lt;b&gt;Saving Throw &lt;/b&gt;none; &lt;b&gt;Spell Resistance &lt;/b&gt;no&lt;/h5&gt;&lt;/div&gt;&lt;hr/&gt;&lt;div&gt;&lt;h5&gt;&lt;b&gt;DESCRIPTION&lt;/b&gt;&lt;/h5&gt;&lt;/div&gt;&lt;hr/&gt;&lt;div&gt;&lt;h4&gt;&lt;p&gt;This spell functions like &lt;i&gt;lesser globe of invulnerability&lt;/i&gt;, except that it also excludes 4th-level spells and spell-like effects.&lt;/p&gt;&lt;/h4&gt;&lt;h5&gt;&lt;b&gt;Mythic: &lt;/b&gt;Add half your tier to the level of non-mythic spells the globe excludes. The globe excludes mythic spells of 4th level or lower.&lt;/h5&gt;&lt;/div&gt;</t>
  </si>
  <si>
    <t> As lesser globe of invulnerability, plus 4th-level spell effects.</t>
  </si>
  <si>
    <t>Add half your tier to the level of non-mythic spells the globe excludes. The globe excludes mythic spells of 4th level or lower.</t>
  </si>
  <si>
    <t>Glyph Of Warding</t>
  </si>
  <si>
    <t>cleric/oracle 3</t>
  </si>
  <si>
    <t>V, S, M (powdered diamond worth 200 gp)</t>
  </si>
  <si>
    <t>object touched or up to 5 sq. ft./level</t>
  </si>
  <si>
    <t>no (object) and yes; see text</t>
  </si>
  <si>
    <t>This powerful inscription harms those who enter, pass, or open the warded area or object. A glyph of warding can guard a bridge or passage, ward a portal, trap a chest or box, and so on. You set all of the conditions of the ward. Typically, any creature entering the warded area or opening the warded object without speaking a password (which you set when casting the spell) is subject to the magic it stores. Alternatively or in addition to a password trigger, glyphs can be set according to physical characteristics (such as height or weight) or creature type, subtype, or kind. Glyphs can also be set with respect to good, evil, law, or chaos, or to pass those of your religion. They cannot be set according to class, HD, or level. Glyphs respond to invisible creatures normally but are not triggered by those who travel past them ethereally. Multiple glyphs cannot be cast on the same area. However, if a cabinet has three different drawers, each can be separately warded. When casting the spell, you weave a tracery of faintly glowing lines around the warding sigil. A glyph can be placed to conform to any shape up to the limitations of your total square footage. When the spell is completed, the glyph and tracery become nearly invisible. Glyphs cannot be affected or bypassed by such means as physical or magical probing, though they can be dispelled. Mislead, polymorph, and nondetection (and similar magical effects) can fool a glyph, though nonmagical disguises and the like can't. Read magic allows you to identify a glyph of warding with a DC 13 Knowledge (arcana) check. Identifying the glyph does not discharge it and allows you to know the basic nature of the glyph (version, type of damage caused, what spell is stored). Note: Magic traps such as glyph of warding are hard to detect and disable. While any character can use Perception to find a glyph, only a character with the trapfinding class feature can use Disable Device to disarm it. The DC in each case is 25 + spell level, or 28 for glyph of warding. Depending on the version selected, a glyph either blasts the intruder or activates a spell. Blast Glyph: A blast glyph deals 1d8 points of damage per two caster levels (maximum 5d8) to the intruder and to all within 5 feet of him or her. This damage is acid, cold, fire, electricity, or sonic (caster's choice, made at time of casting). Each creature affected can attempt a Reflex save to take half damage. Spell resistance applies against this effect. Spell Glyph: You can store any harmful spell of 3rd level or lower that you know. All level-dependent features of the spell are based on your caster level at the time of casting the glyph. If the spell has a target, it targets the intruder. If the spell has an area or an amorphous effect, the area or effect is centered on the intruder. If the spell summons creatures, they appear as close as possible to the intruder and attack. Saving Throws and spell resistance operate as normal, except that the DC is based on the level of the spell stored in the glyph.</t>
  </si>
  <si>
    <t>&lt;p&gt;This powerful inscription harms those who enter, pass, or open the warded area or object. A &lt;i&gt;glyph of warding&lt;/i&gt; can guard a bridge or passage, ward a portal, trap a chest or box, and so on.&lt;/p&gt;&lt;p&gt;You set all of the conditions of the ward. Typically, any creature entering the warded area or opening the warded object without speaking a password (which you set when casting the spell) is subject to the magic it stores. Alternatively or in addition to a password trigger, glyphs can be set according to physical characteristics (such as height or weight) or creature type, subtype, or kind. Glyphs can also be set with respect to good, evil, law, or chaos, or to pass those of your religion. They cannot be set according to class, HD, or level.&lt;/p&gt;&lt;p&gt;Glyphs respond to invisible creatures normally but are not triggered by those who travel past them ethereally. Multiple glyphs cannot be cast on the same area. However, if a cabinet has three different drawers, each can be separately warded.&lt;/p&gt;&lt;p&gt;When casting the spell, you weave a tracery of faintly glowing lines around the warding sigil. A glyph can be placed to conform to any shape up to the limitations of your total square footage. When the spell is completed, the glyph and tracery become nearly invisible.&lt;/p&gt;&lt;p&gt;Glyphs cannot be affected or bypassed by such means as physical or magical probing, though they can be dispelled. &lt;i&gt;Mislead&lt;/i&gt;, &lt;i&gt;polymorph&lt;/i&gt;, and &lt;i&gt;nondetection&lt;/i&gt; (and similar magical effects) can fool a glyph, though nonmagical disguises and the like can't. &lt;i&gt;Read magic&lt;/i&gt; allows you to identify a &lt;i&gt;glyph of warding&lt;/i&gt; with a DC 13 Knowledge (arcana) check. Identifying the glyph does not discharge it and allows you to know the basic nature of the glyph (version, type of damage caused, what spell is stored).&lt;/p&gt;&lt;p&gt;&lt;i&gt;Note&lt;/i&gt;: Magic traps such as &lt;i&gt;glyph of warding&lt;/i&gt; are hard to detect and disable. While any character can use Perception to find a glyph, only a character with the trapfinding class feature can use Disable Device to disarm it. The DC in each case is 25 + spell level, or 28 for &lt;i&gt;glyph of warding&lt;/i&gt;.&lt;/p&gt;&lt;p&gt;Depending on the version selected, a glyph either blasts the intruder or activates a spell.&lt;/p&gt;&lt;p&gt;&lt;i&gt;Blast Glyph&lt;/i&gt;: A &lt;i&gt;blast glyph&lt;/i&gt; deals 1d8 points of damage per two caster levels (maximum 5d8) to the intruder and to all within 5 feet of him or her. This damage is acid, cold, fire, electricity, or sonic (caster's choice, made at time of casting). Each creature affected can attempt a Reflex save to take half damage. Spell resistance applies against this effect.&lt;/p&gt;&lt;p&gt;&lt;i&gt;Spell Glyph&lt;/i&gt;: You can store any harmful spell of 3rd level or lower that you know. All level-dependent features of the spell are based on your caster level at the time of casting the glyph. If the spell has a target, it targets the intruder. If the spell has an area or an amorphous effect, the area or effect is centered on the intruder. If the spell summons creatures, they appear as close as possible to the intruder and attack.Saving Throws and spell resistance operate as normal, except that the DC is based on the level of the spell stored in the glyph.&lt;/p&gt;</t>
  </si>
  <si>
    <t>&lt;link rel="stylesheet"href="PF.css"&gt;&lt;div class="heading"&gt;&lt;p class="alignleft"&gt;Glyph Of Warding&lt;/p&gt;&lt;div style="clear: both;"&gt;&lt;/div&gt;&lt;/div&gt;&lt;div&gt;&lt;h5&gt;&lt;b&gt;School &lt;/b&gt;abjuration; &lt;b&gt;Level &lt;/b&gt;cleric/oracle 3&lt;/h5&gt;&lt;/div&gt;&lt;hr/&gt;&lt;div&gt;&lt;h5&gt;&lt;b&gt;CASTING&lt;/b&gt;&lt;/h5&gt;&lt;/div&gt;&lt;hr/&gt;&lt;div&gt;&lt;h5&gt;&lt;b&gt;Casting Time &lt;/b&gt;10 minutes&lt;/h5&gt;&lt;h5&gt;&lt;b&gt;Components &lt;/b&gt;V, S, M (powdered diamond worth 200 gp)&lt;/h5&gt;&lt;/div&gt;&lt;hr/&gt;&lt;div&gt;&lt;h5&gt;&lt;b&gt;EFFECT&lt;/b&gt;&lt;/h5&gt;&lt;/div&gt;&lt;hr/&gt;&lt;div&gt;&lt;h5&gt;&lt;b&gt;Range &lt;/b&gt;touch&lt;/h5&gt;&lt;h5&gt;&lt;b&gt;Target or Area &lt;/b&gt;object touched or up to 5 sq. ft./level&lt;h5&gt;&lt;b&gt;Duration &lt;/b&gt;permanent until discharged (D)&lt;/h5&gt;&lt;h5&gt;&lt;b&gt;Saving Throw &lt;/b&gt;see text; &lt;b&gt;Spell Resistance &lt;/b&gt;no (object) and yes; see text&lt;/h5&gt;&lt;/div&gt;&lt;hr/&gt;&lt;div&gt;&lt;h5&gt;&lt;b&gt;DESCRIPTION&lt;/b&gt;&lt;/h5&gt;&lt;/div&gt;&lt;hr/&gt;&lt;div&gt;&lt;h4&gt;&lt;p&gt;This powerful inscription harms those who enter, pass, or open the warded area or object. A &lt;i&gt;glyph of warding&lt;/i&gt; can guard a bridge or passage, ward a portal, trap a chest or box, and so on.&lt;/p&gt;&lt;p&gt;You set all of the conditions of the ward. Typically, any creature entering the warded area or opening the warded object without speaking a password (which you set when casting the spell) is subject to the magic it stores. Alternatively or in addition to a password trigger, glyphs can be set according to physical characteristics (such as height or weight) or creature type, subtype, or kind. Glyphs can also be set with respect to good, evil, law, or chaos, or to pass those of your religion. They cannot be set according to class, HD, or level.&lt;/p&gt;&lt;p&gt;Glyphs respond to invisible creatures normally but are not triggered by those who travel past them ethereally. Multiple glyphs cannot be cast on the same area. However, if a cabinet has three different drawers, each can be separately warded.&lt;/p&gt;&lt;p&gt;When casting the spell, you weave a tracery of faintly glowing lines around the warding sigil. A glyph can be placed to conform to any shape up to the limitations of your total square footage. When the spell is completed, the glyph and tracery become nearly invisible.&lt;/p&gt;&lt;p&gt;Glyphs cannot be affected or bypassed by such means as physical or magical probing, though they can be dispelled. &lt;i&gt;Mislead&lt;/i&gt;, &lt;i&gt;polymorph&lt;/i&gt;, and &lt;i&gt;nondetection&lt;/i&gt; (and similar magical effects) can fool a glyph, though nonmagical disguises and the like can't. &lt;i&gt;Read magic&lt;/i&gt; allows you to identify a &lt;i&gt;glyph of warding&lt;/i&gt; with a DC 13 Knowledge (arcana) check. Identifying the glyph does not discharge it and allows you to know the basic nature of the glyph (version, type of damage caused, what spell is stored).&lt;/p&gt;&lt;p&gt;&lt;i&gt;Note&lt;/i&gt;: Magic traps such as &lt;i&gt;glyph of warding&lt;/i&gt; are hard to detect and disable. While any character can use Perception to find a glyph, only a character with the trapfinding class feature can use Disable Device to disarm it. The DC in each case is 25 + spell level, or 28 for &lt;i&gt;glyph of warding&lt;/i&gt;.&lt;/p&gt;&lt;p&gt;Depending on the version selected, a glyph either blasts the intruder or activates a spell.&lt;/p&gt;&lt;p&gt;&lt;i&gt;Blast Glyph&lt;/i&gt;: A &lt;i&gt;blast glyph&lt;/i&gt; deals 1d8 points of damage per two caster levels (maximum 5d8) to the intruder and to all within 5 feet of him or her. This damage is acid, cold, fire, electricity, or sonic (caster's choice, made at time of casting). Each creature affected can attempt a Reflex save to take half damage. Spell resistance applies against this effect.&lt;/p&gt;&lt;p&gt;&lt;i&gt;Spell Glyph&lt;/i&gt;: You can store any harmful spell of 3rd level or lower that you know. All level-dependent features of the spell are based on your caster level at the time of casting the glyph. If the spell has a target, it targets the intruder. If the spell has an area or an amorphous effect, the area or effect is centered on the intruder. If the spell summons creatures, they appear as close as possible to the intruder and attack.Saving Throws and spell resistance operate as normal, except that the DC is based on the level of the spell stored in the glyph.&lt;/p&gt;&lt;/h4&gt;&lt;h5&gt;&lt;b&gt;Mythic: &lt;/b&gt;Add your tier to the DC to detect or disable the glyph. Blast glyph damage increases to 1d6 points of damage per caster level (maximum 20d6). Add half your tier to the maximum spell level you can store in a spell glyph.&lt;/h5&gt;&lt;/div&gt;</t>
  </si>
  <si>
    <t>Home, Rune</t>
  </si>
  <si>
    <t> Inscription harms those who pass it.</t>
  </si>
  <si>
    <t>Add your tier to the DC to detect or disable the glyph. Blast glyph damage increases to 1d6 points of damage per caster level (maximum 20d6). Add half your tier to the maximum spell level you can store in a spell glyph.</t>
  </si>
  <si>
    <t>Glyph of Warding, Greater</t>
  </si>
  <si>
    <t>cleric 6/oracle 6</t>
  </si>
  <si>
    <t>This spell functions like glyph of warding, except that a greater blast glyph deals up to 10d8 points of damage, and a greater spell glyph can store a spell of 6th level or lower. Read magic allows you to identify a greater glyph of warding with aDC 16 Spellcraft check. Material Component: You trace the glyph with incense, which must first be sprinkled with powdered diamond worth at least 400 gp.</t>
  </si>
  <si>
    <t>&lt;p&gt;This spell functions like &lt;i&gt;glyph of warding&lt;/i&gt;, except that a &lt;i&gt;greater blast glyph&lt;/i&gt; deals up to 10d8 points of damage, and a &lt;i&gt;greater spell glyph&lt;/i&gt; can store a spell of 6th level or lower.&lt;/p&gt;&lt;p&gt;&lt;i&gt;Read magic&lt;/i&gt; allows you to identify a greater &lt;i&gt;glyph of warding&lt;/i&gt; with aDC 16 Spellcraft check.&lt;/p&gt;&lt;p&gt;&lt;i&gt;Material Component&lt;/i&gt;: You trace the glyph with incense, which must first be sprinkled with powdered diamond worth at least 400 gp.&lt;/p&gt;</t>
  </si>
  <si>
    <t>&lt;link rel="stylesheet"href="PF.css"&gt;&lt;div class="heading"&gt;&lt;p class="alignleft"&gt;Glyph of Warding, Greater&lt;/p&gt;&lt;div style="clear: both;"&gt;&lt;/div&gt;&lt;/div&gt;&lt;div&gt;&lt;h5&gt;&lt;b&gt;School &lt;/b&gt;abjuration; &lt;b&gt;Level &lt;/b&gt;cleric 6/oracle 6&lt;/h5&gt;&lt;/div&gt;&lt;hr/&gt;&lt;div&gt;&lt;h5&gt;&lt;b&gt;CASTING&lt;/b&gt;&lt;/h5&gt;&lt;/div&gt;&lt;hr/&gt;&lt;div&gt;&lt;h5&gt;&lt;b&gt;Casting Time &lt;/b&gt;10 minutes&lt;/h5&gt;&lt;h5&gt;&lt;b&gt;Components &lt;/b&gt;V, S, M (powdered diamond worth 200 gp)&lt;/h5&gt;&lt;/div&gt;&lt;hr/&gt;&lt;div&gt;&lt;h5&gt;&lt;b&gt;EFFECT&lt;/b&gt;&lt;/h5&gt;&lt;/div&gt;&lt;hr/&gt;&lt;div&gt;&lt;h5&gt;&lt;b&gt;Range &lt;/b&gt;touch&lt;/h5&gt;&lt;h5&gt;&lt;b&gt;Target or Area &lt;/b&gt;object touched or up to 5 sq. ft./level&lt;h5&gt;&lt;b&gt;Duration &lt;/b&gt;permanent until discharged (D)&lt;/h5&gt;&lt;h5&gt;&lt;b&gt;Saving Throw &lt;/b&gt;see text; &lt;b&gt;Spell Resistance &lt;/b&gt;no (object) and yes; see text&lt;/h5&gt;&lt;/div&gt;&lt;hr/&gt;&lt;div&gt;&lt;h5&gt;&lt;b&gt;DESCRIPTION&lt;/b&gt;&lt;/h5&gt;&lt;/div&gt;&lt;hr/&gt;&lt;div&gt;&lt;h4&gt;&lt;p&gt;This spell functions like &lt;i&gt;glyph of warding&lt;/i&gt;, except that a &lt;i&gt;greater blast glyph&lt;/i&gt; deals up to 10d8 points of damage, and a &lt;i&gt;greater spell glyph&lt;/i&gt; can store a spell of 6th level or lower.&lt;/p&gt;&lt;p&gt;&lt;i&gt;Read magic&lt;/i&gt; allows you to identify a greater &lt;i&gt;glyph of warding&lt;/i&gt; with aDC 16 Spellcraft check.&lt;/p&gt;&lt;p&gt;&lt;i&gt;Material Component&lt;/i&gt;: You trace the glyph with incense, which must first be sprinkled with powdered diamond worth at least 400 gp.&lt;/p&gt;&lt;/h4&gt;&lt;/div&gt;</t>
  </si>
  <si>
    <t> As glyph of warding, but up to 10d8 damage or 6th-level spell.</t>
  </si>
  <si>
    <t>Goodberry</t>
  </si>
  <si>
    <t>2d4 fresh berries touched</t>
  </si>
  <si>
    <t>Casting goodberry makes 2d4 freshly picked berries magical. You (as well as any other druid of 3rd or higher level) can immediately discern which berries are affected. Each transmuted berry provides nourishment as if it were a normal meal for a Medium creature. The berry also cures 1 point of damage when eaten, subject to a maximum of 8 points of such curing in any 24-hour period.</t>
  </si>
  <si>
    <t>&lt;p&gt;Casting &lt;i&gt;goodberry&lt;/i&gt; makes 2d4 freshly picked berries magical. You (as well as any other druid of 3rd or higher level) can immediately discern which berries are affected. Each transmuted berry provides nourishment as if it were a normal meal for a Medium creature.&lt;/p&gt;&lt;p&gt;The berry also cures 1 point of damage when eaten, subject to a maximum of 8 points of such curing in any 24-hour period.&lt;/p&gt;</t>
  </si>
  <si>
    <t>&lt;link rel="stylesheet"href="PF.css"&gt;&lt;div class="heading"&gt;&lt;p class="alignleft"&gt;Goodberry&lt;/p&gt;&lt;div style="clear: both;"&gt;&lt;/div&gt;&lt;/div&gt;&lt;div&gt;&lt;h5&gt;&lt;b&gt;School &lt;/b&gt;transmutation; &lt;b&gt;Level &lt;/b&gt;druid 1&lt;/h5&gt;&lt;/div&gt;&lt;hr/&gt;&lt;div&gt;&lt;h5&gt;&lt;b&gt;CASTING&lt;/b&gt;&lt;/h5&gt;&lt;/div&gt;&lt;hr/&gt;&lt;div&gt;&lt;h5&gt;&lt;b&gt;Casting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&lt;/b&gt;2d4 fresh berries touched&lt;/h5&gt;&lt;h5&gt;&lt;b&gt;Duration &lt;/b&gt;1 day/level&lt;/h5&gt;&lt;h5&gt;&lt;b&gt;Saving Throw &lt;/b&gt;none; &lt;b&gt;Spell Resistance &lt;/b&gt;yes&lt;/h5&gt;&lt;/div&gt;&lt;hr/&gt;&lt;div&gt;&lt;h5&gt;&lt;b&gt;DESCRIPTION&lt;/b&gt;&lt;/h5&gt;&lt;/div&gt;&lt;hr/&gt;&lt;div&gt;&lt;h4&gt;&lt;p&gt;Casting &lt;i&gt;goodberry&lt;/i&gt; makes 2d4 freshly picked berries magical. You (as well as any other druid of 3rd or higher level) can immediately discern which berries are affected. Each transmuted berry provides nourishment as if it were a normal meal for a Medium creature.&lt;/p&gt;&lt;p&gt;The berry also cures 1 point of damage when eaten, subject to a maximum of 8 points of such curing in any 24-hour period.&lt;/p&gt;&lt;/h4&gt;&lt;/div&gt;</t>
  </si>
  <si>
    <t>Seasons</t>
  </si>
  <si>
    <t> 2d4 berries each cure 1 hp (max 8 hp/24 hours).</t>
  </si>
  <si>
    <t>Good Hope</t>
  </si>
  <si>
    <t>one living creature/level, no two of which may be more than 30 ft. apart</t>
  </si>
  <si>
    <t>This spell instills powerful hope in the subjects. Each affected creature gains a +2 morale bonus on saving throws, attack rolls, ability checks, skill checks, and weapon damage rolls. Good hope counters and dispels crushing despair.</t>
  </si>
  <si>
    <t>&lt;p&gt;This spell instills powerful hope in the subjects. Each affected creature gains a +2 morale bonus on saving throws, attack rolls, ability checks, skill checks, and weapon damage rolls.&lt;/p&gt;&lt;p&gt;&lt;i&gt;Good hope&lt;/i&gt; counters and dispels crushing despair.&lt;/p&gt;</t>
  </si>
  <si>
    <t>&lt;link rel="stylesheet"href="PF.css"&gt;&lt;div class="heading"&gt;&lt;p class="alignleft"&gt;Good Hope&lt;/p&gt;&lt;div style="clear: both;"&gt;&lt;/div&gt;&lt;/div&gt;&lt;div&gt;&lt;h5&gt;&lt;b&gt;School &lt;/b&gt;enchantment (compulsion) [mind-affecting, emotion]; &lt;b&gt;Level &lt;/b&gt;bard 3&lt;/h5&gt;&lt;/div&gt;&lt;hr/&gt;&lt;div&gt;&lt;h5&gt;&lt;b&gt;CASTING&lt;/b&gt;&lt;/h5&gt;&lt;/div&gt;&lt;hr/&gt;&lt;div&gt;&lt;h5&gt;&lt;b&gt;Casting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ft./level)&lt;/h5&gt;&lt;h5&gt;&lt;b&gt;Targets &lt;/b&gt;one living creature/level, no two of which may be more than 30 ft. apart&lt;/h5&gt;&lt;h5&gt;&lt;b&gt;Duration &lt;/b&gt;1 min./level&lt;/h5&gt;&lt;h5&gt;&lt;b&gt;Saving Throw &lt;/b&gt;Will negates (harmless); &lt;b&gt;Spell Resistance &lt;/b&gt;yes (harmless)&lt;/h5&gt;&lt;/div&gt;&lt;hr/&gt;&lt;div&gt;&lt;h5&gt;&lt;b&gt;DESCRIPTION&lt;/b&gt;&lt;/h5&gt;&lt;/div&gt;&lt;hr/&gt;&lt;div&gt;&lt;h4&gt;&lt;p&gt;This spell instills powerful hope in the subjects. Each affected creature gains a +2 morale bonus on saving throws, attack rolls, ability checks, skill checks, and weapon damage rolls.&lt;/p&gt;&lt;p&gt;&lt;i&gt;Good hope&lt;/i&gt; counters and dispels crushing despair.&lt;/p&gt;&lt;/h4&gt;&lt;/div&gt;</t>
  </si>
  <si>
    <t> Subjects gain +2 on attack rolls, damage rolls, saves, and checks.</t>
  </si>
  <si>
    <t>Grasping Hand</t>
  </si>
  <si>
    <t>This spell functions as interposing hand, except that it can also grapple one opponent you select. The grasping hand gets one grapple attack per round. This attack does not provoke an attack of opportunity. Its CMB and CMD for grapple checks use your caster level in place of its base attack bonus, with a +10 bonus for its Strength (31) score and a +1 bonus for being Large (its Dexterity is 10, granting no bonus on the Combat Maneuver Defense). The hand holds but does not harm creatures that it grapples. Directing the spell to a new target is a move action. The grasping hand can instead be directed to bull rush a target, using the same bonuses outlined above, or it can be directed to interpose itself, as interposing hand does.</t>
  </si>
  <si>
    <t>&lt;p&gt;This spell functions as &lt;i&gt;interposing hand&lt;/i&gt;, except that it can also grapple one opponent you select. The &lt;i&gt;grasping hand&lt;/i&gt; gets one grapple attack per round. This attack does not provoke an attack of opportunity. Its CMB and CMD for grapple checks use your caster level in place of its base attack bonus, with a +10 bonus for its Strength (31) score and a +1 bonus for being Large (its Dexterity is 10, granting no bonus on the Combat Maneuver Defense).&lt;/p&gt;&lt;p&gt;The hand holds but does not harm creatures that it grapples.&lt;/p&gt;&lt;p&gt;Directing the spell to a new target is a move action. The &lt;i&gt;grasping hand&lt;/i&gt; can instead be directed to bull rush a target, using the same bonuses outlined above, or it can be directed to interpose itself, as &lt;i&gt;interposing hand&lt;/i&gt; does.&lt;/p&gt;</t>
  </si>
  <si>
    <t>&lt;link rel="stylesheet"href="PF.css"&gt;&lt;div class="heading"&gt;&lt;p class="alignleft"&gt;Grasping Hand&lt;/p&gt;&lt;div style="clear: both;"&gt;&lt;/div&gt;&lt;/div&gt;&lt;div&gt;&lt;h5&gt;&lt;b&gt;School &lt;/b&gt;evocation [force]; &lt;b&gt;Level &lt;/b&gt;sorcerer/wizard 7&lt;/h5&gt;&lt;/div&gt;&lt;hr/&gt;&lt;div&gt;&lt;h5&gt;&lt;b&gt;CASTING&lt;/b&gt;&lt;/h5&gt;&lt;/div&gt;&lt;hr/&gt;&lt;div&gt;&lt;h5&gt;&lt;b&gt;Casting Time &lt;/b&gt;1 standard action&lt;/h5&gt;&lt;h5&gt;&lt;b&gt;Components &lt;/b&gt;V, S, F (a soft glove)&lt;/h5&gt;&lt;/div&gt;&lt;hr/&gt;&lt;div&gt;&lt;h5&gt;&lt;b&gt;EFFECT&lt;/b&gt;&lt;/h5&gt;&lt;/div&gt;&lt;hr/&gt;&lt;div&gt;&lt;h5&gt;&lt;b&gt;Range &lt;/b&gt;medium (100 ft. + 10 ft./level)&lt;/h5&gt;&lt;h5&gt;&lt;b&gt;Effect &lt;/b&gt;10-ft. hand&lt;/h5&gt;&lt;h5&gt;&lt;b&gt;Duration &lt;/b&gt;1 round/level (D)&lt;/h5&gt;&lt;h5&gt;&lt;b&gt;Saving Throw &lt;/b&gt;none; &lt;b&gt;Spell Resistance &lt;/b&gt;yes&lt;/h5&gt;&lt;/div&gt;&lt;hr/&gt;&lt;div&gt;&lt;h5&gt;&lt;b&gt;DESCRIPTION&lt;/b&gt;&lt;/h5&gt;&lt;/div&gt;&lt;hr/&gt;&lt;div&gt;&lt;h4&gt;&lt;p&gt;This spell functions as &lt;i&gt;interposing hand&lt;/i&gt;, except that it can also grapple one opponent you select. The &lt;i&gt;grasping hand&lt;/i&gt; gets one grapple attack per round. This attack does not provoke an attack of opportunity. Its CMB and CMD for grapple checks use your caster level in place of its base attack bonus, with a +10 bonus for its Strength (31) score and a +1 bonus for being Large (its Dexterity is 10, granting no bonus on the Combat Maneuver Defense).&lt;/p&gt;&lt;p&gt;The hand holds but does not harm creatures that it grapples.&lt;/p&gt;&lt;p&gt;Directing the spell to a new target is a move action. The &lt;i&gt;grasping hand&lt;/i&gt; can instead be directed to bull rush a target, using the same bonuses outlined above, or it can be directed to interpose itself, as &lt;i&gt;interposing hand&lt;/i&gt; does.&lt;/p&gt;&lt;/h4&gt;&lt;/div&gt;</t>
  </si>
  <si>
    <t> Hand provides cover, pushes, or grapples.</t>
  </si>
  <si>
    <t>Grease</t>
  </si>
  <si>
    <t>V, S, M (butter)</t>
  </si>
  <si>
    <t>one object or 10-ft. square</t>
  </si>
  <si>
    <t>A grease spell covers a solid surface with a layer of slippery grease. Any creature in the area when the spell is cast must make a successful Reflex save or fall. A creature can walk within or through the area of grease at half normal speed with a DC 10 Acrobatics check. Failure means it can't move that round (and must then make a Reflex save or fall), while failure by 5 or more means it falls (see the Acrobatics skill for details). Creatures that do not move on their turn do not need to make this check and are not considered flat-footed. The spell can also be used to create a greasy coating on an item. Material objects not in use are always affected by this spell, while an object wielded or employed by a creature requires its bearer to make a Reflex saving throw to avoid the effect. If the initial saving throw fails, the creature immediately drops the item. A saving throw must be made in each round that the creature attempts to pick up or use the greased item. A creature wearing greased armor or clothing gains a +10 circumstance bonus on Escape Artist checks and combat maneuver checks made to escape a grapple, and to their CMD to avoid being grappled.</t>
  </si>
  <si>
    <t>&lt;p&gt;A &lt;i&gt;grease&lt;/i&gt; spell covers a solid surface with a layer of slippery &lt;i&gt;grease&lt;/i&gt;. Any creature in the area when the spell is cast must make a successful Reflex save or fall. A creature can walk within or through the area of &lt;i&gt;grease&lt;/i&gt; at half normal speed with a DC 10 Acrobatics check. Failure means it can't move that round (and must then make a Reflex save or fall), while failure by 5 or more means it falls (see the Acrobatics skill for details). Creatures that do not move on their turn do not need to make this check and are not considered flat-footed.&lt;/p&gt;&lt;p&gt;The spell can also be used to create a greasy coating on an item.&lt;/p&gt;&lt;p&gt;Material objects not in use are always affected by this spell, while an object wielded or employed by a creature requires its bearer to make a Reflex saving throw to avoid the effect. If the initial saving throw fails, the creature immediately drops the item. A saving throw must be made in each round that the creature attempts to pick up or use the &lt;i&gt;grease&lt;/i&gt;d item. A creature wearing &lt;i&gt;grease&lt;/i&gt;d armor or clothing gains a +10 circumstance bonus on Escape Artist checks and combat maneuver checks made to escape a grapple, and to their CMD to avoid being grappled.&lt;/p&gt;</t>
  </si>
  <si>
    <t>&lt;link rel="stylesheet"href="PF.css"&gt;&lt;div class="heading"&gt;&lt;p class="alignleft"&gt;Grease&lt;/p&gt;&lt;div style="clear: both;"&gt;&lt;/div&gt;&lt;/div&gt;&lt;div&gt;&lt;h5&gt;&lt;b&gt;School &lt;/b&gt;conjuration (creation); &lt;b&gt;Level &lt;/b&gt;bard 1, sorcerer/wizard 1, summoner 1, magus 1&lt;/h5&gt;&lt;/div&gt;&lt;hr/&gt;&lt;div&gt;&lt;h5&gt;&lt;b&gt;CASTING&lt;/b&gt;&lt;/h5&gt;&lt;/div&gt;&lt;hr/&gt;&lt;div&gt;&lt;h5&gt;&lt;b&gt;Casting Time &lt;/b&gt;1 standard action&lt;/h5&gt;&lt;h5&gt;&lt;b&gt;Components &lt;/b&gt;V, S, M (butter)&lt;/h5&gt;&lt;/div&gt;&lt;hr/&gt;&lt;div&gt;&lt;h5&gt;&lt;b&gt;EFFECT&lt;/b&gt;&lt;/h5&gt;&lt;/div&gt;&lt;hr/&gt;&lt;div&gt;&lt;h5&gt;&lt;b&gt;Range &lt;/b&gt;close (25 ft. + 5 ft./2 levels)&lt;/h5&gt;&lt;h5&gt;&lt;b&gt;Targets &lt;/b&gt;one object or 10-ft. square&lt;/h5&gt;&lt;h5&gt;&lt;b&gt;Duration &lt;/b&gt;1 min./level (D)&lt;/h5&gt;&lt;h5&gt;&lt;b&gt;Saving Throw &lt;/b&gt;see text; &lt;b&gt;Spell Resistance &lt;/b&gt;no&lt;/h5&gt;&lt;/div&gt;&lt;hr/&gt;&lt;div&gt;&lt;h5&gt;&lt;b&gt;DESCRIPTION&lt;/b&gt;&lt;/h5&gt;&lt;/div&gt;&lt;hr/&gt;&lt;div&gt;&lt;h4&gt;&lt;p&gt;A &lt;i&gt;grease&lt;/i&gt; spell covers a solid surface with a layer of slippery &lt;i&gt;grease&lt;/i&gt;. Any creature in the area when the spell is cast must make a successful Reflex save or fall. A creature can walk within or through the area of &lt;i&gt;grease&lt;/i&gt; at half normal speed with a DC 10 Acrobatics check. Failure means it can't move that round (and must then make a Reflex save or fall), while failure by 5 or more means it falls (see the Acrobatics skill for details). Creatures that do not move on their turn do not need to make this check and are not considered flat-footed.&lt;/p&gt;&lt;p&gt;The spell can also be used to create a greasy coating on an item.&lt;/p&gt;&lt;p&gt;Material objects not in use are always affected by this spell, while an object wielded or employed by a creature requires its bearer to make a Reflex saving throw to avoid the effect. If the initial saving throw fails, the creature immediately drops the item. A saving throw must be made in each round that the creature attempts to pick up or use the &lt;i&gt;grease&lt;/i&gt;d item. A creature wearing &lt;i&gt;grease&lt;/i&gt;d armor or clothing gains a +10 circumstance bonus on Escape Artist checks and combat maneuver checks made to escape a grapple, and to their CMD to avoid being grappled.&lt;/p&gt;&lt;/h4&gt;&lt;h5&gt;&lt;b&gt;Mythic: &lt;/b&gt;If you cast mythic grease on an area, add your tier to the Acrobatics DC to move within or through the area. If you cast it on a creature's armor or clothing, add your tier to its Escape Artist checks and combat maneuver checks attempted to escape a grapple and to its CMD to avoid being grappled.&lt;/h5&gt;&lt;h5&gt;&lt;b&gt;Augmented&lt;/b&gt;: You can expend two uses of mythic power to make the grease flammable. It ignites from any fire at least the size of a candle flame. If a greased area is ignited, any creature in the area on your turn takes 1d3 points of fire damage and might catch on fire (Core Rulebook 444). If a greased creature is ignited, it takes 2d6 points of fire damage, and might catch on fire; add your tier to the save DC.&lt;/h5&gt;&lt;/div&gt;</t>
  </si>
  <si>
    <t>Makes 10-ft. square or one object slippery.</t>
  </si>
  <si>
    <t>If you cast mythic grease on an area, add your tier to the Acrobatics DC to move within or through the area. If you cast it on a creature's armor or clothing, add your tier to its Escape Artist checks and combat maneuver checks attempted to escape a grapple and to its CMD to avoid being grappled.</t>
  </si>
  <si>
    <t>Augmented: You can expend two uses of mythic power to make the grease flammable. It ignites from any fire at least the size of a candle flame. If a greased area is ignited, any creature in the area on your turn takes 1d3 points of fire damage and might catch on fire (Core Rulebook 444). If a greased creature is ignited, it takes 2d6 points of fire damage, and might catch on fire; add your tier to the save DC.</t>
  </si>
  <si>
    <t>Guards and Wards</t>
  </si>
  <si>
    <t>sorcerer/wizard 6, witch 6</t>
  </si>
  <si>
    <t>V, S, M (burning incense, a small measure of brimstone and oil, a knotted string, and a small amount of blood), F (a small silver rod)</t>
  </si>
  <si>
    <t>anywhere within the area to be warded</t>
  </si>
  <si>
    <t>up to 200 sq. ft./level</t>
  </si>
  <si>
    <t>This powerful spell is primarily used to defend a stronghold or fortress by creating a number of magical wards and effects. The ward protects 200 square feet per caster level. The warded area can be as much as 20 feet high, and shaped as you desire. You can ward several stories of a stronghold by dividing the area among them; you must be somewhere within the area to be warded to cast the spell. The spell creates the following magical effects within the warded area. Fog: Fog fills all corridors, obscuring all sight, including darkvision, beyond 5 feet. A creature within 5 feet has concealment (attacks have a 20% miss chance). Creatures farther away have total concealment (50% miss chance, and the attacker cannot use sight to locate the target). Saving Throw: none. Spell Resistance: no. Arcane Locks: All doors in the warded area are arcane locked. Saving Throw: none. Spell Resistance: no. Webs: Webs fill all stairs from top to bottom. These strands are identical with those created by the web spell, except that they regrow in 10 minutes if they are burned or torn away while the guards and wards spell lasts. Saving Throw: Reflex negates; see text for web. Spell Resistance: no. Confusion: Where there are choices in direction-such as a corridor intersection or side passage-a minor confusion-type effect functions so as to make it 50% probable that intruders believe they are going in the opposite direction from the one they actually chose. This is a mind-affecting effect. Saving Throw: none. Spell Resistance: yes. Lost Doors: One door per caster level is covered by a silent image to appear as if it were a plain wall. Saving Throw: Will disbelief (if interacted with). Spell Resistance: no. In addition, you can place your choice of one of the following five magical effects. 1. Dancing lights in four corridors. You can designate a simple program that causes the lights to repeat as long as the guards and wards spell lasts. Saving Throw: none. Spell Resistance: no. 2. A magic mouth in two places. Saving Throw: none. Spell Resistance: no. 3. A stinking cloud in two places. The vapors appear in the places you designate; they return within 10 minutes if dispersed by wind while the guards and wards spell lasts. Saving Throw: Fortitude negates; see text for stinking cloud. Spell Resistance: no. 4. A gust of wind in one corridor or room. Saving Throw: Fortitude negates. Spell Resistance: yes. 5. A suggestion in one place. You select an area of up to 5 feet square, and any creature who enters or passes through the area receives the suggestion mentally. Saving Throw: Will negates. Spell Resistance: yes. The whole warded area radiates strong magic of the abjuration school. A dispel magic cast on a specific effect, if successful, removes only that effect. A successful mage's disjunction destroys the entire guards and wards effect.</t>
  </si>
  <si>
    <t>&lt;p&gt;This powerful spell is primarily used to defend a stronghold or fortress by creating a number of magical wards and effects. The ward protects 200 square feet per caster level. The warded area can be as much as 20 feet high, and shaped as you desire. You can ward several stories of a stronghold by dividing the area among them; you must be somewhere within the area to be warded to cast the spell. The spell creates the following magical effects within the warded area.&lt;/p&gt;&lt;p&gt;&lt;i&gt;Fog: Fog&lt;/i&gt; fills all corridors, obscuring all sight, including darkvision, beyond 5 feet. A creature within 5 feet has concealment (attacks have a 20% miss chance). Creatures farther away have total concealment (50% miss chance, and the attacker cannot use sight to locate the target). Saving Throw: none. Spell Resistance: no.&lt;/p&gt;&lt;p&gt;&lt;i&gt;Arcane Locks&lt;/i&gt;: All doors in the warded area are &lt;i&gt;arcane locked.&lt;/i&gt;&lt;/p&gt;&lt;p&gt;Saving Throw: none. Spell Resistance: no.&lt;/p&gt;&lt;p&gt;&lt;i&gt;Webs: Webs&lt;/i&gt; fill all stairs from top to bottom. These strands are identical with those created by the &lt;i&gt;web&lt;/i&gt; spell, except that they regrow in 10 minutes if they are burned or torn away while the &lt;i&gt;guards and wards&lt;/i&gt; spell lasts. Saving Throw: Reflex negates; see text for &lt;i&gt;web&lt;/i&gt;. Spell Resistance: no.&lt;/p&gt;&lt;p&gt;&lt;i&gt;Confusion:&lt;/i&gt; Where there are choices in direction-such as a corridor intersection or side passage-a minor &lt;i&gt;confusion-type&lt;/i&gt; effect functions so as to make it 50% probable that intruders believe they are going in the opposite direction from the one they actually chose. This is a mind-affecting effect. Saving Throw: none. Spell Resistance: yes.&lt;/p&gt;&lt;p&gt;&lt;i&gt;Lost Doors&lt;/i&gt;: One door per caster level is covered by a &lt;i&gt;silent image&lt;/i&gt; to appear as if it were a plain wall. Saving Throw: Will disbelief (if interacted with). Spell Resistance: no.&lt;/p&gt;&lt;p&gt;In addition, you can place your choice of one of the following five magical effects.&lt;/p&gt;&lt;p&gt;1. &lt;i&gt;Dancing lights&lt;/i&gt; in four corridors. You can designate a simple program that causes the lights to repeat as long as the &lt;i&gt;guards and wards&lt;/i&gt; spell lasts. Saving Throw: none. Spell Resistance: no.&lt;/p&gt;&lt;p&gt;2. A &lt;i&gt;magic mouth&lt;/i&gt; in two places. Saving Throw: none. Spell Resistance: no.&lt;/p&gt;&lt;p&gt;3. A &lt;i&gt;stinking cloud&lt;/i&gt; in two places. The vapors appear in the places you designate; they return within 10 minutes if dispersed by wind while the &lt;i&gt;guards and wards&lt;/i&gt; spell lasts. Saving Throw: Fortitude negates; see text for &lt;i&gt;stinking cloud&lt;/i&gt;. Spell Resistance: no.&lt;/p&gt;&lt;p&gt;4. A &lt;i&gt;gust of wind in&lt;/i&gt; one corridor or room. Saving Throw: Fortitude negates. Spell Resistance: yes.&lt;/p&gt;&lt;p&gt;5. A &lt;i&gt;suggestion&lt;/i&gt; in one place. You select an area of up to 5 feet square, and any creature who enters or passes through the area receives the &lt;i&gt;suggestion&lt;/i&gt; mentally. Saving Throw: Will negates.&lt;/p&gt;&lt;p&gt;Spell Resistance: yes.&lt;/p&gt;&lt;p&gt;The whole warded area radiates strong magic of the abjuration school. A &lt;i&gt;dispel magic&lt;/i&gt; cast on a specific effect, if successful, removes only that effect. A successful mage's disjunction destroys the entire &lt;i&gt;guards and wards&lt;/i&gt; effect.&lt;/p&gt;</t>
  </si>
  <si>
    <t>&lt;link rel="stylesheet"href="PF.css"&gt;&lt;div class="heading"&gt;&lt;p class="alignleft"&gt;Guards and Wards&lt;/p&gt;&lt;div style="clear: both;"&gt;&lt;/div&gt;&lt;/div&gt;&lt;div&gt;&lt;h5&gt;&lt;b&gt;School &lt;/b&gt;abjuration; &lt;b&gt;Level &lt;/b&gt;sorcerer/wizard 6, witch 6&lt;/h5&gt;&lt;/div&gt;&lt;hr/&gt;&lt;div&gt;&lt;h5&gt;&lt;b&gt;CASTING&lt;/b&gt;&lt;/h5&gt;&lt;/div&gt;&lt;hr/&gt;&lt;div&gt;&lt;h5&gt;&lt;b&gt;Casting Time &lt;/b&gt;30 minutes&lt;/h5&gt;&lt;h5&gt;&lt;b&gt;Components &lt;/b&gt;V, S, M (burning incense, a small measure of brimstone and oil, a knotted string, and a small amount of blood), F (a small silver rod)&lt;/h5&gt;&lt;/div&gt;&lt;hr/&gt;&lt;div&gt;&lt;h5&gt;&lt;b&gt;EFFECT&lt;/b&gt;&lt;/h5&gt;&lt;/div&gt;&lt;hr/&gt;&lt;div&gt;&lt;h5&gt;&lt;b&gt;Range &lt;/b&gt;anywhere within the area to be warded&lt;/h5&gt;&lt;h5&gt;&lt;b&gt;Area &lt;/b&gt;up to 200 sq. ft./level (S)&lt;/h5&gt;&lt;h5&gt;&lt;b&gt;Duration &lt;/b&gt;2 hours/level (D)&lt;/h5&gt;&lt;h5&gt;&lt;b&gt;Saving Throw &lt;/b&gt;see text; &lt;b&gt;Spell Resistance &lt;/b&gt;see text&lt;/h5&gt;&lt;/div&gt;&lt;hr/&gt;&lt;div&gt;&lt;h5&gt;&lt;b&gt;DESCRIPTION&lt;/b&gt;&lt;/h5&gt;&lt;/div&gt;&lt;hr/&gt;&lt;div&gt;&lt;h4&gt;&lt;p&gt;This powerful spell is primarily used to defend a stronghold or fortress by creating a number of magical wards and effects. The ward protects 200 square feet per caster level. The warded area can be as much as 20 feet high, and shaped as you desire. You can ward several stories of a stronghold by dividing the area among them; you must be somewhere within the area to be warded to cast the spell. The spell creates the following magical effects within the warded area.&lt;/p&gt;&lt;p&gt;&lt;i&gt;Fog: Fog&lt;/i&gt; fills all corridors, obscuring all sight, including darkvision, beyond 5 feet. A creature within 5 feet has concealment (attacks have a 20% miss chance). Creatures farther away have total concealment (50% miss chance, and the attacker cannot use sight to locate the target). Saving Throw: none. Spell Resistance: no.&lt;/p&gt;&lt;p&gt;&lt;i&gt;Arcane Locks&lt;/i&gt;: All doors in the warded area are &lt;i&gt;arcane locked.&lt;/i&gt;&lt;/p&gt;&lt;p&gt;Saving Throw: none. Spell Resistance: no.&lt;/p&gt;&lt;p&gt;&lt;i&gt;Webs: Webs&lt;/i&gt; fill all stairs from top to bottom. These strands are identical with those created by the &lt;i&gt;web&lt;/i&gt; spell, except that they regrow in 10 minutes if they are burned or torn away while the &lt;i&gt;guards and wards&lt;/i&gt; spell lasts. Saving Throw: Reflex negates; see text for &lt;i&gt;web&lt;/i&gt;. Spell Resistance: no.&lt;/p&gt;&lt;p&gt;&lt;i&gt;Confusion:&lt;/i&gt; Where there are choices in direction-such as a corridor intersection or side passage-a minor &lt;i&gt;confusion-type&lt;/i&gt; effect functions so as to make it 50% probable that intruders believe they are going in the opposite direction from the one they actually chose. This is a mind-affecting effect. Saving Throw: none. Spell Resistance: yes.&lt;/p&gt;&lt;p&gt;&lt;i&gt;Lost Doors&lt;/i&gt;: One door per caster level is covered by a &lt;i&gt;silent image&lt;/i&gt; to appear as if it were a plain wall. Saving Throw: Will disbelief (if interacted with). Spell Resistance: no.&lt;/p&gt;&lt;p&gt;In addition, you can place your choice of one of the following five magical effects.&lt;/p&gt;&lt;p&gt;1. &lt;i&gt;Dancing lights&lt;/i&gt; in four corridors. You can designate a simple program that causes the lights to repeat as long as the &lt;i&gt;guards and wards&lt;/i&gt; spell lasts. Saving Throw: none. Spell Resistance: no.&lt;/p&gt;&lt;p&gt;2. A &lt;i&gt;magic mouth&lt;/i&gt; in two places. Saving Throw: none. Spell Resistance: no.&lt;/p&gt;&lt;p&gt;3. A &lt;i&gt;stinking cloud&lt;/i&gt; in two places. The vapors appear in the places you designate; they return within 10 minutes if dispersed by wind while the &lt;i&gt;guards and wards&lt;/i&gt; spell lasts. Saving Throw: Fortitude negates; see text for &lt;i&gt;stinking cloud&lt;/i&gt;. Spell Resistance: no.&lt;/p&gt;&lt;p&gt;4. A &lt;i&gt;gust of wind in&lt;/i&gt; one corridor or room. Saving Throw: Fortitude negates. Spell Resistance: yes.&lt;/p&gt;&lt;p&gt;5. A &lt;i&gt;suggestion&lt;/i&gt; in one place. You select an area of up to 5 feet square, and any creature who enters or passes through the area receives the &lt;i&gt;suggestion&lt;/i&gt; mentally. Saving Throw: Will negates.&lt;/p&gt;&lt;p&gt;Spell Resistance: yes.&lt;/p&gt;&lt;p&gt;The whole warded area radiates strong magic of the abjuration school. A &lt;i&gt;dispel magic&lt;/i&gt; cast on a specific effect, if successful, removes only that effect. A successful mage's disjunction destroys the entire &lt;i&gt;guards and wards&lt;/i&gt; effect.&lt;/p&gt;&lt;/h4&gt;&lt;/div&gt;</t>
  </si>
  <si>
    <t>Home, Wards</t>
  </si>
  <si>
    <t> Array of magic effects protect area.</t>
  </si>
  <si>
    <t>Guidance</t>
  </si>
  <si>
    <t>cleric 0/oracle 0, druid 0, summoner 0, witch 0, inquisitor 0, summoner 0, witch 0, inquisitor 0</t>
  </si>
  <si>
    <t>1 minute or until discharged</t>
  </si>
  <si>
    <t>This spell imbues the subject with a touch of divine guidance. The creature gets a +1 competence bonus on a single attack roll, saving throw, or skill check. It must choose to use the bonus before making the roll to which it applies.</t>
  </si>
  <si>
    <t>&lt;p&gt;This spell imbues the subject with a touch of divine guidance.&lt;/p&gt;&lt;p&gt;The creature gets a +1 competence bonus on a single attack roll, saving throw, or skill check. It must choose to use the bonus before making the roll to which it applies.&lt;/p&gt;</t>
  </si>
  <si>
    <t>&lt;link rel="stylesheet"href="PF.css"&gt;&lt;div class="heading"&gt;&lt;p class="alignleft"&gt;Guidance&lt;/p&gt;&lt;div style="clear: both;"&gt;&lt;/div&gt;&lt;/div&gt;&lt;div&gt;&lt;h5&gt;&lt;b&gt;School &lt;/b&gt;divination; &lt;b&gt;Level &lt;/b&gt;cleric 0/oracle 0, druid 0, summoner 0, witch 0, inquisitor 0, summoner 0, witch 0, inquisitor 0&lt;/h5&gt;&lt;/div&gt;&lt;hr/&gt;&lt;div&gt;&lt;h5&gt;&lt;b&gt;CASTING&lt;/b&gt;&lt;/h5&gt;&lt;/div&gt;&lt;hr/&gt;&lt;div&gt;&lt;h5&gt;&lt;b&gt;Casting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minute or until discharged&lt;/h5&gt;&lt;h5&gt;&lt;b&gt;Saving Throw &lt;/b&gt;Will negates (harmless); &lt;b&gt;Spell Resistance &lt;/b&gt;yes&lt;/h5&gt;&lt;/div&gt;&lt;hr/&gt;&lt;div&gt;&lt;h5&gt;&lt;b&gt;DESCRIPTION&lt;/b&gt;&lt;/h5&gt;&lt;/div&gt;&lt;hr/&gt;&lt;div&gt;&lt;h4&gt;&lt;p&gt;This spell imbues the subject with a touch of divine guidance.&lt;/p&gt;&lt;p&gt;The creature gets a +1 competence bonus on a single attack roll, saving throw, or skill check. It must choose to use the bonus before making the roll to which it applies.&lt;/p&gt;&lt;/h4&gt;&lt;/div&gt;</t>
  </si>
  <si>
    <t>+1 on one attack roll, saving throw, or skill check.</t>
  </si>
  <si>
    <t>Gust Of Wind</t>
  </si>
  <si>
    <t>line-shaped gust of severe wind emanating out from you to the extreme of the range</t>
  </si>
  <si>
    <t>This spell creates a severe blast of air (approximately 50 mph) that originates from you, affecting all creatures in its path. All flying creatures in this area take a -4 penalty on Fly skill checks. Tiny or smaller flying creatures must make a DC 25 Fly skill check or be blown back 2d6 x 10 feet and take 2d6 points of damage. Small or smaller flying creatures must make a DC 20 Fly skill check to move against the force of the wind. A Tiny or smaller creature on the ground is knocked down and rolled 1d4 x 10 feet, taking 1d4 points of nonlethal damage per 10 feet. Small creatures are knocked prone by the force of the wind. Medium or smaller creatures are unable to move forward against the force of the wind unless they succeed at a DC 15 Strength check. Large or larger creatures may move normally within a gust of wind effect. This spell can't move a creature beyond the limit of it's range. Any creature, regardless of size, takes a -4 penalty on ranged attacks and Perception checks in the area of a gust of wind. The force of the gust automatically extinguishes candles, torches, and similar unprotected flames. It causes protected flames, such as those in lanterns, to dance wildly and has a 50% chance to extinguish those lights. In addition to the effects noted, a gust of wind can do anything that a sudden blast of wind would be expected to do. It can create a stinging spray of sand or dust, fan a large fire, overturn delicate awnings or hangings, heel over a small boat, and blow gases or vapors to the edge of its range. Gust of wind can be made permanent with a permanency spell.</t>
  </si>
  <si>
    <t>&lt;p&gt;This spell creates a severe blast of air (approximately 50 mph) that originates from you, affecting all creatures in its path. All flying creatures in this area take a -4 penalty on Fly skill checks. Tiny or smaller flying creatures must make a DC 25 Fly skill check or be blown back 2d6 x 10 feet and take 2d6 points of damage. Small or smaller flying creatures must make a DC 20 Fly skill check to move against the force of the wind.&lt;/p&gt;&lt;p&gt;A Tiny or smaller creature on the ground is knocked down and rolled 1d4 x 10 feet, taking 1d4 points of nonlethal damage per 10 feet.&lt;/p&gt;&lt;p&gt;Small creatures are knocked prone by the force of the wind.&lt;/p&gt;&lt;p&gt;Medium or smaller creatures are unable to move forward against the force of the wind unless they succeed at a DC 15 Strength check.&lt;/p&gt;&lt;p&gt;Large or larger creatures may move normally within a &lt;i&gt;gust of wind&lt;/i&gt; effect.&lt;/p&gt;&lt;p&gt;This spell can't move a creature beyond the limit of it's range.&lt;/p&gt;&lt;p&gt;Any creature, regardless of size, takes a -4 penalty on ranged attacks and Perception checks in the area of a &lt;i&gt;gust of wind&lt;/i&gt;.&lt;/p&gt;&lt;p&gt;The force of the gust automatically extinguishes candles, torches, and similar unprotected flames. It causes protected flames, such as those in lanterns, to dance wildly and has a 50% chance to extinguish those lights.&lt;/p&gt;&lt;p&gt;In addition to the effects noted, a &lt;i&gt;gust of wind&lt;/i&gt; can do anything that a sudden blast of wind would be expected to do. It can create a stinging spray of sand or dust, fan a large fire, overturn delicate awnings or hangings, heel over a small boat, and blow gases or vapors to the edge of its range.&lt;/p&gt;&lt;p&gt;&lt;i&gt;Gust of wind&lt;/i&gt; can be made permanent with a &lt;i&gt;permanency&lt;/i&gt; spell.&lt;/p&gt;</t>
  </si>
  <si>
    <t>&lt;link rel="stylesheet"href="PF.css"&gt;&lt;div class="heading"&gt;&lt;p class="alignleft"&gt;Gust Of Wind&lt;/p&gt;&lt;div style="clear: both;"&gt;&lt;/div&gt;&lt;/div&gt;&lt;div&gt;&lt;h5&gt;&lt;b&gt;School &lt;/b&gt;evocation [air]; &lt;b&gt;Level &lt;/b&gt;druid 2, sorcerer/wizard 2, magus 2&lt;/h5&gt;&lt;/div&gt;&lt;hr/&gt;&lt;div&gt;&lt;h5&gt;&lt;b&gt;CASTING&lt;/b&gt;&lt;/h5&gt;&lt;/div&gt;&lt;hr/&gt;&lt;div&gt;&lt;h5&gt;&lt;b&gt;Casting Time &lt;/b&gt;1 standard action&lt;/h5&gt;&lt;h5&gt;&lt;b&gt;Components &lt;/b&gt;V, S&lt;/h5&gt;&lt;/div&gt;&lt;hr/&gt;&lt;div&gt;&lt;h5&gt;&lt;b&gt;EFFECT&lt;/b&gt;&lt;/h5&gt;&lt;/div&gt;&lt;hr/&gt;&lt;div&gt;&lt;h5&gt;&lt;b&gt;Range &lt;/b&gt;60 ft.&lt;/h5&gt;&lt;h5&gt;&lt;b&gt;Effect &lt;/b&gt;line-shaped gust of severe wind emanating out from you to the extreme of the range&lt;/h5&gt;&lt;h5&gt;&lt;b&gt;Duration &lt;/b&gt;1 round&lt;/h5&gt;&lt;h5&gt;&lt;b&gt;Saving Throw &lt;/b&gt;Fortitude negates; &lt;b&gt;Spell Resistance &lt;/b&gt;yes&lt;/h5&gt;&lt;/div&gt;&lt;hr/&gt;&lt;div&gt;&lt;h5&gt;&lt;b&gt;DESCRIPTION&lt;/b&gt;&lt;/h5&gt;&lt;/div&gt;&lt;hr/&gt;&lt;div&gt;&lt;h4&gt;&lt;p&gt;This spell creates a severe blast of air (approximately 50 mph) that originates from you, affecting all creatures in its path. All flying creatures in this area take a -4 penalty on Fly skill checks. Tiny or smaller flying creatures must make a DC 25 Fly skill check or be blown back 2d6 x 10 feet and take 2d6 points of damage. Small or smaller flying creatures must make a DC 20 Fly skill check to move against the force of the wind.&lt;/p&gt;&lt;p&gt;A Tiny or smaller creature on the ground is knocked down and rolled 1d4 x 10 feet, taking 1d4 points of nonlethal damage per 10 feet.&lt;/p&gt;&lt;p&gt;Small creatures are knocked prone by the force of the wind.&lt;/p&gt;&lt;p&gt;Medium or smaller creatures are unable to move forward against the force of the wind unless they succeed at a DC 15 Strength check.&lt;/p&gt;&lt;p&gt;Large or larger creatures may move normally within a &lt;i&gt;gust of wind&lt;/i&gt; effect.&lt;/p&gt;&lt;p&gt;This spell can't move a creature beyond the limit of it's range.&lt;/p&gt;&lt;p&gt;Any creature, regardless of size, takes a -4 penalty on ranged attacks and Perception checks in the area of a &lt;i&gt;gust of wind&lt;/i&gt;.&lt;/p&gt;&lt;p&gt;The force of the gust automatically extinguishes candles, torches, and similar unprotected flames. It causes protected flames, such as those in lanterns, to dance wildly and has a 50% chance to extinguish those lights.&lt;/p&gt;&lt;p&gt;In addition to the effects noted, a &lt;i&gt;gust of wind&lt;/i&gt; can do anything that a sudden blast of wind would be expected to do. It can create a stinging spray of sand or dust, fan a large fire, overturn delicate awnings or hangings, heel over a small boat, and blow gases or vapors to the edge of its range.&lt;/p&gt;&lt;p&gt;&lt;i&gt;Gust of wind&lt;/i&gt; can be made permanent with a &lt;i&gt;permanency&lt;/i&gt; spell.&lt;/p&gt;&lt;/h4&gt;&lt;h5&gt;&lt;b&gt;Mythic: &lt;/b&gt;The force of the wind increases to windstorm (approximately 70 mph; Core Rulebook 439). All effects described in the spell affect creatures one size larger. Ranged attacks can't be attempted in the area of the spell. The wind automatically blows out unprotected flames and has a 75% chance of blowing out protected flames.&lt;/h5&gt;&lt;h5&gt;&lt;b&gt;Augmented (2nd)&lt;/b&gt;: If you expend two uses of mythic power, the spell lasts for 1 additional round and the range increases by 30 feet. As a swift action at the start of your turn, you can expend another use of mythic power to extend the duration by 1 round and the range by another 30 feet.&lt;/h5&gt;&lt;/div&gt;</t>
  </si>
  <si>
    <t>Catastrophe</t>
  </si>
  <si>
    <t>Blows away or knocks down smaller creatures.</t>
  </si>
  <si>
    <t>The force of the wind increases to windstorm (approximately 70 mph; Core Rulebook 439). All effects described in the spell affect creatures one size larger. Ranged attacks can't be attempted in the area of the spell. The wind automatically blows out unprotected flames and has a 75% chance of blowing out protected flames.</t>
  </si>
  <si>
    <t>Augmented (2nd): If you expend two uses of mythic power, the spell lasts for 1 additional round and the range increases by 30 feet. As a swift action at the start of your turn, you can expend another use of mythic power to extend the duration by 1 round and the range by another 30 feet.</t>
  </si>
  <si>
    <t>Hallow</t>
  </si>
  <si>
    <t>V, S, M (herbs, oils, and incense worth at least 1,000 gp, plus 1,000 gp per level of the spell to be included in the hallowed area), DF</t>
  </si>
  <si>
    <t>40-ft. radius emanating from the touched point</t>
  </si>
  <si>
    <t>Hallow makes a particular site, building, or structure a holy site. This has four major effects. First, the site is warded by a magic circle against evil effect. Second, the DC to resist positive channeled energy within this area gains a +4 sacred bonus and the DC to resist negative energy is reduced by 4. Spell resistance does not apply to this effect. This provision does not apply to the druid version of the spell. Third, any dead body interred in a hallowed site cannot be turned into an undead creature. Finally, you can fix a single spell effect to the hallowed site. The spell effect lasts for 1 year and functions throughout the entire site, regardless of the normal duration and area or effect. You may designate whether the effect applies to all creatures, creatures who share your faith or alignment, or creatures who adhere to another faith or alignment. At the end of the year, the chosen effect lapses, but it can be renewed or replaced simply by casting hallow again. Spell effects that may be tied to a hallowed site include aid, bane, bless, cause fear, darkness, daylight, death ward, deeper darkness, detect evil, detect magic, dimensional anchor, discern lies, dispel magic, endure elements, freedom of movement, invisibility purge, protection from energy, remove fear, resist energy, silence, tongues, and zone of truth. Saving throws and spell resistance might apply to these spells' effects. (See the individual spell descriptions for details.) An area can receive only one hallow spell (and its associated spell effect) at a time. Hallow counters but does not dispel unhallow.</t>
  </si>
  <si>
    <t>&lt;p&gt;&lt;i&gt;Hallow&lt;/i&gt; makes a particular site, building, or structure a holy site.&lt;/p&gt;&lt;p&gt;This has four major effects.&lt;/p&gt;&lt;p&gt;First, the site is warded by a &lt;i&gt;magic circle against evil&lt;/i&gt; effect.&lt;/p&gt;&lt;p&gt;Second, the DC to resist positive channeled energy within this area gains a +4 sacred bonus and the DC to resist negative energy is reduced by 4. Spell resistance does not apply to this effect. This provision does not apply to the druid version of the spell.&lt;/p&gt;&lt;p&gt;Third, any dead body interred in a &lt;i&gt;&lt;i&gt;hallow&lt;/i&gt;ed&lt;/i&gt; site cannot be turned into an undead creature.&lt;/p&gt;&lt;p&gt;Finally, you can fix a single spell effect to the &lt;i&gt;&lt;i&gt;hallow&lt;/i&gt;ed&lt;/i&gt; site.&lt;/p&gt;&lt;p&gt;The spell effect lasts for 1 year and functions throughout the entire site, regardless of the normal duration and area or effect.&lt;/p&gt;&lt;p&gt;You may designate whether the effect applies to all creatures, creatures who share your faith or alignment, or creatures who adhere to another faith or alignment. At the end of the year, the chosen effect lapses, but it can be renewed or replaced simply by casting &lt;i&gt;hallow&lt;/i&gt; again.&lt;/p&gt;&lt;p&gt;Spell effects that may be tied to a &lt;i&gt;&lt;i&gt;hallow&lt;/i&gt;ed&lt;/i&gt; site include &lt;i&gt;aid, bane, bless, cause fear, darkness, daylight, death ward, deeper darkness, detect evil, detect magic, dimensional anchor, discern lies, dispel magic, endure elements, freedom of movement, invisibility purge, protection from energy, remove fear, resist energy, silence, tongues,&lt;/i&gt; and &lt;i&gt;zone of truth&lt;/i&gt;. Saving throws and spell resistance might apply to these spells' effects. (See the individual spell descriptions for details.) An area can receive only one &lt;i&gt;hallow&lt;/i&gt; spell (and its associated spell effect) at a time. &lt;i&gt;Hallow&lt;/i&gt; counters but does not dispel un&lt;i&gt;hallow&lt;/i&gt;.&lt;/p&gt;</t>
  </si>
  <si>
    <t>&lt;link rel="stylesheet"href="PF.css"&gt;&lt;div class="heading"&gt;&lt;p class="alignleft"&gt;Hallow&lt;/p&gt;&lt;div style="clear: both;"&gt;&lt;/div&gt;&lt;/div&gt;&lt;div&gt;&lt;h5&gt;&lt;b&gt;School &lt;/b&gt;evocation [good]; &lt;b&gt;Level &lt;/b&gt;cleric 5/oracle 5, druid 5, inquisitor 5&lt;/h5&gt;&lt;/div&gt;&lt;hr/&gt;&lt;div&gt;&lt;h5&gt;&lt;b&gt;CASTING&lt;/b&gt;&lt;/h5&gt;&lt;/div&gt;&lt;hr/&gt;&lt;div&gt;&lt;h5&gt;&lt;b&gt;Casting Time &lt;/b&gt;24 hours&lt;/h5&gt;&lt;h5&gt;&lt;b&gt;Components &lt;/b&gt;V, S, M (herbs, oils, and incense worth at least 1,000 gp, plus 1,000 gp per level of the spell to be included in the hallowed area), DF&lt;/h5&gt;&lt;/div&gt;&lt;hr/&gt;&lt;div&gt;&lt;h5&gt;&lt;b&gt;EFFECT&lt;/b&gt;&lt;/h5&gt;&lt;/div&gt;&lt;hr/&gt;&lt;div&gt;&lt;h5&gt;&lt;b&gt;Range &lt;/b&gt;touch&lt;/h5&gt;&lt;h5&gt;&lt;b&gt;Area &lt;/b&gt;40-ft. radius emanating from the touched point&lt;/h5&gt;&lt;h5&gt;&lt;b&gt;Duration &lt;/b&gt;instantaneous&lt;/h5&gt;&lt;h5&gt;&lt;b&gt;Saving Throw &lt;/b&gt;see text; &lt;b&gt;Spell Resistance &lt;/b&gt;see text&lt;/h5&gt;&lt;/div&gt;&lt;hr/&gt;&lt;div&gt;&lt;h5&gt;&lt;b&gt;DESCRIPTION&lt;/b&gt;&lt;/h5&gt;&lt;/div&gt;&lt;hr/&gt;&lt;div&gt;&lt;h4&gt;&lt;p&gt;&lt;i&gt;Hallow&lt;/i&gt; makes a particular site, building, or structure a holy site.&lt;/p&gt;&lt;p&gt;This has four major effects.&lt;/p&gt;&lt;p&gt;First, the site is warded by a &lt;i&gt;magic circle against evil&lt;/i&gt; effect.&lt;/p&gt;&lt;p&gt;Second, the DC to resist positive channeled energy within this area gains a +4 sacred bonus and the DC to resist negative energy is reduced by 4. Spell resistance does not apply to this effect. This provision does not apply to the druid version of the spell.&lt;/p&gt;&lt;p&gt;Third, any dead body interred in a &lt;i&gt;&lt;i&gt;hallow&lt;/i&gt;ed&lt;/i&gt; site cannot be turned into an undead creature.&lt;/p&gt;&lt;p&gt;Finally, you can fix a single spell effect to the &lt;i&gt;&lt;i&gt;hallow&lt;/i&gt;ed&lt;/i&gt; site.&lt;/p&gt;&lt;p&gt;The spell effect lasts for 1 year and functions throughout the entire site, regardless of the normal duration and area or effect.&lt;/p&gt;&lt;p&gt;You may designate whether the effect applies to all creatures, creatures who share your faith or alignment, or creatures who adhere to another faith or alignment. At the end of the year, the chosen effect lapses, but it can be renewed or replaced simply by casting &lt;i&gt;hallow&lt;/i&gt; again.&lt;/p&gt;&lt;p&gt;Spell effects that may be tied to a &lt;i&gt;&lt;i&gt;hallow&lt;/i&gt;ed&lt;/i&gt; site include &lt;i&gt;aid, bane, bless, cause fear, darkness, daylight, death ward, deeper darkness, detect evil, detect magic, dimensional anchor, discern lies, dispel magic, endure elements, freedom of movement, invisibility purge, protection from energy, remove fear, resist energy, silence, tongues,&lt;/i&gt; and &lt;i&gt;zone of truth&lt;/i&gt;. Saving throws and spell resistance might apply to these spells' effects. (See the individual spell descriptions for details.) An area can receive only one &lt;i&gt;hallow&lt;/i&gt; spell (and its associated spell effect) at a time. &lt;i&gt;Hallow&lt;/i&gt; counters but does not dispel un&lt;i&gt;hallow&lt;/i&gt;.&lt;/p&gt;&lt;/h4&gt;&lt;/div&gt;</t>
  </si>
  <si>
    <t>Designates location as holy.</t>
  </si>
  <si>
    <t>Hallucinatory Terrain</t>
  </si>
  <si>
    <t>bard 4, sorcerer/wizard 4</t>
  </si>
  <si>
    <t>V, S, M (a stone, a twig, and a green leaf)</t>
  </si>
  <si>
    <t>one 30-ft. cube/level</t>
  </si>
  <si>
    <t>Will disbelief (if interacted with)</t>
  </si>
  <si>
    <t>You make natural terrain look, sound, and smell like some other sort of natural terrain. Structures, equipment, and creatures within the area are not hidden or changed in appearance.</t>
  </si>
  <si>
    <t>&lt;p&gt;You make natural terrain look, sound, and smell like some other sort of natural terrain. Structures, equipment, and creatures within the area are not hidden or changed in appearance.&lt;/p&gt;</t>
  </si>
  <si>
    <t>&lt;link rel="stylesheet"href="PF.css"&gt;&lt;div class="heading"&gt;&lt;p class="alignleft"&gt;Hallucinatory Terrain&lt;/p&gt;&lt;div style="clear: both;"&gt;&lt;/div&gt;&lt;/div&gt;&lt;div&gt;&lt;h5&gt;&lt;b&gt;School &lt;/b&gt;illusion (glamer); &lt;b&gt;Level &lt;/b&gt;bard 4, sorcerer/wizard 4&lt;/h5&gt;&lt;/div&gt;&lt;hr/&gt;&lt;div&gt;&lt;h5&gt;&lt;b&gt;CASTING&lt;/b&gt;&lt;/h5&gt;&lt;/div&gt;&lt;hr/&gt;&lt;div&gt;&lt;h5&gt;&lt;b&gt;Casting Time &lt;/b&gt;10 minutes&lt;/h5&gt;&lt;h5&gt;&lt;b&gt;Components &lt;/b&gt;V, S, M (a stone, a twig, and a green leaf)&lt;/h5&gt;&lt;/div&gt;&lt;hr/&gt;&lt;div&gt;&lt;h5&gt;&lt;b&gt;EFFECT&lt;/b&gt;&lt;/h5&gt;&lt;/div&gt;&lt;hr/&gt;&lt;div&gt;&lt;h5&gt;&lt;b&gt;Range &lt;/b&gt;long (400 ft. + 40 ft./level)&lt;/h5&gt;&lt;h5&gt;&lt;b&gt;Area &lt;/b&gt;one 30-ft. cube/level (S)&lt;/h5&gt;&lt;h5&gt;&lt;b&gt;Duration &lt;/b&gt;2 hours/level (D)&lt;/h5&gt;&lt;h5&gt;&lt;b&gt;Saving Throw &lt;/b&gt;Will disbelief (if interacted with); &lt;b&gt;Spell Resistance &lt;/b&gt;no&lt;/h5&gt;&lt;/div&gt;&lt;hr/&gt;&lt;div&gt;&lt;h5&gt;&lt;b&gt;DESCRIPTION&lt;/b&gt;&lt;/h5&gt;&lt;/div&gt;&lt;hr/&gt;&lt;div&gt;&lt;h4&gt;&lt;p&gt;You make natural terrain look, sound, and smell like some other sort of natural terrain. Structures, equipment, and creatures within the area are not hidden or changed in appearance.&lt;/p&gt;&lt;/h4&gt;&lt;/div&gt;</t>
  </si>
  <si>
    <t>Makes one type of terrain appear like another (field as forest, or the like).</t>
  </si>
  <si>
    <t>Halt Undead</t>
  </si>
  <si>
    <t>sorcerer/wizard 3, inquisitor 3</t>
  </si>
  <si>
    <t>V, S, M (a pinch of sulfur and powdered garlic)</t>
  </si>
  <si>
    <t>up to three undead creatures, no two of which can be more than 30 ft. apart</t>
  </si>
  <si>
    <t>Will negates (see text)</t>
  </si>
  <si>
    <t>This spell renders as many as three undead creatures immobile. A nonintelligent undead creature gets no saving throw; an intelligent undead creature does. If the spell is successful, it renders the undead creature immobile for the duration of the spell (similar to the effect of hold person on a living creature). The effect is broken if the halted creatures are attacked or take damage.</t>
  </si>
  <si>
    <t>&lt;p&gt;This spell renders as many as three undead creatures immobile. A nonintelligent undead creature gets no saving throw; an intelligent undead creature does. If the spell is successful, it renders the undead creature immobile for the duration of the spell (similar to the effect of &lt;i&gt;hold person on&lt;/i&gt; a living creature). The effect is broken if the &lt;i&gt;halted&lt;/i&gt; creatures are attacked or take damage.&lt;/p&gt;</t>
  </si>
  <si>
    <t>&lt;link rel="stylesheet"href="PF.css"&gt;&lt;div class="heading"&gt;&lt;p class="alignleft"&gt;Halt Undead&lt;/p&gt;&lt;div style="clear: both;"&gt;&lt;/div&gt;&lt;/div&gt;&lt;div&gt;&lt;h5&gt;&lt;b&gt;School &lt;/b&gt;necromancy; &lt;b&gt;Level &lt;/b&gt;sorcerer/wizard 3, inquisitor 3&lt;/h5&gt;&lt;/div&gt;&lt;hr/&gt;&lt;div&gt;&lt;h5&gt;&lt;b&gt;CASTING&lt;/b&gt;&lt;/h5&gt;&lt;/div&gt;&lt;hr/&gt;&lt;div&gt;&lt;h5&gt;&lt;b&gt;Casting Time &lt;/b&gt;1 standard action&lt;/h5&gt;&lt;h5&gt;&lt;b&gt;Components &lt;/b&gt;V, S, M (a pinch of sulfur and powdered garlic)&lt;/h5&gt;&lt;/div&gt;&lt;hr/&gt;&lt;div&gt;&lt;h5&gt;&lt;b&gt;EFFECT&lt;/b&gt;&lt;/h5&gt;&lt;/div&gt;&lt;hr/&gt;&lt;div&gt;&lt;h5&gt;&lt;b&gt;Range &lt;/b&gt;medium (100 ft. + 10 ft./level)&lt;/h5&gt;&lt;h5&gt;&lt;b&gt;Targets &lt;/b&gt;up to three undead creatures, no two of which can be more than 30 ft. apart&lt;/h5&gt;&lt;h5&gt;&lt;b&gt;Duration &lt;/b&gt;1 round/level&lt;/h5&gt;&lt;h5&gt;&lt;b&gt;Saving Throw &lt;/b&gt;Will negates (see text); &lt;b&gt;Spell Resistance &lt;/b&gt;yes&lt;/h5&gt;&lt;/div&gt;&lt;hr/&gt;&lt;div&gt;&lt;h5&gt;&lt;b&gt;DESCRIPTION&lt;/b&gt;&lt;/h5&gt;&lt;/div&gt;&lt;hr/&gt;&lt;div&gt;&lt;h4&gt;&lt;p&gt;This spell renders as many as three undead creatures immobile. A nonintelligent undead creature gets no saving throw; an intelligent undead creature does. If the spell is successful, it renders the undead creature immobile for the duration of the spell (similar to the effect of &lt;i&gt;hold person on&lt;/i&gt; a living creature). The effect is broken if the &lt;i&gt;halted&lt;/i&gt; creatures are attacked or take damage.&lt;/p&gt;&lt;/h4&gt;&lt;/div&gt;</t>
  </si>
  <si>
    <t> Immobilizes undead for 1 round/level.</t>
  </si>
  <si>
    <t>Harm</t>
  </si>
  <si>
    <t>cleric/oracle 6, witch 7, inquisitor 6</t>
  </si>
  <si>
    <t>Will half; see text</t>
  </si>
  <si>
    <t>Harm charges a subject with negative energy that deals 10 points of damage per caster level (to a maximum of 150 points at 15th level). If the creature successfully saves, harm deals half this amount. Harm cannot reduce the target's hit points to less than 1. If used on an undead creature, harm acts like heal.</t>
  </si>
  <si>
    <t>&lt;p&gt;&lt;i&gt;Harm&lt;/i&gt; charges a subject with negative energy that deals 10 points of damage per caster level (to a maximum of 150 points at 15th level). If the creature successfully saves, &lt;i&gt;harm&lt;/i&gt; deals half this amount. &lt;i&gt;Harm&lt;/i&gt; cannot reduce the target's hit points to less than 1.&lt;/p&gt;&lt;p&gt;If used on an undead creature, &lt;i&gt;harm&lt;/i&gt; acts like &lt;i&gt;heal&lt;/i&gt;.&lt;/p&gt;</t>
  </si>
  <si>
    <t>&lt;link rel="stylesheet"href="PF.css"&gt;&lt;div class="heading"&gt;&lt;p class="alignleft"&gt;Harm&lt;/p&gt;&lt;div style="clear: both;"&gt;&lt;/div&gt;&lt;/div&gt;&lt;div&gt;&lt;h5&gt;&lt;b&gt;School &lt;/b&gt;necromancy; &lt;b&gt;Level &lt;/b&gt;cleric/oracle 6, witch 7, inquisitor 6&lt;/h5&gt;&lt;/div&gt;&lt;hr/&gt;&lt;div&gt;&lt;h5&gt;&lt;b&gt;CASTING&lt;/b&gt;&lt;/h5&gt;&lt;/div&gt;&lt;hr/&gt;&lt;div&gt;&lt;h5&gt;&lt;b&gt;Casting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&lt;/b&gt;instantaneous&lt;/h5&gt;&lt;h5&gt;&lt;b&gt;Saving Throw &lt;/b&gt;Will half; see text; &lt;b&gt;Spell Resistance &lt;/b&gt;yes&lt;/h5&gt;&lt;/div&gt;&lt;hr/&gt;&lt;div&gt;&lt;h5&gt;&lt;b&gt;DESCRIPTION&lt;/b&gt;&lt;/h5&gt;&lt;/div&gt;&lt;hr/&gt;&lt;div&gt;&lt;h4&gt;&lt;p&gt;&lt;i&gt;Harm&lt;/i&gt; charges a subject with negative energy that deals 10 points of damage per caster level (to a maximum of 150 points at 15th level). If the creature successfully saves, &lt;i&gt;harm&lt;/i&gt; deals half this amount. &lt;i&gt;Harm&lt;/i&gt; cannot reduce the target's hit points to less than 1.&lt;/p&gt;&lt;p&gt;If used on an undead creature, &lt;i&gt;harm&lt;/i&gt; acts like &lt;i&gt;heal&lt;/i&gt;.&lt;/p&gt;&lt;/h4&gt;&lt;h5&gt;&lt;b&gt;Mythic: &lt;/b&gt;The damage dealt increases to 15 points of damage per caster level (maximum 225 points).&lt;/h5&gt;&lt;h5&gt;&lt;b&gt;Augmented&lt;/b&gt;: If you expend two uses of mythic power, the spell also acts as poison.&lt;/h5&gt;&lt;/div&gt;</t>
  </si>
  <si>
    <t>Decay, Destruction</t>
  </si>
  <si>
    <t> Deals 10 points/level damage to target.</t>
  </si>
  <si>
    <t>The damage dealt increases to 15 points of damage per caster level (maximum 225 points).</t>
  </si>
  <si>
    <t>Augmented: If you expend two uses of mythic power, the spell also acts as poison.</t>
  </si>
  <si>
    <t>Haste</t>
  </si>
  <si>
    <t>alchemist 3, bard 3, magus 3, sorcerer/wizard 3, summoner 2</t>
  </si>
  <si>
    <t>V, S, M (a shaving of licorice root)</t>
  </si>
  <si>
    <t>The transmuted creatures move and act more quickly than normal. This extra speed has several effects. When making a full attack action, a hasted creature may make one extra attack with one natural or manufactured weapon. The attack is made using the creature's full base attack bonus, plus any modifiers appropriate to the situation. (This effect is not cumulative with similar effects, such as that provided by a speed weapon, nor does it actually grant an extra action, so you can't use it to cast a second spell or otherwise take an extra action in the round.) A hasted creature gains a +1 bonus on attack rolls and a +1 dodge bonus to AC and Reflex saves. Any condition that makes you lose your Dexterity bonus to Armor Class (if any) also makes you lose dodge bonuses. All of the hasted creature's modes of movement (including land movement, burrow, climb, fly, and swim) increase by 30 feet, to a maximum of twice the subject's normal speed using that form of movement. This increase counts as an enhancement bonus, and it affects the creature's jumping distance as normal for increased speed. Multiple haste effects don't stack. Haste dispels and counters slow.</t>
  </si>
  <si>
    <t>&lt;p&gt;The transmuted creatures move and act more quickly than normal. This extra &lt;i&gt;speed&lt;/i&gt; has several effects.&lt;/p&gt;&lt;p&gt;When making a full attack action, a &lt;i&gt;haste&lt;/i&gt;d creature may make one extra attack with one natural or manufactured weapon. The attack is made using the creature's full base attack bonus, plus any modifiers appropriate to the situation. (This effect is not cumulative with similar effects, such as that provided by a &lt;i&gt;speed&lt;/i&gt; weapon, nor does it actually grant an extra action, so you can't use it to cast a second spell or otherwise take an extra action in the round.) A &lt;i&gt;haste&lt;/i&gt;d creature gains a +1 bonus on attack rolls and a +1 dodge bonus to AC and Reflex saves. Any condition that makes you lose your Dexterity bonus to Armor Class (if any) also makes you lose dodge bonuses.&lt;/p&gt;&lt;p&gt;All of the &lt;i&gt;haste&lt;/i&gt;d creature's modes of movement (including land movement, burrow, climb, fly, and swim) increase by 30 feet, to a maximum of twice the subject's normal &lt;i&gt;speed&lt;/i&gt; using that form of movement. This increase counts as an enhancement bonus, and it affects the creature's jumping distance as normal for increased &lt;i&gt;speed&lt;/i&gt;. Multiple &lt;i&gt;haste&lt;/i&gt; effects don't stack. &lt;i&gt;Haste&lt;/i&gt; dispels and counters &lt;i&gt;slow&lt;/i&gt;.&lt;/p&gt;</t>
  </si>
  <si>
    <t>&lt;link rel="stylesheet"href="PF.css"&gt;&lt;div class="heading"&gt;&lt;p class="alignleft"&gt;Haste&lt;/p&gt;&lt;div style="clear: both;"&gt;&lt;/div&gt;&lt;/div&gt;&lt;div&gt;&lt;h5&gt;&lt;b&gt;School &lt;/b&gt;transmutation; &lt;b&gt;Level &lt;/b&gt;alchemist 3, bard 3, magus 3, sorcerer/wizard 3, summoner 2&lt;/h5&gt;&lt;/div&gt;&lt;hr/&gt;&lt;div&gt;&lt;h5&gt;&lt;b&gt;CASTING&lt;/b&gt;&lt;/h5&gt;&lt;/div&gt;&lt;hr/&gt;&lt;div&gt;&lt;h5&gt;&lt;b&gt;Casting Time &lt;/b&gt;1 standard action&lt;/h5&gt;&lt;h5&gt;&lt;b&gt;Components &lt;/b&gt;V, S, M (a shaving of licorice root)&lt;/h5&gt;&lt;/div&gt;&lt;hr/&gt;&lt;div&gt;&lt;h5&gt;&lt;b&gt;EFFECT&lt;/b&gt;&lt;/h5&gt;&lt;/div&gt;&lt;hr/&gt;&lt;div&gt;&lt;h5&gt;&lt;b&gt;Range &lt;/b&gt;close (25 ft. + 5 ft./2 levels)&lt;/h5&gt;&lt;h5&gt;&lt;b&gt;Targets &lt;/b&gt;one creature/level, no two of which can be more than 30 ft. apart&lt;/h5&gt;&lt;h5&gt;&lt;b&gt;Duration &lt;/b&gt;1 round/level&lt;/h5&gt;&lt;h5&gt;&lt;b&gt;Saving Throw &lt;/b&gt;Fortitude negates (harmless); &lt;b&gt;Spell Resistance &lt;/b&gt;yes (harmless)&lt;/h5&gt;&lt;/div&gt;&lt;hr/&gt;&lt;div&gt;&lt;h5&gt;&lt;b&gt;DESCRIPTION&lt;/b&gt;&lt;/h5&gt;&lt;/div&gt;&lt;hr/&gt;&lt;div&gt;&lt;h4&gt;&lt;p&gt;The transmuted creatures move and act more quickly than normal. This extra &lt;i&gt;speed&lt;/i&gt; has several effects.&lt;/p&gt;&lt;p&gt;When making a full attack action, a &lt;i&gt;haste&lt;/i&gt;d creature may make one extra attack with one natural or manufactured weapon. The attack is made using the creature's full base attack bonus, plus any modifiers appropriate to the situation. (This effect is not cumulative with similar effects, such as that provided by a &lt;i&gt;speed&lt;/i&gt; weapon, nor does it actually grant an extra action, so you can't use it to cast a second spell or otherwise take an extra action in the round.) A &lt;i&gt;haste&lt;/i&gt;d creature gains a +1 bonus on attack rolls and a +1 dodge bonus to AC and Reflex saves. Any condition that makes you lose your Dexterity bonus to Armor Class (if any) also makes you lose dodge bonuses.&lt;/p&gt;&lt;p&gt;All of the &lt;i&gt;haste&lt;/i&gt;d creature's modes of movement (including land movement, burrow, climb, fly, and swim) increase by 30 feet, to a maximum of twice the subject's normal &lt;i&gt;speed&lt;/i&gt; using that form of movement. This increase counts as an enhancement bonus, and it affects the creature's jumping distance as normal for increased &lt;i&gt;speed&lt;/i&gt;. Multiple &lt;i&gt;haste&lt;/i&gt; effects don't stack. &lt;i&gt;Haste&lt;/i&gt; dispels and counters &lt;i&gt;slow&lt;/i&gt;.&lt;/p&gt;&lt;/h4&gt;&lt;h5&gt;&lt;b&gt;Mythic: &lt;/b&gt;Affected creatures gain an additional move action each round. The movement speed increase changes to 50 feet, to a maximum of three times the creature's normal speed for that movement type.&lt;/h5&gt;&lt;h5&gt;&lt;b&gt;Augmented (3rd)&lt;/b&gt;: If you expend two uses of mythic power, the movement speed increase changes to 70 feet, with no limit based on the creature's normal speed. If an affected creature moves at least 30 feet on its turn, it can travel across liquid as if the liquid were solid. If the liquid deals damage on contact, the creature takes only half damage from moving across it.&lt;/h5&gt;&lt;/div&gt;</t>
  </si>
  <si>
    <t>One creature/level moves faster, receives +1 on attack rolls, AC, and Reflex saves.</t>
  </si>
  <si>
    <t>Agility, Time</t>
  </si>
  <si>
    <t>Affected creatures gain an additional move action each round. The movement speed increase changes to 50 feet, to a maximum of three times the creature's normal speed for that movement type.</t>
  </si>
  <si>
    <t>Augmented (3rd): If you expend two uses of mythic power, the movement speed increase changes to 70 feet, with no limit based on the creature's normal speed. If an affected creature moves at least 30 feet on its turn, it can travel across liquid as if the liquid were solid. If the liquid deals damage on contact, the creature takes only half damage from moving across it.</t>
  </si>
  <si>
    <t>Heal</t>
  </si>
  <si>
    <t>cleric/oracle 6, druid 7, alchemist 6, witch 7, inquisitor 6</t>
  </si>
  <si>
    <t>Heal enables you to channel positive energy into a creature to wipe away injury and afflictions. It immediately ends any and all of the following adverse conditions affecting the target: ability damage, blinded, confused, dazed, dazzled, deafened, diseased, exhausted, fatigued, feebleminded, insanity, nauseated, poisoned, sickened, and stunned. It also cures 10 hit points of damage per level of the caster, to a maximum of 150 points at 15th level. Heal does not remove negative levels or restore permanently drained ability score points. If used against an undead creature, heal instead acts like harm.</t>
  </si>
  <si>
    <t>&lt;p&gt;&lt;i&gt;Heal&lt;/i&gt; enables you to channel positive energy into a creature to wipe away injury and afflictions. It immediately ends any and all of the following adverse conditions affecting the target: ability damage, blinded, confused, dazed, dazzled, deafened, diseased, exhausted, fatigued, feebleminded, insanity, nauseated, poisoned, sickened, and stunned. It also cures 10 hit points of damage per level of the caster, to a maximum of 150 points at 15th level.&lt;/p&gt;&lt;p&gt;&lt;i&gt;Heal&lt;/i&gt; does not remove negative levels or restore permanently drained ability score points.&lt;/p&gt;&lt;p&gt;If used against an undead creature, &lt;i&gt;heal&lt;/i&gt; instead acts like &lt;i&gt;harm&lt;/i&gt;.&lt;/p&gt;</t>
  </si>
  <si>
    <t>&lt;link rel="stylesheet"href="PF.css"&gt;&lt;div class="heading"&gt;&lt;p class="alignleft"&gt;Heal&lt;/p&gt;&lt;div style="clear: both;"&gt;&lt;/div&gt;&lt;/div&gt;&lt;div&gt;&lt;h5&gt;&lt;b&gt;School &lt;/b&gt;conjuration (healing); &lt;b&gt;Level &lt;/b&gt;cleric/oracle 6, druid 7, alchemist 6, witch 7, inquisitor 6&lt;/h5&gt;&lt;/div&gt;&lt;hr/&gt;&lt;div&gt;&lt;h5&gt;&lt;b&gt;CASTING&lt;/b&gt;&lt;/h5&gt;&lt;/div&gt;&lt;hr/&gt;&lt;div&gt;&lt;h5&gt;&lt;b&gt;Casting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&lt;/b&gt;instantaneous&lt;/h5&gt;&lt;h5&gt;&lt;b&gt;Saving Throw &lt;/b&gt;Will negates (harmless); &lt;b&gt;Spell Resistance &lt;/b&gt;yes (harmless)&lt;/h5&gt;&lt;/div&gt;&lt;hr/&gt;&lt;div&gt;&lt;h5&gt;&lt;b&gt;DESCRIPTION&lt;/b&gt;&lt;/h5&gt;&lt;/div&gt;&lt;hr/&gt;&lt;div&gt;&lt;h4&gt;&lt;p&gt;&lt;i&gt;Heal&lt;/i&gt; enables you to channel positive energy into a creature to wipe away injury and afflictions. It immediately ends any and all of the following adverse conditions affecting the target: ability damage, blinded, confused, dazed, dazzled, deafened, diseased, exhausted, fatigued, feebleminded, insanity, nauseated, poisoned, sickened, and stunned. It also cures 10 hit points of damage per level of the caster, to a maximum of 150 points at 15th level.&lt;/p&gt;&lt;p&gt;&lt;i&gt;Heal&lt;/i&gt; does not remove negative levels or restore permanently drained ability score points.&lt;/p&gt;&lt;p&gt;If used against an undead creature, &lt;i&gt;heal&lt;/i&gt; instead acts like &lt;i&gt;harm&lt;/i&gt;.&lt;/p&gt;&lt;/h4&gt;&lt;h5&gt;&lt;b&gt;Mythic: &lt;/b&gt;The damage cured increases to 15 points of damage per caster level (maximum 225 points).&lt;/h5&gt;&lt;h5&gt;&lt;b&gt;Augmented&lt;/b&gt;: If you expend two uses of mythic power, the spell also acts as restoration.&lt;/h5&gt;&lt;/div&gt;</t>
  </si>
  <si>
    <t>Cures 10 points/level damage, all diseases and mental conditions.</t>
  </si>
  <si>
    <t>The damage cured increases to 15 points of damage per caster level (maximum 225 points).</t>
  </si>
  <si>
    <t>Augmented: If you expend two uses of mythic power, the spell also acts as restoration.</t>
  </si>
  <si>
    <t>Heal, Mass</t>
  </si>
  <si>
    <t>cleric 9/oracle 9</t>
  </si>
  <si>
    <t>one or more creatures, no two of which can be more than 30 ft. apart</t>
  </si>
  <si>
    <t>This spell functions like heal, except as noted above. The maximum number of hit points restored to each creature is 250.</t>
  </si>
  <si>
    <t>&lt;p&gt;This spell functions like &lt;i&gt;heal,&lt;/i&gt; except as noted above. The maximum number of hit points restored to each creature is 250.&lt;/p&gt;</t>
  </si>
  <si>
    <t>&lt;link rel="stylesheet"href="PF.css"&gt;&lt;div class="heading"&gt;&lt;p class="alignleft"&gt;Heal, Mass&lt;/p&gt;&lt;div style="clear: both;"&gt;&lt;/div&gt;&lt;/div&gt;&lt;div&gt;&lt;h5&gt;&lt;b&gt;School &lt;/b&gt;conjuration (healing); &lt;b&gt;Level &lt;/b&gt;cleric 9/oracle 9&lt;/h5&gt;&lt;/div&gt;&lt;hr/&gt;&lt;div&gt;&lt;h5&gt;&lt;b&gt;CASTING&lt;/b&gt;&lt;/h5&gt;&lt;/div&gt;&lt;hr/&gt;&lt;div&gt;&lt;h5&gt;&lt;b&gt;Casting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or more creatures, no two of which can be more than 30 ft. apart&lt;/h5&gt;&lt;h5&gt;&lt;b&gt;Duration &lt;/b&gt;instantaneous&lt;/h5&gt;&lt;h5&gt;&lt;b&gt;Saving Throw &lt;/b&gt;Will negates (harmless); &lt;b&gt;Spell Resistance &lt;/b&gt;yes (harmless)&lt;/h5&gt;&lt;/div&gt;&lt;hr/&gt;&lt;div&gt;&lt;h5&gt;&lt;b&gt;DESCRIPTION&lt;/b&gt;&lt;/h5&gt;&lt;/div&gt;&lt;hr/&gt;&lt;div&gt;&lt;h4&gt;&lt;p&gt;This spell functions like &lt;i&gt;heal,&lt;/i&gt; except as noted above. The maximum number of hit points restored to each creature is 250.&lt;/p&gt;&lt;/h4&gt;&lt;/div&gt;</t>
  </si>
  <si>
    <t> As heal, but affects 1 subject/level.</t>
  </si>
  <si>
    <t>Devotion</t>
  </si>
  <si>
    <t>Heal Mount</t>
  </si>
  <si>
    <t>paladin 3</t>
  </si>
  <si>
    <t>your mount touched</t>
  </si>
  <si>
    <t>This spell functions like heal, but it affects only the paladin's special mount (typically a horse).</t>
  </si>
  <si>
    <t>&lt;p&gt;This spell functions like &lt;i&gt;heal,&lt;/i&gt; but it affects only the paladin's special mount (typically a horse).&lt;/p&gt;</t>
  </si>
  <si>
    <t>&lt;link rel="stylesheet"href="PF.css"&gt;&lt;div class="heading"&gt;&lt;p class="alignleft"&gt;Heal Mount&lt;/p&gt;&lt;div style="clear: both;"&gt;&lt;/div&gt;&lt;/div&gt;&lt;div&gt;&lt;h5&gt;&lt;b&gt;School &lt;/b&gt;conjuration (healing); &lt;b&gt;Level &lt;/b&gt;paladin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&lt;/b&gt;your mount touched&lt;/h5&gt;&lt;h5&gt;&lt;b&gt;Duration &lt;/b&gt;instantaneous&lt;/h5&gt;&lt;h5&gt;&lt;b&gt;Saving Throw &lt;/b&gt;Will negates (harmless); &lt;b&gt;Spell Resistance &lt;/b&gt;yes (harmless)&lt;/h5&gt;&lt;/div&gt;&lt;hr/&gt;&lt;div&gt;&lt;h5&gt;&lt;b&gt;DESCRIPTION&lt;/b&gt;&lt;/h5&gt;&lt;/div&gt;&lt;hr/&gt;&lt;div&gt;&lt;h4&gt;&lt;p&gt;This spell functions like &lt;i&gt;heal,&lt;/i&gt; but it affects only the paladin's special mount (typically a horse).&lt;/p&gt;&lt;/h4&gt;&lt;/div&gt;</t>
  </si>
  <si>
    <t> As heal on horse or other special mount.</t>
  </si>
  <si>
    <t>Heat Metal</t>
  </si>
  <si>
    <t>metal equipment of one creature per two levels, no two of which can be more than 30 ft. apart; or 25 lbs. of metal/level, all of which must be within a 30-ft. circle</t>
  </si>
  <si>
    <t>Heat metal causes metal objects to become red-hot. Unattended, nonmagical metal gets no saving throw. Magical metal is allowed a saving throw against the spell. An item in a creature's possession uses the creature's saving throw bonus unless its own is higher. A creature takes fire damage if its equipment is heated. It takes full damage if its armor, shield, or weapon is affected. The creature takes minimum damage (1 point or 2 points; see the table) if it's not wearing or wielding such an item. On the first round of the spell, the metal becomes warm and uncomfortable to touch but deals no damage. The same effect also occurs on the last round of the spell's duration. During the second (and also the next-to-last) round, intense heat causes pain and damage. In the third, fourth, and fifth rounds, the metal is searing hot, and causes more damage, as shown on the table presented on the following page. Round Metal Temperature Damage 1 Warm None 2 Hot 1d4 points 3-5 Searing 2d4 points 6 Hot 1d4 points 7 Warm None Any cold intense enough to damage the creature negates fire damage from the spell (and vice versa) on a point-for-point basis. If cast underwater, heat metal deals half damage and boils the surrounding water. Heat metal counters and dispels chill metal.</t>
  </si>
  <si>
    <t>&lt;p&gt;&lt;i&gt;Heat metal&lt;/i&gt; causes metal objects to become red-hot.&lt;/p&gt;&lt;p&gt;Unattended, nonmagical metal gets no saving throw. Magical metal is allowed a saving throw against the spell. An item in a creature's possession uses the creature's saving throw bonus unless its own is higher.&lt;/p&gt;&lt;p&gt;A creature takes fire damage if its equipment is heated. It takes full damage if its armor, shield, or weapon is affected. The creature takes minimum damage (1 point or 2 points; see the table) if it's not wearing or wielding such an item.&lt;/p&gt;&lt;p&gt;On the first round of the spell, the metal becomes warm and uncomfortable to touch but deals no damage. The same effect also occurs on the last round of the spell's duration. During the second (and also the next-to-last) round, intense heat causes pain and damage. In the third, fourth, and fifth rounds, the metal is searing hot, and causes more damage, as shown on the table presented on the following page.&lt;/p&gt; &lt;table border ='1'&gt;&lt;tr&gt;&lt;th&gt;&lt;table&gt;&lt;tr&gt;&lt;th&gt;Round&lt;/th&gt;&lt;th&gt;Metal Temperature&lt;/th&gt;&lt;th&gt;Damage&lt;/th&gt;&lt;/tr&gt;&lt;tr&gt;&lt;td&gt;1&lt;/td&gt;&lt;td&gt;Warm&lt;/td&gt;&lt;td&gt;None&lt;/td&gt;&lt;/tr&gt;&lt;tr&gt;&lt;td&gt;2&lt;/td&gt;&lt;td&gt;Hot&lt;/td&gt;&lt;td&gt;1d4 points&lt;/td&gt;&lt;/tr&gt;&lt;tr&gt;&lt;td&gt;3-5&lt;/td&gt;&lt;td&gt;Searing&lt;/td&gt;&lt;td&gt;2d4 points&lt;/td&gt;&lt;/tr&gt;&lt;tr&gt;&lt;td&gt;6&lt;/td&gt;&lt;td&gt;Hot&lt;/td&gt;&lt;td&gt;1d4 points&lt;/td&gt;&lt;/tr&gt;&lt;tr&gt;&lt;td&gt;7&lt;/td&gt;&lt;td&gt;Warm&lt;/td&gt;&lt;td&gt;None&lt;/td&gt;&lt;/tr&gt;&lt;/table&gt;&lt;/td&gt;&lt;/tr&gt;&lt;tr&gt;&lt;td&gt;2&lt;/td&gt;&lt;td&gt;Hot&lt;/td&gt;&lt;td&gt;1d4 points&lt;/td&gt;&lt;/tr&gt;&lt;tr&gt;&lt;td&gt;3-5&lt;/td&gt;&lt;td&gt;Searing&lt;/td&gt;&lt;td&gt;2d4 points&lt;/td&gt;&lt;/tr&gt;&lt;tr&gt;&lt;td&gt;6&lt;/td&gt;&lt;td&gt;Hot&lt;/td&gt;&lt;td&gt;1d4 points&lt;/td&gt;&lt;/tr&gt;&lt;tr&gt;&lt;td&gt;7&lt;/td&gt;&lt;td&gt;Warm&lt;/td&gt;&lt;td&gt;None&lt;/td&gt;&lt;/tr&gt;&lt;/table&gt; Any cold intense enough to damage the creature negates fire damage from the spell (and vice versa) on a point-for-point basis.&lt;/p&gt;&lt;p&gt;If cast underwater, &lt;i&gt;heat metal&lt;/i&gt; deals half damage and boils the surrounding water.&lt;/p&gt;&lt;p&gt;&lt;i&gt;Heat metal&lt;/i&gt; counters and dispels &lt;i&gt;chill metal&lt;/i&gt;.&lt;/p&gt;</t>
  </si>
  <si>
    <t>&lt;link rel="stylesheet"href="PF.css"&gt;&lt;div class="heading"&gt;&lt;p class="alignleft"&gt;Heat Metal&lt;/p&gt;&lt;div style="clear: both;"&gt;&lt;/div&gt;&lt;/div&gt;&lt;div&gt;&lt;h5&gt;&lt;b&gt;School &lt;/b&gt;transmutation [fire]; &lt;b&gt;Level &lt;/b&gt;druid 2&lt;/h5&gt;&lt;/div&gt;&lt;hr/&gt;&lt;div&gt;&lt;h5&gt;&lt;b&gt;CASTING&lt;/b&gt;&lt;/h5&gt;&lt;/div&gt;&lt;hr/&gt;&lt;div&gt;&lt;h5&gt;&lt;b&gt;Casting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levels)&lt;/h5&gt;&lt;h5&gt;&lt;b&gt;Targets &lt;/b&gt;metal equipment of one creature per two levels, no two of which can be more than 30 ft. apart; or 25 lbs. of metal/level, all of which must be within a 30-ft. circle&lt;/h5&gt;&lt;h5&gt;&lt;b&gt;Duration &lt;/b&gt;7 rounds&lt;/h5&gt;&lt;h5&gt;&lt;b&gt;Saving Throw &lt;/b&gt;Will negates (object); &lt;b&gt;Spell Resistance &lt;/b&gt;yes (object)&lt;/h5&gt;&lt;/div&gt;&lt;hr/&gt;&lt;div&gt;&lt;h5&gt;&lt;b&gt;DESCRIPTION&lt;/b&gt;&lt;/h5&gt;&lt;/div&gt;&lt;hr/&gt;&lt;div&gt;&lt;h4&gt;&lt;p&gt;&lt;i&gt;Heat metal&lt;/i&gt; causes metal objects to become red-hot.&lt;/p&gt;&lt;p&gt;Unattended, nonmagical metal gets no saving throw. Magical metal is allowed a saving throw against the spell. An item in a creature's possession uses the creature's saving throw bonus unless its own is higher.&lt;/p&gt;&lt;p&gt;A creature takes fire damage if its equipment is heated. It takes full damage if its armor, shield, or weapon is affected. The creature takes minimum damage (1 point or 2 points; see the table) if it's not wearing or wielding such an item.&lt;/p&gt;&lt;p&gt;On the first round of the spell, the metal becomes warm and uncomfortable to touch but deals no damage. The same effect also occurs on the last round of the spell's duration. During the second (and also the next-to-last) round, intense heat causes pain and damage. In the third, fourth, and fifth rounds, the metal is searing hot, and causes more damage, as shown on the table presented on the following page.&lt;/p&gt; &lt;table border ='1'&gt;&lt;tr&gt;&lt;th&gt;Round&lt;/th&gt;&lt;th&gt;Metal Temperature&lt;/th&gt;&lt;th&gt;Damage&lt;/th&gt;&lt;/tr&gt;&lt;tr&gt;&lt;td&gt;1&lt;/td&gt;&lt;td&gt;Warm&lt;/td&gt;&lt;td&gt;None&lt;/td&gt;&lt;/tr&gt;&lt;tr&gt;&lt;td&gt;2&lt;/td&gt;&lt;td&gt;Hot&lt;/td&gt;&lt;td&gt;1d4 points&lt;/td&gt;&lt;/tr&gt;&lt;tr&gt;&lt;td&gt;3-5&lt;/td&gt;&lt;td&gt;Searing&lt;/td&gt;&lt;td&gt;2d4 points&lt;/td&gt;&lt;/tr&gt;&lt;tr&gt;&lt;td&gt;6&lt;/td&gt;&lt;td&gt;Hot&lt;/td&gt;&lt;td&gt;1d4 points&lt;/td&gt;&lt;/tr&gt;&lt;tr&gt;&lt;td&gt;7&lt;/td&gt;&lt;td&gt;Warm&lt;/td&gt;&lt;td&gt;None&lt;/td&gt;&lt;/tr&gt;&lt;/table&gt; Any cold intense enough to damage the creature negates fire damage from the spell (and vice versa) on a point-for-point basis.&lt;/p&gt;&lt;p&gt;If cast underwater, &lt;i&gt;heat metal&lt;/i&gt; deals half damage and boils the surrounding water.&lt;/p&gt;&lt;p&gt;&lt;i&gt;Heat metal&lt;/i&gt; counters and dispels &lt;i&gt;chill metal&lt;/i&gt;.&lt;/p&gt;&lt;/h4&gt;&lt;h5&gt;&lt;b&gt;Mythic: &lt;/b&gt;The damage dealt increases to 1d8 points of fire damage on rounds 2 and 6 and to 2d8 points of fire damage per round on rounds 3 through 5. On any round in which a creature takes fire damage from this spell, that creature must succeed at a Reflex save or catch on fire (Core Rulebook 444).&lt;/h5&gt;&lt;/div&gt;</t>
  </si>
  <si>
    <t>Metal, Sun</t>
  </si>
  <si>
    <t> Makes metal so hot it damages those who touch it.</t>
  </si>
  <si>
    <t>The damage dealt increases to 1d8 points of fire damage on rounds 2 and 6 and to 2d8 points of fire damage per round on rounds 3 through 5. On any round in which a creature takes fire damage from this spell, that creature must succeed at a Reflex save or catch on fire (Core Rulebook 444).</t>
  </si>
  <si>
    <t>Helping Hand</t>
  </si>
  <si>
    <t>5 miles</t>
  </si>
  <si>
    <t>ghostly hand</t>
  </si>
  <si>
    <t>You create the ghostly image of a hand, which you can send to find a creature within 5 miles. The hand then beckons to that creature and leads it to you if the creature is willing to follow. When the spell is cast, you specify a person (or any creature) by physical description, which can include race, gender, and appearance but not ambiguous factors such as level, alignment, or class. When the description is done, the hand streaks off in search of a subject that fits the description. The amount of time it takes to find the subject depends on how far away he is, as detailed on the following table. Distance Time to Locate 100 ft. or less 1 round 1,000 ft. 1 minute 1 mile 10 minutes 2 miles 1 hour 3 miles 2 hours 4 miles 3 hours 5 miles 4 hours Once the hand locates the subject, it beckons the creature to follow it. If the subject does so, the hand points in your direction, indicating the most direct, feasible route. The hand hovers 10 feet in front of the subject, moving before it at a speed of as much as 240 feet per round. Once the hand leads the subject back to you, it disappears. The subject is not compelled to follow the hand or act in any particular way toward you. If the subject chooses not to follow, the hand continues to beckon for the duration of the spell, then disappears. If the spell expires while the subject is en route to you, the hand disappears; the subject must then rely on its own devices to locate you. If more than one subject in a 5-mile radius meets the description, the hand locates the closest creature. If that creature refuses to follow the hand, the hand does not seek out a second subject. If, at the end of 4 hours of searching, the hand has found no subject that matches the description within 5 miles, it returns to you, displays an outstretched palm (indicating that no such creature was found), and disappears. The ghostly hand has no physical form. It is invisible to anyone except you and a potential subject. It cannot engage in combat or execute any other task aside from locating a subject and leading it back to you. The hand can't pass through solid objects but can ooze through small cracks and slits. The hand cannot travel more than 5 miles from the spot it appeared when you cast the spell.</t>
  </si>
  <si>
    <t>&lt;p&gt;You create the ghostly image of a hand, which you can send to find a creature within 5 miles. The hand then beckons to that creature and leads it to you if the creature is willing to follow.&lt;/p&gt;&lt;p&gt;When the spell is cast, you specify a person (or any creature) by physical description, which can include race, gender, and appearance but not ambiguous factors such as level, alignment, or class. When the description is done, the hand streaks off in search of a subject that fits the description. The amount of time it takes to find the subject depends on how far away he is, as detailed on the following table.&lt;/p&gt;&lt;p&gt; &lt;table&gt;&lt;tr&gt;&lt;th&gt;Distance&lt;/th&gt;&lt;th&gt;Time to Locate&lt;/th&gt;&lt;/tr&gt;&lt;tr&gt;&lt;td&gt;100 ft. or less&lt;/td&gt;&lt;td&gt;1 round&lt;/td&gt;&lt;/tr&gt;&lt;tr&gt;&lt;td&gt;1,000 ft.&lt;/td&gt;&lt;td&gt;1 minute&lt;/td&gt;&lt;/tr&gt;&lt;tr&gt;&lt;td&gt;1 mile&lt;/td&gt;&lt;td&gt;10 minutes&lt;/td&gt;&lt;/tr&gt;&lt;tr&gt;&lt;td&gt;2 miles&lt;/td&gt;&lt;td&gt;1 hour&lt;/td&gt;&lt;/tr&gt;&lt;tr&gt;&lt;td&gt;3 miles&lt;/td&gt;&lt;td&gt;2 hours&lt;/td&gt;&lt;/tr&gt;&lt;tr&gt;&lt;td&gt;4 miles&lt;/td&gt;&lt;td&gt;3 hours&lt;/td&gt;&lt;/tr&gt;&lt;tr&gt;&lt;td&gt;5 miles&lt;/td&gt;&lt;td&gt;4 hours&lt;/td&gt;&lt;/tr&gt;&lt;/table&gt; Once the hand locates the subject, it beckons the creature to follow it. If the subject does so, the hand points in your direction, indicating the most direct, feasible route. The hand hovers 10 feet in front of the subject, moving before it at a speed of as much as 240 feet per round. Once the hand leads the subject back to you, it disappears.&lt;/p&gt;&lt;p&gt;The subject is not compelled to follow the hand or act in any particular way toward you. If the subject chooses not to follow, the hand continues to beckon for the duration of the spell, then disappears. If the spell expires while the subject is en route to you, the hand disappears; the subject must then rely on its own devices to locate you.&lt;/p&gt;&lt;p&gt;If more than one subject in a 5-mile radius meets the description, the hand locates the closest creature. If that creature refuses to follow the hand, the hand does not seek out a second subject.&lt;/p&gt;&lt;p&gt;If, at the end of 4 hours of searching, the hand has found no subject that matches the description within 5 miles, it returns to you, displays an outstretched palm (indicating that no such creature was found), and disappears.&lt;/p&gt;&lt;p&gt;The ghostly hand has no physical form. It is invisible to anyone except you and a potential subject. It cannot engage in combat or execute any other task aside from locating a subject and leading it back to you. The hand can't pass through solid objects but can ooze through small cracks and slits. The hand cannot travel more than 5 miles from the spot it appeared when you cast the spell.&lt;/p&gt;</t>
  </si>
  <si>
    <t>&lt;link rel="stylesheet"href="PF.css"&gt;&lt;div class="heading"&gt;&lt;p class="alignleft"&gt;Helping Hand&lt;/p&gt;&lt;div style="clear: both;"&gt;&lt;/div&gt;&lt;/div&gt;&lt;div&gt;&lt;h5&gt;&lt;b&gt;School &lt;/b&gt;evocation; &lt;b&gt;Level &lt;/b&gt;cleric 3/oracle 3&lt;/h5&gt;&lt;/div&gt;&lt;hr/&gt;&lt;div&gt;&lt;h5&gt;&lt;b&gt;CASTING&lt;/b&gt;&lt;/h5&gt;&lt;/div&gt;&lt;hr/&gt;&lt;div&gt;&lt;h5&gt;&lt;b&gt;Casting Time &lt;/b&gt;1 standard action&lt;/h5&gt;&lt;h5&gt;&lt;b&gt;Components &lt;/b&gt;V, S, DF&lt;/h5&gt;&lt;/div&gt;&lt;hr/&gt;&lt;div&gt;&lt;h5&gt;&lt;b&gt;EFFECT&lt;/b&gt;&lt;/h5&gt;&lt;/div&gt;&lt;hr/&gt;&lt;div&gt;&lt;h5&gt;&lt;b&gt;Range &lt;/b&gt;5 miles&lt;/h5&gt;&lt;h5&gt;&lt;b&gt;Effect &lt;/b&gt;ghostly hand&lt;/h5&gt;&lt;h5&gt;&lt;b&gt;Duration &lt;/b&gt;1 hour/level&lt;/h5&gt;&lt;h5&gt;&lt;b&gt;Saving Throw &lt;/b&gt;none; &lt;b&gt;Spell Resistance &lt;/b&gt;no&lt;/h5&gt;&lt;/div&gt;&lt;hr/&gt;&lt;div&gt;&lt;h5&gt;&lt;b&gt;DESCRIPTION&lt;/b&gt;&lt;/h5&gt;&lt;/div&gt;&lt;hr/&gt;&lt;div&gt;&lt;h4&gt;&lt;p&gt;You create the ghostly image of a hand, which you can send to find a creature within 5 miles. The hand then beckons to that creature and leads it to you if the creature is willing to follow.&lt;/p&gt;&lt;p&gt;When the spell is cast, you specify a person (or any creature) by physical description, which can include race, gender, and appearance but not ambiguous factors such as level, alignment, or class. When the description is done, the hand streaks off in search of a subject that fits the description. The amount of time it takes to find the subject depends on how far away he is, as detailed on the following table.&lt;/p&gt;&lt;p&gt; &lt;table&gt;&lt;tr&gt;&lt;th&gt;Distance&lt;/th&gt;&lt;th&gt;Time to Locate&lt;/th&gt;&lt;/tr&gt;&lt;tr&gt;&lt;td&gt;100 ft. or less&lt;/td&gt;&lt;td&gt;1 round&lt;/td&gt;&lt;/tr&gt;&lt;tr&gt;&lt;td&gt;1,000 ft.&lt;/td&gt;&lt;td&gt;1 minute&lt;/td&gt;&lt;/tr&gt;&lt;tr&gt;&lt;td&gt;1 mile&lt;/td&gt;&lt;td&gt;10 minutes&lt;/td&gt;&lt;/tr&gt;&lt;tr&gt;&lt;td&gt;2 miles&lt;/td&gt;&lt;td&gt;1 hour&lt;/td&gt;&lt;/tr&gt;&lt;tr&gt;&lt;td&gt;3 miles&lt;/td&gt;&lt;td&gt;2 hours&lt;/td&gt;&lt;/tr&gt;&lt;tr&gt;&lt;td&gt;4 miles&lt;/td&gt;&lt;td&gt;3 hours&lt;/td&gt;&lt;/tr&gt;&lt;tr&gt;&lt;td&gt;5 miles&lt;/td&gt;&lt;td&gt;4 hours&lt;/td&gt;&lt;/tr&gt;&lt;/table&gt; Once the hand locates the subject, it beckons the creature to follow it. If the subject does so, the hand points in your direction, indicating the most direct, feasible route. The hand hovers 10 feet in front of the subject, moving before it at a speed of as much as 240 feet per round. Once the hand leads the subject back to you, it disappears.&lt;/p&gt;&lt;p&gt;The subject is not compelled to follow the hand or act in any particular way toward you. If the subject chooses not to follow, the hand continues to beckon for the duration of the spell, then disappears. If the spell expires while the subject is en route to you, the hand disappears; the subject must then rely on its own devices to locate you.&lt;/p&gt;&lt;p&gt;If more than one subject in a 5-mile radius meets the description, the hand locates the closest creature. If that creature refuses to follow the hand, the hand does not seek out a second subject.&lt;/p&gt;&lt;p&gt;If, at the end of 4 hours of searching, the hand has found no subject that matches the description within 5 miles, it returns to you, displays an outstretched palm (indicating that no such creature was found), and disappears.&lt;/p&gt;&lt;p&gt;The ghostly hand has no physical form. It is invisible to anyone except you and a potential subject. It cannot engage in combat or execute any other task aside from locating a subject and leading it back to you. The hand can't pass through solid objects but can ooze through small cracks and slits. The hand cannot travel more than 5 miles from the spot it appeared when you cast the spell.&lt;/p&gt;&lt;/h4&gt;&lt;/div&gt;</t>
  </si>
  <si>
    <t> Ghostly hand leads subject to you.</t>
  </si>
  <si>
    <t>Heroes' Feast</t>
  </si>
  <si>
    <t>bard 6, cleric/oracle 6, inquisitor 6</t>
  </si>
  <si>
    <t>feast for one creature/level</t>
  </si>
  <si>
    <t>1 hour plus 12 hours; see text</t>
  </si>
  <si>
    <t>You bring forth a great feast, including a magnificent table, chairs, service, and food and drink. The feast takes 1 hour to consume, and the beneficial effects do not set in until this hour is over. Every creature partaking of the feast is cured of all sickness and nausea, receives the benefits of both neutralize poison and remove disease, and gains 1d8 temporary hit points + 1 point per two caster levels (maximum +10) after imbibing the nectar-like beverage that is part of the feast. The ambrosial food grants each creature that partakes a +1 morale bonus on attack rolls and Will saves and a +4 morale bonus on saving throws against poison and fear effects for 12 hours. If the feast is interrupted for any reason, the spell is ruined and all effects of the spell are negated.</t>
  </si>
  <si>
    <t>&lt;p&gt;You bring forth a great feast, including a magnificent table, chairs, service, and food and drink. The feast takes 1 hour to consume, and the beneficial effects do not set in until this hour is over. Every creature partaking of the feast is cured of all sickness and nausea, receives the benefits of both neutralize poison and remove disease, and gains 1d8 temporary hit points + 1 point per two caster levels (maximum +10) after imbibing the nectar-like beverage that is part of the feast. The ambrosial food grants each creature that partakes a +1 morale bonus on attack rolls and Will saves and a +4 morale bonus on saving throws against poison and fear effects for 12 hours.&lt;/p&gt;&lt;p&gt; If the feast is interrupted for any reason, the spell is ruined and all effects of the spell are negated.&lt;/p&gt;</t>
  </si>
  <si>
    <t>&lt;link rel="stylesheet"href="PF.css"&gt;&lt;div class="heading"&gt;&lt;p class="alignleft"&gt;Heroes' Feast&lt;/p&gt;&lt;div style="clear: both;"&gt;&lt;/div&gt;&lt;/div&gt;&lt;div&gt;&lt;h5&gt;&lt;b&gt;School &lt;/b&gt;conjuration (creation); &lt;b&gt;Level &lt;/b&gt;bard 6, cleric/oracle 6, inquisitor 6&lt;/h5&gt;&lt;/div&gt;&lt;hr/&gt;&lt;div&gt;&lt;h5&gt;&lt;b&gt;CASTING&lt;/b&gt;&lt;/h5&gt;&lt;/div&gt;&lt;hr/&gt;&lt;div&gt;&lt;h5&gt;&lt;b&gt;Casting Time &lt;/b&gt;10 minutes&lt;/h5&gt;&lt;h5&gt;&lt;b&gt;Components &lt;/b&gt;V, S, DF&lt;/h5&gt;&lt;/div&gt;&lt;hr/&gt;&lt;div&gt;&lt;h5&gt;&lt;b&gt;EFFECT&lt;/b&gt;&lt;/h5&gt;&lt;/div&gt;&lt;hr/&gt;&lt;div&gt;&lt;h5&gt;&lt;b&gt;Range &lt;/b&gt;close (25 ft. + 5 ft./2 levels)&lt;/h5&gt;&lt;h5&gt;&lt;b&gt;Effect &lt;/b&gt;feast for one creature/level&lt;/h5&gt;&lt;h5&gt;&lt;b&gt;Duration &lt;/b&gt;1 hour plus 12 hours; see text&lt;/h5&gt;&lt;h5&gt;&lt;b&gt;Saving Throw &lt;/b&gt;none; &lt;b&gt;Spell Resistance &lt;/b&gt;no&lt;/h5&gt;&lt;/div&gt;&lt;hr/&gt;&lt;div&gt;&lt;h5&gt;&lt;b&gt;DESCRIPTION&lt;/b&gt;&lt;/h5&gt;&lt;/div&gt;&lt;hr/&gt;&lt;div&gt;&lt;h4&gt;&lt;p&gt;You bring forth a great feast, including a magnificent table, chairs, service, and food and drink. The feast takes 1 hour to consume, and the beneficial effects do not set in until this hour is over. Every creature partaking of the feast is cured of all sickness and nausea, receives the benefits of both neutralize poison and remove disease, and gains 1d8 temporary hit points + 1 point per two caster levels (maximum +10) after imbibing the nectar-like beverage that is part of the feast. The ambrosial food grants each creature that partakes a +1 morale bonus on attack rolls and Will saves and a +4 morale bonus on saving throws against poison and fear effects for 12 hours.&lt;/p&gt;&lt;p&gt; If the feast is interrupted for any reason, the spell is ruined and all effects of the spell are negated.&lt;/p&gt;&lt;/h4&gt;&lt;/div&gt;</t>
  </si>
  <si>
    <t>Community, Resolve</t>
  </si>
  <si>
    <t>Food for one creature/level cures and grants combat bonuses.</t>
  </si>
  <si>
    <t>Heroism</t>
  </si>
  <si>
    <t>bard 2, sorcerer/wizard 3, alchemist 3, summoner 3, witch 3, inquisitor 3</t>
  </si>
  <si>
    <t>This spell imbues a single creature with great bravery and morale in battle. The target gains a +2 morale bonus on attack rolls, saves, and skill checks.</t>
  </si>
  <si>
    <t>&lt;p&gt;This spell imbues a single creature with great bravery and morale in battle. The target gains a +2 morale bonus on attack rolls, saves, and skill checks.&lt;/p&gt;</t>
  </si>
  <si>
    <t>&lt;link rel="stylesheet"href="PF.css"&gt;&lt;div class="heading"&gt;&lt;p class="alignleft"&gt;Heroism&lt;/p&gt;&lt;div style="clear: both;"&gt;&lt;/div&gt;&lt;/div&gt;&lt;div&gt;&lt;h5&gt;&lt;b&gt;School &lt;/b&gt;enchantment (compulsion) [mind-affecting]; &lt;b&gt;Level &lt;/b&gt;bard 2, sorcerer/wizard 3, alchemist 3, summoner 3, witch 3, inquisitor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&lt;/b&gt;10 min./level&lt;/h5&gt;&lt;h5&gt;&lt;b&gt;Saving Throw &lt;/b&gt;Will negates (harmless); &lt;b&gt;Spell Resistance &lt;/b&gt;yes (harmless)&lt;/h5&gt;&lt;/div&gt;&lt;hr/&gt;&lt;div&gt;&lt;h5&gt;&lt;b&gt;DESCRIPTION&lt;/b&gt;&lt;/h5&gt;&lt;/div&gt;&lt;hr/&gt;&lt;div&gt;&lt;h4&gt;&lt;p&gt;This spell imbues a single creature with great bravery and morale in battle. The target gains a +2 morale bonus on attack rolls, saves, and skill checks.&lt;/p&gt;&lt;/h4&gt;&lt;h5&gt;&lt;b&gt;Mythic: &lt;/b&gt;The morale bonus increases to +4 and applies on all checks, attack rolls, saves, and weapon damage rolls. Allies adjacent to the target gain a +4 morale bonus on saves against fear effects.&lt;/h5&gt;&lt;h5&gt;&lt;b&gt;Augmented (3rd)&lt;/b&gt;: If you expend two uses of mythic power, the target can attempt one additional attack per round when taking a full attack action (as if using a haste spell). The target can use this additional attack ability a number of times equal to your tier.&lt;/h5&gt;&lt;/div&gt;</t>
  </si>
  <si>
    <t>Charm, Heroism</t>
  </si>
  <si>
    <t>Gives +2 on attack rolls, saves, skill checks.</t>
  </si>
  <si>
    <t>Imperious, Martyred</t>
  </si>
  <si>
    <t>The morale bonus increases to +4 and applies on all checks, attack rolls, saves, and weapon damage rolls. Allies adjacent to the target gain a +4 morale bonus on saves against fear effects.</t>
  </si>
  <si>
    <t>Augmented (3rd): If you expend two uses of mythic power, the target can attempt one additional attack per round when taking a full attack action (as if using a haste spell). The target can use this additional attack ability a number of times equal to your tier.</t>
  </si>
  <si>
    <t>Heroism, Greater</t>
  </si>
  <si>
    <t>bard 5, sorcerer/wizard 6, summoner 5, witch 6</t>
  </si>
  <si>
    <t>This spell functions like heroism, except the creature gains a +4 morale bonus on attack rolls, saves, and skill checks, immunity to fear effects, and temporary hit points equal to your caster level (maximum 20).</t>
  </si>
  <si>
    <t>&lt;p&gt;This spell functions like &lt;i&gt;heroism,&lt;/i&gt; except the creature gains a +4 morale bonus on attack rolls, saves, and skill checks, immunity to fear effects, and temporary hit points equal to your caster level (maximum 20).&lt;/p&gt;</t>
  </si>
  <si>
    <t>&lt;link rel="stylesheet"href="PF.css"&gt;&lt;div class="heading"&gt;&lt;p class="alignleft"&gt;Heroism, Greater&lt;/p&gt;&lt;div style="clear: both;"&gt;&lt;/div&gt;&lt;/div&gt;&lt;div&gt;&lt;h5&gt;&lt;b&gt;School &lt;/b&gt;enchantment (compulsion) [mind-affecting]; &lt;b&gt;Level &lt;/b&gt;bard 5, sorcerer/wizard 6, summoner 5, witch 6&lt;/h5&gt;&lt;/div&gt;&lt;hr/&gt;&lt;div&gt;&lt;h5&gt;&lt;b&gt;CASTING&lt;/b&gt;&lt;/h5&gt;&lt;/div&gt;&lt;hr/&gt;&lt;div&gt;&lt;h5&gt;&lt;b&gt;Casting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min./level&lt;/h5&gt;&lt;h5&gt;&lt;b&gt;Saving Throw &lt;/b&gt;Will negates (harmless); &lt;b&gt;Spell Resistance &lt;/b&gt;yes (harmless)&lt;/h5&gt;&lt;/div&gt;&lt;hr/&gt;&lt;div&gt;&lt;h5&gt;&lt;b&gt;DESCRIPTION&lt;/b&gt;&lt;/h5&gt;&lt;/div&gt;&lt;hr/&gt;&lt;div&gt;&lt;h4&gt;&lt;p&gt;This spell functions like &lt;i&gt;heroism,&lt;/i&gt; except the creature gains a +4 morale bonus on attack rolls, saves, and skill checks, immunity to fear effects, and temporary hit points equal to your caster level (maximum 20).&lt;/p&gt;&lt;/h4&gt;&lt;/div&gt;</t>
  </si>
  <si>
    <t>Gives +4 bonus on attack rolls, saves, skill checks; immunity to fear; temporary hp.</t>
  </si>
  <si>
    <t>Hide from Animals</t>
  </si>
  <si>
    <t>S, DF</t>
  </si>
  <si>
    <t>one creature touched/level</t>
  </si>
  <si>
    <t>Animals cannot sense the warded creatures. Even extraordinary or supernatural sensory capabilities, such as blindsense, blindsight, scent, and tremorsense, cannot detect or locate warded creatures. Animals simply act as though the warded creatures are not there. If a warded character touches an animal or attacks any creature, even with a spell, the spell ends for all recipients.</t>
  </si>
  <si>
    <t>&lt;p&gt;Animals cannot sense the warded creatures. Even extraordinary or supernatural sensory capabilities, such as blindsense, blindsight, scent, and tremorsense, cannot detect or locate warded creatures.&lt;/p&gt;&lt;p&gt;Animals simply act as though the warded creatures are not there.&lt;/p&gt;&lt;p&gt;If a warded character touches an animal or attacks any creature, even with a spell, the spell ends for all recipients.&lt;/p&gt;</t>
  </si>
  <si>
    <t>&lt;link rel="stylesheet"href="PF.css"&gt;&lt;div class="heading"&gt;&lt;p class="alignleft"&gt;Hide from Animals&lt;/p&gt;&lt;div style="clear: both;"&gt;&lt;/div&gt;&lt;/div&gt;&lt;div&gt;&lt;h5&gt;&lt;b&gt;School &lt;/b&gt;abjuration; &lt;b&gt;Level &lt;/b&gt;druid 1, ranger 1&lt;/h5&gt;&lt;/div&gt;&lt;hr/&gt;&lt;div&gt;&lt;h5&gt;&lt;b&gt;CASTING&lt;/b&gt;&lt;/h5&gt;&lt;/div&gt;&lt;hr/&gt;&lt;div&gt;&lt;h5&gt;&lt;b&gt;Casting Time &lt;/b&gt;1 standard action&lt;/h5&gt;&lt;h5&gt;&lt;b&gt;Components &lt;/b&gt;S, DF&lt;/h5&gt;&lt;/div&gt;&lt;hr/&gt;&lt;div&gt;&lt;h5&gt;&lt;b&gt;EFFECT&lt;/b&gt;&lt;/h5&gt;&lt;/div&gt;&lt;hr/&gt;&lt;div&gt;&lt;h5&gt;&lt;b&gt;Range &lt;/b&gt;touch&lt;/h5&gt;&lt;h5&gt;&lt;b&gt;Targets &lt;/b&gt;one creature touched/level&lt;/h5&gt;&lt;h5&gt;&lt;b&gt;Duration &lt;/b&gt;10 min./level (D)&lt;/h5&gt;&lt;h5&gt;&lt;b&gt;Saving Throw &lt;/b&gt;Will negates (harmless); &lt;b&gt;Spell Resistance &lt;/b&gt;yes&lt;/h5&gt;&lt;/div&gt;&lt;hr/&gt;&lt;div&gt;&lt;h5&gt;&lt;b&gt;DESCRIPTION&lt;/b&gt;&lt;/h5&gt;&lt;/div&gt;&lt;hr/&gt;&lt;div&gt;&lt;h4&gt;&lt;p&gt;Animals cannot sense the warded creatures. Even extraordinary or supernatural sensory capabilities, such as blindsense, blindsight, scent, and tremorsense, cannot detect or locate warded creatures.&lt;/p&gt;&lt;p&gt;Animals simply act as though the warded creatures are not there.&lt;/p&gt;&lt;p&gt;If a warded character touches an animal or attacks any creature, even with a spell, the spell ends for all recipients.&lt;/p&gt;&lt;/h4&gt;&lt;/div&gt;</t>
  </si>
  <si>
    <t>Animals can’t perceive one subject/level.</t>
  </si>
  <si>
    <t>Hide from Undead</t>
  </si>
  <si>
    <t>one touched creature/level</t>
  </si>
  <si>
    <t>Will negates (harmless); see text</t>
  </si>
  <si>
    <t>Undead cannot see, hear, or smell creatures warded by this spell. Even extraordinary or supernatural sensory capabilities, such as blindsense, blindsight, scent, and tremorsense, cannot detect or locate warded creatures. Nonintelligent undead creatures (such as skeletons or zombies) are automatically affected and act as though the warded creatures are not there. An intelligent undead creature gets a single Will saving throw. If it fails, the subject can't see any of the warded creatures. If it has reason to believe unseen opponents are present, however, it can attempt to find or strike them. If a warded creature attempts to channel positive energy, turn or command undead, touches an undead creature, or attacks any creature (even with a spell), the spell ends for all recipients.</t>
  </si>
  <si>
    <t>&lt;p&gt;Undead cannot see, hear, or smell creatures warded by this spell.&lt;/p&gt;&lt;p&gt;Even extraordinary or supernatural sensory capabilities, such as blindsense, blindsight, scent, and tremorsense, cannot detect or locate warded creatures. Nonintelligent undead creatures (such as skeletons or zombies) are automatically affected and act as though the warded creatures are not there. An intelligent undead creature gets a single Will saving throw. If it fails, the subject can't see any of the warded creatures. If it has reason to believe unseen opponents are present, however, it can attempt to find or strike them. If a warded creature attempts to channel positive energy, turn or command undead, touches an undead creature, or attacks any creature (even with a spell), the spell ends for all recipients.&lt;/p&gt;</t>
  </si>
  <si>
    <t>&lt;link rel="stylesheet"href="PF.css"&gt;&lt;div class="heading"&gt;&lt;p class="alignleft"&gt;Hide from Undead&lt;/p&gt;&lt;div style="clear: both;"&gt;&lt;/div&gt;&lt;/div&gt;&lt;div&gt;&lt;h5&gt;&lt;b&gt;School &lt;/b&gt;abjuration; &lt;b&gt;Level &lt;/b&gt;cleric 1/oracle 1, inquisitor 1&lt;/h5&gt;&lt;/div&gt;&lt;hr/&gt;&lt;div&gt;&lt;h5&gt;&lt;b&gt;CASTING&lt;/b&gt;&lt;/h5&gt;&lt;/div&gt;&lt;hr/&gt;&lt;div&gt;&lt;h5&gt;&lt;b&gt;Casting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&lt;/b&gt;one touched creature/level&lt;/h5&gt;&lt;h5&gt;&lt;b&gt;Duration &lt;/b&gt;10 min./level (D)&lt;/h5&gt;&lt;h5&gt;&lt;b&gt;Saving Throw &lt;/b&gt;Will negates (harmless); see text; &lt;b&gt;Spell Resistance &lt;/b&gt;yes&lt;/h5&gt;&lt;/div&gt;&lt;hr/&gt;&lt;div&gt;&lt;h5&gt;&lt;b&gt;DESCRIPTION&lt;/b&gt;&lt;/h5&gt;&lt;/div&gt;&lt;hr/&gt;&lt;div&gt;&lt;h4&gt;&lt;p&gt;Undead cannot see, hear, or smell creatures warded by this spell.&lt;/p&gt;&lt;p&gt;Even extraordinary or supernatural sensory capabilities, such as blindsense, blindsight, scent, and tremorsense, cannot detect or locate warded creatures. Nonintelligent undead creatures (such as skeletons or zombies) are automatically affected and act as though the warded creatures are not there. An intelligent undead creature gets a single Will saving throw. If it fails, the subject can't see any of the warded creatures. If it has reason to believe unseen opponents are present, however, it can attempt to find or strike them. If a warded creature attempts to channel positive energy, turn or command undead, touches an undead creature, or attacks any creature (even with a spell), the spell ends for all recipients.&lt;/p&gt;&lt;/h4&gt;&lt;/div&gt;</t>
  </si>
  <si>
    <t> Undead can't perceive one subject/level.</t>
  </si>
  <si>
    <t>Hideous Laughter</t>
  </si>
  <si>
    <t>bard 1, sorcerer/wizard 2</t>
  </si>
  <si>
    <t>V, S, M (tiny fruit tarts and a feather)</t>
  </si>
  <si>
    <t>one creature; see text</t>
  </si>
  <si>
    <t>This spell afflicts the subject with uncontrollable laughter. It collapses into gales of manic laughter, falling prone. The subject can take no actions while laughing, but is not considered helpless. After the spell ends, it can act normally. On the creature's next turn, it may attempt a new saving throw to end the effect. This is a full round action that does not provoke attacks of opportunity. If this save is successful, the effect ends. If not, the creature continues laughing for the entire duration. A creature with an Intelligence score of 2 or lower is not affected. A creature whose type is different from the caster's receives a +4 bonus on its saving throw, because humor doesn't "translate" well.</t>
  </si>
  <si>
    <t>&lt;p&gt;This spell afflicts the subject with uncontrollable laughter. It collapses into gales of manic laughter, falling prone. The subject can take no actions while laughing, but is not considered helpless.&lt;/p&gt;&lt;p&gt;After the spell ends, it can act normally. On the creature's next turn, it may attempt a new saving throw to end the effect. This is a full round action that does not provoke attacks of opportunity.&lt;/p&gt;&lt;p&gt;If this save is successful, the effect ends. If not, the creature continues laughing for the entire duration.&lt;/p&gt;&lt;p&gt;A creature with an Intelligence score of 2 or lower is not affected.&lt;/p&gt;&lt;p&gt;A creature whose type is different from the caster's receives a +4 bonus on its saving throw, because humor doesn't "translate" well.&lt;/p&gt;</t>
  </si>
  <si>
    <t>&lt;link rel="stylesheet"href="PF.css"&gt;&lt;div class="heading"&gt;&lt;p class="alignleft"&gt;Hideous Laughter&lt;/p&gt;&lt;div style="clear: both;"&gt;&lt;/div&gt;&lt;/div&gt;&lt;div&gt;&lt;h5&gt;&lt;b&gt;School &lt;/b&gt;enchantment (compulsion) [mind-affecting]; &lt;b&gt;Level &lt;/b&gt;bard 1, sorcerer/wizard 2&lt;/h5&gt;&lt;/div&gt;&lt;hr/&gt;&lt;div&gt;&lt;h5&gt;&lt;b&gt;CASTING&lt;/b&gt;&lt;/h5&gt;&lt;/div&gt;&lt;hr/&gt;&lt;div&gt;&lt;h5&gt;&lt;b&gt;Casting Time &lt;/b&gt;1 standard action&lt;/h5&gt;&lt;h5&gt;&lt;b&gt;Components &lt;/b&gt;V, S, M (tiny fruit tarts and a feather)&lt;/h5&gt;&lt;/div&gt;&lt;hr/&gt;&lt;div&gt;&lt;h5&gt;&lt;b&gt;EFFECT&lt;/b&gt;&lt;/h5&gt;&lt;/div&gt;&lt;hr/&gt;&lt;div&gt;&lt;h5&gt;&lt;b&gt;Range &lt;/b&gt;close (25 ft. + 5 ft./2 levels)&lt;/h5&gt;&lt;h5&gt;&lt;b&gt;Targets &lt;/b&gt;one creature; see text&lt;/h5&gt;&lt;h5&gt;&lt;b&gt;Duration &lt;/b&gt;1 round/level&lt;/h5&gt;&lt;h5&gt;&lt;b&gt;Saving Throw &lt;/b&gt;Will negates; &lt;b&gt;Spell Resistance &lt;/b&gt;yes&lt;/h5&gt;&lt;/div&gt;&lt;hr/&gt;&lt;div&gt;&lt;h5&gt;&lt;b&gt;DESCRIPTION&lt;/b&gt;&lt;/h5&gt;&lt;/div&gt;&lt;hr/&gt;&lt;div&gt;&lt;h4&gt;&lt;p&gt;This spell afflicts the subject with uncontrollable laughter. It collapses into gales of manic laughter, falling prone. The subject can take no actions while laughing, but is not considered helpless.&lt;/p&gt;&lt;p&gt;After the spell ends, it can act normally. On the creature's next turn, it may attempt a new saving throw to end the effect. This is a full round action that does not provoke attacks of opportunity.&lt;/p&gt;&lt;p&gt;If this save is successful, the effect ends. If not, the creature continues laughing for the entire duration.&lt;/p&gt;&lt;p&gt;A creature with an Intelligence score of 2 or lower is not affected.&lt;/p&gt;&lt;p&gt;A creature whose type is different from the caster's receives a +4 bonus on its saving throw, because humor doesn't "translate" well.&lt;/p&gt;&lt;/h4&gt;&lt;/div&gt;</t>
  </si>
  <si>
    <t>Subject loses actions for 1 round/ level.</t>
  </si>
  <si>
    <t>Fey, Maestro</t>
  </si>
  <si>
    <t>Insanity</t>
  </si>
  <si>
    <t>Hold Person</t>
  </si>
  <si>
    <t>bard 2, cleric 2/oracle 2, sorcerer/wizard 3, witch 2, inquisitor 2, antipaladin 2</t>
  </si>
  <si>
    <t>V, S, F/DF (a small, straight piece of iron)</t>
  </si>
  <si>
    <t>1 round/level ; see text</t>
  </si>
  <si>
    <t>The subject becomes paralyzed and freezes in place. It is aware and breathes normally but cannot take any actions, even speech. Each round on its turn, the subject may attempt a new saving throw to end the effect. This is a full-round action that does not provoke attacks of opportunity. A winged creature who is paralyzed cannot flap its wings and falls. A swimmer can't swim and may drown.</t>
  </si>
  <si>
    <t>&lt;p&gt;The subject becomes paralyzed and freezes in place. It is aware and breathes normally but cannot take any actions, even speech. Each round on its turn, the subject may attempt a new saving throw to end the effect. This is a full-round action that does not provoke attacks of opportunity. A winged creature who is paralyzed cannot flap its wings and falls. A swimmer can't swim and may drown.&lt;/p&gt;</t>
  </si>
  <si>
    <t>&lt;link rel="stylesheet"href="PF.css"&gt;&lt;div class="heading"&gt;&lt;p class="alignleft"&gt;Hold Person&lt;/p&gt;&lt;div style="clear: both;"&gt;&lt;/div&gt;&lt;/div&gt;&lt;div&gt;&lt;h5&gt;&lt;b&gt;School &lt;/b&gt;enchantment (compulsion) [mind-affecting]; &lt;b&gt;Level &lt;/b&gt;bard 2, cleric 2/oracle 2, sorcerer/wizard 3, witch 2, inquisitor 2, antipaladin 2&lt;/h5&gt;&lt;/div&gt;&lt;hr/&gt;&lt;div&gt;&lt;h5&gt;&lt;b&gt;CASTING&lt;/b&gt;&lt;/h5&gt;&lt;/div&gt;&lt;hr/&gt;&lt;div&gt;&lt;h5&gt;&lt;b&gt;Casting Time &lt;/b&gt;1 standard action&lt;/h5&gt;&lt;h5&gt;&lt;b&gt;Components &lt;/b&gt;V, S, F/DF (a small, straight piece of iron)&lt;/h5&gt;&lt;/div&gt;&lt;hr/&gt;&lt;div&gt;&lt;h5&gt;&lt;b&gt;EFFECT&lt;/b&gt;&lt;/h5&gt;&lt;/div&gt;&lt;hr/&gt;&lt;div&gt;&lt;h5&gt;&lt;b&gt;Range &lt;/b&gt;medium (100 ft. + 10 ft./level)&lt;/h5&gt;&lt;h5&gt;&lt;b&gt;Targets &lt;/b&gt;one humanoid creature&lt;/h5&gt;&lt;h5&gt;&lt;b&gt;Duration &lt;/b&gt;1 round/level ; see text (D)&lt;/h5&gt;&lt;h5&gt;&lt;b&gt;Saving Throw &lt;/b&gt;Will negates; see text; &lt;b&gt;Spell Resistance &lt;/b&gt;yes&lt;/h5&gt;&lt;/div&gt;&lt;hr/&gt;&lt;div&gt;&lt;h5&gt;&lt;b&gt;DESCRIPTION&lt;/b&gt;&lt;/h5&gt;&lt;/div&gt;&lt;hr/&gt;&lt;div&gt;&lt;h4&gt;&lt;p&gt;The subject becomes paralyzed and freezes in place. It is aware and breathes normally but cannot take any actions, even speech. Each round on its turn, the subject may attempt a new saving throw to end the effect. This is a full-round action that does not provoke attacks of opportunity. A winged creature who is paralyzed cannot flap its wings and falls. A swimmer can't swim and may drown.&lt;/p&gt;&lt;/h4&gt;&lt;/div&gt;</t>
  </si>
  <si>
    <t>Paralyzes one humanoid for 1 round/level.</t>
  </si>
  <si>
    <t>Hold Monster</t>
  </si>
  <si>
    <t>bard 4, sorcerer/wizard 5, summoner 4, witch 5, inquisitor 4, summoner 4, witch 5, inquisitor 4</t>
  </si>
  <si>
    <t>V, S, M/DF (one hard metal bar or rod, which can be as small as a three-penny nail)</t>
  </si>
  <si>
    <t>This spell functions like hold person, except that it affects any living creature that fails its Will save.</t>
  </si>
  <si>
    <t>&lt;p&gt;This spell functions like &lt;i&gt;hold person,&lt;/i&gt; except that it affects any living creature that fails its Will save.&lt;/p&gt;</t>
  </si>
  <si>
    <t>&lt;link rel="stylesheet"href="PF.css"&gt;&lt;div class="heading"&gt;&lt;p class="alignleft"&gt;Hold Monster&lt;/p&gt;&lt;div style="clear: both;"&gt;&lt;/div&gt;&lt;/div&gt;&lt;div&gt;&lt;h5&gt;&lt;b&gt;School &lt;/b&gt;enchantment (compulsion) [mind-affecting]; &lt;b&gt;Level &lt;/b&gt;bard 4, sorcerer/wizard 5, summoner 4, witch 5, inquisitor 4, summoner 4, witch 5, inquisitor 4&lt;/h5&gt;&lt;/div&gt;&lt;hr/&gt;&lt;div&gt;&lt;h5&gt;&lt;b&gt;CASTING&lt;/b&gt;&lt;/h5&gt;&lt;/div&gt;&lt;hr/&gt;&lt;div&gt;&lt;h5&gt;&lt;b&gt;Casting Time &lt;/b&gt;1 standard action&lt;/h5&gt;&lt;h5&gt;&lt;b&gt;Components &lt;/b&gt;V, S, M/DF (one hard metal bar or rod, which can be as small as a three-penny nail)&lt;/h5&gt;&lt;/div&gt;&lt;hr/&gt;&lt;div&gt;&lt;h5&gt;&lt;b&gt;EFFECT&lt;/b&gt;&lt;/h5&gt;&lt;/div&gt;&lt;hr/&gt;&lt;div&gt;&lt;h5&gt;&lt;b&gt;Range &lt;/b&gt;medium (100 ft. + 10 ft./level)&lt;/h5&gt;&lt;h5&gt;&lt;b&gt;Targets &lt;/b&gt;one living creature&lt;/h5&gt;&lt;h5&gt;&lt;b&gt;Duration &lt;/b&gt;1 round/level ; see text (D)&lt;/h5&gt;&lt;h5&gt;&lt;b&gt;Saving Throw &lt;/b&gt;Will negates; see text; &lt;b&gt;Spell Resistance &lt;/b&gt;yes&lt;/h5&gt;&lt;/div&gt;&lt;hr/&gt;&lt;div&gt;&lt;h5&gt;&lt;b&gt;DESCRIPTION&lt;/b&gt;&lt;/h5&gt;&lt;/div&gt;&lt;hr/&gt;&lt;div&gt;&lt;h4&gt;&lt;p&gt;This spell functions like &lt;i&gt;hold person,&lt;/i&gt; except that it affects any living creature that fails its Will save.&lt;/p&gt;&lt;/h4&gt;&lt;/div&gt;</t>
  </si>
  <si>
    <t>As hold person, but any creature.</t>
  </si>
  <si>
    <t>Hold Monster, Mass</t>
  </si>
  <si>
    <t>sorcerer/wizard 9, witch 9</t>
  </si>
  <si>
    <t>This spell functions like hold person, except that it affects multiple creatures and holds any living creature that fails its Will save.</t>
  </si>
  <si>
    <t>&lt;p&gt;This spell functions like &lt;i&gt;hold person,&lt;/i&gt; except that it affects multiple creatures and holds any living creature that fails its Will save.&lt;/p&gt;</t>
  </si>
  <si>
    <t>&lt;link rel="stylesheet"href="PF.css"&gt;&lt;div class="heading"&gt;&lt;p class="alignleft"&gt;Hold Monster, Mass&lt;/p&gt;&lt;div style="clear: both;"&gt;&lt;/div&gt;&lt;/div&gt;&lt;div&gt;&lt;h5&gt;&lt;b&gt;School &lt;/b&gt;enchantment (compulsion) [mind-affecting]; &lt;b&gt;Level &lt;/b&gt;sorcerer/wizard 9, witch 9&lt;/h5&gt;&lt;/div&gt;&lt;hr/&gt;&lt;div&gt;&lt;h5&gt;&lt;b&gt;CASTING&lt;/b&gt;&lt;/h5&gt;&lt;/div&gt;&lt;hr/&gt;&lt;div&gt;&lt;h5&gt;&lt;b&gt;Casting Time &lt;/b&gt;1 standard action&lt;/h5&gt;&lt;h5&gt;&lt;b&gt;Components &lt;/b&gt;V, S, M/DF (one hard metal bar or rod, which can be as small as a three-penny nail)&lt;/h5&gt;&lt;/div&gt;&lt;hr/&gt;&lt;div&gt;&lt;h5&gt;&lt;b&gt;EFFECT&lt;/b&gt;&lt;/h5&gt;&lt;/div&gt;&lt;hr/&gt;&lt;div&gt;&lt;h5&gt;&lt;b&gt;Range &lt;/b&gt;medium (100 ft. + 10 ft./level)&lt;/h5&gt;&lt;h5&gt;&lt;b&gt;Targets &lt;/b&gt;one or more creatures, no two of which can be more than 30 ft. apart&lt;/h5&gt;&lt;h5&gt;&lt;b&gt;Duration &lt;/b&gt;1 round/level ; see text (D)&lt;/h5&gt;&lt;h5&gt;&lt;b&gt;Saving Throw &lt;/b&gt;Will negates; see text; &lt;b&gt;Spell Resistance &lt;/b&gt;yes&lt;/h5&gt;&lt;/div&gt;&lt;hr/&gt;&lt;div&gt;&lt;h5&gt;&lt;b&gt;DESCRIPTION&lt;/b&gt;&lt;/h5&gt;&lt;/div&gt;&lt;hr/&gt;&lt;div&gt;&lt;h4&gt;&lt;p&gt;This spell functions like &lt;i&gt;hold person,&lt;/i&gt; except that it affects multiple creatures and holds any living creature that fails its Will save.&lt;/p&gt;&lt;/h4&gt;&lt;/div&gt;</t>
  </si>
  <si>
    <t> As hold monster, but all within 30 ft.</t>
  </si>
  <si>
    <t>Hold Person, Mass</t>
  </si>
  <si>
    <t>one or more humanoid creatures, no two of which can be more than 30 ft. apart</t>
  </si>
  <si>
    <t>This spell functions like hold person, except as noted above.</t>
  </si>
  <si>
    <t>&lt;p&gt;This spell functions like &lt;i&gt;hold person,&lt;/i&gt; except as noted above.&lt;/p&gt;</t>
  </si>
  <si>
    <t>&lt;link rel="stylesheet"href="PF.css"&gt;&lt;div class="heading"&gt;&lt;p class="alignleft"&gt;Hold Person, Mass&lt;/p&gt;&lt;div style="clear: both;"&gt;&lt;/div&gt;&lt;/div&gt;&lt;div&gt;&lt;h5&gt;&lt;b&gt;School &lt;/b&gt;enchantment (compulsion) [mind-affecting]; &lt;b&gt;Level &lt;/b&gt;sorcerer/wizard 7, witch 7&lt;/h5&gt;&lt;/div&gt;&lt;hr/&gt;&lt;div&gt;&lt;h5&gt;&lt;b&gt;CASTING&lt;/b&gt;&lt;/h5&gt;&lt;/div&gt;&lt;hr/&gt;&lt;div&gt;&lt;h5&gt;&lt;b&gt;Casting Time &lt;/b&gt;1 standard action&lt;/h5&gt;&lt;h5&gt;&lt;b&gt;Components &lt;/b&gt;V, S, F/DF (a small, straight piece of iron)&lt;/h5&gt;&lt;/div&gt;&lt;hr/&gt;&lt;div&gt;&lt;h5&gt;&lt;b&gt;EFFECT&lt;/b&gt;&lt;/h5&gt;&lt;/div&gt;&lt;hr/&gt;&lt;div&gt;&lt;h5&gt;&lt;b&gt;Range &lt;/b&gt;medium (100 ft. + 10 ft./level)&lt;/h5&gt;&lt;h5&gt;&lt;b&gt;Targets &lt;/b&gt;one or more humanoid creatures, no two of which can be more than 30 ft. apart&lt;/h5&gt;&lt;h5&gt;&lt;b&gt;Duration &lt;/b&gt;1 round/level ; see text (D)&lt;/h5&gt;&lt;h5&gt;&lt;b&gt;Saving Throw &lt;/b&gt;Will negates; see text; &lt;b&gt;Spell Resistance &lt;/b&gt;yes&lt;/h5&gt;&lt;/div&gt;&lt;hr/&gt;&lt;div&gt;&lt;h5&gt;&lt;b&gt;DESCRIPTION&lt;/b&gt;&lt;/h5&gt;&lt;/div&gt;&lt;hr/&gt;&lt;div&gt;&lt;h4&gt;&lt;p&gt;This spell functions like &lt;i&gt;hold person,&lt;/i&gt; except as noted above.&lt;/p&gt;&lt;/h4&gt;&lt;/div&gt;</t>
  </si>
  <si>
    <t> As hold person, but all within 30 ft.</t>
  </si>
  <si>
    <t>Hold Portal</t>
  </si>
  <si>
    <t>sorcerer/wizard 1</t>
  </si>
  <si>
    <t>one portal, up to 20 sq. ft./level</t>
  </si>
  <si>
    <t>This spell magically holds shut a door, gate, window, or shutter of wood, metal, or stone. The magic affects the portal just as if it were securely closed and normally locked. A knock spell or a successful dispel magic spell can negate a hold portal spell. Add 5 to the normal DC for forcing open a portal affected by this spell.</t>
  </si>
  <si>
    <t>&lt;p&gt;This spell magically holds shut a door, gate, window, or shutter of wood, metal, or stone. The magic affects the portal just as if it were securely closed and normally locked. A &lt;i&gt;knock&lt;/i&gt; spell or a successful &lt;i&gt;dispel magic&lt;/i&gt; spell can negate a &lt;i&gt;hold portal&lt;/i&gt; spell.&lt;/p&gt;&lt;p&gt;Add 5 to the normal DC for forcing open a portal affected by this spell.&lt;/p&gt;</t>
  </si>
  <si>
    <t>&lt;link rel="stylesheet"href="PF.css"&gt;&lt;div class="heading"&gt;&lt;p class="alignleft"&gt;Hold Portal&lt;/p&gt;&lt;div style="clear: both;"&gt;&lt;/div&gt;&lt;/div&gt;&lt;div&gt;&lt;h5&gt;&lt;b&gt;School &lt;/b&gt;abjuration; &lt;b&gt;Level &lt;/b&gt;sorcerer/wizard 1&lt;/h5&gt;&lt;/div&gt;&lt;hr/&gt;&lt;div&gt;&lt;h5&gt;&lt;b&gt;CASTING&lt;/b&gt;&lt;/h5&gt;&lt;/div&gt;&lt;hr/&gt;&lt;div&gt;&lt;h5&gt;&lt;b&gt;Casting Time &lt;/b&gt;1 standard action&lt;/h5&gt;&lt;h5&gt;&lt;b&gt;Components &lt;/b&gt;V&lt;/h5&gt;&lt;/div&gt;&lt;hr/&gt;&lt;div&gt;&lt;h5&gt;&lt;b&gt;EFFECT&lt;/b&gt;&lt;/h5&gt;&lt;/div&gt;&lt;hr/&gt;&lt;div&gt;&lt;h5&gt;&lt;b&gt;Range &lt;/b&gt;medium (100 ft. + 10 ft./level)&lt;/h5&gt;&lt;h5&gt;&lt;b&gt;Targets &lt;/b&gt;one portal, up to 20 sq. ft./level&lt;/h5&gt;&lt;h5&gt;&lt;b&gt;Duration &lt;/b&gt;1 min./level (D)&lt;/h5&gt;&lt;h5&gt;&lt;b&gt;Saving Throw &lt;/b&gt;none; &lt;b&gt;Spell Resistance &lt;/b&gt;no&lt;/h5&gt;&lt;/div&gt;&lt;hr/&gt;&lt;div&gt;&lt;h5&gt;&lt;b&gt;DESCRIPTION&lt;/b&gt;&lt;/h5&gt;&lt;/div&gt;&lt;hr/&gt;&lt;div&gt;&lt;h4&gt;&lt;p&gt;This spell magically holds shut a door, gate, window, or shutter of wood, metal, or stone. The magic affects the portal just as if it were securely closed and normally locked. A &lt;i&gt;knock&lt;/i&gt; spell or a successful &lt;i&gt;dispel magic&lt;/i&gt; spell can negate a &lt;i&gt;hold portal&lt;/i&gt; spell.&lt;/p&gt;&lt;p&gt;Add 5 to the normal DC for forcing open a portal affected by this spell.&lt;/p&gt;&lt;/h4&gt;&lt;h5&gt;&lt;b&gt;Mythic: &lt;/b&gt;The target portal can be as large as 30 square feet per caster level. A creature attempting to force open the portal must first succeed at a Will save against the spell's DC. This is a mind-affecting effect. Failure means the creature can't open the door while the spell is in effect.&lt;/h5&gt;&lt;/div&gt;</t>
  </si>
  <si>
    <t> Holds door shut.</t>
  </si>
  <si>
    <t>The target portal can be as large as 30 square feet per caster level. A creature attempting to force open the portal must first succeed at a Will save against the spell's DC. This is a mind-affecting effect. Failure means the creature can't open the door while the spell is in effect.</t>
  </si>
  <si>
    <t>Holy Aura</t>
  </si>
  <si>
    <t>A brilliant divine radiance surrounds the subjects, protecting them from attacks, granting them resistance to spells cast by evil creatures, and causing evil creatures to become blinded when they strike the subjects. This abjuration has four effects. First, each warded creature gains a +4 deflection bonus to AC and a +4 resistance bonus on saves. Unlike protection from evil, this benefit applies against all attacks, not just against attacks by evil creatures. Second, each warded creature gains spell resistance 25 against evil spells and spells cast by evil creatures. Third, the abjuration protects the recipient from possession and mental influence, just as protection from evil does. Finally, if an evil creature succeeds on a melee attack against a creature warded by a holy aura, the offending attacker is blinded (Fortitude save negates, as blindness/deafness, but against holy aura's save DC).</t>
  </si>
  <si>
    <t>&lt;p&gt;A brilliant divine radiance surrounds the subjects, protecting them from attacks, granting them resistance to spells cast by evil creatures, and causing evil creatures to become blinded when they strike the subjects. This abjuration has four effects.&lt;/p&gt;&lt;p&gt;First, each warded creature gains a +4 deflection bonus to AC and a +4 resistance bonus on saves. Unlike &lt;i&gt;protection from evil&lt;/i&gt;, this benefit applies against all attacks, not just against attacks by evil creatures.&lt;/p&gt;&lt;p&gt;Second, each warded creature gains spell resistance 25 against evil spells and spells cast by evil creatures.&lt;/p&gt;&lt;p&gt;Third, the abjuration protects the recipient from possession and mental influence, just as &lt;i&gt;protection from evil&lt;/i&gt; does.&lt;/p&gt;&lt;p&gt;Finally, if an evil creature succeeds on a melee attack against a creature warded by a &lt;i&gt;holy aura&lt;/i&gt;, the offending attacker is blinded (Fortitude save negates, as &lt;i&gt;blindness/deafness,&lt;/i&gt; but against &lt;i&gt;holy aura&lt;/i&gt;'s save DC).&lt;/p&gt;</t>
  </si>
  <si>
    <t>&lt;link rel="stylesheet"href="PF.css"&gt;&lt;div class="heading"&gt;&lt;p class="alignleft"&gt;Holy Aura&lt;/p&gt;&lt;div style="clear: both;"&gt;&lt;/div&gt;&lt;/div&gt;&lt;div&gt;&lt;h5&gt;&lt;b&gt;School &lt;/b&gt;abjuration [good]; &lt;b&gt;Level &lt;/b&gt;cleric 8/oracle 8&lt;/h5&gt;&lt;/div&gt;&lt;hr/&gt;&lt;div&gt;&lt;h5&gt;&lt;b&gt;CASTING&lt;/b&gt;&lt;/h5&gt;&lt;/div&gt;&lt;hr/&gt;&lt;div&gt;&lt;h5&gt;&lt;b&gt;Casting Time &lt;/b&gt;1 standard action&lt;/h5&gt;&lt;h5&gt;&lt;b&gt;Components &lt;/b&gt;V, S, F (a tiny reliquary worth 500 gp)&lt;/h5&gt;&lt;/div&gt;&lt;hr/&gt;&lt;div&gt;&lt;h5&gt;&lt;b&gt;EFFECT&lt;/b&gt;&lt;/h5&gt;&lt;/div&gt;&lt;hr/&gt;&lt;div&gt;&lt;h5&gt;&lt;b&gt;Range &lt;/b&gt;20 ft.&lt;/h5&gt;&lt;h5&gt;&lt;b&gt;Targets &lt;/b&gt;one creature/level in a 20-ft.-radius burst centered on you&lt;/h5&gt;&lt;h5&gt;&lt;b&gt;Duration &lt;/b&gt;1 round/level (D)&lt;/h5&gt;&lt;h5&gt;&lt;b&gt;Saving Throw &lt;/b&gt;see text; &lt;b&gt;Spell Resistance &lt;/b&gt;yes (harmless)&lt;/h5&gt;&lt;/div&gt;&lt;hr/&gt;&lt;div&gt;&lt;h5&gt;&lt;b&gt;DESCRIPTION&lt;/b&gt;&lt;/h5&gt;&lt;/div&gt;&lt;hr/&gt;&lt;div&gt;&lt;h4&gt;&lt;p&gt;A brilliant divine radiance surrounds the subjects, protecting them from attacks, granting them resistance to spells cast by evil creatures, and causing evil creatures to become blinded when they strike the subjects. This abjuration has four effects.&lt;/p&gt;&lt;p&gt;First, each warded creature gains a +4 deflection bonus to AC and a +4 resistance bonus on saves. Unlike &lt;i&gt;protection from evil&lt;/i&gt;, this benefit applies against all attacks, not just against attacks by evil creatures.&lt;/p&gt;&lt;p&gt;Second, each warded creature gains spell resistance 25 against evil spells and spells cast by evil creatures.&lt;/p&gt;&lt;p&gt;Third, the abjuration protects the recipient from possession and mental influence, just as &lt;i&gt;protection from evil&lt;/i&gt; does.&lt;/p&gt;&lt;p&gt;Finally, if an evil creature succeeds on a melee attack against a creature warded by a &lt;i&gt;holy aura&lt;/i&gt;, the offending attacker is blinded (Fortitude save negates, as &lt;i&gt;blindness/deafness,&lt;/i&gt; but against &lt;i&gt;holy aura&lt;/i&gt;'s save DC).&lt;/p&gt;&lt;/h4&gt;&lt;/div&gt;</t>
  </si>
  <si>
    <t>Glory, Good</t>
  </si>
  <si>
    <t> +4 to AC, +4 resistance, and SR 25 against evil spells.</t>
  </si>
  <si>
    <t>Holy Smite</t>
  </si>
  <si>
    <t>instantaneous (1 round); see text</t>
  </si>
  <si>
    <t>You draw down holy power to smite your enemies. Only evil and neutral creatures are harmed by the spell; good creatures are unaffected. The spell deals 1d8 points of damage per two caster levels (maximum 5d8) to each evil creature in the area (or 1d6 points of damage per caster level, maximum 10d6, to an evil outsider) and causes it to become blinded for 1 round. A successful Will saving throw reduces damage to half and negates the blinded effect. The spell deals only half damage to creatures who are neither good nor evil, and they are not blinded. Such a creature can reduce that damage by half (down to one-quarter of the roll) with a successful Will save.</t>
  </si>
  <si>
    <t>&lt;p&gt;You draw down holy power to smite your enemies. Only evil and neutral creatures are harmed by the spell; good creatures are unaffected.&lt;/p&gt;&lt;p&gt;The spell deals 1d8 points of damage per two caster levels (maximum 5d8) to each evil creature in the area (or 1d6 points of damage per caster level, maximum 10d6, to an evil outsider) and causes it to become blinded for 1 round. A successful Will saving throw reduces damage to half and negates the blinded effect.&lt;/p&gt;&lt;p&gt;The spell deals only half damage to creatures who are neither good nor evil, and they are not blinded. Such a creature can reduce that damage by half (down to one-quarter of the roll) with a successful Will save.&lt;/p&gt;</t>
  </si>
  <si>
    <t>&lt;link rel="stylesheet"href="PF.css"&gt;&lt;div class="heading"&gt;&lt;p class="alignleft"&gt;Holy Smite&lt;/p&gt;&lt;div style="clear: both;"&gt;&lt;/div&gt;&lt;/div&gt;&lt;div&gt;&lt;h5&gt;&lt;b&gt;School &lt;/b&gt;evocation [good]; &lt;b&gt;Level &lt;/b&gt;cleric/oracle 4, inquisitor 4&lt;/h5&gt;&lt;/div&gt;&lt;hr/&gt;&lt;div&gt;&lt;h5&gt;&lt;b&gt;CASTING&lt;/b&gt;&lt;/h5&gt;&lt;/div&gt;&lt;hr/&gt;&lt;div&gt;&lt;h5&gt;&lt;b&gt;Casting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ft./level)&lt;/h5&gt;&lt;h5&gt;&lt;b&gt;Area &lt;/b&gt;20-ft.-radius burst&lt;/h5&gt;&lt;h5&gt;&lt;b&gt;Duration &lt;/b&gt;instantaneous (1 round); see text&lt;/h5&gt;&lt;h5&gt;&lt;b&gt;Saving Throw &lt;/b&gt;Will partial; see text; &lt;b&gt;Spell Resistance &lt;/b&gt;yes&lt;/h5&gt;&lt;/div&gt;&lt;hr/&gt;&lt;div&gt;&lt;h5&gt;&lt;b&gt;DESCRIPTION&lt;/b&gt;&lt;/h5&gt;&lt;/div&gt;&lt;hr/&gt;&lt;div&gt;&lt;h4&gt;&lt;p&gt;You draw down holy power to smite your enemies. Only evil and neutral creatures are harmed by the spell; good creatures are unaffected.&lt;/p&gt;&lt;p&gt;The spell deals 1d8 points of damage per two caster levels (maximum 5d8) to each evil creature in the area (or 1d6 points of damage per caster level, maximum 10d6, to an evil outsider) and causes it to become blinded for 1 round. A successful Will saving throw reduces damage to half and negates the blinded effect.&lt;/p&gt;&lt;p&gt;The spell deals only half damage to creatures who are neither good nor evil, and they are not blinded. Such a creature can reduce that damage by half (down to one-quarter of the roll) with a successful Will save.&lt;/p&gt;&lt;/h4&gt;&lt;h5&gt;&lt;b&gt;Mythic: &lt;/b&gt;The damage dealt to evil outsiders increases to 1d10 points of damage per caster level (maximum 10d10) and the damage dealt to other evil creatures increases to 1d12 points of damage per 2 caster levels (maximum 5d12). The duration that creatures in the area are blinded increases to 2 rounds. On a successful save, an evil creature is blinded for 1 round.&lt;/h5&gt;&lt;/div&gt;</t>
  </si>
  <si>
    <t> Harms and possibly blinds evil creatures (1d8 damage/2 levels).</t>
  </si>
  <si>
    <t>The damage dealt to evil outsiders increases to 1d10 points of damage per caster level (maximum 10d10) and the damage dealt to other evil creatures increases to 1d12 points of damage per 2 caster levels (maximum 5d12). The duration that creatures in the area are blinded increases to 2 rounds. On a successful save, an evil creature is blinded for 1 round.</t>
  </si>
  <si>
    <t>Holy Sword</t>
  </si>
  <si>
    <t>paladin 4</t>
  </si>
  <si>
    <t>melee weapon touched</t>
  </si>
  <si>
    <t>This spell allows you to channel holy power into your sword, or any other melee weapon you choose. The weapon acts as a +5 holy weapon (+5 enhancement bonus on attack and damage rolls, extra 2d6 damage against evil opponents). It also emits a magic circle against evil effect (as the spell). If the magic circle ends, the sword creates a new one on your turn as a free action. The spell is automatically canceled 1 round after the weapon leaves your hand. You cannot have more than one holy sword at a time. If this spell is cast on a magic weapon, the powers of the spell supercede any that the weapon normally has, rendering the normal enhancement bonus and powers of the weapon inoperative for the duration of the spell. This spell is not cumulative with bless weapon or any other spell that might modify the weapon in any way. This spell does not work on artifacts. A masterwork weapon's bonus to attack does not stack with an enhancement bonus to attack.</t>
  </si>
  <si>
    <t>&lt;p&gt;This spell allows you to channel holy power into your sword, or any other melee weapon you choose. The weapon acts as a &lt;i&gt;+5 holy weapon&lt;/i&gt; (+5 enhancement bonus on attack and damage rolls, extra 2d6 damage against evil opponents). It also emits a &lt;i&gt;&lt;i&gt;magic circle&lt;/i&gt; against evil&lt;/i&gt; effect (as the spell). If the &lt;i&gt;magic circle&lt;/i&gt; ends, the sword creates a new one on your turn as a free action. The spell is automatically canceled 1 round after the weapon leaves your hand.&lt;/p&gt;&lt;p&gt;You cannot have more than one &lt;i&gt;holy sword&lt;/i&gt; at a time.&lt;/p&gt;&lt;p&gt;If this spell is cast on a magic weapon, the powers of the spell supercede any that the weapon normally has, rendering the normal enhancement bonus and powers of the weapon inoperative for the duration of the spell. This spell is not cumulative with &lt;i&gt;bless weapon&lt;/i&gt; or any other spell that might modify the weapon in any way. This spell does not work on artifacts. A masterwork weapon's bonus to attack does not stack with an enhancement bonus to attack.&lt;/p&gt;</t>
  </si>
  <si>
    <t>&lt;link rel="stylesheet"href="PF.css"&gt;&lt;div class="heading"&gt;&lt;p class="alignleft"&gt;Holy Sword&lt;/p&gt;&lt;div style="clear: both;"&gt;&lt;/div&gt;&lt;/div&gt;&lt;div&gt;&lt;h5&gt;&lt;b&gt;School &lt;/b&gt;evocation [good]; &lt;b&gt;Level &lt;/b&gt;paladin 4&lt;/h5&gt;&lt;/div&gt;&lt;hr/&gt;&lt;div&gt;&lt;h5&gt;&lt;b&gt;CASTING&lt;/b&gt;&lt;/h5&gt;&lt;/div&gt;&lt;hr/&gt;&lt;div&gt;&lt;h5&gt;&lt;b&gt;Casting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&lt;/b&gt;melee weapon touched&lt;/h5&gt;&lt;h5&gt;&lt;b&gt;Duration &lt;/b&gt;1 round/level&lt;/h5&gt;&lt;h5&gt;&lt;b&gt;Saving Throw &lt;/b&gt;none; &lt;b&gt;Spell Resistance &lt;/b&gt;no&lt;/h5&gt;&lt;/div&gt;&lt;hr/&gt;&lt;div&gt;&lt;h5&gt;&lt;b&gt;DESCRIPTION&lt;/b&gt;&lt;/h5&gt;&lt;/div&gt;&lt;hr/&gt;&lt;div&gt;&lt;h4&gt;&lt;p&gt;This spell allows you to channel holy power into your sword, or any other melee weapon you choose. The weapon acts as a &lt;i&gt;+5 holy weapon&lt;/i&gt; (+5 enhancement bonus on attack and damage rolls, extra 2d6 damage against evil opponents). It also emits a &lt;i&gt;&lt;i&gt;magic circle&lt;/i&gt; against evil&lt;/i&gt; effect (as the spell). If the &lt;i&gt;magic circle&lt;/i&gt; ends, the sword creates a new one on your turn as a free action. The spell is automatically canceled 1 round after the weapon leaves your hand.&lt;/p&gt;&lt;p&gt;You cannot have more than one &lt;i&gt;holy sword&lt;/i&gt; at a time.&lt;/p&gt;&lt;p&gt;If this spell is cast on a magic weapon, the powers of the spell supercede any that the weapon normally has, rendering the normal enhancement bonus and powers of the weapon inoperative for the duration of the spell. This spell is not cumulative with &lt;i&gt;bless weapon&lt;/i&gt; or any other spell that might modify the weapon in any way. This spell does not work on artifacts. A masterwork weapon's bonus to attack does not stack with an enhancement bonus to attack.&lt;/p&gt;&lt;/h4&gt;&lt;/div&gt;</t>
  </si>
  <si>
    <t> Weapon becomes +5, deals +2d6 damage against evil.</t>
  </si>
  <si>
    <t>Holy Word</t>
  </si>
  <si>
    <t>good, sonic</t>
  </si>
  <si>
    <t>nongood creatures in a 40-ft.-radius spread centered on you</t>
  </si>
  <si>
    <t>Any nongood creature within the area of a holy word spell suffers the following ill effects. HD Effect Equal to caster level Deafened Up to caster level -1 Blinded, deafened Up to caster level -5 Paralyzed, blinded, deafened Up to caster level -10 Killed, paralyzed, blinded, deafened The effects are cumulative and concurrent. A successful Will save reduces or eliminates these effects. Creatures affected by multiple effects make only one save and apply the result to all the effects. Deafened: The creature is deafened for 1d4 rounds. Save negates. Blinded: The creature is blinded for 2d4 rounds. Save reduces the blinded effect to 1d4 rounds. Paralyzed: The creature is paralyzed and helpless for 1d10 minutes. Save reduces the paralyzed effect to 1 round. Killed: Living creatures die. Undead creatures are destroyed. Save negates. If the save is successful, the creature instead takes 3d6 points of damage + 1 point per caster level (maximum +25). Furthermore, if you are on your home plane when you cast this spell, nongood extraplanar creatures within the area are instantly banished back to their home planes. Creatures so banished cannot return for at least 24 hours. This effect takes place regardless of whether the creatures hear the holy word or not. The banishment effect allows a Will save (at a -4 penalty) to negate. Creatures whose HD exceed your caster level are unaffected by holy word.</t>
  </si>
  <si>
    <t>&lt;p&gt;Any nongood creature within the area of a &lt;i&gt;holy word&lt;/i&gt; spell suffers the following ill effects.&lt;/p&gt; &lt;table border ='1'&gt;&lt;tr&gt;&lt;th&gt;&lt;table&gt;&lt;tr&gt;&lt;th&gt;HD&lt;/th&gt;&lt;th&gt;Effect&lt;/th&gt;&lt;/tr&gt;&lt;tr&gt;&lt;td&gt;Equal to caster level&lt;/td&gt;&lt;td&gt;Deafened&lt;/td&gt;&lt;/tr&gt;&lt;tr&gt;&lt;td&gt;Up to caster level -1&lt;/td&gt;&lt;td&gt;Blinded, deafened&lt;/td&gt;&lt;/tr&gt;&lt;tr&gt;&lt;td&gt;Up to caster level -5&lt;/td&gt;&lt;td&gt;Paralyzed, blinded, deafened&lt;/td&gt;&lt;/tr&gt;&lt;tr&gt;&lt;td&gt;Up to caster level -10&lt;/td&gt;&lt;td&gt;Killed, paralyzed, blinded, deafened&lt;/td&gt;&lt;/tr&gt;&lt;/table&gt;&lt;/td&gt;&lt;/tr&gt;&lt;/table&gt; The effects are cumulative and concurrent. A successful Will save reduces or eliminates these effects. Creatures affected by multiple effects make only one save and apply the result to all the effects.&lt;/p&gt;&lt;p&gt;&lt;i&gt;Deafened&lt;/i&gt;: The creature is deafened for 1d4 rounds. Save negates.&lt;/p&gt;&lt;p&gt;&lt;i&gt;Blinded&lt;/i&gt;: The creature is blinded for 2d4 rounds. Save reduces the blinded effect to 1d4 rounds.&lt;/p&gt;&lt;p&gt;&lt;i&gt;Paralyzed&lt;/i&gt;: The creature is paralyzed and helpless for 1d10 minutes. Save reduces the paralyzed effect to 1 round.&lt;/p&gt;&lt;p&gt;&lt;i&gt;Killed&lt;/i&gt;: Living creatures die. Undead creatures are destroyed. Save negates. If the save is successful, the creature instead takes 3d6 points of damage + 1 point per caster level (maximum +25).&lt;/p&gt;&lt;p&gt;Furthermore, if you are on your home plane when you cast this spell, nongood extraplanar creatures within the area are instantly banished back to their home planes. Creatures so banished cannot return for at least 24 hours. This effect takes place regardless of whether the creatures hear the &lt;i&gt;holy word&lt;/i&gt; or not. The banishment effect allows a Will save (at a -4 penalty) to negate.&lt;/p&gt;&lt;p&gt;Creatures whose HD exceed your caster level are unaffected by &lt;i&gt;holy word&lt;/i&gt;.&lt;/p&gt;</t>
  </si>
  <si>
    <t>&lt;link rel="stylesheet"href="PF.css"&gt;&lt;div class="heading"&gt;&lt;p class="alignleft"&gt;Holy Word&lt;/p&gt;&lt;div style="clear: both;"&gt;&lt;/div&gt;&lt;/div&gt;&lt;div&gt;&lt;h5&gt;&lt;b&gt;School &lt;/b&gt;evocation [good, sonic]; &lt;b&gt;Level &lt;/b&gt;cleric/oracle 7, inquisitor 6&lt;/h5&gt;&lt;/div&gt;&lt;hr/&gt;&lt;div&gt;&lt;h5&gt;&lt;b&gt;CASTING&lt;/b&gt;&lt;/h5&gt;&lt;/div&gt;&lt;hr/&gt;&lt;div&gt;&lt;h5&gt;&lt;b&gt;Casting Time &lt;/b&gt;1 standard action&lt;/h5&gt;&lt;h5&gt;&lt;b&gt;Components &lt;/b&gt;V&lt;/h5&gt;&lt;/div&gt;&lt;hr/&gt;&lt;div&gt;&lt;h5&gt;&lt;b&gt;EFFECT&lt;/b&gt;&lt;/h5&gt;&lt;/div&gt;&lt;hr/&gt;&lt;div&gt;&lt;h5&gt;&lt;b&gt;Range &lt;/b&gt;40 ft.&lt;/h5&gt;&lt;h5&gt;&lt;b&gt;Area &lt;/b&gt;nongood creatures in a 40-ft.-radius spread centered on you&lt;/h5&gt;&lt;h5&gt;&lt;b&gt;Duration &lt;/b&gt;instantaneous&lt;/h5&gt;&lt;h5&gt;&lt;b&gt;Saving Throw &lt;/b&gt;Will partial; &lt;b&gt;Spell Resistance &lt;/b&gt;yes&lt;/h5&gt;&lt;/div&gt;&lt;hr/&gt;&lt;div&gt;&lt;h5&gt;&lt;b&gt;DESCRIPTION&lt;/b&gt;&lt;/h5&gt;&lt;/div&gt;&lt;hr/&gt;&lt;div&gt;&lt;h4&gt;&lt;p&gt;Any nongood creature within the area of a &lt;i&gt;holy word&lt;/i&gt; spell suffers the following ill effects.&lt;/p&gt; &lt;table border ='1'&gt;&lt;tr&gt;&lt;th&gt;&lt;table&gt;&lt;tr&gt;&lt;th&gt;HD&lt;/th&gt;&lt;th&gt;Effect&lt;/th&gt;&lt;/tr&gt;&lt;tr&gt;&lt;td&gt;Equal to caster level&lt;/td&gt;&lt;td&gt;Deafened&lt;/td&gt;&lt;/tr&gt;&lt;tr&gt;&lt;td&gt;Up to caster level -1&lt;/td&gt;&lt;td&gt;Blinded, deafened&lt;/td&gt;&lt;/tr&gt;&lt;tr&gt;&lt;td&gt;Up to caster level -5&lt;/td&gt;&lt;td&gt;Paralyzed, blinded, deafened&lt;/td&gt;&lt;/tr&gt;&lt;tr&gt;&lt;td&gt;Up to caster level -10&lt;/td&gt;&lt;td&gt;Killed, paralyzed, blinded, deafened&lt;/td&gt;&lt;/tr&gt;&lt;/table&gt;&lt;/td&gt;&lt;/tr&gt;&lt;/table&gt; The effects are cumulative and concurrent. A successful Will save reduces or eliminates these effects. Creatures affected by multiple effects make only one save and apply the result to all the effects.&lt;/p&gt;&lt;p&gt;&lt;i&gt;Deafened&lt;/i&gt;: The creature is deafened for 1d4 rounds. Save negates.&lt;/p&gt;&lt;p&gt;&lt;i&gt;Blinded&lt;/i&gt;: The creature is blinded for 2d4 rounds. Save reduces the blinded effect to 1d4 rounds.&lt;/p&gt;&lt;p&gt;&lt;i&gt;Paralyzed&lt;/i&gt;: The creature is paralyzed and helpless for 1d10 minutes. Save reduces the paralyzed effect to 1 round.&lt;/p&gt;&lt;p&gt;&lt;i&gt;Killed&lt;/i&gt;: Living creatures die. Undead creatures are destroyed. Save negates. If the save is successful, the creature instead takes 3d6 points of damage + 1 point per caster level (maximum +25).&lt;/p&gt;&lt;p&gt;Furthermore, if you are on your home plane when you cast this spell, nongood extraplanar creatures within the area are instantly banished back to their home planes. Creatures so banished cannot return for at least 24 hours. This effect takes place regardless of whether the creatures hear the &lt;i&gt;holy word&lt;/i&gt; or not. The banishment effect allows a Will save (at a -4 penalty) to negate.&lt;/p&gt;&lt;p&gt;Creatures whose HD exceed your caster level are unaffected by &lt;i&gt;holy word&lt;/i&gt;.&lt;/p&gt;&lt;/h4&gt;&lt;h5&gt;&lt;b&gt;Mythic: &lt;/b&gt;When determining the spell's effect on non-mythic creatures, add your tier to your caster level. Nongood creatures that fail their saves also take a -4 penalty on attack rolls and saving throws, and their spell resistance decreases by 5 for as long as the spell's other effects last.&lt;/h5&gt;&lt;/div&gt;</t>
  </si>
  <si>
    <t> Kills, paralyzes, blinds, or deafens nongood subjects.</t>
  </si>
  <si>
    <t>When determining the spell's effect on non-mythic creatures, add your tier to your caster level. Nongood creatures that fail their saves also take a -4 penalty on attack rolls and saving throws, and their spell resistance decreases by 5 for as long as the spell's other effects last.</t>
  </si>
  <si>
    <t>Horrid Wilting</t>
  </si>
  <si>
    <t>V, S, M/DF (a bit of sponge)</t>
  </si>
  <si>
    <t>living creatures, no two of which can be more than 60 ft. apart</t>
  </si>
  <si>
    <t>Fortitude half</t>
  </si>
  <si>
    <t>This spell evaporates moisture from the body of each subject living creature, causing flesh to wither and crack and crumble to dust. This deals 1d6 points of damage per caster level (maximum 20d6). This spell is especially devastating to water elementals and plant creatures, which instead take 1d8 points of damage per caster level (maximum 20d8).</t>
  </si>
  <si>
    <t>&lt;p&gt;This spell evaporates moisture from the body of each subject living creature, causing flesh to wither and crack and crumble to dust. This deals 1d6 points of damage per caster level (maximum 20d6). This spell is especially devastating to water elementals and plant creatures, which instead take 1d8 points of damage per caster level (maximum 20d8).&lt;/p&gt;</t>
  </si>
  <si>
    <t>&lt;link rel="stylesheet"href="PF.css"&gt;&lt;div class="heading"&gt;&lt;p class="alignleft"&gt;Horrid Wilting&lt;/p&gt;&lt;div style="clear: both;"&gt;&lt;/div&gt;&lt;/div&gt;&lt;div&gt;&lt;h5&gt;&lt;b&gt;School &lt;/b&gt;necromancy; &lt;b&gt;Level &lt;/b&gt;sorcerer/wizard 8, witch 8&lt;/h5&gt;&lt;/div&gt;&lt;hr/&gt;&lt;div&gt;&lt;h5&gt;&lt;b&gt;CASTING&lt;/b&gt;&lt;/h5&gt;&lt;/div&gt;&lt;hr/&gt;&lt;div&gt;&lt;h5&gt;&lt;b&gt;Casting Time &lt;/b&gt;1 standard action&lt;/h5&gt;&lt;h5&gt;&lt;b&gt;Components &lt;/b&gt;V, S, M/DF (a bit of sponge)&lt;/h5&gt;&lt;/div&gt;&lt;hr/&gt;&lt;div&gt;&lt;h5&gt;&lt;b&gt;EFFECT&lt;/b&gt;&lt;/h5&gt;&lt;/div&gt;&lt;hr/&gt;&lt;div&gt;&lt;h5&gt;&lt;b&gt;Range &lt;/b&gt;long (400 ft. + 40 ft./level)&lt;/h5&gt;&lt;h5&gt;&lt;b&gt;Targets &lt;/b&gt;living creatures, no two of which can be more than 60 ft. apart&lt;/h5&gt;&lt;h5&gt;&lt;b&gt;Duration &lt;/b&gt;instantaneous&lt;/h5&gt;&lt;h5&gt;&lt;b&gt;Saving Throw &lt;/b&gt;Fortitude half; &lt;b&gt;Spell Resistance &lt;/b&gt;yes&lt;/h5&gt;&lt;/div&gt;&lt;hr/&gt;&lt;div&gt;&lt;h5&gt;&lt;b&gt;DESCRIPTION&lt;/b&gt;&lt;/h5&gt;&lt;/div&gt;&lt;hr/&gt;&lt;div&gt;&lt;h4&gt;&lt;p&gt;This spell evaporates moisture from the body of each subject living creature, causing flesh to wither and crack and crumble to dust. This deals 1d6 points of damage per caster level (maximum 20d6). This spell is especially devastating to water elementals and plant creatures, which instead take 1d8 points of damage per caster level (maximum 20d8).&lt;/p&gt;&lt;/h4&gt;&lt;/div&gt;</t>
  </si>
  <si>
    <t>Water, Radiation</t>
  </si>
  <si>
    <t> Deals 1d6/level damage within 30 ft.</t>
  </si>
  <si>
    <t>Pestilence, Undead</t>
  </si>
  <si>
    <t>Hypnotic Pattern</t>
  </si>
  <si>
    <t>bard 2, sorcerer/wizard 2</t>
  </si>
  <si>
    <t>V (bard only), S, M (a stick of incense or a crystal rod); see text</t>
  </si>
  <si>
    <t>colorful lights in a 10-ft.-radius spread</t>
  </si>
  <si>
    <t>Concentration + 2 rounds</t>
  </si>
  <si>
    <t>A twisting pattern of subtle, shifting colors weaves through the air, fascinating creatures within it. Roll 2d4 and add your caster level (maximum 10) to determine the total number of HD of creatures affected. Creatures with the fewest HD are affected first; and, among creatures with equal HD, those who are closest to the spell's point of origin are affected first. HD that are not sufficient to affect a creature are wasted. Affected creatures become fascinated by the pattern of colors. Sightless creatures are not affected. A wizard or sorcerer need not utter a sound to cast this spell, but a bard must perform as a verbal component.</t>
  </si>
  <si>
    <t>&lt;p&gt;A twisting pattern of subtle, shifting colors weaves through the air, fascinating creatures within it. Roll 2d4 and add your caster level (maximum 10) to determine the total number of HD of creatures affected. Creatures with the fewest HD are affected first; and, among creatures with equal HD, those who are closest to the spell's point of origin are affected first. HD that are not sufficient to affect a creature are wasted. Affected creatures become fascinated by the pattern of colors. Sightless creatures are not affected.&lt;/p&gt;&lt;p&gt;A wizard or sorcerer need not utter a sound to cast this spell, but a bard must perform as a verbal component.&lt;/p&gt;</t>
  </si>
  <si>
    <t>&lt;link rel="stylesheet"href="PF.css"&gt;&lt;div class="heading"&gt;&lt;p class="alignleft"&gt;Hypnotic Pattern&lt;/p&gt;&lt;div style="clear: both;"&gt;&lt;/div&gt;&lt;/div&gt;&lt;div&gt;&lt;h5&gt;&lt;b&gt;School &lt;/b&gt;illusion (pattern) [mind-affecting]; &lt;b&gt;Level &lt;/b&gt;bard 2, sorcerer/wizard 2&lt;/h5&gt;&lt;/div&gt;&lt;hr/&gt;&lt;div&gt;&lt;h5&gt;&lt;b&gt;CASTING&lt;/b&gt;&lt;/h5&gt;&lt;/div&gt;&lt;hr/&gt;&lt;div&gt;&lt;h5&gt;&lt;b&gt;Casting Time &lt;/b&gt;1 standard action&lt;/h5&gt;&lt;h5&gt;&lt;b&gt;Components &lt;/b&gt;V (bard only), S, M (a stick of incense or a crystal rod); see text&lt;/h5&gt;&lt;/div&gt;&lt;hr/&gt;&lt;div&gt;&lt;h5&gt;&lt;b&gt;EFFECT&lt;/b&gt;&lt;/h5&gt;&lt;/div&gt;&lt;hr/&gt;&lt;div&gt;&lt;h5&gt;&lt;b&gt;Range &lt;/b&gt;medium (100 ft. + 10 ft./level)&lt;/h5&gt;&lt;h5&gt;&lt;b&gt;Effect &lt;/b&gt;colorful lights in a 10-ft.-radius spread&lt;/h5&gt;&lt;h5&gt;&lt;b&gt;Duration &lt;/b&gt;Concentration + 2 rounds&lt;/h5&gt;&lt;h5&gt;&lt;b&gt;Saving Throw &lt;/b&gt;Will negates; &lt;b&gt;Spell Resistance &lt;/b&gt;yes&lt;/h5&gt;&lt;/div&gt;&lt;hr/&gt;&lt;div&gt;&lt;h5&gt;&lt;b&gt;DESCRIPTION&lt;/b&gt;&lt;/h5&gt;&lt;/div&gt;&lt;hr/&gt;&lt;div&gt;&lt;h4&gt;&lt;p&gt;A twisting pattern of subtle, shifting colors weaves through the air, fascinating creatures within it. Roll 2d4 and add your caster level (maximum 10) to determine the total number of HD of creatures affected. Creatures with the fewest HD are affected first; and, among creatures with equal HD, those who are closest to the spell's point of origin are affected first. HD that are not sufficient to affect a creature are wasted. Affected creatures become fascinated by the pattern of colors. Sightless creatures are not affected.&lt;/p&gt;&lt;p&gt;A wizard or sorcerer need not utter a sound to cast this spell, but a bard must perform as a verbal component.&lt;/p&gt;&lt;/h4&gt;&lt;/div&gt;</t>
  </si>
  <si>
    <t>Fascinates (2d4 + level) HD of creatures.</t>
  </si>
  <si>
    <t>Hypnotism</t>
  </si>
  <si>
    <t>several living creatures, no two of which may be more than 30 ft. apart</t>
  </si>
  <si>
    <t>2d4 rounds</t>
  </si>
  <si>
    <t>Your gestures and droning incantation fascinate nearby creatures, causing them to stop and stare blankly at you. In addition, you can use their rapt attention to make your suggestions and requests seem more plausible. Roll 2d4 to see how many total HD of creatures you affect. Creatures with fewer HD are affected before creatures with more HD. Only creatures that can see or hear you are affected, but they do not need to understand you to be fascinated. If you use this spell in combat, each target gains a +2 bonus on its saving throw. If the spell affects only a single creature not in combat at the time, the saving throw has a penalty of -2. While the subject is fascinated by this spell, it reacts as though it were two steps more friendly in attitude. This allows you to make a single request of the affected creature (provided you can communicate with it). The request must be brief and reasonable. Even after the spell ends, the creature retains its new attitude toward you, but only with respect to that particular request. A creature that fails its saving throw does not remember that you enspelled it.</t>
  </si>
  <si>
    <t>&lt;p&gt;Your gestures and droning incantation fascinate nearby creatures, causing them to stop and stare blankly at you.&lt;/p&gt;&lt;p&gt;In addition, you can use their rapt attention to make your suggestions and requests seem more plausible. Roll 2d4 to see how many total HD of creatures you affect. Creatures with fewer HD are affected before creatures with more HD. Only creatures that can see or hear you are affected, but they do not need to understand you to be fascinated.&lt;/p&gt;&lt;p&gt;If you use this spell in combat, each target gains a +2 bonus on its saving throw. If the spell affects only a single creature not in combat at the time, the saving throw has a penalty of -2.&lt;/p&gt;&lt;p&gt;While the subject is fascinated by this spell, it reacts as though it were two steps more friendly in attitude. This allows you to make a single request of the affected creature (provided you can communicate with it). The request must be brief and reasonable. Even after the spell ends, the creature retains its new attitude toward you, but only with respect to that particular request.&lt;/p&gt;&lt;p&gt;A creature that fails its saving throw does not remember that you enspelled it.&lt;/p&gt;</t>
  </si>
  <si>
    <t>&lt;link rel="stylesheet"href="PF.css"&gt;&lt;div class="heading"&gt;&lt;p class="alignleft"&gt;Hypnotism&lt;/p&gt;&lt;div style="clear: both;"&gt;&lt;/div&gt;&lt;/div&gt;&lt;div&gt;&lt;h5&gt;&lt;b&gt;School &lt;/b&gt;enchantment (compulsion) [mind-affecting]; &lt;b&gt;Level &lt;/b&gt;bard 1, sorcerer/wizard 1, witch 1&lt;/h5&gt;&lt;/div&gt;&lt;hr/&gt;&lt;div&gt;&lt;h5&gt;&lt;b&gt;CASTING&lt;/b&gt;&lt;/h5&gt;&lt;/div&gt;&lt;hr/&gt;&lt;div&gt;&lt;h5&gt;&lt;b&gt;Casting Time &lt;/b&gt;1 round&lt;/h5&gt;&lt;h5&gt;&lt;b&gt;Components &lt;/b&gt;V, S&lt;/h5&gt;&lt;/div&gt;&lt;hr/&gt;&lt;div&gt;&lt;h5&gt;&lt;b&gt;EFFECT&lt;/b&gt;&lt;/h5&gt;&lt;/div&gt;&lt;hr/&gt;&lt;div&gt;&lt;h5&gt;&lt;b&gt;Range &lt;/b&gt;close (25 ft. + 5 ft./2 levels)&lt;/h5&gt;&lt;h5&gt;&lt;b&gt;Area &lt;/b&gt;several living creatures, no two of which may be more than 30 ft. apart&lt;/h5&gt;&lt;h5&gt;&lt;b&gt;Duration &lt;/b&gt;2d4 rounds (D)&lt;/h5&gt;&lt;h5&gt;&lt;b&gt;Saving Throw &lt;/b&gt;Will negates; &lt;b&gt;Spell Resistance &lt;/b&gt;yes&lt;/h5&gt;&lt;/div&gt;&lt;hr/&gt;&lt;div&gt;&lt;h5&gt;&lt;b&gt;DESCRIPTION&lt;/b&gt;&lt;/h5&gt;&lt;/div&gt;&lt;hr/&gt;&lt;div&gt;&lt;h4&gt;&lt;p&gt;Your gestures and droning incantation fascinate nearby creatures, causing them to stop and stare blankly at you.&lt;/p&gt;&lt;p&gt;In addition, you can use their rapt attention to make your suggestions and requests seem more plausible. Roll 2d4 to see how many total HD of creatures you affect. Creatures with fewer HD are affected before creatures with more HD. Only creatures that can see or hear you are affected, but they do not need to understand you to be fascinated.&lt;/p&gt;&lt;p&gt;If you use this spell in combat, each target gains a +2 bonus on its saving throw. If the spell affects only a single creature not in combat at the time, the saving throw has a penalty of -2.&lt;/p&gt;&lt;p&gt;While the subject is fascinated by this spell, it reacts as though it were two steps more friendly in attitude. This allows you to make a single request of the affected creature (provided you can communicate with it). The request must be brief and reasonable. Even after the spell ends, the creature retains its new attitude toward you, but only with respect to that particular request.&lt;/p&gt;&lt;p&gt;A creature that fails its saving throw does not remember that you enspelled it.&lt;/p&gt;&lt;/h4&gt;&lt;/div&gt;</t>
  </si>
  <si>
    <t>Fascinates 2d4 HD of creatures.</t>
  </si>
  <si>
    <t>Ice Storm</t>
  </si>
  <si>
    <t>druid 4, sorcerer/wizard 4, witch 4, magus 4</t>
  </si>
  <si>
    <t>V, S, M/DF (dust and water)</t>
  </si>
  <si>
    <t>cylinder (20-ft. radius, 40 ft. high)</t>
  </si>
  <si>
    <t>Great magical hailstones pound down upon casting this spell, dealing 3d6 points of bludgeoning damage and 2d6 points of cold damage to every creature in the area. This damage only occurs once, when the spell is cast. For the remaining duration of the spell, heavy snow and sleet rains down in the area. Creatures inside this area take a -4 penalty on Perception skill checks and the entire area is treated as difficult terrain. At the end of the duration, the snow and hail disappear, leaving no aftereffects (other than the damage dealt).</t>
  </si>
  <si>
    <t>&lt;p&gt;Great magical hailstones pound down upon casting this spell, dealing 3d6 points of bludgeoning damage and 2d6 points of cold damage to every creature in the area. This damage only occurs once, when the spell is cast. For the remaining duration of the spell, heavy snow and sleet rains down in the area. Creatures inside this area take a -4 penalty on Perception skill checks and the entire area is treated as difficult terrain. At the end of the duration, the snow and hail disappear, leaving no aftereffects (other than the damage dealt).&lt;/p&gt;</t>
  </si>
  <si>
    <t>&lt;link rel="stylesheet"href="PF.css"&gt;&lt;div class="heading"&gt;&lt;p class="alignleft"&gt;Ice Storm&lt;/p&gt;&lt;div style="clear: both;"&gt;&lt;/div&gt;&lt;/div&gt;&lt;div&gt;&lt;h5&gt;&lt;b&gt;School &lt;/b&gt;evocation [cold]; &lt;b&gt;Level &lt;/b&gt;druid 4, sorcerer/wizard 4, witch 4, magus 4&lt;/h5&gt;&lt;/div&gt;&lt;hr/&gt;&lt;div&gt;&lt;h5&gt;&lt;b&gt;CASTING&lt;/b&gt;&lt;/h5&gt;&lt;/div&gt;&lt;hr/&gt;&lt;div&gt;&lt;h5&gt;&lt;b&gt;Casting Time &lt;/b&gt;1 standard action&lt;/h5&gt;&lt;h5&gt;&lt;b&gt;Components &lt;/b&gt;V, S, M/DF (dust and water)&lt;/h5&gt;&lt;/div&gt;&lt;hr/&gt;&lt;div&gt;&lt;h5&gt;&lt;b&gt;EFFECT&lt;/b&gt;&lt;/h5&gt;&lt;/div&gt;&lt;hr/&gt;&lt;div&gt;&lt;h5&gt;&lt;b&gt;Range &lt;/b&gt;long (400 ft. + 40 ft./level)&lt;/h5&gt;&lt;h5&gt;&lt;b&gt;Area &lt;/b&gt;cylinder (20-ft. radius, 40 ft. high)&lt;/h5&gt;&lt;h5&gt;&lt;b&gt;Duration &lt;/b&gt;1 round/level (D)&lt;/h5&gt;&lt;h5&gt;&lt;b&gt;Saving Throw &lt;/b&gt;none; &lt;b&gt;Spell Resistance &lt;/b&gt;yes&lt;/h5&gt;&lt;/div&gt;&lt;hr/&gt;&lt;div&gt;&lt;h5&gt;&lt;b&gt;DESCRIPTION&lt;/b&gt;&lt;/h5&gt;&lt;/div&gt;&lt;hr/&gt;&lt;div&gt;&lt;h4&gt;&lt;p&gt;Great magical hailstones pound down upon casting this spell, dealing 3d6 points of bludgeoning damage and 2d6 points of cold damage to every creature in the area. This damage only occurs once, when the spell is cast. For the remaining duration of the spell, heavy snow and sleet rains down in the area. Creatures inside this area take a -4 penalty on Perception skill checks and the entire area is treated as difficult terrain. At the end of the duration, the snow and hail disappear, leaving no aftereffects (other than the damage dealt).&lt;/p&gt;&lt;/h4&gt;&lt;h5&gt;&lt;b&gt;Mythic: &lt;/b&gt;The bludgeoning damage increases to 4d8 points of damage and the cold damage increases to 3d6 points of damage. The ground in the area is covered in ice and hailstones, acting as though a grease spell were cast on it. Dealing 5 or more points of fire damage to a square melts the ice and hail, negating the grease effect.&lt;/h5&gt;&lt;h5&gt;&lt;b&gt;Augmented (6th)&lt;/b&gt;: If you expend two uses of mythic power, one creature in the area is paralyzed (as if by hold person) and gains vulnerability to fire as long as it's paralyzed.&lt;/h5&gt;&lt;/div&gt;</t>
  </si>
  <si>
    <t>Hail deals 5d6 damage in cylinder 40 ft. across.</t>
  </si>
  <si>
    <t>The bludgeoning damage increases to 4d8 points of damage and the cold damage increases to 3d6 points of damage. The ground in the area is covered in ice and hailstones, acting as though a grease spell were cast on it. Dealing 5 or more points of fire damage to a square melts the ice and hail, negating the grease effect.</t>
  </si>
  <si>
    <t>Augmented (6th): If you expend two uses of mythic power, one creature in the area is paralyzed (as if by hold person) and gains vulnerability to fire as long as it's paralyzed.</t>
  </si>
  <si>
    <t>Identify</t>
  </si>
  <si>
    <t>bard 1, sorcerer/wizard 1, alchemist 1, summoner 1, witch 1, alchemist 1, summoner 1, witch 1</t>
  </si>
  <si>
    <t>V, S, M (wine stirred with an owl's feather)</t>
  </si>
  <si>
    <t>3 rounds/level</t>
  </si>
  <si>
    <t>This spell functions as detect magic, except that it gives you a +10 enhancement bonus on Spellcraft checks made to identify the properties and command words of magic items in your possession. This spell does not allow you to identify artifacts.</t>
  </si>
  <si>
    <t>&lt;p&gt;This spell functions as &lt;i&gt;detect magic&lt;/i&gt;, except that it gives you a +10 enhancement bonus on Spellcraft checks made to identify the properties and command words of magic items in your possession. This spell does not allow you to identify artifacts.&lt;/p&gt;</t>
  </si>
  <si>
    <t>&lt;link rel="stylesheet"href="PF.css"&gt;&lt;div class="heading"&gt;&lt;p class="alignleft"&gt;Identify&lt;/p&gt;&lt;div style="clear: both;"&gt;&lt;/div&gt;&lt;/div&gt;&lt;div&gt;&lt;h5&gt;&lt;b&gt;School &lt;/b&gt;divination; &lt;b&gt;Level &lt;/b&gt;bard 1, sorcerer/wizard 1, alchemist 1, summoner 1, witch 1, alchemist 1, summoner 1, witch 1&lt;/h5&gt;&lt;/div&gt;&lt;hr/&gt;&lt;div&gt;&lt;h5&gt;&lt;b&gt;CASTING&lt;/b&gt;&lt;/h5&gt;&lt;/div&gt;&lt;hr/&gt;&lt;div&gt;&lt;h5&gt;&lt;b&gt;Casting Time &lt;/b&gt;1 standard action&lt;/h5&gt;&lt;h5&gt;&lt;b&gt;Components &lt;/b&gt;V, S, M (wine stirred with an owl's feather)&lt;/h5&gt;&lt;/div&gt;&lt;hr/&gt;&lt;div&gt;&lt;h5&gt;&lt;b&gt;EFFECT&lt;/b&gt;&lt;/h5&gt;&lt;/div&gt;&lt;hr/&gt;&lt;div&gt;&lt;h5&gt;&lt;b&gt;Range &lt;/b&gt;60 ft.&lt;/h5&gt;&lt;h5&gt;&lt;b&gt;Area &lt;/b&gt;cone-shaped emanation&lt;/h5&gt;&lt;h5&gt;&lt;b&gt;Duration &lt;/b&gt;3 rounds/level (D)&lt;/h5&gt;&lt;h5&gt;&lt;b&gt;Saving Throw &lt;/b&gt;none; &lt;b&gt;Spell Resistance &lt;/b&gt;no&lt;/h5&gt;&lt;/div&gt;&lt;hr/&gt;&lt;div&gt;&lt;h5&gt;&lt;b&gt;DESCRIPTION&lt;/b&gt;&lt;/h5&gt;&lt;/div&gt;&lt;hr/&gt;&lt;div&gt;&lt;h4&gt;&lt;p&gt;This spell functions as &lt;i&gt;detect magic&lt;/i&gt;, except that it gives you a +10 enhancement bonus on Spellcraft checks made to identify the properties and command words of magic items in your possession. This spell does not allow you to identify artifacts.&lt;/p&gt;&lt;/h4&gt;&lt;/div&gt;</t>
  </si>
  <si>
    <t>Gives +10 bonus to identify magic items.</t>
  </si>
  <si>
    <t>Illusory Script</t>
  </si>
  <si>
    <t>bard 3, sorcerer/wizard 3</t>
  </si>
  <si>
    <t>1 minute per page</t>
  </si>
  <si>
    <t>V, S, M (lead-based ink worth 50 gp)</t>
  </si>
  <si>
    <t>one day/level</t>
  </si>
  <si>
    <t>You write instructions or other information on parchment, paper, or any suitable writing material. The illusory script appears to be some form of foreign or magical writing. Only the person (or people) designated by you at the time of the casting can read the writing; it's unintelligible to any other character. Any unauthorized creature attempting to read the script triggers a potent illusory effect and must make a saving throw. A successful saving throw means the creature can look away with only a mild sense of disorientation. Failure means the creature is subject to a suggestion implanted in the script by you at the time the illusory script spell was cast. The suggestion lasts only 30 minutes. Typical suggestions include "Close the book and leave," "Forget the existence of this note," and so forth. If successfully dispelled by dispel magic, the illusory script and its secret message disappear. The hidden message can be read by a combination of the true seeing spell with the read magic or comprehend languages spell.</t>
  </si>
  <si>
    <t>&lt;p&gt;You write instructions or other information on parchment, paper, or any suitable writing material. The &lt;i&gt;illusory script&lt;/i&gt; appears to be some form of foreign or magical writing. Only the person (or people) designated by you at the time of the casting can read the writing; it's unintelligible to any other character.&lt;/p&gt;&lt;p&gt;Any unauthorized creature attempting to read the script triggers a potent illusory effect and must make a saving throw. A successful saving throw means the creature can look away with only a mild sense of disorientation. Failure means the creature is subject to a &lt;i&gt;suggestion&lt;/i&gt; implanted in the script by you at the time the &lt;i&gt;illusory script&lt;/i&gt; spell was cast. The &lt;i&gt;suggestion&lt;/i&gt; lasts only 30 minutes. Typical &lt;i&gt;suggestion&lt;/i&gt;s include "Close the book and leave," "Forget the existence of this note," and so forth. If successfully dispelled by &lt;i&gt;dispel magic,&lt;/i&gt; the &lt;i&gt;illusory script&lt;/i&gt; and its secret message disappear.&lt;/p&gt;&lt;p&gt;The hidden message can be read by a combination of the &lt;i&gt;true seeing&lt;/i&gt; spell with the &lt;i&gt;read magic&lt;/i&gt; or &lt;i&gt;comprehend languages&lt;/i&gt; spell.&lt;/p&gt;</t>
  </si>
  <si>
    <t>&lt;link rel="stylesheet"href="PF.css"&gt;&lt;div class="heading"&gt;&lt;p class="alignleft"&gt;Illusory Script&lt;/p&gt;&lt;div style="clear: both;"&gt;&lt;/div&gt;&lt;/div&gt;&lt;div&gt;&lt;h5&gt;&lt;b&gt;School &lt;/b&gt;illusion (phantasm) [mind-affecting]; &lt;b&gt;Level &lt;/b&gt;bard 3, sorcerer/wizard 3, witch 3, alchemist 2, witch 2, inquisitor 2, witch 8&lt;/h5&gt;&lt;/div&gt;&lt;hr/&gt;&lt;div&gt;&lt;h5&gt;&lt;b&gt;CASTING&lt;/b&gt;&lt;/h5&gt;&lt;/div&gt;&lt;hr/&gt;&lt;div&gt;&lt;h5&gt;&lt;b&gt;Casting Time &lt;/b&gt;1 minute per page&lt;/h5&gt;&lt;h5&gt;&lt;b&gt;Components &lt;/b&gt;V, S, M (lead-based ink worth 50 gp)&lt;/h5&gt;&lt;/div&gt;&lt;hr/&gt;&lt;div&gt;&lt;h5&gt;&lt;b&gt;EFFECT&lt;/b&gt;&lt;/h5&gt;&lt;/div&gt;&lt;hr/&gt;&lt;div&gt;&lt;h5&gt;&lt;b&gt;Range &lt;/b&gt;touch&lt;/h5&gt;&lt;h5&gt;&lt;b&gt;Targets &lt;/b&gt;one touched object weighing no more than 10 lbs.&lt;/h5&gt;&lt;h5&gt;&lt;b&gt;Duration &lt;/b&gt;one day/level (D)&lt;/h5&gt;&lt;h5&gt;&lt;b&gt;Saving Throw &lt;/b&gt;Will negates; see text; &lt;b&gt;Spell Resistance &lt;/b&gt;yes&lt;/h5&gt;&lt;/div&gt;&lt;hr/&gt;&lt;div&gt;&lt;h5&gt;&lt;b&gt;DESCRIPTION&lt;/b&gt;&lt;/h5&gt;&lt;/div&gt;&lt;hr/&gt;&lt;div&gt;&lt;h4&gt;&lt;p&gt;You write instructions or other information on parchment, paper, or any suitable writing material. The &lt;i&gt;illusory script&lt;/i&gt; appears to be some form of foreign or magical writing. Only the person (or people) designated by you at the time of the casting can read the writing; it's unintelligible to any other character.&lt;/p&gt;&lt;p&gt;Any unauthorized creature attempting to read the script triggers a potent illusory effect and must make a saving throw. A successful saving throw means the creature can look away with only a mild sense of disorientation. Failure means the creature is subject to a &lt;i&gt;suggestion&lt;/i&gt; implanted in the script by you at the time the &lt;i&gt;illusory script&lt;/i&gt; spell was cast. The &lt;i&gt;suggestion&lt;/i&gt; lasts only 30 minutes. Typical &lt;i&gt;suggestion&lt;/i&gt;s include "Close the book and leave," "Forget the existence of this note," and so forth. If successfully dispelled by &lt;i&gt;dispel magic,&lt;/i&gt; the &lt;i&gt;illusory script&lt;/i&gt; and its secret message disappear.&lt;/p&gt;&lt;p&gt;The hidden message can be read by a combination of the &lt;i&gt;true seeing&lt;/i&gt; spell with the &lt;i&gt;read magic&lt;/i&gt; or &lt;i&gt;comprehend languages&lt;/i&gt; spell.&lt;/p&gt;&lt;/h4&gt;&lt;/div&gt;</t>
  </si>
  <si>
    <t>Only select creatures can read text.</t>
  </si>
  <si>
    <t>Illusory Wall</t>
  </si>
  <si>
    <t>image 1 ft. by 10 ft. by 10 ft.</t>
  </si>
  <si>
    <t>This spell creates the illusion of a wall, floor, ceiling, or similar surface. It appears absolutely real when viewed, but physical objects can pass through it without difficulty. When the spell is used to hide pits, traps, or normal doors, any detection abilities that do not require sight work normally. Touch or a probing search reveals the true nature of the surface, though such measures do not cause the illusion to disappear. Although the caster can see through his illusory wall, other creatures cannot, even if they succeed at their will save (but they do learn that it is not real).</t>
  </si>
  <si>
    <t>&lt;p&gt;This spell creates the illusion of a wall, floor, ceiling, or similar surface. It appears absolutely real when viewed, but physical objects can pass through it without difficulty. When the spell is used to hide pits, traps, or normal doors, any detection abilities that do not require sight work normally. Touch or a probing search reveals the true nature of the surface, though such measures do not cause the illusion to disappear. Although the caster can see through his &lt;i&gt;illusory wall&lt;/i&gt;, other creatures cannot, even if they succeed at their will save (but they do learn that it is not real).&lt;/p&gt;</t>
  </si>
  <si>
    <t>&lt;link rel="stylesheet"href="PF.css"&gt;&lt;div class="heading"&gt;&lt;p class="alignleft"&gt;Illusory Wall&lt;/p&gt;&lt;div style="clear: both;"&gt;&lt;/div&gt;&lt;/div&gt;&lt;div&gt;&lt;h5&gt;&lt;b&gt;School &lt;/b&gt;illusion (figment); &lt;b&gt;Level &lt;/b&gt;sorcerer/wizard 4&lt;/h5&gt;&lt;/div&gt;&lt;hr/&gt;&lt;div&gt;&lt;h5&gt;&lt;b&gt;CASTING&lt;/b&gt;&lt;/h5&gt;&lt;/div&gt;&lt;hr/&gt;&lt;div&gt;&lt;h5&gt;&lt;b&gt;Casting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levels)&lt;/h5&gt;&lt;h5&gt;&lt;b&gt;Effect &lt;/b&gt;image 1 ft. by 10 ft. by 10 ft.&lt;/h5&gt;&lt;h5&gt;&lt;b&gt;Duration &lt;/b&gt;permanent&lt;/h5&gt;&lt;h5&gt;&lt;b&gt;Saving Throw &lt;/b&gt;Will disbelief (if interacted with); &lt;b&gt;Spell Resistance &lt;/b&gt;no&lt;/h5&gt;&lt;/div&gt;&lt;hr/&gt;&lt;div&gt;&lt;h5&gt;&lt;b&gt;DESCRIPTION&lt;/b&gt;&lt;/h5&gt;&lt;/div&gt;&lt;hr/&gt;&lt;div&gt;&lt;h4&gt;&lt;p&gt;This spell creates the illusion of a wall, floor, ceiling, or similar surface. It appears absolutely real when viewed, but physical objects can pass through it without difficulty. When the spell is used to hide pits, traps, or normal doors, any detection abilities that do not require sight work normally. Touch or a probing search reveals the true nature of the surface, though such measures do not cause the illusion to disappear. Although the caster can see through his &lt;i&gt;illusory wall&lt;/i&gt;, other creatures cannot, even if they succeed at their will save (but they do learn that it is not real).&lt;/p&gt;&lt;/h4&gt;&lt;/div&gt;</t>
  </si>
  <si>
    <t>Ambush</t>
  </si>
  <si>
    <t> Wall, floor, or ceiling looks real, but anything can pass through.</t>
  </si>
  <si>
    <t>Imbue with Spell Ability</t>
  </si>
  <si>
    <t>cleric 4/oracle 4</t>
  </si>
  <si>
    <t>creature touched; see text</t>
  </si>
  <si>
    <t>You transfer some of your currently prepared spells, and the ability to cast them, to another creature. Only a creature with an Intelligence score of at least 5 and a Wisdom score of at least 9 can receive this boon. Only cleric spells from the schools of abjuration, divination, and conjuration (healing) can be transferred. The number and level of spells that the subject can be granted depends on its Hit Dice; even multiple castings of imbue with spell ability can't exceed this limit. HD of Recipient Spells Imbued 2 or lower One 1st-level spell 3-4 One or two 1st-level spells 5 or higher One or two 1st-level spells and one 2nd-level spell The transferred spell's variable characteristics (range, duration, area, and the like) function according to your level, not the level of the recipient. Once you cast imbue with spell ability, you cannot prepare a new 4th-level spell to replace it until the recipient uses the imbued spells or is slain, or until you dismiss the imbue with spell ability spell. In the meantime, you remain responsible to your deity or your principles for the use to which the spell is put. If the number of 4th-level spells you can cast decreases, and that number drops below your current number of active imbue with spell ability spells, the more recently cast imbued spells are dispelled. To cast a spell with a verbal component, the subject must be able to speak. To cast a spell with a somatic component, it must be able to move freely. To cast a spell with a material component or focus, it must have the materials or focus.</t>
  </si>
  <si>
    <t>&lt;p&gt;You transfer some of your currently prepared spells, and the ability to cast them, to another creature. Only a creature with an Intelligence score of at least 5 and a Wisdom score of at least 9 can receive this boon. Only cleric spells from the schools of abjuration, divination, and conjuration (healing) can be transferred. The number and level of spells that the subject can be granted depends on its Hit Dice; even multiple castings of &lt;i&gt;imbue with spell ability&lt;/i&gt; can't exceed this limit.&lt;/p&gt;&lt;p&gt; &lt;table&gt;&lt;tr&gt;&lt;th&gt;HD of recipient&lt;/th&gt;&lt;th&gt;Spells imbued&lt;/th&gt;&lt;/tr&gt;&lt;tr&gt;&lt;td&gt;2 or lower&lt;/td&gt;&lt;td&gt;One 1st-level spell&lt;/td&gt;&lt;/tr&gt;&lt;tr&gt;&lt;td&gt;3-4&lt;/td&gt;&lt;td&gt;One or two 1st-level spells&lt;/td&gt;&lt;/tr&gt;&lt;tr&gt;&lt;td&gt;5 or higher&lt;/td&gt;&lt;td&gt;One or two 1st-level spells and one 2nd-level spell&lt;/td&gt;&lt;/tr&gt;&lt;/table&gt; The transferred spell's variable characteristics (range, duration, area, and the like) function according to your level, not the level of the recipient.&lt;/p&gt;&lt;p&gt;Once you cast &lt;i&gt;imbue with spell ability&lt;/i&gt;, you cannot prepare a new 4th-level spell to replace it until the recipient uses the imbued spells or is slain, or until you dismiss the &lt;i&gt;imbue with spell ability&lt;/i&gt; spell. In the meantime, you remain responsible to your deity or your principles for the use to which the spell is put. If the number of 4th-level spells you can cast decreases, and that number drops below your current number of active &lt;i&gt;imbue with spell ability&lt;/i&gt; spells, the more recently cast imbued spells are dispelled.&lt;/p&gt;&lt;p&gt;To cast a spell with a verbal component, the subject must be able to speak. To cast a spell with a somatic component, it must be able to move freely. To cast a spell with a material component or focus, it must have the materials or focus.&lt;/p&gt;</t>
  </si>
  <si>
    <t>&lt;link rel="stylesheet"href="PF.css"&gt;&lt;div class="heading"&gt;&lt;p class="alignleft"&gt;Imbue with Spell Ability&lt;/p&gt;&lt;div style="clear: both;"&gt;&lt;/div&gt;&lt;/div&gt;&lt;div&gt;&lt;h5&gt;&lt;b&gt;School &lt;/b&gt;evocation; &lt;b&gt;Level &lt;/b&gt;cleric 4/oracle 4&lt;/h5&gt;&lt;/div&gt;&lt;hr/&gt;&lt;div&gt;&lt;h5&gt;&lt;b&gt;CASTING&lt;/b&gt;&lt;/h5&gt;&lt;/div&gt;&lt;hr/&gt;&lt;div&gt;&lt;h5&gt;&lt;b&gt;Casting Time &lt;/b&gt;10 minutes&lt;/h5&gt;&lt;h5&gt;&lt;b&gt;Components &lt;/b&gt;V, S, DF&lt;/h5&gt;&lt;/div&gt;&lt;hr/&gt;&lt;div&gt;&lt;h5&gt;&lt;b&gt;EFFECT&lt;/b&gt;&lt;/h5&gt;&lt;/div&gt;&lt;hr/&gt;&lt;div&gt;&lt;h5&gt;&lt;b&gt;Range &lt;/b&gt;touch&lt;/h5&gt;&lt;h5&gt;&lt;b&gt;Targets &lt;/b&gt;creature touched; see text&lt;/h5&gt;&lt;h5&gt;&lt;b&gt;Duration &lt;/b&gt;permanent until discharged (D)&lt;/h5&gt;&lt;h5&gt;&lt;b&gt;Saving Throw &lt;/b&gt;Will negates (harmless); &lt;b&gt;Spell Resistance &lt;/b&gt;yes (harmless)&lt;/h5&gt;&lt;/div&gt;&lt;hr/&gt;&lt;div&gt;&lt;h5&gt;&lt;b&gt;DESCRIPTION&lt;/b&gt;&lt;/h5&gt;&lt;/div&gt;&lt;hr/&gt;&lt;div&gt;&lt;h4&gt;&lt;p&gt;You transfer some of your currently prepared spells, and the ability to cast them, to another creature. Only a creature with an Intelligence score of at least 5 and a Wisdom score of at least 9 can receive this boon. Only cleric spells from the schools of abjuration, divination, and conjuration (healing) can be transferred. The number and level of spells that the subject can be granted depends on its Hit Dice; even multiple castings of &lt;i&gt;imbue with spell ability&lt;/i&gt; can't exceed this limit.&lt;/p&gt;&lt;p&gt; &lt;table&gt;&lt;tr&gt;&lt;th&gt;HD of recipient&lt;/th&gt;&lt;th&gt;Spells imbued&lt;/th&gt;&lt;/tr&gt;&lt;tr&gt;&lt;td&gt;2 or lower&lt;/td&gt;&lt;td&gt;One 1st-level spell&lt;/td&gt;&lt;/tr&gt;&lt;tr&gt;&lt;td&gt;3-4&lt;/td&gt;&lt;td&gt;One or two 1st-level spells&lt;/td&gt;&lt;/tr&gt;&lt;tr&gt;&lt;td&gt;5 or higher&lt;/td&gt;&lt;td&gt;One or two 1st-level spells and one 2nd-level spell&lt;/td&gt;&lt;/tr&gt;&lt;/table&gt; The transferred spell's variable characteristics (range, duration, area, and the like) function according to your level, not the level of the recipient.&lt;/p&gt;&lt;p&gt;Once you cast &lt;i&gt;imbue with spell ability&lt;/i&gt;, you cannot prepare a new 4th-level spell to replace it until the recipient uses the imbued spells or is slain, or until you dismiss the &lt;i&gt;imbue with spell ability&lt;/i&gt; spell. In the meantime, you remain responsible to your deity or your principles for the use to which the spell is put. If the number of 4th-level spells you can cast decreases, and that number drops below your current number of active &lt;i&gt;imbue with spell ability&lt;/i&gt; spells, the more recently cast imbued spells are dispelled.&lt;/p&gt;&lt;p&gt;To cast a spell with a verbal component, the subject must be able to speak. To cast a spell with a somatic component, it must be able to move freely. To cast a spell with a material component or focus, it must have the materials or focus.&lt;/p&gt;&lt;/h4&gt;&lt;/div&gt;</t>
  </si>
  <si>
    <t>Community, Magic</t>
  </si>
  <si>
    <t> Transfer spells to subject.</t>
  </si>
  <si>
    <t>Implosion</t>
  </si>
  <si>
    <t>one corporeal creature/round</t>
  </si>
  <si>
    <t>concentration (up to 1 round per 2 levels)</t>
  </si>
  <si>
    <t>This spell causes a destructive resonance in a corporeal creature's body. Each round you concentrate (including the first), you can cause one creature to collapse in on itself, inflicting 10 points of damage per caster level. If you break concentration, the spell immediately ends, though any implosions that have already happened remain in effect. You can target a particular creature only once with each casting of the spell. Implosion has no effect on creatures in gaseous form or on incorporeal creatures.</t>
  </si>
  <si>
    <t>&lt;p&gt;This spell causes a destructive resonance in a corporeal creature's body. Each round you concentrate (including the first), you can cause one creature to collapse in on itself, inflicting 10 points of damage per caster level. If you break concentration, the spell immediately ends, though any implosions that have already happened remain in effect. You can target a particular creature only once with each casting of the spell. Implosion has no effect on creatures in gaseous form or on incorporeal creatures.&lt;/p&gt;</t>
  </si>
  <si>
    <t>&lt;link rel="stylesheet"href="PF.css"&gt;&lt;div class="heading"&gt;&lt;p class="alignleft"&gt;Implosion&lt;/p&gt;&lt;div style="clear: both;"&gt;&lt;/div&gt;&lt;/div&gt;&lt;div&gt;&lt;h5&gt;&lt;b&gt;School &lt;/b&gt;evocation; &lt;b&gt;Level &lt;/b&gt;cleric 9/oracle 9&lt;/h5&gt;&lt;/div&gt;&lt;hr/&gt;&lt;div&gt;&lt;h5&gt;&lt;b&gt;CASTING&lt;/b&gt;&lt;/h5&gt;&lt;/div&gt;&lt;hr/&gt;&lt;div&gt;&lt;h5&gt;&lt;b&gt;Casting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corporeal creature/round&lt;/h5&gt;&lt;h5&gt;&lt;b&gt;Duration &lt;/b&gt;concentration (up to 1 round per 2 levels)&lt;/h5&gt;&lt;h5&gt;&lt;b&gt;Saving Throw &lt;/b&gt;Fortitude negates; &lt;b&gt;Spell Resistance &lt;/b&gt;yes&lt;/h5&gt;&lt;/div&gt;&lt;hr/&gt;&lt;div&gt;&lt;h5&gt;&lt;b&gt;DESCRIPTION&lt;/b&gt;&lt;/h5&gt;&lt;/div&gt;&lt;hr/&gt;&lt;div&gt;&lt;h4&gt;&lt;p&gt;This spell causes a destructive resonance in a corporeal creature's body. Each round you concentrate (including the first), you can cause one creature to collapse in on itself, inflicting 10 points of damage per caster level. If you break concentration, the spell immediately ends, though any implosions that have already happened remain in effect. You can target a particular creature only once with each casting of the spell. Implosion has no effect on creatures in gaseous form or on incorporeal creatures.&lt;/p&gt;&lt;/h4&gt;&lt;/div&gt;</t>
  </si>
  <si>
    <t> Inflict 10 damage/level to one creature/round.</t>
  </si>
  <si>
    <t>Imprisonment</t>
  </si>
  <si>
    <t>When you cast imprisonment and touch a creature, it is entombed in a state of suspended animation (see the temporal stasis spell) in a small sphere far beneath the surface of the ground. The subject remains there unless a freedom spell is cast at the locale where the imprisonment took place. Magical search by a crystal ball, a locate object spell, or some other similar divination does not reveal the fact that a creature is imprisoned, but discern location does. A wish or miracle spell will not free the recipient, but will reveal where it is entombed. If you know the target's name and some facts about its life, the target takes a -4 penalty on its save.</t>
  </si>
  <si>
    <t>&lt;p&gt;When you cast &lt;i&gt;imprisonment&lt;/i&gt; and touch a creature, it is entombed in a state of suspended animation (see the &lt;i&gt;temporal stasis&lt;/i&gt; spell) in a small sphere far beneath the surface of the ground. The subject remains there unless a &lt;i&gt;freedom&lt;/i&gt; spell is cast at the locale where the &lt;i&gt;imprisonment&lt;/i&gt; took place. Magical search by a &lt;i&gt;crystal ball, a locate object&lt;/i&gt; spell, or some other similar divination does not reveal the fact that a creature is imprisoned, but &lt;i&gt;discern location&lt;/i&gt; does. A &lt;i&gt;wish&lt;/i&gt; or &lt;i&gt;miracle&lt;/i&gt; spell will not free the recipient, but will reveal where it is entombed. If you know the target's name and some facts about its life, the target takes a -4 penalty on its save.&lt;/p&gt;</t>
  </si>
  <si>
    <t>&lt;link rel="stylesheet"href="PF.css"&gt;&lt;div class="heading"&gt;&lt;p class="alignleft"&gt;Imprisonment&lt;/p&gt;&lt;div style="clear: both;"&gt;&lt;/div&gt;&lt;/div&gt;&lt;div&gt;&lt;h5&gt;&lt;b&gt;School &lt;/b&gt;abjuration; &lt;b&gt;Level &lt;/b&gt;sorcerer/wizard 9&lt;/h5&gt;&lt;/div&gt;&lt;hr/&gt;&lt;div&gt;&lt;h5&gt;&lt;b&gt;CASTING&lt;/b&gt;&lt;/h5&gt;&lt;/div&gt;&lt;hr/&gt;&lt;div&gt;&lt;h5&gt;&lt;b&gt;Casting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&lt;/b&gt;instantaneous&lt;/h5&gt;&lt;h5&gt;&lt;b&gt;Saving Throw &lt;/b&gt;Will negates; see text; &lt;b&gt;Spell Resistance &lt;/b&gt;yes&lt;/h5&gt;&lt;/div&gt;&lt;hr/&gt;&lt;div&gt;&lt;h5&gt;&lt;b&gt;DESCRIPTION&lt;/b&gt;&lt;/h5&gt;&lt;/div&gt;&lt;hr/&gt;&lt;div&gt;&lt;h4&gt;&lt;p&gt;When you cast &lt;i&gt;imprisonment&lt;/i&gt; and touch a creature, it is entombed in a state of suspended animation (see the &lt;i&gt;temporal stasis&lt;/i&gt; spell) in a small sphere far beneath the surface of the ground. The subject remains there unless a &lt;i&gt;freedom&lt;/i&gt; spell is cast at the locale where the &lt;i&gt;imprisonment&lt;/i&gt; took place. Magical search by a &lt;i&gt;crystal ball, a locate object&lt;/i&gt; spell, or some other similar divination does not reveal the fact that a creature is imprisoned, but &lt;i&gt;discern location&lt;/i&gt; does. A &lt;i&gt;wish&lt;/i&gt; or &lt;i&gt;miracle&lt;/i&gt; spell will not free the recipient, but will reveal where it is entombed. If you know the target's name and some facts about its life, the target takes a -4 penalty on its save.&lt;/p&gt;&lt;/h4&gt;&lt;/div&gt;</t>
  </si>
  <si>
    <t> Entombs subject beneath the earth.</t>
  </si>
  <si>
    <t>Incendiary Cloud</t>
  </si>
  <si>
    <t>An incendiary cloud spell creates a cloud of roiling smoke shot through with white-hot embers. The smoke obscures all sight as a fog cloud does. In addition, the white-hot embers within the cloud deal 6d6 points of fire damage to everything within the cloud on your turn each round. All targets can make Reflex saves each round to take half damage. As with a cloudkill spell, the smoke moves away from you at 10 feet per round. Figure out the smoke's new spread each round based on its new point of origin, which is 10 feet farther away from where you were when you cast the spell. By concentrating, you can make the cloud move as much as 60 feet each round. Any portion of the cloud that would extend beyond your maximum range dissipates harmlessly, reducing the remainder's spread thereafter. As with fog cloud, wind disperses the smoke, and the spell can't be cast underwater.</t>
  </si>
  <si>
    <t>&lt;p&gt;An &lt;i&gt;incendiary cloud&lt;/i&gt; spell creates a cloud of roiling smoke shot through with white-hot embers. The smoke obscures all sight as a &lt;i&gt;fog cloud&lt;/i&gt; does. In addition, the white-hot embers within the cloud deal 6d6 points of fire damage to everything within the cloud on your turn each round. All targets can make Reflex saves each round to take half damage.&lt;/p&gt;&lt;p&gt;As with a &lt;i&gt;cloudkill&lt;/i&gt; spell, the smoke moves away from you at 10 feet per round. Figure out the smoke's new spread each round based on its new point of origin, which is 10 feet farther away from where you were when you cast the spell. By concentrating, you can make the cloud move as much as 60 feet each round. Any portion of the cloud that would extend beyond your maximum range dissipates harmlessly, reducing the remainder's spread thereafter.&lt;/p&gt;&lt;p&gt;As with &lt;i&gt;fog cloud&lt;/i&gt;, wind disperses the smoke, and the spell can't be cast underwater.&lt;/p&gt;</t>
  </si>
  <si>
    <t>&lt;link rel="stylesheet"href="PF.css"&gt;&lt;div class="heading"&gt;&lt;p class="alignleft"&gt;Incendiary Cloud&lt;/p&gt;&lt;div style="clear: both;"&gt;&lt;/div&gt;&lt;/div&gt;&lt;div&gt;&lt;h5&gt;&lt;b&gt;School &lt;/b&gt;conjuration (creation) [fire]; &lt;b&gt;Level &lt;/b&gt;sorcerer/wizard 8, summoner 6&lt;/h5&gt;&lt;/div&gt;&lt;hr/&gt;&lt;div&gt;&lt;h5&gt;&lt;b&gt;CASTING&lt;/b&gt;&lt;/h5&gt;&lt;/div&gt;&lt;hr/&gt;&lt;div&gt;&lt;h5&gt;&lt;b&gt;Casting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ft./level)&lt;/h5&gt;&lt;h5&gt;&lt;b&gt;Area &lt;/b&gt;cloud spreads in 20-ft. radius, 20 ft. high&lt;/h5&gt;&lt;h5&gt;&lt;b&gt;Duration &lt;/b&gt;1 round/level (D)&lt;/h5&gt;&lt;h5&gt;&lt;b&gt;Saving Throw &lt;/b&gt;Reflex half; see text; &lt;b&gt;Spell Resistance &lt;/b&gt;no&lt;/h5&gt;&lt;/div&gt;&lt;hr/&gt;&lt;div&gt;&lt;h5&gt;&lt;b&gt;DESCRIPTION&lt;/b&gt;&lt;/h5&gt;&lt;/div&gt;&lt;hr/&gt;&lt;div&gt;&lt;h4&gt;&lt;p&gt;An &lt;i&gt;incendiary cloud&lt;/i&gt; spell creates a cloud of roiling smoke shot through with white-hot embers. The smoke obscures all sight as a &lt;i&gt;fog cloud&lt;/i&gt; does. In addition, the white-hot embers within the cloud deal 6d6 points of fire damage to everything within the cloud on your turn each round. All targets can make Reflex saves each round to take half damage.&lt;/p&gt;&lt;p&gt;As with a &lt;i&gt;cloudkill&lt;/i&gt; spell, the smoke moves away from you at 10 feet per round. Figure out the smoke's new spread each round based on its new point of origin, which is 10 feet farther away from where you were when you cast the spell. By concentrating, you can make the cloud move as much as 60 feet each round. Any portion of the cloud that would extend beyond your maximum range dissipates harmlessly, reducing the remainder's spread thereafter.&lt;/p&gt;&lt;p&gt;As with &lt;i&gt;fog cloud&lt;/i&gt;, wind disperses the smoke, and the spell can't be cast underwater.&lt;/p&gt;&lt;/h4&gt;&lt;/div&gt;</t>
  </si>
  <si>
    <t> Cloud deals 6d6 fire damage/round.</t>
  </si>
  <si>
    <t>Inflict Light Wounds</t>
  </si>
  <si>
    <t>Will half</t>
  </si>
  <si>
    <t>When laying your hand upon a creature, you channel negative energy that deals 1d8 points of damage + 1 point per caster level (maximum +5). Since undead are powered by negative energy, this spell cures such a creature of a like amount of damage, rather than harming it.</t>
  </si>
  <si>
    <t>&lt;p&gt;When laying your hand upon a creature, you channel negative energy that deals 1d8 points of damage + 1 point per caster level (maximum +5).&lt;/p&gt;&lt;p&gt;Since undead are powered by negative energy, this spell cures such a creature of a like amount of damage, rather than harming it.&lt;/p&gt;</t>
  </si>
  <si>
    <t>&lt;link rel="stylesheet"href="PF.css"&gt;&lt;div class="heading"&gt;&lt;p class="alignleft"&gt;Inflict Light Wounds&lt;/p&gt;&lt;div style="clear: both;"&gt;&lt;/div&gt;&lt;/div&gt;&lt;div&gt;&lt;h5&gt;&lt;b&gt;School &lt;/b&gt;necromancy; &lt;b&gt;Level &lt;/b&gt;antipaladin 1, cleric/oracle 1, inquisitor 1, witch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&lt;/b&gt;instantaneous&lt;/h5&gt;&lt;h5&gt;&lt;b&gt;Saving Throw &lt;/b&gt;Will half; &lt;b&gt;Spell Resistance &lt;/b&gt;yes&lt;/h5&gt;&lt;/div&gt;&lt;hr/&gt;&lt;div&gt;&lt;h5&gt;&lt;b&gt;DESCRIPTION&lt;/b&gt;&lt;/h5&gt;&lt;/div&gt;&lt;hr/&gt;&lt;div&gt;&lt;h4&gt;&lt;p&gt;When laying your hand upon a creature, you channel negative energy that deals 1d8 points of damage + 1 point per caster level (maximum +5).&lt;/p&gt;&lt;p&gt;Since undead are powered by negative energy, this spell cures such a creature of a like amount of damage, rather than harming it.&lt;/p&gt;&lt;/h4&gt;&lt;h5&gt;&lt;b&gt;Mythic: &lt;/b&gt;The damage dealt increases to 2d8 points of damage + 2 points per caster level (maximum +10). A living target is sickened for 1 round per caster level (maximum 5 rounds) if it fails its saving throw.&lt;/h5&gt;&lt;/div&gt;</t>
  </si>
  <si>
    <t> Touch deals 1d8 damage +1/level (max +5).</t>
  </si>
  <si>
    <t>The damage dealt increases to 2d8 points of damage + 2 points per caster level (maximum +10). A living target is sickened for 1 round per caster level (maximum 5 rounds) if it fails its saving throw.</t>
  </si>
  <si>
    <t>Inflict Critical Wounds</t>
  </si>
  <si>
    <t>cleric/oracle 4, witch 5, inquisitor 4</t>
  </si>
  <si>
    <t>This spell functions like inflict light wounds, except that you deal 4d8 points of damage + 1 point per caster level (maximum +20).</t>
  </si>
  <si>
    <t>&lt;p&gt;This spell functions like &lt;i&gt;inflict light wounds&lt;/i&gt;, except that you deal 4d8 points of damage + 1 point per caster level (maximum +20).&lt;/p&gt;</t>
  </si>
  <si>
    <t>&lt;link rel="stylesheet"href="PF.css"&gt;&lt;div class="heading"&gt;&lt;p class="alignleft"&gt;Inflict Critical Wounds&lt;/p&gt;&lt;div style="clear: both;"&gt;&lt;/div&gt;&lt;/div&gt;&lt;div&gt;&lt;h5&gt;&lt;b&gt;School &lt;/b&gt;necromancy; &lt;b&gt;Level &lt;/b&gt;cleric/oracle 4, witch 5, inquisitor 4&lt;/h5&gt;&lt;/div&gt;&lt;hr/&gt;&lt;div&gt;&lt;h5&gt;&lt;b&gt;CASTING&lt;/b&gt;&lt;/h5&gt;&lt;/div&gt;&lt;hr/&gt;&lt;div&gt;&lt;h5&gt;&lt;b&gt;Casting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&lt;/b&gt;instantaneous&lt;/h5&gt;&lt;h5&gt;&lt;b&gt;Saving Throw &lt;/b&gt;Will half; &lt;b&gt;Spell Resistance &lt;/b&gt;yes&lt;/h5&gt;&lt;/div&gt;&lt;hr/&gt;&lt;div&gt;&lt;h5&gt;&lt;b&gt;DESCRIPTION&lt;/b&gt;&lt;/h5&gt;&lt;/div&gt;&lt;hr/&gt;&lt;div&gt;&lt;h4&gt;&lt;p&gt;This spell functions like &lt;i&gt;inflict light wounds&lt;/i&gt;, except that you deal 4d8 points of damage + 1 point per caster level (maximum +20).&lt;/p&gt;&lt;/h4&gt;&lt;h5&gt;&lt;b&gt;Mythic: &lt;/b&gt;The damage dealt increases to 8d8 points of damage + 2 points per caster level (maximum +40). A living target is sickened for 1 round per caster level (maximum 20 rounds) if it fails its saving throw.&lt;/h5&gt;&lt;/div&gt;</t>
  </si>
  <si>
    <t> Touch attack, 4d8 damage + 1/level (max +20).</t>
  </si>
  <si>
    <t>The damage dealt increases to 8d8 points of damage + 2 points per caster level (maximum +40). A living target is sickened for 1 round per caster level (maximum 20 rounds) if it fails its saving throw.</t>
  </si>
  <si>
    <t>Inflict Critical Wounds, Mass</t>
  </si>
  <si>
    <t>cleric 8/oracle 8, witch 9</t>
  </si>
  <si>
    <t>This spell functions like mass inflict light wounds, except that it deals 4d8 points of damage + 1 point per caster level (maximum +40).</t>
  </si>
  <si>
    <t>&lt;p&gt;This spell functions like &lt;i&gt;mass inflict light wounds&lt;/i&gt;, except that it deals 4d8 points of damage + 1 point per caster level (maximum +40).&lt;/p&gt;</t>
  </si>
  <si>
    <t>&lt;link rel="stylesheet"href="PF.css"&gt;&lt;div class="heading"&gt;&lt;p class="alignleft"&gt;Inflict Critical Wounds, Mass&lt;/p&gt;&lt;div style="clear: both;"&gt;&lt;/div&gt;&lt;/div&gt;&lt;div&gt;&lt;h5&gt;&lt;b&gt;School &lt;/b&gt;necromancy; &lt;b&gt;Level &lt;/b&gt;cleric 8/oracle 8, witch 9&lt;/h5&gt;&lt;/div&gt;&lt;hr/&gt;&lt;div&gt;&lt;h5&gt;&lt;b&gt;CASTING&lt;/b&gt;&lt;/h5&gt;&lt;/div&gt;&lt;hr/&gt;&lt;div&gt;&lt;h5&gt;&lt;b&gt;Casting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creature/level, no two of which can be more than 30 ft. apart&lt;/h5&gt;&lt;h5&gt;&lt;b&gt;Duration &lt;/b&gt;instantaneous&lt;/h5&gt;&lt;h5&gt;&lt;b&gt;Saving Throw &lt;/b&gt;Will half; &lt;b&gt;Spell Resistance &lt;/b&gt;yes&lt;/h5&gt;&lt;/div&gt;&lt;hr/&gt;&lt;div&gt;&lt;h5&gt;&lt;b&gt;DESCRIPTION&lt;/b&gt;&lt;/h5&gt;&lt;/div&gt;&lt;hr/&gt;&lt;div&gt;&lt;h4&gt;&lt;p&gt;This spell functions like &lt;i&gt;mass inflict light wounds&lt;/i&gt;, except that it deals 4d8 points of damage + 1 point per caster level (maximum +40).&lt;/p&gt;&lt;/h4&gt;&lt;/div&gt;</t>
  </si>
  <si>
    <t> Deals 4d8 damage + 1/level, affects 1 subject/level.</t>
  </si>
  <si>
    <t>Inflict Light Wounds, Mass</t>
  </si>
  <si>
    <t>cleric 5/oracle 5, witch 6, inquisitor 5</t>
  </si>
  <si>
    <t>Negative energy spreads out in all directions from the point of origin, dealing 1d8 points of damage + 1 point per caster level (maximum +25) to nearby living enemies. Like other inflict spells, mass inflict light wounds cures undead in its area rather than damaging them. A cleric capable of spontaneously casting inflict spells can also spontaneously cast mass inflict spells.</t>
  </si>
  <si>
    <t>&lt;p&gt;Negative energy spreads out in all directions from the point of origin, dealing 1d8 points of damage + 1 point per caster level (maximum +25) to nearby living enemies.&lt;/p&gt;&lt;p&gt;Like other &lt;i&gt;inflict&lt;/i&gt; spells, &lt;i&gt;mass inflict light wounds&lt;/i&gt; cures undead in its area rather than damaging them. A cleric capable of spontaneously casting &lt;i&gt;inflict&lt;/i&gt; spells can also spontaneously cast mass &lt;i&gt;inflict&lt;/i&gt; spells.&lt;/p&gt;</t>
  </si>
  <si>
    <t>&lt;link rel="stylesheet"href="PF.css"&gt;&lt;div class="heading"&gt;&lt;p class="alignleft"&gt;Inflict Light Wounds, Mass&lt;/p&gt;&lt;div style="clear: both;"&gt;&lt;/div&gt;&lt;/div&gt;&lt;div&gt;&lt;h5&gt;&lt;b&gt;School &lt;/b&gt;necromancy; &lt;b&gt;Level &lt;/b&gt;cleric 5/oracle 5, witch 6, inquisitor 5&lt;/h5&gt;&lt;/div&gt;&lt;hr/&gt;&lt;div&gt;&lt;h5&gt;&lt;b&gt;CASTING&lt;/b&gt;&lt;/h5&gt;&lt;/div&gt;&lt;hr/&gt;&lt;div&gt;&lt;h5&gt;&lt;b&gt;Casting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creature/level, no two of which can be more than 30 ft. apart&lt;/h5&gt;&lt;h5&gt;&lt;b&gt;Duration &lt;/b&gt;instantaneous&lt;/h5&gt;&lt;h5&gt;&lt;b&gt;Saving Throw &lt;/b&gt;Will half; &lt;b&gt;Spell Resistance &lt;/b&gt;yes&lt;/h5&gt;&lt;/div&gt;&lt;hr/&gt;&lt;div&gt;&lt;h5&gt;&lt;b&gt;DESCRIPTION&lt;/b&gt;&lt;/h5&gt;&lt;/div&gt;&lt;hr/&gt;&lt;div&gt;&lt;h4&gt;&lt;p&gt;Negative energy spreads out in all directions from the point of origin, dealing 1d8 points of damage + 1 point per caster level (maximum +25) to nearby living enemies.&lt;/p&gt;&lt;p&gt;Like other &lt;i&gt;inflict&lt;/i&gt; spells, &lt;i&gt;mass inflict light wounds&lt;/i&gt; cures undead in its area rather than damaging them. A cleric capable of spontaneously casting &lt;i&gt;inflict&lt;/i&gt; spells can also spontaneously cast mass &lt;i&gt;inflict&lt;/i&gt; spells.&lt;/p&gt;&lt;/h4&gt;&lt;/div&gt;</t>
  </si>
  <si>
    <t> Deals 1d8 damage + 1/level, affects 1 subject/level.</t>
  </si>
  <si>
    <t>Inflict Moderate Wounds</t>
  </si>
  <si>
    <t>antipaladin 3, cleric/oracle 2, inquisitor 2, witch 2</t>
  </si>
  <si>
    <t>The damage dealt increases to 4d8 points of damage + 2 points per caster level (maximum +20). A living target is sickened for 1 round per caster level (maximum 10 rounds) if it fails its saving throw.</t>
  </si>
  <si>
    <t>&lt;p&gt;The damage dealt increases to 4d8 points of damage + 2 points per caster level (maximum +20). A living target is sickened for 1 round per caster level (maximum 10 rounds) if it fails its saving throw.&lt;/p&gt;</t>
  </si>
  <si>
    <t>&lt;link rel="stylesheet"href="PF.css"&gt;&lt;div class="heading"&gt;&lt;p class="alignleft"&gt;Inflict Moderate Wounds&lt;/p&gt;&lt;div style="clear: both;"&gt;&lt;/div&gt;&lt;/div&gt;&lt;div&gt;&lt;h5&gt;&lt;b&gt;School &lt;/b&gt;necromancy; &lt;b&gt;Level &lt;/b&gt;antipaladin 3, cleric/oracle 2, inquisitor 2, witch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&lt;/b&gt;instantaneous&lt;/h5&gt;&lt;h5&gt;&lt;b&gt;Saving Throw &lt;/b&gt;Will half; &lt;b&gt;Spell Resistance &lt;/b&gt;yes&lt;/h5&gt;&lt;/div&gt;&lt;hr/&gt;&lt;div&gt;&lt;h5&gt;&lt;b&gt;DESCRIPTION&lt;/b&gt;&lt;/h5&gt;&lt;/div&gt;&lt;hr/&gt;&lt;div&gt;&lt;h4&gt;&lt;p&gt;The damage dealt increases to 4d8 points of damage + 2 points per caster level (maximum +20). A living target is sickened for 1 round per caster level (maximum 10 rounds) if it fails its saving throw.&lt;/p&gt;&lt;/h4&gt;&lt;h5&gt;&lt;b&gt;Mythic: &lt;/b&gt;The damage dealt increases to 4d8 points of damage + 2 points per caster level (maximum +20). A living target is sickened for 1 round per caster level (maximum 10 rounds) if it fails its saving throw.&lt;/h5&gt;&lt;/div&gt;</t>
  </si>
  <si>
    <t> Touch attack, 2d8 damage + 1/level (max +10).</t>
  </si>
  <si>
    <t>Inflict Moderate Wounds, Mass</t>
  </si>
  <si>
    <t>cleric 6/oracle 6, witch 7, inquisitor 6</t>
  </si>
  <si>
    <t>This spell functions like mass inflict light wounds, except that it deals 2d8 points of damage + 1 point per caster level (maximum +30).</t>
  </si>
  <si>
    <t>&lt;p&gt;This spell functions like &lt;i&gt;mass inflict light wounds&lt;/i&gt;, except that it deals 2d8 points of damage + 1 point per caster level (maximum +30).&lt;/p&gt;</t>
  </si>
  <si>
    <t>&lt;link rel="stylesheet"href="PF.css"&gt;&lt;div class="heading"&gt;&lt;p class="alignleft"&gt;Inflict Moderate Wounds, Mass&lt;/p&gt;&lt;div style="clear: both;"&gt;&lt;/div&gt;&lt;/div&gt;&lt;div&gt;&lt;h5&gt;&lt;b&gt;School &lt;/b&gt;necromancy; &lt;b&gt;Level &lt;/b&gt;cleric 6/oracle 6, witch 7, inquisitor 6&lt;/h5&gt;&lt;/div&gt;&lt;hr/&gt;&lt;div&gt;&lt;h5&gt;&lt;b&gt;CASTING&lt;/b&gt;&lt;/h5&gt;&lt;/div&gt;&lt;hr/&gt;&lt;div&gt;&lt;h5&gt;&lt;b&gt;Casting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creature/level, no two of which can be more than 30 ft. apart&lt;/h5&gt;&lt;h5&gt;&lt;b&gt;Duration &lt;/b&gt;instantaneous&lt;/h5&gt;&lt;h5&gt;&lt;b&gt;Saving Throw &lt;/b&gt;Will half; &lt;b&gt;Spell Resistance &lt;/b&gt;yes&lt;/h5&gt;&lt;/div&gt;&lt;hr/&gt;&lt;div&gt;&lt;h5&gt;&lt;b&gt;DESCRIPTION&lt;/b&gt;&lt;/h5&gt;&lt;/div&gt;&lt;hr/&gt;&lt;div&gt;&lt;h4&gt;&lt;p&gt;This spell functions like &lt;i&gt;mass inflict light wounds&lt;/i&gt;, except that it deals 2d8 points of damage + 1 point per caster level (maximum +30).&lt;/p&gt;&lt;/h4&gt;&lt;/div&gt;</t>
  </si>
  <si>
    <t> Deals 2d8 damage + 1/level, affects 1 subject/level.</t>
  </si>
  <si>
    <t>Inflict Serious Wounds</t>
  </si>
  <si>
    <t>cleric/oracle 3, witch 4, inquisitor 3, antipaladin 4</t>
  </si>
  <si>
    <t>The damage dealt increases to 6d8 points of damage + 2 points per caster level (maximum +30). A living target is sickened for 1 round per caster level (maximum 15 rounds) if it fails its saving throw.</t>
  </si>
  <si>
    <t>&lt;p&gt;The damage dealt increases to 6d8 points of damage + 2 points per caster level (maximum +30). A living target is sickened for 1 round per caster level (maximum 15 rounds) if it fails its saving throw.&lt;/p&gt;</t>
  </si>
  <si>
    <t>&lt;link rel="stylesheet"href="PF.css"&gt;&lt;div class="heading"&gt;&lt;p class="alignleft"&gt;Inflict Serious Wounds&lt;/p&gt;&lt;div style="clear: both;"&gt;&lt;/div&gt;&lt;/div&gt;&lt;div&gt;&lt;h5&gt;&lt;b&gt;School &lt;/b&gt;necromancy; &lt;b&gt;Level &lt;/b&gt;cleric/oracle 3, witch 4, inquisitor 3, antipaladin 4&lt;/h5&gt;&lt;/div&gt;&lt;hr/&gt;&lt;div&gt;&lt;h5&gt;&lt;b&gt;CASTING&lt;/b&gt;&lt;/h5&gt;&lt;/div&gt;&lt;hr/&gt;&lt;div&gt;&lt;h5&gt;&lt;b&gt;Casting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&lt;/b&gt;instantaneous&lt;/h5&gt;&lt;h5&gt;&lt;b&gt;Saving Throw &lt;/b&gt;Will half; &lt;b&gt;Spell Resistance &lt;/b&gt;yes&lt;/h5&gt;&lt;/div&gt;&lt;hr/&gt;&lt;div&gt;&lt;h5&gt;&lt;b&gt;DESCRIPTION&lt;/b&gt;&lt;/h5&gt;&lt;/div&gt;&lt;hr/&gt;&lt;div&gt;&lt;h4&gt;&lt;p&gt;The damage dealt increases to 6d8 points of damage + 2 points per caster level (maximum +30). A living target is sickened for 1 round per caster level (maximum 15 rounds) if it fails its saving throw.&lt;/p&gt;&lt;/h4&gt;&lt;h5&gt;&lt;b&gt;Mythic: &lt;/b&gt;The damage dealt increases to 6d8 points of damage + 2 points per caster level (maximum +30). A living target is sickened for 1 round per caster level (maximum 15 rounds) if it fails its saving throw.&lt;/h5&gt;&lt;/div&gt;</t>
  </si>
  <si>
    <t> Touch attack, 3d8 damage + 1/level (max +15).</t>
  </si>
  <si>
    <t>Inflict Serious Wounds, Mass</t>
  </si>
  <si>
    <t>This spell functions like mass inflict light wounds, except that it deals 3d8 points of damage + 1 point per caster level (maximum +35).</t>
  </si>
  <si>
    <t>&lt;p&gt;This spell functions like &lt;i&gt;mass inflict light wounds&lt;/i&gt;, except that it deals 3d8 points of damage + 1 point per caster level (maximum +35).&lt;/p&gt;</t>
  </si>
  <si>
    <t>&lt;link rel="stylesheet"href="PF.css"&gt;&lt;div class="heading"&gt;&lt;p class="alignleft"&gt;Inflict Serious Wounds, Mass&lt;/p&gt;&lt;div style="clear: both;"&gt;&lt;/div&gt;&lt;/div&gt;&lt;div&gt;&lt;h5&gt;&lt;b&gt;School &lt;/b&gt;necromancy; &lt;b&gt;Level &lt;/b&gt;cleric 7/oracle 7, witch 8&lt;/h5&gt;&lt;/div&gt;&lt;hr/&gt;&lt;div&gt;&lt;h5&gt;&lt;b&gt;CASTING&lt;/b&gt;&lt;/h5&gt;&lt;/div&gt;&lt;hr/&gt;&lt;div&gt;&lt;h5&gt;&lt;b&gt;Casting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creature/level, no two of which can be more than 30 ft. apart&lt;/h5&gt;&lt;h5&gt;&lt;b&gt;Duration &lt;/b&gt;instantaneous&lt;/h5&gt;&lt;h5&gt;&lt;b&gt;Saving Throw &lt;/b&gt;Will half; &lt;b&gt;Spell Resistance &lt;/b&gt;yes&lt;/h5&gt;&lt;/div&gt;&lt;hr/&gt;&lt;div&gt;&lt;h5&gt;&lt;b&gt;DESCRIPTION&lt;/b&gt;&lt;/h5&gt;&lt;/div&gt;&lt;hr/&gt;&lt;div&gt;&lt;h4&gt;&lt;p&gt;This spell functions like &lt;i&gt;mass inflict light wounds&lt;/i&gt;, except that it deals 3d8 points of damage + 1 point per caster level (maximum +35).&lt;/p&gt;&lt;/h4&gt;&lt;/div&gt;</t>
  </si>
  <si>
    <t>Blood</t>
  </si>
  <si>
    <t> Deals 3d8 damage + 1/level, affects 1 subject/level.</t>
  </si>
  <si>
    <t>The affected creature suffers from a continuous confusion effect, as the spell. Remove curse does not remove insanity. Greater restoration, heal, limited wish, miracle, or wish can restore the creature.</t>
  </si>
  <si>
    <t>&lt;p&gt;The affected creature suffers from a continuous &lt;i&gt;confusion&lt;/i&gt; effect, as the spell.&lt;/p&gt;&lt;p&gt;&lt;i&gt;Remove curse&lt;/i&gt; does not remove &lt;i&gt;insanity. Greater restoration, heal, limited &lt;i&gt;wish&lt;/i&gt;, miracle,&lt;/i&gt; or &lt;i&gt;wish&lt;/i&gt; can restore the creature.&lt;/p&gt;</t>
  </si>
  <si>
    <t>&lt;link rel="stylesheet"href="PF.css"&gt;&lt;div class="heading"&gt;&lt;p class="alignleft"&gt;Insanity&lt;/p&gt;&lt;div style="clear: both;"&gt;&lt;/div&gt;&lt;/div&gt;&lt;div&gt;&lt;h5&gt;&lt;b&gt;School &lt;/b&gt;enchantment (compulsion) [mind-affecting]; &lt;b&gt;Level &lt;/b&gt;sorcerer/wizard 7, witch 7&lt;/h5&gt;&lt;/div&gt;&lt;hr/&gt;&lt;div&gt;&lt;h5&gt;&lt;b&gt;CASTING&lt;/b&gt;&lt;/h5&gt;&lt;/div&gt;&lt;hr/&gt;&lt;div&gt;&lt;h5&gt;&lt;b&gt;Casting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ft./level)&lt;/h5&gt;&lt;h5&gt;&lt;b&gt;Targets &lt;/b&gt;one living creature&lt;/h5&gt;&lt;h5&gt;&lt;b&gt;Duration &lt;/b&gt;instantaneous&lt;/h5&gt;&lt;h5&gt;&lt;b&gt;Saving Throw &lt;/b&gt;Will negates; &lt;b&gt;Spell Resistance &lt;/b&gt;yes&lt;/h5&gt;&lt;/div&gt;&lt;hr/&gt;&lt;div&gt;&lt;h5&gt;&lt;b&gt;DESCRIPTION&lt;/b&gt;&lt;/h5&gt;&lt;/div&gt;&lt;hr/&gt;&lt;div&gt;&lt;h4&gt;&lt;p&gt;The affected creature suffers from a continuous &lt;i&gt;confusion&lt;/i&gt; effect, as the spell.&lt;/p&gt;&lt;p&gt;&lt;i&gt;Remove curse&lt;/i&gt; does not remove &lt;i&gt;insanity. Greater restoration, heal, limited &lt;i&gt;wish&lt;/i&gt;, miracle,&lt;/i&gt; or &lt;i&gt;wish&lt;/i&gt; can restore the creature.&lt;/p&gt;&lt;/h4&gt;&lt;/div&gt;</t>
  </si>
  <si>
    <t>Charm, Madness</t>
  </si>
  <si>
    <t> Subject suffers continuous confusion.</t>
  </si>
  <si>
    <t>Interposing Hand</t>
  </si>
  <si>
    <t>sorcerer/wizard 5, magus 5</t>
  </si>
  <si>
    <t>Interposing hand creates a Large magic hand that appears between you and one opponent. This floating, disembodied hand then moves to remain between the two of you, regardless of where you move or how the opponent tries to get around it, providing cover (+4 AC) for you against that opponent. Nothing can fool the hand-it sticks with the selected opponent in spite of darkness, invisibility, polymorphing, or any other attempt at hiding or disguise. The hand does not pursue an opponent, however. An interposing hand is 10 feet long and about that wide with its fingers outstretched. It has as many hit points as you do when you're undamaged, and is AC 20 (-1 size, +11 natural). It takes damage as a normal creature, but most magical effects that don't cause damage do not affect it. The hand never provokes attacks of opportunity from opponents. It cannot push through a wall of force or enter an antimagic field, but it suffers the full effect of a prismatic wall or prismatic sphere. The hand makes saving throws as its caster. Disintegrate or a successful dispel magic destroys it. Any creature weighing 2,000 pounds or less that tries to push past the hand is slowed to half its normal speed. The hand cannot reduce the speed of a creature weighing more than 2,000 pounds, but it still affects the creature's attacks. Directing the spell to a new target is a move action.</t>
  </si>
  <si>
    <t>&lt;p&gt;&lt;i&gt;Interposing hand&lt;/i&gt; creates a Large magic hand that appears between you and one opponent. This floating, disembodied hand then moves to remain between the two of you, regardless of where you move or how the opponent tries to get around it, providing cover (+4 AC) for you against that opponent. Nothing can fool the hand-it sticks with the selected opponent in spite of &lt;i&gt;darkness,&lt;/i&gt; invisibility, polymorphing, or any other attempt at hiding or disguise. The hand does not pursue an opponent, however.&lt;/p&gt;&lt;p&gt;An &lt;i&gt;interposing hand&lt;/i&gt; is 10 feet long and about that wide with its fingers outstretched. It has as many hit points as you do when you're undamaged, and is AC 20 (-1 size, +11 natural). It takes damage as a normal creature, but most magical effects that don't cause damage do not affect it.&lt;/p&gt;&lt;p&gt;The hand never provokes attacks of opportunity from opponents.&lt;/p&gt;&lt;p&gt;It cannot push through a &lt;i&gt;wall of force or&lt;/i&gt; enter an &lt;i&gt;antimagic field&lt;/i&gt;, but it suffers the full effect of a &lt;i&gt;prismatic wall&lt;/i&gt; or &lt;i&gt;prismatic sphere.&lt;/i&gt; The hand makes saving throws as its caster.&lt;/p&gt;&lt;p&gt;&lt;i&gt;Disintegrate&lt;/i&gt; or a successful &lt;i&gt;dispel magic&lt;/i&gt; destroys it.&lt;/p&gt;&lt;p&gt;Any creature weighing 2,000 pounds or less that tries to push past the hand is slowed to half its normal speed. The hand cannot reduce the speed of a creature weighing more than 2,000 pounds, but it still affects the creature's attacks.&lt;/p&gt;&lt;p&gt;Directing the spell to a new target is a move action.&lt;/p&gt;</t>
  </si>
  <si>
    <t>&lt;link rel="stylesheet"href="PF.css"&gt;&lt;div class="heading"&gt;&lt;p class="alignleft"&gt;Interposing Hand&lt;/p&gt;&lt;div style="clear: both;"&gt;&lt;/div&gt;&lt;/div&gt;&lt;div&gt;&lt;h5&gt;&lt;b&gt;School &lt;/b&gt;evocation [force]; &lt;b&gt;Level &lt;/b&gt;sorcerer/wizard 5, magus 5&lt;/h5&gt;&lt;/div&gt;&lt;hr/&gt;&lt;div&gt;&lt;h5&gt;&lt;b&gt;CASTING&lt;/b&gt;&lt;/h5&gt;&lt;/div&gt;&lt;hr/&gt;&lt;div&gt;&lt;h5&gt;&lt;b&gt;Casting Time &lt;/b&gt;1 standard action&lt;/h5&gt;&lt;h5&gt;&lt;b&gt;Components &lt;/b&gt;V, S, F (a soft glove)&lt;/h5&gt;&lt;/div&gt;&lt;hr/&gt;&lt;div&gt;&lt;h5&gt;&lt;b&gt;EFFECT&lt;/b&gt;&lt;/h5&gt;&lt;/div&gt;&lt;hr/&gt;&lt;div&gt;&lt;h5&gt;&lt;b&gt;Range &lt;/b&gt;medium (100 ft. + 10 ft./level)&lt;/h5&gt;&lt;h5&gt;&lt;b&gt;Effect &lt;/b&gt;10-ft. hand&lt;/h5&gt;&lt;h5&gt;&lt;b&gt;Duration &lt;/b&gt;1 round/level (D)&lt;/h5&gt;&lt;h5&gt;&lt;b&gt;Saving Throw &lt;/b&gt;none; &lt;b&gt;Spell Resistance &lt;/b&gt;yes&lt;/h5&gt;&lt;/div&gt;&lt;hr/&gt;&lt;div&gt;&lt;h5&gt;&lt;b&gt;DESCRIPTION&lt;/b&gt;&lt;/h5&gt;&lt;/div&gt;&lt;hr/&gt;&lt;div&gt;&lt;h4&gt;&lt;p&gt;&lt;i&gt;Interposing hand&lt;/i&gt; creates a Large magic hand that appears between you and one opponent. This floating, disembodied hand then moves to remain between the two of you, regardless of where you move or how the opponent tries to get around it, providing cover (+4 AC) for you against that opponent. Nothing can fool the hand-it sticks with the selected opponent in spite of &lt;i&gt;darkness,&lt;/i&gt; invisibility, polymorphing, or any other attempt at hiding or disguise. The hand does not pursue an opponent, however.&lt;/p&gt;&lt;p&gt;An &lt;i&gt;interposing hand&lt;/i&gt; is 10 feet long and about that wide with its fingers outstretched. It has as many hit points as you do when you're undamaged, and is AC 20 (-1 size, +11 natural). It takes damage as a normal creature, but most magical effects that don't cause damage do not affect it.&lt;/p&gt;&lt;p&gt;The hand never provokes attacks of opportunity from opponents.&lt;/p&gt;&lt;p&gt;It cannot push through a &lt;i&gt;wall of force or&lt;/i&gt; enter an &lt;i&gt;antimagic field&lt;/i&gt;, but it suffers the full effect of a &lt;i&gt;prismatic wall&lt;/i&gt; or &lt;i&gt;prismatic sphere.&lt;/i&gt; The hand makes saving throws as its caster.&lt;/p&gt;&lt;p&gt;&lt;i&gt;Disintegrate&lt;/i&gt; or a successful &lt;i&gt;dispel magic&lt;/i&gt; destroys it.&lt;/p&gt;&lt;p&gt;Any creature weighing 2,000 pounds or less that tries to push past the hand is slowed to half its normal speed. The hand cannot reduce the speed of a creature weighing more than 2,000 pounds, but it still affects the creature's attacks.&lt;/p&gt;&lt;p&gt;Directing the spell to a new target is a move action.&lt;/p&gt;&lt;/h4&gt;&lt;/div&gt;</t>
  </si>
  <si>
    <t> Hand provides cover against 1 opponent.</t>
  </si>
  <si>
    <t>Invisibility</t>
  </si>
  <si>
    <t>bard 2, sorcerer/wizard 2, alchemist 2, summoner 2, inquisitor 2, antipaladin 2, magus 2</t>
  </si>
  <si>
    <t>V, S, M/DF (an eyelash encased in gum arabic)</t>
  </si>
  <si>
    <t>you or a creature or object weighing no more than 100 lbs./level</t>
  </si>
  <si>
    <t>Will negates (harmless) or Will negates (harmless, object)</t>
  </si>
  <si>
    <t>yes (harmless) or yes (harmless, object)</t>
  </si>
  <si>
    <t>The creature or object touched becomes invisible. If the recipient is a creature carrying gear, that vanishes, too. If you cast the spell on someone else, neither you nor your allies can see the subject, unless you can normally see invisible things or you employ magic to do so. Items dropped or put down by an invisible creature become visible; items picked up disappear if tucked into the clothing or pouches worn by the creature. Light, however, never becomes invisible, although a source of light can become so (thus, the effect is that of a light with no visible source). Any part of an item that the subject carries but that extends more than 10 feet from it becomes visible. Of course, the subject is not magically silenced, and certain other conditions can render the recipient detectable (such as swimming in water or stepping in a puddle). If a check is required, a stationary invisible creature has a +40 bonus on its Stealth checks. This bonus is reduced to +20 if the creature is moving. The spell ends if the subject attacks any creature. For purposes of this spell, an attack includes any spell targeting a foe or whose area or effect includes a foe. Exactly who is a foe depends on the invisible character's perceptions. Actions directed at unattended objects do not break the spell. Causing harm indirectly is not an attack. Thus, an invisible being can open doors, talk, eat, climb stairs, summon monsters and have them attack, cut the ropes holding a rope bridge while enemies are on the bridge, remotely trigger traps, open a portcullis to release attack dogs, and so forth. If the subject attacks directly, however, it immediately becomes visible along with all its gear. Spells such as bless that specifically affect allies but not foes are not attacks for this purpose, even when they include foes in their area. Invisibility can be made permanent (on objects only) with a permanency spell.</t>
  </si>
  <si>
    <t>&lt;p&gt;The creature or object touched becomes invisible. If the recipient is a creature carrying gear, that vanishes, too. If you cast the spell on someone else, neither you nor your allies can see the subject, unless you can normally see invisible things or you employ magic to do so.&lt;/p&gt;&lt;p&gt;Items dropped or put down by an invisible creature become visible; items picked up disappear if tucked into the clothing or pouches worn by the creature. Light, however, never becomes invisible, although a source of light can become so (thus, the effect is that of a light with no visible source). Any part of an item that the subject carries but that extends more than 10 feet from it becomes visible.&lt;/p&gt;&lt;p&gt;Of course, the subject is not magically silenced, and certain other conditions can render the recipient detectable (such as swimming in water or stepping in a puddle). If a check is required, a stationary invisible creature has a +40 bonus on its Stealth checks. This bonus is reduced to +20 if the creature is moving. The spell ends if the subject attacks any creature. For purposes of this spell, an attack includes any spell targeting a foe or whose area or effect includes a foe. Exactly who is a foe depends on the invisible character's perceptions. Actions directed at unattended objects do not break the spell. Causing harm indirectly is not an attack. Thus, an invisible being can open doors, talk, eat, climb stairs, summon monsters and have them attack, cut the ropes holding a rope bridge while enemies are on the bridge, remotely trigger traps, open a portcullis to release attack dogs, and so forth. If the subject attacks directly, however, it immediately becomes visible along with all its gear.&lt;/p&gt;&lt;p&gt;Spells such as &lt;i&gt;bless&lt;/i&gt; that specifically affect allies but not foes are not attacks for this purpose, even when they include foes in their area.&lt;/p&gt;&lt;p&gt;&lt;i&gt;Invisibility&lt;/i&gt; can be made permanent (on objects only) with a &lt;i&gt;permanency&lt;/i&gt; spell.&lt;/p&gt;</t>
  </si>
  <si>
    <t>&lt;link rel="stylesheet"href="PF.css"&gt;&lt;div class="heading"&gt;&lt;p class="alignleft"&gt;Invisibility&lt;/p&gt;&lt;div style="clear: both;"&gt;&lt;/div&gt;&lt;/div&gt;&lt;div&gt;&lt;h5&gt;&lt;b&gt;School &lt;/b&gt;illusion (glamer); &lt;b&gt;Level &lt;/b&gt;bard 2, sorcerer/wizard 2, alchemist 2, summoner 2, inquisitor 2, antipaladin 2, magus 2&lt;/h5&gt;&lt;/div&gt;&lt;hr/&gt;&lt;div&gt;&lt;h5&gt;&lt;b&gt;CASTING&lt;/b&gt;&lt;/h5&gt;&lt;/div&gt;&lt;hr/&gt;&lt;div&gt;&lt;h5&gt;&lt;b&gt;Casting Time &lt;/b&gt;1 standard action&lt;/h5&gt;&lt;h5&gt;&lt;b&gt;Components &lt;/b&gt;V, S, M/DF (an eyelash encased in gum arabic)&lt;/h5&gt;&lt;/div&gt;&lt;hr/&gt;&lt;div&gt;&lt;h5&gt;&lt;b&gt;EFFECT&lt;/b&gt;&lt;/h5&gt;&lt;/div&gt;&lt;hr/&gt;&lt;div&gt;&lt;h5&gt;&lt;b&gt;Range &lt;/b&gt;personal or touch&lt;/h5&gt;&lt;h5&gt;&lt;b&gt;Targets &lt;/b&gt;you or a creature or object weighing no more than 100 lbs./level&lt;/h5&gt;&lt;h5&gt;&lt;b&gt;Duration &lt;/b&gt;1 min./level (D)&lt;/h5&gt;&lt;h5&gt;&lt;b&gt;Saving Throw &lt;/b&gt;Will negates (harmless) or Will negates (harmless, object); &lt;b&gt;Spell Resistance &lt;/b&gt;yes (harmless) or yes (harmless, object)&lt;/h5&gt;&lt;/div&gt;&lt;hr/&gt;&lt;div&gt;&lt;h5&gt;&lt;b&gt;DESCRIPTION&lt;/b&gt;&lt;/h5&gt;&lt;/div&gt;&lt;hr/&gt;&lt;div&gt;&lt;h4&gt;&lt;p&gt;The creature or object touched becomes invisible. If the recipient is a creature carrying gear, that vanishes, too. If you cast the spell on someone else, neither you nor your allies can see the subject, unless you can normally see invisible things or you employ magic to do so.&lt;/p&gt;&lt;p&gt;Items dropped or put down by an invisible creature become visible; items picked up disappear if tucked into the clothing or pouches worn by the creature. Light, however, never becomes invisible, although a source of light can become so (thus, the effect is that of a light with no visible source). Any part of an item that the subject carries but that extends more than 10 feet from it becomes visible.&lt;/p&gt;&lt;p&gt;Of course, the subject is not magically silenced, and certain other conditions can render the recipient detectable (such as swimming in water or stepping in a puddle). If a check is required, a stationary invisible creature has a +40 bonus on its Stealth checks. This bonus is reduced to +20 if the creature is moving. The spell ends if the subject attacks any creature. For purposes of this spell, an attack includes any spell targeting a foe or whose area or effect includes a foe. Exactly who is a foe depends on the invisible character's perceptions. Actions directed at unattended objects do not break the spell. Causing harm indirectly is not an attack. Thus, an invisible being can open doors, talk, eat, climb stairs, summon monsters and have them attack, cut the ropes holding a rope bridge while enemies are on the bridge, remotely trigger traps, open a portcullis to release attack dogs, and so forth. If the subject attacks directly, however, it immediately becomes visible along with all its gear.&lt;/p&gt;&lt;p&gt;Spells such as &lt;i&gt;bless&lt;/i&gt; that specifically affect allies but not foes are not attacks for this purpose, even when they include foes in their area.&lt;/p&gt;&lt;p&gt;&lt;i&gt;Invisibility&lt;/i&gt; can be made permanent (on objects only) with a &lt;i&gt;permanency&lt;/i&gt; spell.&lt;/p&gt;&lt;/h4&gt;&lt;h5&gt;&lt;b&gt;Mythic: &lt;/b&gt;The invisible target can't be detected with detect magic or other spells that detect magic auras. The invisibility can't be penetrated, revealed, or dispelled by spells of 2nd level or lower (such as see invisibility or glitterdust), though true seeing and dust of appearance can reveal the invisible target's presence.&lt;/h5&gt;&lt;h5&gt;&lt;b&gt;Augmented (3rd)&lt;/b&gt;: If you expend two uses of mythic power, the invisible target is undetectable by blindsense, blindsight, scent, and tremorsense.&lt;/h5&gt;&lt;/div&gt;</t>
  </si>
  <si>
    <t>Subject is invisible for 1 min./level or until it attacks.</t>
  </si>
  <si>
    <t>Arcane, Djinni, Oni, Rakshasa</t>
  </si>
  <si>
    <t>Deception, Spirits</t>
  </si>
  <si>
    <t>The invisible target can't be detected with detect magic or other spells that detect magic auras. The invisibility can't be penetrated, revealed, or dispelled by spells of 2nd level or lower (such as see invisibility or glitterdust), though true seeing and dust of appearance can reveal the invisible target's presence.</t>
  </si>
  <si>
    <t>Augmented (3rd): If you expend two uses of mythic power, the invisible target is undetectable by blindsense, blindsight, scent, and tremorsense.</t>
  </si>
  <si>
    <t>Invisibility, Greater</t>
  </si>
  <si>
    <t>bard 4, sorcerer/wizard 4, alchemist 4, summoner 3, inquisitor 4, antipaladin 4</t>
  </si>
  <si>
    <t>This spell functions like invisibility, except that it doesn't end if the subject attacks.</t>
  </si>
  <si>
    <t>&lt;p&gt;This spell functions like &lt;i&gt;invisibility,&lt;/i&gt; except that it doesn't end if the subject attacks.&lt;/p&gt;</t>
  </si>
  <si>
    <t>&lt;link rel="stylesheet"href="PF.css"&gt;&lt;div class="heading"&gt;&lt;p class="alignleft"&gt;Invisibility, Greater&lt;/p&gt;&lt;div style="clear: both;"&gt;&lt;/div&gt;&lt;/div&gt;&lt;div&gt;&lt;h5&gt;&lt;b&gt;School &lt;/b&gt;illusion (glamer); &lt;b&gt;Level &lt;/b&gt;bard 4, sorcerer/wizard 4, alchemist 4, summoner 3, inquisitor 4, antipaladin 4&lt;/h5&gt;&lt;/div&gt;&lt;hr/&gt;&lt;div&gt;&lt;h5&gt;&lt;b&gt;CASTING&lt;/b&gt;&lt;/h5&gt;&lt;/div&gt;&lt;hr/&gt;&lt;div&gt;&lt;h5&gt;&lt;b&gt;Casting Time &lt;/b&gt;1 standard action&lt;/h5&gt;&lt;h5&gt;&lt;b&gt;Components &lt;/b&gt;V, S&lt;/h5&gt;&lt;/div&gt;&lt;hr/&gt;&lt;div&gt;&lt;h5&gt;&lt;b&gt;EFFECT&lt;/b&gt;&lt;/h5&gt;&lt;/div&gt;&lt;hr/&gt;&lt;div&gt;&lt;h5&gt;&lt;b&gt;Range &lt;/b&gt;personal or touch&lt;/h5&gt;&lt;h5&gt;&lt;b&gt;Targets &lt;/b&gt;you or creature touched&lt;/h5&gt;&lt;h5&gt;&lt;b&gt;Duration &lt;/b&gt;1 round/level (D)&lt;/h5&gt;&lt;h5&gt;&lt;b&gt;Saving Throw &lt;/b&gt;Will negates (harmless); &lt;b&gt;Spell Resistance &lt;/b&gt;yes (harmless)&lt;/h5&gt;&lt;/div&gt;&lt;hr/&gt;&lt;div&gt;&lt;h5&gt;&lt;b&gt;DESCRIPTION&lt;/b&gt;&lt;/h5&gt;&lt;/div&gt;&lt;hr/&gt;&lt;div&gt;&lt;h4&gt;&lt;p&gt;This spell functions like &lt;i&gt;invisibility,&lt;/i&gt; except that it doesn't end if the subject attacks.&lt;/p&gt;&lt;/h4&gt;&lt;/div&gt;</t>
  </si>
  <si>
    <t>As invisibility, but subject can attack and stay invisible.</t>
  </si>
  <si>
    <t>Invisibility, Mass</t>
  </si>
  <si>
    <t>sorcerer/wizard 7, summoner 5</t>
  </si>
  <si>
    <t>any number of creatures, no two of which can be more than 180 ft. apart</t>
  </si>
  <si>
    <t>This spell functions like invisibility, except that the effect moves with the group and is broken when anyone in the group attacks. Individuals in the group cannot see each other. The spell is broken for any individual who moves more than 180 feet from the nearest member of the group. If only two individuals are affected, the one moving away from the other one loses its invisibility. If both are moving away from each other, they both become visible when the distance between them exceeds 180 feet.</t>
  </si>
  <si>
    <t>&lt;p&gt;This spell functions like &lt;i&gt;invisibility,&lt;/i&gt; except that the effect moves with the group and is broken when anyone in the group attacks.&lt;/p&gt;&lt;p&gt;Individuals in the group cannot see each other. The spell is broken for any individual who moves more than 180 feet from the nearest member of the group. If only two individuals are affected, the one moving away from the other one loses its invisibility. If both are moving away from each other, they both become visible when the distance between them exceeds 180 feet.&lt;/p&gt;</t>
  </si>
  <si>
    <t>&lt;link rel="stylesheet"href="PF.css"&gt;&lt;div class="heading"&gt;&lt;p class="alignleft"&gt;Invisibility, Mass&lt;/p&gt;&lt;div style="clear: both;"&gt;&lt;/div&gt;&lt;/div&gt;&lt;div&gt;&lt;h5&gt;&lt;b&gt;School &lt;/b&gt;illusion (glamer); &lt;b&gt;Level &lt;/b&gt;sorcerer/wizard 7, summoner 5&lt;/h5&gt;&lt;/div&gt;&lt;hr/&gt;&lt;div&gt;&lt;h5&gt;&lt;b&gt;CASTING&lt;/b&gt;&lt;/h5&gt;&lt;/div&gt;&lt;hr/&gt;&lt;div&gt;&lt;h5&gt;&lt;b&gt;Casting Time &lt;/b&gt;1 standard action&lt;/h5&gt;&lt;h5&gt;&lt;b&gt;Components &lt;/b&gt;V, S&lt;/h5&gt;&lt;/div&gt;&lt;hr/&gt;&lt;div&gt;&lt;h5&gt;&lt;b&gt;EFFECT&lt;/b&gt;&lt;/h5&gt;&lt;/div&gt;&lt;hr/&gt;&lt;div&gt;&lt;h5&gt;&lt;b&gt;Range &lt;/b&gt;long (400 ft. + 40 ft./level)&lt;/h5&gt;&lt;h5&gt;&lt;b&gt;Targets &lt;/b&gt;any number of creatures, no two of which can be more than 180 ft. apart&lt;/h5&gt;&lt;h5&gt;&lt;b&gt;Duration &lt;/b&gt;1 round/level (D)&lt;/h5&gt;&lt;h5&gt;&lt;b&gt;Saving Throw &lt;/b&gt;Will negates (harmless); &lt;b&gt;Spell Resistance &lt;/b&gt;yes (harmless)&lt;/h5&gt;&lt;/div&gt;&lt;hr/&gt;&lt;div&gt;&lt;h5&gt;&lt;b&gt;DESCRIPTION&lt;/b&gt;&lt;/h5&gt;&lt;/div&gt;&lt;hr/&gt;&lt;div&gt;&lt;h4&gt;&lt;p&gt;This spell functions like &lt;i&gt;invisibility,&lt;/i&gt; except that the effect moves with the group and is broken when anyone in the group attacks.&lt;/p&gt;&lt;p&gt;Individuals in the group cannot see each other. The spell is broken for any individual who moves more than 180 feet from the nearest member of the group. If only two individuals are affected, the one moving away from the other one loses its invisibility. If both are moving away from each other, they both become visible when the distance between them exceeds 180 feet.&lt;/p&gt;&lt;/h4&gt;&lt;/div&gt;</t>
  </si>
  <si>
    <t> As invisibility, but affects all in range.</t>
  </si>
  <si>
    <t>Invisibility Purge</t>
  </si>
  <si>
    <t>cleric 3/oracle 3, inquisitor 3</t>
  </si>
  <si>
    <t>You surround yourself with a sphere of power with a radius of 5 feet per caster level that negates all forms of invisibility. Anything invisible becomes visible while in the area.</t>
  </si>
  <si>
    <t>&lt;p&gt;You surround yourself with a sphere of power with a radius of 5 feet per caster level that negates all forms of invisibility.&lt;/p&gt;&lt;p&gt;Anything invisible becomes visible while in the area.&lt;/p&gt;</t>
  </si>
  <si>
    <t>&lt;link rel="stylesheet"href="PF.css"&gt;&lt;div class="heading"&gt;&lt;p class="alignleft"&gt;Invisibility Purge&lt;/p&gt;&lt;div style="clear: both;"&gt;&lt;/div&gt;&lt;/div&gt;&lt;div&gt;&lt;h5&gt;&lt;b&gt;School &lt;/b&gt;evocation; &lt;b&gt;Level &lt;/b&gt;cleric 3/oracle 3, inquisitor 3&lt;/h5&gt;&lt;/div&gt;&lt;hr/&gt;&lt;div&gt;&lt;h5&gt;&lt;b&gt;CASTING&lt;/b&gt;&lt;/h5&gt;&lt;/div&gt;&lt;hr/&gt;&lt;div&gt;&lt;h5&gt;&lt;b&gt;Casting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min./level (D)&lt;/h5&gt;&lt;/div&gt;&lt;hr/&gt;&lt;div&gt;&lt;h5&gt;&lt;b&gt;DESCRIPTION&lt;/b&gt;&lt;/h5&gt;&lt;/div&gt;&lt;hr/&gt;&lt;div&gt;&lt;h4&gt;&lt;p&gt;You surround yourself with a sphere of power with a radius of 5 feet per caster level that negates all forms of invisibility.&lt;/p&gt;&lt;p&gt;Anything invisible becomes visible while in the area.&lt;/p&gt;&lt;/h4&gt;&lt;/div&gt;</t>
  </si>
  <si>
    <t> Dispels invisibility within 5 ft./level.</t>
  </si>
  <si>
    <t>Invisibility Sphere</t>
  </si>
  <si>
    <t>10-ft.-radius emanation around the creature</t>
  </si>
  <si>
    <t>This spell functions like invisibility, except that this spell confers invisibility upon all creatures within 10 feet of the recipient at the time the spell is cast. The center of the effect is mobile with the recipient. Those affected by this spell can see each other and themselves as if unaffected by the spell. Any affected creature moving out of the area becomes visible, but creatures moving into the area after the spell is cast do not become invisible. Affected creatures (other than the recipient) who attack negate the invisibility only for themselves. If the spell recipient attacks, the invisibility sphere ends.</t>
  </si>
  <si>
    <t>&lt;p&gt;This spell functions like &lt;i&gt;invisibility&lt;/i&gt;, except that this spell confers &lt;i&gt;invisibility&lt;/i&gt; upon all creatures within 10 feet of the recipient at the time the spell is cast. The center of the effect is mobile with the recipient.&lt;/p&gt;&lt;p&gt;Those affected by this spell can see each other and themselves as if unaffected by the spell. Any affected creature moving out of the area becomes visible, but creatures moving into the area after the spell is cast do not become invisible.&lt;/p&gt;&lt;p&gt;Affected creatures (other than the recipient) who attack negate the &lt;i&gt;invisibility&lt;/i&gt; only for themselves. If the spell recipient attacks, the &lt;i&gt;invisibility&lt;/i&gt; sphere ends.&lt;/p&gt;</t>
  </si>
  <si>
    <t>&lt;link rel="stylesheet"href="PF.css"&gt;&lt;div class="heading"&gt;&lt;p class="alignleft"&gt;Invisibility Sphere&lt;/p&gt;&lt;div style="clear: both;"&gt;&lt;/div&gt;&lt;/div&gt;&lt;div&gt;&lt;h5&gt;&lt;b&gt;School &lt;/b&gt;illusion (glamer); &lt;b&gt;Level &lt;/b&gt;bard 3, sorcerer/wizard 3&lt;/h5&gt;&lt;/div&gt;&lt;hr/&gt;&lt;div&gt;&lt;h5&gt;&lt;b&gt;CASTING&lt;/b&gt;&lt;/h5&gt;&lt;/div&gt;&lt;hr/&gt;&lt;div&gt;&lt;h5&gt;&lt;b&gt;Casting Time &lt;/b&gt;1 standard action&lt;/h5&gt;&lt;h5&gt;&lt;b&gt;Components &lt;/b&gt;V, S, M&lt;/h5&gt;&lt;/div&gt;&lt;hr/&gt;&lt;div&gt;&lt;h5&gt;&lt;b&gt;EFFECT&lt;/b&gt;&lt;/h5&gt;&lt;/div&gt;&lt;hr/&gt;&lt;div&gt;&lt;h5&gt;&lt;b&gt;Area &lt;/b&gt;10-ft.-radius emanation around the creature&lt;/h5&gt;&lt;h5&gt;&lt;b&gt;Duration &lt;/b&gt;1 min./level (D)&lt;/h5&gt;&lt;h5&gt;&lt;b&gt;Saving Throw &lt;/b&gt;Will negates (harmless); &lt;b&gt;Spell Resistance &lt;/b&gt;yes (harmless)&lt;/h5&gt;&lt;/div&gt;&lt;hr/&gt;&lt;div&gt;&lt;h5&gt;&lt;b&gt;DESCRIPTION&lt;/b&gt;&lt;/h5&gt;&lt;/div&gt;&lt;hr/&gt;&lt;div&gt;&lt;h4&gt;&lt;p&gt;This spell functions like &lt;i&gt;invisibility&lt;/i&gt;, except that this spell confers &lt;i&gt;invisibility&lt;/i&gt; upon all creatures within 10 feet of the recipient at the time the spell is cast. The center of the effect is mobile with the recipient.&lt;/p&gt;&lt;p&gt;Those affected by this spell can see each other and themselves as if unaffected by the spell. Any affected creature moving out of the area becomes visible, but creatures moving into the area after the spell is cast do not become invisible.&lt;/p&gt;&lt;p&gt;Affected creatures (other than the recipient) who attack negate the &lt;i&gt;invisibility&lt;/i&gt; only for themselves. If the spell recipient attacks, the &lt;i&gt;invisibility&lt;/i&gt; sphere ends.&lt;/p&gt;&lt;/h4&gt;&lt;/div&gt;</t>
  </si>
  <si>
    <t>Makes everyone within 10 feet invisible.</t>
  </si>
  <si>
    <t>Iron Body</t>
  </si>
  <si>
    <t>V, S, M/DF (a piece of iron from an iron golem, a hero's armor, or a war machine)</t>
  </si>
  <si>
    <t>This spell transforms your body into living iron, which grants you several powerful resistances and abilities. You gain damage reduction 15/adamantine. You are immune to blindness, critical hits, ability score damage, deafness, disease, drowning, electricity, poison, stunning, and all spells or attacks that affect your physiology or respiration, because you have no physiology or respiration while this spell is in effect. You take only half damage from acid and fire. However, you also become vulnerable to all special attacks that affect iron golems (see the Pathfinder RPG Bestiary). You gain a +6 enhancement bonus to your Strength score, but you take a -6 penalty to Dexterity as well (to a minimum Dexterity score of 1), and your speed is reduced to half normal. You have an arcane spell failure chance of 35% and a -6 armor check penalty, just as if you were clad in full plate armor. You cannot drink (and thus can't use potions) or play wind instruments. Your unarmed attack deals damage equal to a club sized for you (1d4 for Small characters or 1d6 for Medium characters), and you are considered armed when making unarmed attacks. Your weight increases by a factor of 10, causing you to sink in water like a stone. However, you could survive the lack of air at the bottom of the ocean-at least until the spell duration expires.</t>
  </si>
  <si>
    <t>&lt;p&gt;This spell transforms your body into living iron, which grants you several powerful resistances and abilities. You gain damage reduction 15/adamantine. You are immune to blindness, critical hits, ability score damage, deafness, disease, drowning, electricity, poison, stunning, and all spells or attacks that affect your physiology or respiration, because you have no physiology or respiration while this spell is in effect. You take only half damage from acid and fire.&lt;/p&gt;&lt;p&gt;However, you also become vulnerable to all special attacks that affect iron golems (see the &lt;i&gt;Pathfinder RPG Bestiary&lt;/i&gt;).&lt;/p&gt;&lt;p&gt;You gain a +6 enhancement bonus to your Strength score, but you take a -6 penalty to Dexterity as well (to a minimum Dexterity score of 1), and your speed is reduced to half normal. You have an arcane spell failure chance of 35% and a -6 armor check penalty, just as if you were clad in full plate armor. You cannot drink (and thus can't use potions) or play wind instruments.&lt;/p&gt;&lt;p&gt;Your unarmed attack deals damage equal to a club sized for you (1d4 for Small characters or 1d6 for Medium characters), and you are considered armed when making unarmed attacks.&lt;/p&gt;&lt;p&gt;Your weight increases by a factor of 10, causing you to sink in water like a stone. However, you could survive the lack of air at the bottom of the ocean-at least until the spell duration expires.&lt;/p&gt;</t>
  </si>
  <si>
    <t>&lt;link rel="stylesheet"href="PF.css"&gt;&lt;div class="heading"&gt;&lt;p class="alignleft"&gt;Iron Body&lt;/p&gt;&lt;div style="clear: both;"&gt;&lt;/div&gt;&lt;/div&gt;&lt;div&gt;&lt;h5&gt;&lt;b&gt;School &lt;/b&gt;transmutation; &lt;b&gt;Level &lt;/b&gt;sorcerer/wizard 8&lt;/h5&gt;&lt;/div&gt;&lt;hr/&gt;&lt;div&gt;&lt;h5&gt;&lt;b&gt;CASTING&lt;/b&gt;&lt;/h5&gt;&lt;/div&gt;&lt;hr/&gt;&lt;div&gt;&lt;h5&gt;&lt;b&gt;Casting Time &lt;/b&gt;1 standard action&lt;/h5&gt;&lt;h5&gt;&lt;b&gt;Components &lt;/b&gt;V, S, M/DF (a piece of iron from an iron golem, a hero's armor, or a war machine)&lt;/h5&gt;&lt;/div&gt;&lt;hr/&gt;&lt;div&gt;&lt;h5&gt;&lt;b&gt;EFFECT&lt;/b&gt;&lt;/h5&gt;&lt;/div&gt;&lt;hr/&gt;&lt;div&gt;&lt;h5&gt;&lt;b&gt;Range &lt;/b&gt;personal&lt;/h5&gt;&lt;h5&gt;&lt;b&gt;Targets &lt;/b&gt;you&lt;/h5&gt;&lt;h5&gt;&lt;b&gt;Duration &lt;/b&gt;1 min./level (D)&lt;/h5&gt;&lt;/div&gt;&lt;hr/&gt;&lt;div&gt;&lt;h5&gt;&lt;b&gt;DESCRIPTION&lt;/b&gt;&lt;/h5&gt;&lt;/div&gt;&lt;hr/&gt;&lt;div&gt;&lt;h4&gt;&lt;p&gt;This spell transforms your body into living iron, which grants you several powerful resistances and abilities. You gain damage reduction 15/adamantine. You are immune to blindness, critical hits, ability score damage, deafness, disease, drowning, electricity, poison, stunning, and all spells or attacks that affect your physiology or respiration, because you have no physiology or respiration while this spell is in effect. You take only half damage from acid and fire.&lt;/p&gt;&lt;p&gt;However, you also become vulnerable to all special attacks that affect iron golems (see the &lt;i&gt;Pathfinder RPG Bestiary&lt;/i&gt;).&lt;/p&gt;&lt;p&gt;You gain a +6 enhancement bonus to your Strength score, but you take a -6 penalty to Dexterity as well (to a minimum Dexterity score of 1), and your speed is reduced to half normal. You have an arcane spell failure chance of 35% and a -6 armor check penalty, just as if you were clad in full plate armor. You cannot drink (and thus can't use potions) or play wind instruments.&lt;/p&gt;&lt;p&gt;Your unarmed attack deals damage equal to a club sized for you (1d4 for Small characters or 1d6 for Medium characters), and you are considered armed when making unarmed attacks.&lt;/p&gt;&lt;p&gt;Your weight increases by a factor of 10, causing you to sink in water like a stone. However, you could survive the lack of air at the bottom of the ocean-at least until the spell duration expires.&lt;/p&gt;&lt;/h4&gt;&lt;/div&gt;</t>
  </si>
  <si>
    <t>Metal</t>
  </si>
  <si>
    <t> Your body becomes living iron.</t>
  </si>
  <si>
    <t>Orc, Shaitan</t>
  </si>
  <si>
    <t>Ironwood</t>
  </si>
  <si>
    <t>1 minute/lb. created</t>
  </si>
  <si>
    <t>V, S, F (wood to be transformed)</t>
  </si>
  <si>
    <t>an ironwood object weighing up to 5 lbs./level</t>
  </si>
  <si>
    <t>Ironwood is a magical substance created by druids from normal wood. While remaining natural wood in almost every way, ironwood is as strong, heavy, and resistant to fire as steel. Spells that affect metal or iron do not function on ironwood. Spells that affect wood do affect ironwood, although ironwood does not burn. Using this spell with wood shape or a wood-related Craft check, you can fashion wooden items that function as steel items. Thus, wooden plate armor and wooden swords can be created that are as durable as their normal steel counterparts. These items are freely usable by druids. Further, if you make only half as much ironwood as the spell would normally allow, any weapon, shield, or suit of armor so created is treated as a magic item with a +1 enhancement bonus.</t>
  </si>
  <si>
    <t>&lt;p&gt;&lt;i&gt;Ironwood&lt;/i&gt; is a magical substance created by druids from normal wood. While remaining natural wood in almost every way, &lt;i&gt;ironwood&lt;/i&gt; is as strong, heavy, and resistant to fire as steel. Spells that affect metal or iron do not function on &lt;i&gt;ironwood&lt;/i&gt;. Spells that affect wood do affect &lt;i&gt;ironwood&lt;/i&gt;, although &lt;i&gt;ironwood&lt;/i&gt; does not burn. Using this spell with &lt;i&gt;wood shape&lt;/i&gt; or a wood-related Craft check, you can fashion wooden items that function as steel items. Thus, wooden plate armor and wooden swords can be created that are as durable as their normal steel counterparts. These items are freely usable by druids.&lt;/p&gt;&lt;p&gt;Further, if you make only half as much &lt;i&gt;ironwood&lt;/i&gt; as the spell would normally allow, any weapon, shield, or suit of armor so created is treated as a magic item with a +1 enhancement bonus.&lt;/p&gt;</t>
  </si>
  <si>
    <t>&lt;link rel="stylesheet"href="PF.css"&gt;&lt;div class="heading"&gt;&lt;p class="alignleft"&gt;Ironwood&lt;/p&gt;&lt;div style="clear: both;"&gt;&lt;/div&gt;&lt;/div&gt;&lt;div&gt;&lt;h5&gt;&lt;b&gt;School &lt;/b&gt;transmutation; &lt;b&gt;Level &lt;/b&gt;druid 6&lt;/h5&gt;&lt;/div&gt;&lt;hr/&gt;&lt;div&gt;&lt;h5&gt;&lt;b&gt;CASTING&lt;/b&gt;&lt;/h5&gt;&lt;/div&gt;&lt;hr/&gt;&lt;div&gt;&lt;h5&gt;&lt;b&gt;Casting Time &lt;/b&gt;1 minute/lb. created&lt;/h5&gt;&lt;h5&gt;&lt;b&gt;Components &lt;/b&gt;V, S, F (wood to be transformed)&lt;/h5&gt;&lt;/div&gt;&lt;hr/&gt;&lt;div&gt;&lt;h5&gt;&lt;b&gt;EFFECT&lt;/b&gt;&lt;/h5&gt;&lt;/div&gt;&lt;hr/&gt;&lt;div&gt;&lt;h5&gt;&lt;b&gt;Range &lt;/b&gt;0 ft.&lt;/h5&gt;&lt;h5&gt;&lt;b&gt;Effect &lt;/b&gt;an ironwood object weighing up to 5 lbs./level&lt;/h5&gt;&lt;h5&gt;&lt;b&gt;Duration &lt;/b&gt;1 day/level (D)&lt;/h5&gt;&lt;h5&gt;&lt;b&gt;Saving Throw &lt;/b&gt;none; &lt;b&gt;Spell Resistance &lt;/b&gt;no&lt;/h5&gt;&lt;/div&gt;&lt;hr/&gt;&lt;div&gt;&lt;h5&gt;&lt;b&gt;DESCRIPTION&lt;/b&gt;&lt;/h5&gt;&lt;/div&gt;&lt;hr/&gt;&lt;div&gt;&lt;h4&gt;&lt;p&gt;&lt;i&gt;Ironwood&lt;/i&gt; is a magical substance created by druids from normal wood. While remaining natural wood in almost every way, &lt;i&gt;ironwood&lt;/i&gt; is as strong, heavy, and resistant to fire as steel. Spells that affect metal or iron do not function on &lt;i&gt;ironwood&lt;/i&gt;. Spells that affect wood do affect &lt;i&gt;ironwood&lt;/i&gt;, although &lt;i&gt;ironwood&lt;/i&gt; does not burn. Using this spell with &lt;i&gt;wood shape&lt;/i&gt; or a wood-related Craft check, you can fashion wooden items that function as steel items. Thus, wooden plate armor and wooden swords can be created that are as durable as their normal steel counterparts. These items are freely usable by druids.&lt;/p&gt;&lt;p&gt;Further, if you make only half as much &lt;i&gt;ironwood&lt;/i&gt; as the spell would normally allow, any weapon, shield, or suit of armor so created is treated as a magic item with a +1 enhancement bonus.&lt;/p&gt;&lt;/h4&gt;&lt;/div&gt;</t>
  </si>
  <si>
    <t> Magic wood is as strong as steel.</t>
  </si>
  <si>
    <t>Irresistible Dance</t>
  </si>
  <si>
    <t>bard 6, sorcerer/wizard 8, witch 8</t>
  </si>
  <si>
    <t>1d4+1 rounds</t>
  </si>
  <si>
    <t>The subject feels an undeniable urge to dance and begins doing so, complete with foot shuffling and tapping. The spell effect makes it impossible for the subject to do anything other than caper and prance in place. The effect imposes a -4 penalty to Armor Class and a -10 penalty on Reflex saves, and it negates any AC bonus granted by a shield the target holds. The dancing subject provokes attacks of opportunity each round on its turn. A successful Will save reduces the duration of this effect to 1 round.</t>
  </si>
  <si>
    <t>&lt;p&gt;The subject feels an undeniable urge to dance and begins doing so, complete with foot shuffling and tapping. The spell effect makes it impossible for the subject to do anything other than caper and prance in place. The effect imposes a -4 penalty to Armor Class and a -10 penalty on Reflex saves, and it negates any AC bonus granted by a shield the target holds. The dancing subject provokes attacks of opportunity each round on its turn. A successful Will save reduces the duration of this effect to 1 round.&lt;/p&gt;</t>
  </si>
  <si>
    <t>&lt;link rel="stylesheet"href="PF.css"&gt;&lt;div class="heading"&gt;&lt;p class="alignleft"&gt;Irresistible Dance&lt;/p&gt;&lt;div style="clear: both;"&gt;&lt;/div&gt;&lt;/div&gt;&lt;div&gt;&lt;h5&gt;&lt;b&gt;School &lt;/b&gt;enchantment (compulsion) [mind-affecting]; &lt;b&gt;Level &lt;/b&gt;bard 6, sorcerer/wizard 8, witch 8&lt;/h5&gt;&lt;/div&gt;&lt;hr/&gt;&lt;div&gt;&lt;h5&gt;&lt;b&gt;CASTING&lt;/b&gt;&lt;/h5&gt;&lt;/div&gt;&lt;hr/&gt;&lt;div&gt;&lt;h5&gt;&lt;b&gt;Casting Time &lt;/b&gt;1 standard action&lt;/h5&gt;&lt;h5&gt;&lt;b&gt;Components &lt;/b&gt;V&lt;/h5&gt;&lt;/div&gt;&lt;hr/&gt;&lt;div&gt;&lt;h5&gt;&lt;b&gt;EFFECT&lt;/b&gt;&lt;/h5&gt;&lt;/div&gt;&lt;hr/&gt;&lt;div&gt;&lt;h5&gt;&lt;b&gt;Range &lt;/b&gt;touch&lt;/h5&gt;&lt;h5&gt;&lt;b&gt;Targets &lt;/b&gt;living creature touched&lt;/h5&gt;&lt;h5&gt;&lt;b&gt;Duration &lt;/b&gt;1d4+1 rounds&lt;/h5&gt;&lt;h5&gt;&lt;b&gt;Saving Throw &lt;/b&gt;Will partial; &lt;b&gt;Spell Resistance &lt;/b&gt;yes&lt;/h5&gt;&lt;/div&gt;&lt;hr/&gt;&lt;div&gt;&lt;h5&gt;&lt;b&gt;DESCRIPTION&lt;/b&gt;&lt;/h5&gt;&lt;/div&gt;&lt;hr/&gt;&lt;div&gt;&lt;h4&gt;&lt;p&gt;The subject feels an undeniable urge to dance and begins doing so, complete with foot shuffling and tapping. The spell effect makes it impossible for the subject to do anything other than caper and prance in place. The effect imposes a -4 penalty to Armor Class and a -10 penalty on Reflex saves, and it negates any AC bonus granted by a shield the target holds. The dancing subject provokes attacks of opportunity each round on its turn. A successful Will save reduces the duration of this effect to 1 round.&lt;/p&gt;&lt;/h4&gt;&lt;/div&gt;</t>
  </si>
  <si>
    <t>Forces subject to dance.</t>
  </si>
  <si>
    <t>Fey, Serpentine</t>
  </si>
  <si>
    <t>Jump</t>
  </si>
  <si>
    <t>druid 1, ranger 1, sorcerer/wizard 1, alchemist 1, summoner 1, alchemist 1, summoner 1, magus 1</t>
  </si>
  <si>
    <t>V, S, M (a grasshopper's hind leg)</t>
  </si>
  <si>
    <t>The subject gets a +10 enhancement bonus on Acrobatics checks made to attempt high jumps or long jumps. The enhancement bonus increases to +20 at caster level 5th, and to +30 (the maximum) at caster level 9th.</t>
  </si>
  <si>
    <t>&lt;p&gt;The subject gets a +10 enhancement bonus on Acrobatics checks made to attempt high jumps or long jumps. The enhancement bonus increases to +20 at caster level 5th, and to +30 (the maximum) at caster level 9th.&lt;/p&gt;</t>
  </si>
  <si>
    <t>&lt;link rel="stylesheet"href="PF.css"&gt;&lt;div class="heading"&gt;&lt;p class="alignleft"&gt;Jump&lt;/p&gt;&lt;div style="clear: both;"&gt;&lt;/div&gt;&lt;/div&gt;&lt;div&gt;&lt;h5&gt;&lt;b&gt;School &lt;/b&gt;transmutation; &lt;b&gt;Level &lt;/b&gt;druid 1, ranger 1, sorcerer/wizard 1, alchemist 1, summoner 1, alchemist 1, summoner 1, magus 1&lt;/h5&gt;&lt;/div&gt;&lt;hr/&gt;&lt;div&gt;&lt;h5&gt;&lt;b&gt;CASTING&lt;/b&gt;&lt;/h5&gt;&lt;/div&gt;&lt;hr/&gt;&lt;div&gt;&lt;h5&gt;&lt;b&gt;Casting Time &lt;/b&gt;1 standard action&lt;/h5&gt;&lt;h5&gt;&lt;b&gt;Components &lt;/b&gt;V, S, M (a grasshopper's hind leg)&lt;/h5&gt;&lt;/div&gt;&lt;hr/&gt;&lt;div&gt;&lt;h5&gt;&lt;b&gt;EFFECT&lt;/b&gt;&lt;/h5&gt;&lt;/div&gt;&lt;hr/&gt;&lt;div&gt;&lt;h5&gt;&lt;b&gt;Range &lt;/b&gt;touch&lt;/h5&gt;&lt;h5&gt;&lt;b&gt;Targets &lt;/b&gt;creature touched&lt;/h5&gt;&lt;h5&gt;&lt;b&gt;Duration &lt;/b&gt;1 min./level (D)&lt;/h5&gt;&lt;h5&gt;&lt;b&gt;Saving Throw &lt;/b&gt;Will negates (harmless); &lt;b&gt;Spell Resistance &lt;/b&gt;yes&lt;/h5&gt;&lt;/div&gt;&lt;hr/&gt;&lt;div&gt;&lt;h5&gt;&lt;b&gt;DESCRIPTION&lt;/b&gt;&lt;/h5&gt;&lt;/div&gt;&lt;hr/&gt;&lt;div&gt;&lt;h4&gt;&lt;p&gt;The subject gets a +10 enhancement bonus on Acrobatics checks made to attempt high jumps or long jumps. The enhancement bonus increases to +20 at caster level 5th, and to +30 (the maximum) at caster level 9th.&lt;/p&gt;&lt;/h4&gt;&lt;/div&gt;</t>
  </si>
  <si>
    <t>Subject gets bonus on Acrobatics checks.</t>
  </si>
  <si>
    <t>Agility, Transformation</t>
  </si>
  <si>
    <t>Keen Edge</t>
  </si>
  <si>
    <t>sorcerer/wizard 3, inquisitor 3, magus 3</t>
  </si>
  <si>
    <t>one weapon or 50 projectiles, all of which must be together at the time of casting</t>
  </si>
  <si>
    <t>This spell makes a weapon magically keen, improving its ability to deal telling blows. This transmutation doubles the threat range of the weapon. A threat range of 20 becomes 19-20, a threat range of 19-20 becomes 17-20, and a threat range of 18-20 becomes 15-20. The spell can be cast only on piercing or slashing weapons. If cast on arrows or crossbow bolts, the keen edge on a particular projectile ends after one use, whether or not the missile strikes its intended target. Treat shuriken as arrows, rather than as thrown weapons, for the purpose of this spell. Multiple effects that increase a weapon's threat range (such as the keen special weapon property and the Improved Critical feat) don't stack. You can't cast this spell on a natural weapon, such as a claw.</t>
  </si>
  <si>
    <t>&lt;p&gt;This spell makes a weapon magically &lt;i&gt;keen&lt;/i&gt;, improving its ability to deal telling blows. This transmutation doubles the threat range of the weapon. A threat range of 20 becomes 19-20, a threat range of 19-20 becomes 17-20, and a threat range of 18-20 becomes 15-20. The spell can be cast only on piercing or slashing weapons. If cast on arrows or crossbow bolts, the &lt;i&gt;&lt;i&gt;keen&lt;/i&gt; edge&lt;/i&gt; on a particular projectile ends after one use, whether or not the missile strikes its intended target.&lt;/p&gt;&lt;p&gt;Treat shuriken as arrows, rather than as thrown weapons, for the purpose of this spell.&lt;/p&gt;&lt;p&gt;Multiple effects that increase a weapon's threat range (such as the &lt;i&gt;keen&lt;/i&gt; special weapon property and the Improved Critical feat) don't stack. You can't cast this spell on a natural weapon, such as a claw.&lt;/p&gt;</t>
  </si>
  <si>
    <t>&lt;link rel="stylesheet"href="PF.css"&gt;&lt;div class="heading"&gt;&lt;p class="alignleft"&gt;Keen Edge&lt;/p&gt;&lt;div style="clear: both;"&gt;&lt;/div&gt;&lt;/div&gt;&lt;div&gt;&lt;h5&gt;&lt;b&gt;School &lt;/b&gt;transmutation; &lt;b&gt;Level &lt;/b&gt;sorcerer/wizard 3, inquisitor 3, magus 3&lt;/h5&gt;&lt;/div&gt;&lt;hr/&gt;&lt;div&gt;&lt;h5&gt;&lt;b&gt;CASTING&lt;/b&gt;&lt;/h5&gt;&lt;/div&gt;&lt;hr/&gt;&lt;div&gt;&lt;h5&gt;&lt;b&gt;Casting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weapon or 50 projectiles, all of which must be together at the time of casting&lt;/h5&gt;&lt;h5&gt;&lt;b&gt;Duration &lt;/b&gt;10 min./level&lt;/h5&gt;&lt;h5&gt;&lt;b&gt;Saving Throw &lt;/b&gt;Will negates (harmless, object); &lt;b&gt;Spell Resistance &lt;/b&gt;yes (harmless, object)&lt;/h5&gt;&lt;/div&gt;&lt;hr/&gt;&lt;div&gt;&lt;h5&gt;&lt;b&gt;DESCRIPTION&lt;/b&gt;&lt;/h5&gt;&lt;/div&gt;&lt;hr/&gt;&lt;div&gt;&lt;h4&gt;&lt;p&gt;This spell makes a weapon magically &lt;i&gt;keen&lt;/i&gt;, improving its ability to deal telling blows. This transmutation doubles the threat range of the weapon. A threat range of 20 becomes 19-20, a threat range of 19-20 becomes 17-20, and a threat range of 18-20 becomes 15-20. The spell can be cast only on piercing or slashing weapons. If cast on arrows or crossbow bolts, the &lt;i&gt;&lt;i&gt;keen&lt;/i&gt; edge&lt;/i&gt; on a particular projectile ends after one use, whether or not the missile strikes its intended target.&lt;/p&gt;&lt;p&gt;Treat shuriken as arrows, rather than as thrown weapons, for the purpose of this spell.&lt;/p&gt;&lt;p&gt;Multiple effects that increase a weapon's threat range (such as the &lt;i&gt;keen&lt;/i&gt; special weapon property and the Improved Critical feat) don't stack. You can't cast this spell on a natural weapon, such as a claw.&lt;/p&gt;&lt;/h4&gt;&lt;/div&gt;</t>
  </si>
  <si>
    <t>Murder</t>
  </si>
  <si>
    <t> Doubles normal weapon's threat range.</t>
  </si>
  <si>
    <t>Knock</t>
  </si>
  <si>
    <t>sorcerer/wizard 2, inquisitor 2</t>
  </si>
  <si>
    <t>one door, box, or chest with an area of up to 10 sq. ft./level</t>
  </si>
  <si>
    <t>Knock opens stuck, barred, or locked doors, as well as those subject to hold portal or arcane lock. When you complete the casting of this spell, make a caster level check against the DC of the lock with a +10 bonus. If successful, knock opens up to two means of closure. This spell opens secret doors, as well as locked or trick-opening boxes or chests. It also loosens welds, shackles, or chains (provided they serve to hold something shut). If used to open an arcane locked door, the spell does not remove the arcane lock but simply suspends its functioning for 10 minutes. In all other cases, the door does not relock itself or become stuck again on its own. Knock does not raise barred gates or similar impediments (such as a portcullis), nor does it affect ropes, vines, and the like. The effect is limited by the area. Each casting can undo as many as two means of preventing access.</t>
  </si>
  <si>
    <t>&lt;p&gt;&lt;i&gt;Knock&lt;/i&gt; opens stuck, barred, or locked doors, as well as those subject to &lt;i&gt;hold portal or &lt;i&gt;arcane lock&lt;/i&gt;&lt;/i&gt;. When you complete the casting of this spell, make a caster level check against the DC of the lock with a +10 bonus. If successful, &lt;i&gt;knock&lt;/i&gt; opens up to two means of closure. This spell opens secret doors, as well as locked or trick-opening boxes or chests. It also loosens welds, shackles, or chains (provided they serve to hold something shut). If used to open an &lt;i&gt;&lt;i&gt;arcane lock&lt;/i&gt;ed&lt;/i&gt; door, the spell does not remove the &lt;i&gt;arcane lock&lt;/i&gt; but simply suspends its functioning for 10 minutes.&lt;/p&gt;&lt;p&gt;In all other cases, the door does not relock itself or become stuck again on its own. &lt;i&gt;Knock&lt;/i&gt; does not raise barred gates or similar impediments (such as a portcullis), nor does it affect ropes, vines, and the like. The effect is limited by the area. Each casting can undo as many as two means of preventing access.&lt;/p&gt;</t>
  </si>
  <si>
    <t>&lt;link rel="stylesheet"href="PF.css"&gt;&lt;div class="heading"&gt;&lt;p class="alignleft"&gt;Knock&lt;/p&gt;&lt;div style="clear: both;"&gt;&lt;/div&gt;&lt;/div&gt;&lt;div&gt;&lt;h5&gt;&lt;b&gt;School &lt;/b&gt;transmutation; &lt;b&gt;Level &lt;/b&gt;sorcerer/wizard 2, inquisitor 2&lt;/h5&gt;&lt;/div&gt;&lt;hr/&gt;&lt;div&gt;&lt;h5&gt;&lt;b&gt;CASTING&lt;/b&gt;&lt;/h5&gt;&lt;/div&gt;&lt;hr/&gt;&lt;div&gt;&lt;h5&gt;&lt;b&gt;Casting Time &lt;/b&gt;1 standard action&lt;/h5&gt;&lt;h5&gt;&lt;b&gt;Components &lt;/b&gt;V&lt;/h5&gt;&lt;/div&gt;&lt;hr/&gt;&lt;div&gt;&lt;h5&gt;&lt;b&gt;EFFECT&lt;/b&gt;&lt;/h5&gt;&lt;/div&gt;&lt;hr/&gt;&lt;div&gt;&lt;h5&gt;&lt;b&gt;Range &lt;/b&gt;medium (100 ft. + 10 ft./level)&lt;/h5&gt;&lt;h5&gt;&lt;b&gt;Targets &lt;/b&gt;one door, box, or chest with an area of up to 10 sq. ft./level&lt;/h5&gt;&lt;h5&gt;&lt;b&gt;Duration &lt;/b&gt;instantaneous; see text&lt;/h5&gt;&lt;h5&gt;&lt;b&gt;Saving Throw &lt;/b&gt;none; &lt;b&gt;Spell Resistance &lt;/b&gt;no&lt;/h5&gt;&lt;/div&gt;&lt;hr/&gt;&lt;div&gt;&lt;h5&gt;&lt;b&gt;DESCRIPTION&lt;/b&gt;&lt;/h5&gt;&lt;/div&gt;&lt;hr/&gt;&lt;div&gt;&lt;h4&gt;&lt;p&gt;&lt;i&gt;Knock&lt;/i&gt; opens stuck, barred, or locked doors, as well as those subject to &lt;i&gt;hold portal or &lt;i&gt;arcane lock&lt;/i&gt;&lt;/i&gt;. When you complete the casting of this spell, make a caster level check against the DC of the lock with a +10 bonus. If successful, &lt;i&gt;knock&lt;/i&gt; opens up to two means of closure. This spell opens secret doors, as well as locked or trick-opening boxes or chests. It also loosens welds, shackles, or chains (provided they serve to hold something shut). If used to open an &lt;i&gt;&lt;i&gt;arcane lock&lt;/i&gt;ed&lt;/i&gt; door, the spell does not remove the &lt;i&gt;arcane lock&lt;/i&gt; but simply suspends its functioning for 10 minutes.&lt;/p&gt;&lt;p&gt;In all other cases, the door does not relock itself or become stuck again on its own. &lt;i&gt;Knock&lt;/i&gt; does not raise barred gates or similar impediments (such as a portcullis), nor does it affect ropes, vines, and the like. The effect is limited by the area. Each casting can undo as many as two means of preventing access.&lt;/p&gt;&lt;/h4&gt;&lt;/div&gt;</t>
  </si>
  <si>
    <t> Opens locked or magically sealed door.</t>
  </si>
  <si>
    <t>Know Direction</t>
  </si>
  <si>
    <t>bard 0, druid 0</t>
  </si>
  <si>
    <t>When you cast this spell, you instantly know the direction of north from your current position. The spell is effective in any environment in which "north" exists, but it may not work in extraplanar settings. Your knowledge of north is correct at the moment of casting, but you can get lost again within moments if you don't find some external reference point to help you keep track of direction.</t>
  </si>
  <si>
    <t>&lt;p&gt;When you cast this spell, you instantly know the direction of north from your current position. The spell is effective in any environment in which "north" exists, but it may not work in extraplanar settings. Your knowledge of north is correct at the moment of casting, but you can get lost again within moments if you don't find some external reference point to help you keep track of direction.&lt;/p&gt;</t>
  </si>
  <si>
    <t>&lt;link rel="stylesheet"href="PF.css"&gt;&lt;div class="heading"&gt;&lt;p class="alignleft"&gt;Know Direction&lt;/p&gt;&lt;div style="clear: both;"&gt;&lt;/div&gt;&lt;/div&gt;&lt;div&gt;&lt;h5&gt;&lt;b&gt;School &lt;/b&gt;divination; &lt;b&gt;Level &lt;/b&gt;bard 0, druid 0&lt;/h5&gt;&lt;/div&gt;&lt;hr/&gt;&lt;div&gt;&lt;h5&gt;&lt;b&gt;CASTING&lt;/b&gt;&lt;/h5&gt;&lt;/div&gt;&lt;hr/&gt;&lt;div&gt;&lt;h5&gt;&lt;b&gt;Casting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&lt;/b&gt;instantaneous&lt;/h5&gt;&lt;/div&gt;&lt;hr/&gt;&lt;div&gt;&lt;h5&gt;&lt;b&gt;DESCRIPTION&lt;/b&gt;&lt;/h5&gt;&lt;/div&gt;&lt;hr/&gt;&lt;div&gt;&lt;h4&gt;&lt;p&gt;When you cast this spell, you instantly know the direction of north from your current position. The spell is effective in any environment in which "north" exists, but it may not work in extraplanar settings. Your knowledge of north is correct at the moment of casting, but you can get lost again within moments if you don't find some external reference point to help you keep track of direction.&lt;/p&gt;&lt;/h4&gt;&lt;/div&gt;</t>
  </si>
  <si>
    <t>You discern north.</t>
  </si>
  <si>
    <t>Legend Lore</t>
  </si>
  <si>
    <t>bard 4, sorcerer/wizard 6, witch 6, inquisitor 6</t>
  </si>
  <si>
    <t>V, S, M (incense worth 250 gp), F (four pieces of ivory worth 50 gp each)</t>
  </si>
  <si>
    <t>Legend lore brings to your mind legends about an important person, place, or thing. If the person or thing is at hand, or if you are in the place in question, the casting time is only 1d4 x 10 minutes. If you have only detailed information on the person, place, or thing, the casting time is 1d10 days, and the resulting lore is less complete and specific (though it often provides enough information to help you find the person, place, or thing, thus allowing a better legend lore result next time). If you know only rumors, the casting time is 2d6 weeks, and the resulting lore is vague and incomplete (though it often directs you to more detailed information, thus allowing a better legend lore result next time). During the casting, you cannot engage in other than routine activities: eating, sleeping, and so forth. When completed, the divination brings legends (if any) about the person, place, or things to your mind. These may be legends that are still current, legends that have been forgotten, or even information that has never been generally known. If the person, place, or thing is not of legendary importance, you gain no information. As a rule of thumb, characters who are 11th level and higher are "legendary," as are the sorts of creatures they contend with, the major magic items they wield, and the places where they perform their key deeds.</t>
  </si>
  <si>
    <t>&lt;p&gt;&lt;i&gt;Legend lore&lt;/i&gt; brings to your mind legends about an important person, place, or thing. If the person or thing is at hand, or if you are in the place in question, the casting time is only 1d4 x 10 minutes. If you have only detailed information on the person, place, or thing, the casting time is 1d10 days, and the resulting lore is less complete and specific (though it often provides enough information to help you find the person, place, or thing, thus allowing a better &lt;i&gt;legend lore&lt;/i&gt; result next time). If you know only rumors, the casting time is 2d6 weeks, and the resulting lore is vague and incomplete (though it often directs you to more detailed information, thus allowing a better &lt;i&gt;legend lore&lt;/i&gt; result next time).&lt;/p&gt;&lt;p&gt;During the casting, you cannot engage in other than routine activities: eating, sleeping, and so forth. When completed, the divination brings legends (if any) about the person, place, or things to your mind. These may be legends that are still current, legends that have been forgotten, or even information that has never been generally known. If the person, place, or thing is not of legendary importance, you gain no information. As a rule of thumb, characters who are 11th level and higher are "legendary," as are the sorts of creatures they contend with, the major magic items they wield, and the places where they perform their key deeds.&lt;/p&gt;</t>
  </si>
  <si>
    <t>&lt;link rel="stylesheet"href="PF.css"&gt;&lt;div class="heading"&gt;&lt;p class="alignleft"&gt;Legend Lore&lt;/p&gt;&lt;div style="clear: both;"&gt;&lt;/div&gt;&lt;/div&gt;&lt;div&gt;&lt;h5&gt;&lt;b&gt;School &lt;/b&gt;divination; &lt;b&gt;Level &lt;/b&gt;bard 4, sorcerer/wizard 6, witch 6, inquisitor 6&lt;/h5&gt;&lt;/div&gt;&lt;hr/&gt;&lt;div&gt;&lt;h5&gt;&lt;b&gt;CASTING&lt;/b&gt;&lt;/h5&gt;&lt;/div&gt;&lt;hr/&gt;&lt;div&gt;&lt;h5&gt;&lt;b&gt;Casting Time &lt;/b&gt;see text&lt;/h5&gt;&lt;h5&gt;&lt;b&gt;Components &lt;/b&gt;V, S, M (incense worth 250 gp), F (four pieces of ivory worth 50 gp each)&lt;/h5&gt;&lt;/div&gt;&lt;hr/&gt;&lt;div&gt;&lt;h5&gt;&lt;b&gt;EFFECT&lt;/b&gt;&lt;/h5&gt;&lt;/div&gt;&lt;hr/&gt;&lt;div&gt;&lt;h5&gt;&lt;b&gt;Range &lt;/b&gt;personal&lt;/h5&gt;&lt;h5&gt;&lt;b&gt;Targets &lt;/b&gt;you&lt;/h5&gt;&lt;h5&gt;&lt;b&gt;Duration &lt;/b&gt;see text&lt;/h5&gt;&lt;/div&gt;&lt;hr/&gt;&lt;div&gt;&lt;h5&gt;&lt;b&gt;DESCRIPTION&lt;/b&gt;&lt;/h5&gt;&lt;/div&gt;&lt;hr/&gt;&lt;div&gt;&lt;h4&gt;&lt;p&gt;&lt;i&gt;Legend lore&lt;/i&gt; brings to your mind legends about an important person, place, or thing. If the person or thing is at hand, or if you are in the place in question, the casting time is only 1d4 x 10 minutes. If you have only detailed information on the person, place, or thing, the casting time is 1d10 days, and the resulting lore is less complete and specific (though it often provides enough information to help you find the person, place, or thing, thus allowing a better &lt;i&gt;legend lore&lt;/i&gt; result next time). If you know only rumors, the casting time is 2d6 weeks, and the resulting lore is vague and incomplete (though it often directs you to more detailed information, thus allowing a better &lt;i&gt;legend lore&lt;/i&gt; result next time).&lt;/p&gt;&lt;p&gt;During the casting, you cannot engage in other than routine activities: eating, sleeping, and so forth. When completed, the divination brings legends (if any) about the person, place, or things to your mind. These may be legends that are still current, legends that have been forgotten, or even information that has never been generally known. If the person, place, or thing is not of legendary importance, you gain no information. As a rule of thumb, characters who are 11th level and higher are "legendary," as are the sorts of creatures they contend with, the major magic items they wield, and the places where they perform their key deeds.&lt;/p&gt;&lt;/h4&gt;&lt;/div&gt;</t>
  </si>
  <si>
    <t>Lets you learn tales about a person, place, or thing.</t>
  </si>
  <si>
    <t>Levitate</t>
  </si>
  <si>
    <t>sorcerer/wizard 2, alchemist 2, summoner 2, witch 2, magus 2</t>
  </si>
  <si>
    <t>V, S, F (a leather loop or golden wire bent into a cup shape)</t>
  </si>
  <si>
    <t>personal or close (25 ft. + 5 ft./2 levels)</t>
  </si>
  <si>
    <t>you or one willing creature or one object (total weight up to 100 lbs./level)</t>
  </si>
  <si>
    <t>Levitate allows you to move yourself, another creature, or an object up and down as you wish. A creature must be willing to be levitated, and an object must be unattended or possessed by a willing creature. You can mentally direct the recipient to move up or down as much as 20 feet each round; doing so is a move action. You cannot move the recipient horizontally, but the recipient could clamber along the face of a cliff, for example, or push against a ceiling to move laterally (generally at half its base land speed). A levitating creature that attacks with a melee or ranged weapon finds itself increasingly unstable; the first attack has a -1 penalty on attack rolls, the second -2, and so on, to a maximum penalty of -5. A full round spent stabilizing allows the creature to begin again at -1.</t>
  </si>
  <si>
    <t>&lt;p&gt;&lt;i&gt;Levitate&lt;/i&gt; allows you to move yourself, another creature, or an object up and down as you wish. A creature must be willing to be levitated, and an object must be unattended or possessed by a willing creature. You can mentally direct the recipient to move up or down as much as 20 feet each round; doing so is a move action.&lt;/p&gt;&lt;p&gt;You cannot move the recipient horizontally, but the recipient could clamber along the face of a cliff, for example, or push against a ceiling to move laterally (generally at half its base land speed).&lt;/p&gt;&lt;p&gt;A levitating creature that attacks with a melee or ranged weapon finds itself increasingly unstable; the first attack has a -1 penalty on attack rolls, the second -2, and so on, to a maximum penalty of -5. A full round spent stabilizing allows the creature to begin again at -1.&lt;/p&gt;</t>
  </si>
  <si>
    <t>&lt;link rel="stylesheet"href="PF.css"&gt;&lt;div class="heading"&gt;&lt;p class="alignleft"&gt;Levitate&lt;/p&gt;&lt;div style="clear: both;"&gt;&lt;/div&gt;&lt;/div&gt;&lt;div&gt;&lt;h5&gt;&lt;b&gt;School &lt;/b&gt;transmutation; &lt;b&gt;Level &lt;/b&gt;sorcerer/wizard 2, alchemist 2, summoner 2, witch 2, magus 2&lt;/h5&gt;&lt;/div&gt;&lt;hr/&gt;&lt;div&gt;&lt;h5&gt;&lt;b&gt;CASTING&lt;/b&gt;&lt;/h5&gt;&lt;/div&gt;&lt;hr/&gt;&lt;div&gt;&lt;h5&gt;&lt;b&gt;Casting Time &lt;/b&gt;1 standard action&lt;/h5&gt;&lt;h5&gt;&lt;b&gt;Components &lt;/b&gt;V, S, F (a leather loop or golden wire bent into a cup shape)&lt;/h5&gt;&lt;/div&gt;&lt;hr/&gt;&lt;div&gt;&lt;h5&gt;&lt;b&gt;EFFECT&lt;/b&gt;&lt;/h5&gt;&lt;/div&gt;&lt;hr/&gt;&lt;div&gt;&lt;h5&gt;&lt;b&gt;Range &lt;/b&gt;personal or close (25 ft. + 5 ft./2 levels)&lt;/h5&gt;&lt;h5&gt;&lt;b&gt;Targets &lt;/b&gt;you or one willing creature or one object (total weight up to 100 lbs./level)&lt;/h5&gt;&lt;h5&gt;&lt;b&gt;Duration &lt;/b&gt;1 min./level (D)&lt;/h5&gt;&lt;h5&gt;&lt;b&gt;Saving Throw &lt;/b&gt;none; &lt;b&gt;Spell Resistance &lt;/b&gt;no&lt;/h5&gt;&lt;/div&gt;&lt;hr/&gt;&lt;div&gt;&lt;h5&gt;&lt;b&gt;DESCRIPTION&lt;/b&gt;&lt;/h5&gt;&lt;/div&gt;&lt;hr/&gt;&lt;div&gt;&lt;h4&gt;&lt;p&gt;&lt;i&gt;Levitate&lt;/i&gt; allows you to move yourself, another creature, or an object up and down as you wish. A creature must be willing to be levitated, and an object must be unattended or possessed by a willing creature. You can mentally direct the recipient to move up or down as much as 20 feet each round; doing so is a move action.&lt;/p&gt;&lt;p&gt;You cannot move the recipient horizontally, but the recipient could clamber along the face of a cliff, for example, or push against a ceiling to move laterally (generally at half its base land speed).&lt;/p&gt;&lt;p&gt;A levitating creature that attacks with a melee or ranged weapon finds itself increasingly unstable; the first attack has a -1 penalty on attack rolls, the second -2, and so on, to a maximum penalty of -5. A full round spent stabilizing allows the creature to begin again at -1.&lt;/p&gt;&lt;/h4&gt;&lt;/div&gt;</t>
  </si>
  <si>
    <t> Subject moves up and down at your direction.</t>
  </si>
  <si>
    <t>bard 0, cleric/oracle 0, druid 0, sorcerer/wizard 0</t>
  </si>
  <si>
    <t>V, M/DF (a firefly)</t>
  </si>
  <si>
    <t>This spell causes a touched object to glow like a torch, shedding normal light in a 20-foot radius from the point touched, and increasing the light level for an additional 20 feet by one step, up to normal light (darkness becomes dim light, and dim light becomes normal light). In an area of normal or bright light, this spell has no effect. The effect is immobile, but it can be cast on a movable object. You can only have one light spell active at any one time. If you cast this spell while another casting is still in effect, the previous casting is dispelled. If you make this spell permanent (through permanency or a similar effect), it does not count against this limit. Light can be used to counter or dispel any darkness spell of equal or lower spell level.</t>
  </si>
  <si>
    <t>&lt;p&gt;This spell causes a touched object to glow like a torch, shedding normal &lt;i&gt;light&lt;/i&gt; in a 20-foot radius from the point touched, and increasing the &lt;i&gt;light&lt;/i&gt; level for an additional 20 feet by one step, up to normal &lt;i&gt;light&lt;/i&gt; (darkness becomes dim &lt;i&gt;light&lt;/i&gt;, and dim &lt;i&gt;light&lt;/i&gt; becomes normal &lt;i&gt;light&lt;/i&gt;). In an area of normal or bright &lt;i&gt;light&lt;/i&gt;, this spell has no effect. The effect is immobile, but it can be cast on a movable object.&lt;/p&gt;&lt;p&gt;You can only have one &lt;i&gt;light&lt;/i&gt; spell active at any one time. If you cast this spell while another casting is still in effect, the previous casting is dispelled. If you make this spell permanent (through &lt;i&gt;permanency&lt;/i&gt; or a similar effect), it does not count against this limit.&lt;/p&gt;&lt;p&gt;&lt;i&gt;Light&lt;/i&gt; can be used to counter or dispel any darkness spell of equal or lower spell level.&lt;/p&gt;</t>
  </si>
  <si>
    <t>&lt;link rel="stylesheet"href="PF.css"&gt;&lt;div class="heading"&gt;&lt;p class="alignleft"&gt;Light&lt;/p&gt;&lt;div style="clear: both;"&gt;&lt;/div&gt;&lt;/div&gt;&lt;div&gt;&lt;h5&gt;&lt;b&gt;School &lt;/b&gt;evocation [light]; &lt;b&gt;Level &lt;/b&gt;bard 0, cleric/oracle 0, druid 0, sorcerer/wizard 0&lt;/h5&gt;&lt;/div&gt;&lt;hr/&gt;&lt;div&gt;&lt;h5&gt;&lt;b&gt;CASTING&lt;/b&gt;&lt;/h5&gt;&lt;/div&gt;&lt;hr/&gt;&lt;div&gt;&lt;h5&gt;&lt;b&gt;Casting Time &lt;/b&gt;1 standard action&lt;/h5&gt;&lt;h5&gt;&lt;b&gt;Components &lt;/b&gt;V, M/DF (a firefly)&lt;/h5&gt;&lt;/div&gt;&lt;hr/&gt;&lt;div&gt;&lt;h5&gt;&lt;b&gt;EFFECT&lt;/b&gt;&lt;/h5&gt;&lt;/div&gt;&lt;hr/&gt;&lt;div&gt;&lt;h5&gt;&lt;b&gt;Range &lt;/b&gt;touch&lt;/h5&gt;&lt;h5&gt;&lt;b&gt;Targets &lt;/b&gt;object touched&lt;/h5&gt;&lt;h5&gt;&lt;b&gt;Duration &lt;/b&gt;10 min./level&lt;/h5&gt;&lt;h5&gt;&lt;b&gt;Saving Throw &lt;/b&gt;none; &lt;b&gt;Spell Resistance &lt;/b&gt;no&lt;/h5&gt;&lt;/div&gt;&lt;hr/&gt;&lt;div&gt;&lt;h5&gt;&lt;b&gt;DESCRIPTION&lt;/b&gt;&lt;/h5&gt;&lt;/div&gt;&lt;hr/&gt;&lt;div&gt;&lt;h4&gt;&lt;p&gt;This spell causes a touched object to glow like a torch, shedding normal &lt;i&gt;light&lt;/i&gt; in a 20-foot radius from the point touched, and increasing the &lt;i&gt;light&lt;/i&gt; level for an additional 20 feet by one step, up to normal &lt;i&gt;light&lt;/i&gt; (darkness becomes dim &lt;i&gt;light&lt;/i&gt;, and dim &lt;i&gt;light&lt;/i&gt; becomes normal &lt;i&gt;light&lt;/i&gt;). In an area of normal or bright &lt;i&gt;light&lt;/i&gt;, this spell has no effect. The effect is immobile, but it can be cast on a movable object.&lt;/p&gt;&lt;p&gt;You can only have one &lt;i&gt;light&lt;/i&gt; spell active at any one time. If you cast this spell while another casting is still in effect, the previous casting is dispelled. If you make this spell permanent (through &lt;i&gt;permanency&lt;/i&gt; or a similar effect), it does not count against this limit.&lt;/p&gt;&lt;p&gt;&lt;i&gt;Light&lt;/i&gt; can be used to counter or dispel any darkness spell of equal or lower spell level.&lt;/p&gt;&lt;/h4&gt;&lt;/div&gt;</t>
  </si>
  <si>
    <t>Object shines like a torch.</t>
  </si>
  <si>
    <t>Lightning Bolt</t>
  </si>
  <si>
    <t>sorcerer/wizard 3, witch 3, magus 3</t>
  </si>
  <si>
    <t>V, S, M (fur and a glass rod)</t>
  </si>
  <si>
    <t>120 ft.</t>
  </si>
  <si>
    <t>120-ft. line</t>
  </si>
  <si>
    <t>You release a powerful stroke of electrical energy that deals 1d6 points of electricity damage per caster level (maximum 10d6) to each creature within its area. The bolt begins at your fingertips. The lightning bolt sets fire to combustibles and damages objects in its path. It can melt metals with a low melting point, such as lead, gold, copper, silver, or bronze. If the damage caused to an interposing barrier shatters or breaks through it, the bolt may continue beyond the barrier if the spell's range permits; otherwise, it stops at the barrier just as any other spell effect does.</t>
  </si>
  <si>
    <t>&lt;p&gt;You release a powerful stroke of electrical energy that deals 1d6 points of electricity damage per caster level (maximum 10d6) to each creature within its area. The bolt begins at your fingertips.&lt;/p&gt;&lt;p&gt;The &lt;i&gt;lightning bolt&lt;/i&gt; sets fire to combustibles and damages objects in its path. It can melt metals with a low melting point, such as lead, gold, copper, silver, or bronze. If the damage caused to an interposing barrier shatters or breaks through it, the bolt may continue beyond the barrier if the spell's range permits; otherwise, it stops at the barrier just as any other spell effect does.&lt;/p&gt;</t>
  </si>
  <si>
    <t>&lt;link rel="stylesheet"href="PF.css"&gt;&lt;div class="heading"&gt;&lt;p class="alignleft"&gt;Lightning Bolt&lt;/p&gt;&lt;div style="clear: both;"&gt;&lt;/div&gt;&lt;/div&gt;&lt;div&gt;&lt;h5&gt;&lt;b&gt;School &lt;/b&gt;evocation [electricity]; &lt;b&gt;Level &lt;/b&gt;sorcerer/wizard 3, witch 3, magus 3&lt;/h5&gt;&lt;/div&gt;&lt;hr/&gt;&lt;div&gt;&lt;h5&gt;&lt;b&gt;CASTING&lt;/b&gt;&lt;/h5&gt;&lt;/div&gt;&lt;hr/&gt;&lt;div&gt;&lt;h5&gt;&lt;b&gt;Casting Time &lt;/b&gt;1 standard action&lt;/h5&gt;&lt;h5&gt;&lt;b&gt;Components &lt;/b&gt;V, S, M (fur and a glass rod)&lt;/h5&gt;&lt;/div&gt;&lt;hr/&gt;&lt;div&gt;&lt;h5&gt;&lt;b&gt;EFFECT&lt;/b&gt;&lt;/h5&gt;&lt;/div&gt;&lt;hr/&gt;&lt;div&gt;&lt;h5&gt;&lt;b&gt;Range &lt;/b&gt;120 ft.&lt;/h5&gt;&lt;h5&gt;&lt;b&gt;Area &lt;/b&gt;120-ft. line&lt;/h5&gt;&lt;h5&gt;&lt;b&gt;Duration &lt;/b&gt;instantaneous&lt;/h5&gt;&lt;h5&gt;&lt;b&gt;Saving Throw &lt;/b&gt;Reflex half; &lt;b&gt;Spell Resistance &lt;/b&gt;yes&lt;/h5&gt;&lt;/div&gt;&lt;hr/&gt;&lt;div&gt;&lt;h5&gt;&lt;b&gt;DESCRIPTION&lt;/b&gt;&lt;/h5&gt;&lt;/div&gt;&lt;hr/&gt;&lt;div&gt;&lt;h4&gt;&lt;p&gt;You release a powerful stroke of electrical energy that deals 1d6 points of electricity damage per caster level (maximum 10d6) to each creature within its area. The bolt begins at your fingertips.&lt;/p&gt;&lt;p&gt;The &lt;i&gt;lightning bolt&lt;/i&gt; sets fire to combustibles and damages objects in its path. It can melt metals with a low melting point, such as lead, gold, copper, silver, or bronze. If the damage caused to an interposing barrier shatters or breaks through it, the bolt may continue beyond the barrier if the spell's range permits; otherwise, it stops at the barrier just as any other spell effect does.&lt;/p&gt;&lt;/h4&gt;&lt;h5&gt;&lt;b&gt;Mythic: &lt;/b&gt;The damage dealt increases to 1d8 points of electricity damage per caster level (maximum 10d8). Any creature that fails its save is staggered for 1 round.&lt;/h5&gt;&lt;h5&gt;&lt;b&gt;Augmented (3rd)&lt;/b&gt;: If you expend two uses of mythic power, you can bend the line of the spell once up to 90 degrees. Any creature that fails its save is stunned for 1 round.&lt;/h5&gt;&lt;/div&gt;</t>
  </si>
  <si>
    <t> Electricity deals 1d6/level damage.</t>
  </si>
  <si>
    <t>The damage dealt increases to 1d8 points of electricity damage per caster level (maximum 10d8). Any creature that fails its save is staggered for 1 round.</t>
  </si>
  <si>
    <t>Augmented (3rd): If you expend two uses of mythic power, you can bend the line of the spell once up to 90 degrees. Any creature that fails its save is stunned for 1 round.</t>
  </si>
  <si>
    <t>Limited Wish</t>
  </si>
  <si>
    <t>V, S, M (diamond worth 1,500 gp)</t>
  </si>
  <si>
    <t>Target see text</t>
  </si>
  <si>
    <t>see text Area see text</t>
  </si>
  <si>
    <t>none, see text</t>
  </si>
  <si>
    <t>A limited wish lets you create nearly any type of effect. For example, a limited wish can do any of the following things. • Duplicate any sorcerer/wizard spell of 6th level or lower, provided the spell does not belong to one of your opposition schools. • Duplicate any non-sorcerer/wizard spell of 5th level or lower, provided the spell does not belong to one of your opposition schools. • Duplicate any sorcerer/wizard spell of 5th level or lower, even if it belongs to one of your opposition schools. • Duplicate any non-sorcerer/wizard spell of 4th level or lower, even if it belongs to one of your opposition schools. • Undo the harmful effects of many spells, such as geas/quest or insanity. • Produce any other effect whose power level is in line with the above effects, such as a single creature automatically hitting on its next attack or taking a -7 penalty on its next saving throw. A duplicated spell allows saving throws and spell resistance as normal, but the save DC is for a 7th-level spell. When a limited wish spell duplicates a spell with a material component that costs more than 1,000 gp, you must provide that component (in addition to the 1,500 gp diamond component for this spell).</t>
  </si>
  <si>
    <t>&lt;p&gt;A &lt;i&gt;limited wish&lt;/i&gt; lets you create nearly any type of effect. For example, a &lt;i&gt;limited wish&lt;/i&gt; can do any of the following things.&lt;/p&gt;&lt;p&gt;&lt;ul&gt;&lt;li&gt; Duplicate any sorcerer/wizard spell of 6th level or lower, provided the spell does not belong to one of your opposition schools.&lt;/p&gt;&lt;p&gt;&lt;li&gt; Duplicate any non-sorcerer/wizard spell of 5th level or lower, provided the spell does not belong to one of your opposition schools.&lt;/p&gt;&lt;p&gt;&lt;li&gt; Duplicate any sorcerer/wizard spell of 5th level or lower, even if it belongs to one of your opposition schools.&lt;/p&gt;&lt;p&gt;&lt;li&gt; Duplicate any non-sorcerer/wizard spell of 4th level or lower, even if it belongs to one of your opposition schools.&lt;/p&gt;&lt;p&gt;&lt;li&gt; Undo the harmful effects of many spells, such as &lt;i&gt;geas/quest&lt;/i&gt; or &lt;i&gt;insanity&lt;/i&gt;.&lt;/p&gt;&lt;p&gt;&lt;li&gt; Produce any other effect whose power level is in line with the above effects, such as a single creature automatically hitting on its next attack or taking a -7 penalty on its next saving throw.&lt;/p&gt;&lt;p&gt;A duplicated spell allows saving throws and spell resistance as normal, but the save DC is for a 7th-level spell. When a &lt;i&gt;limited wish&lt;/i&gt; spell duplicates a spell with a material component that costs more than 1,000 gp, you must provide that component (in addition to the 1,500 gp diamond component for this spell).&lt;/ul&gt;&lt;/p&gt;</t>
  </si>
  <si>
    <t>&lt;link rel="stylesheet"href="PF.css"&gt;&lt;div class="heading"&gt;&lt;p class="alignleft"&gt;Limited Wish&lt;/p&gt;&lt;div style="clear: both;"&gt;&lt;/div&gt;&lt;/div&gt;&lt;div&gt;&lt;h5&gt;&lt;b&gt;School &lt;/b&gt;universal; &lt;b&gt;Level &lt;/b&gt;sorcerer/wizard 7&lt;/h5&gt;&lt;/div&gt;&lt;hr/&gt;&lt;div&gt;&lt;h5&gt;&lt;b&gt;CASTING&lt;/b&gt;&lt;/h5&gt;&lt;/div&gt;&lt;hr/&gt;&lt;div&gt;&lt;h5&gt;&lt;b&gt;Casting Time &lt;/b&gt;1 standard action&lt;/h5&gt;&lt;h5&gt;&lt;b&gt;Components &lt;/b&gt;V, S, M (diamond worth 1,500 gp)&lt;/h5&gt;&lt;/div&gt;&lt;hr/&gt;&lt;div&gt;&lt;h5&gt;&lt;b&gt;EFFECT&lt;/b&gt;&lt;/h5&gt;&lt;/div&gt;&lt;hr/&gt;&lt;div&gt;&lt;h5&gt;&lt;b&gt;Range &lt;/b&gt;see text&lt;/h5&gt;&lt;h5&gt;&lt;b&gt;Area &lt;/b&gt;see text&lt;/h5&gt;&lt;h5&gt;&lt;b&gt;Effect &lt;/b&gt;see text&lt;/h5&gt;&lt;h5&gt;&lt;b&gt;Targets &lt;/b&gt;see text&lt;/h5&gt; &lt;h5&gt;&lt;b&gt;Duration &lt;/b&gt;see text&lt;/h5&gt;&lt;h5&gt;&lt;b&gt;Saving Throw &lt;/b&gt;none, see text; &lt;b&gt;Spell Resistance &lt;/b&gt;yes&lt;/h5&gt;&lt;/div&gt;&lt;hr/&gt;&lt;div&gt;&lt;h5&gt;&lt;b&gt;DESCRIPTION&lt;/b&gt;&lt;/h5&gt;&lt;/div&gt;&lt;hr/&gt;&lt;div&gt;&lt;h4&gt;&lt;p&gt;A &lt;i&gt;limited wish&lt;/i&gt; lets you create nearly any type of effect. For example, a &lt;i&gt;limited wish&lt;/i&gt; can do any of the following things.&lt;/p&gt;&lt;p&gt;&lt;ul&gt;&lt;li&gt; Duplicate any sorcerer/wizard spell of 6th level or lower, provided the spell does not belong to one of your opposition schools.&lt;/p&gt;&lt;p&gt;&lt;li&gt; Duplicate any non-sorcerer/wizard spell of 5th level or lower, provided the spell does not belong to one of your opposition schools.&lt;/p&gt;&lt;p&gt;&lt;li&gt; Duplicate any sorcerer/wizard spell of 5th level or lower, even if it belongs to one of your opposition schools.&lt;/p&gt;&lt;p&gt;&lt;li&gt; Duplicate any non-sorcerer/wizard spell of 4th level or lower, even if it belongs to one of your opposition schools.&lt;/p&gt;&lt;p&gt;&lt;li&gt; Undo the harmful effects of many spells, such as &lt;i&gt;geas/quest&lt;/i&gt; or &lt;i&gt;insanity&lt;/i&gt;.&lt;/p&gt;&lt;p&gt;&lt;li&gt; Produce any other effect whose power level is in line with the above effects, such as a single creature automatically hitting on its next attack or taking a -7 penalty on its next saving throw.&lt;/p&gt;&lt;p&gt;A duplicated spell allows saving throws and spell resistance as normal, but the save DC is for a 7th-level spell. When a &lt;i&gt;limited wish&lt;/i&gt; spell duplicates a spell with a material component that costs more than 1,000 gp, you must provide that component (in addition to the 1,500 gp diamond component for this spell).&lt;/ul&gt;&lt;/p&gt;&lt;/h4&gt;&lt;h5&gt;&lt;b&gt;Mythic: &lt;/b&gt;When using mythic limited wish to duplicate another spell, you can duplicate a mythic spell you know (if you're a spontaneous caster) or have prepared (if you're a caster who prepares spells). If you don't know or haven't prepared the mythic spell, you can expend a second use of mythic power duplicate the mythic version of the desired spell.&lt;/h5&gt;&lt;h5&gt;&lt;b&gt;Augmented&lt;/b&gt;: If you expend two uses of mythic power, you can cast a silent, stilled mythic limited wish, even if you're helpless or couldn't otherwise take actions (but not unconscious).&lt;/h5&gt;&lt;/div&gt;</t>
  </si>
  <si>
    <t>Construct</t>
  </si>
  <si>
    <t> Alters reality (within limits).</t>
  </si>
  <si>
    <t>When using mythic limited wish to duplicate another spell, you can duplicate a mythic spell you know (if you're a spontaneous caster) or have prepared (if you're a caster who prepares spells). If you don't know or haven't prepared the mythic spell, you can expend a second use of mythic power duplicate the mythic version of the desired spell.</t>
  </si>
  <si>
    <t>Augmented: If you expend two uses of mythic power, you can cast a silent, stilled mythic limited wish, even if you're helpless or couldn't otherwise take actions (but not unconscious).</t>
  </si>
  <si>
    <t>Liveoak</t>
  </si>
  <si>
    <t>tree touched</t>
  </si>
  <si>
    <t>This spell turns an oak tree into a protector or guardian. The spell can only be cast on a single tree at a time; while liveoak is in effect, you can't cast it again on another tree. Liveoak must be cast on a healthy, Huge oak. A triggering phrase of up to one word per caster level is placed on the targeted oak. The liveoak spell triggers the tree into animating as a treant. If liveoak is dispelled, the tree takes root immediately wherever it happens to be. If released by you, the tree tries to return to its original location before taking root.</t>
  </si>
  <si>
    <t>&lt;p&gt;This spell turns an oak tree into a protector or guardian. The spell can only be cast on a single tree at a time; while &lt;i&gt;liveoak&lt;/i&gt; is in effect, you can't cast it again on another tree. &lt;i&gt;Liveoak&lt;/i&gt; must be cast on a healthy, Huge oak. A triggering phrase of up to one word per caster level is placed on the targeted oak. The &lt;i&gt;liveoak&lt;/i&gt; spell triggers the tree into animating as a treant.&lt;/p&gt;&lt;p&gt;If &lt;i&gt;liveoak&lt;/i&gt; is dispelled, the tree takes root immediately wherever it happens to be. If released by you, the tree tries to return to its original location before taking root.&lt;/p&gt;</t>
  </si>
  <si>
    <t>&lt;link rel="stylesheet"href="PF.css"&gt;&lt;div class="heading"&gt;&lt;p class="alignleft"&gt;Liveoak&lt;/p&gt;&lt;div style="clear: both;"&gt;&lt;/div&gt;&lt;/div&gt;&lt;div&gt;&lt;h5&gt;&lt;b&gt;School &lt;/b&gt;transmutation; &lt;b&gt;Level &lt;/b&gt;druid 6&lt;/h5&gt;&lt;/div&gt;&lt;hr/&gt;&lt;div&gt;&lt;h5&gt;&lt;b&gt;CASTING&lt;/b&gt;&lt;/h5&gt;&lt;/div&gt;&lt;hr/&gt;&lt;div&gt;&lt;h5&gt;&lt;b&gt;Casting Time &lt;/b&gt;10 minutes&lt;/h5&gt;&lt;h5&gt;&lt;b&gt;Components &lt;/b&gt;V, S&lt;/h5&gt;&lt;/div&gt;&lt;hr/&gt;&lt;div&gt;&lt;h5&gt;&lt;b&gt;EFFECT&lt;/b&gt;&lt;/h5&gt;&lt;/div&gt;&lt;hr/&gt;&lt;div&gt;&lt;h5&gt;&lt;b&gt;Range &lt;/b&gt;touch&lt;/h5&gt;&lt;h5&gt;&lt;b&gt;Targets &lt;/b&gt;tree touched&lt;/h5&gt;&lt;h5&gt;&lt;b&gt;Duration &lt;/b&gt;1 day/level (D)&lt;/h5&gt;&lt;h5&gt;&lt;b&gt;Saving Throw &lt;/b&gt;none; &lt;b&gt;Spell Resistance &lt;/b&gt;no&lt;/h5&gt;&lt;/div&gt;&lt;hr/&gt;&lt;div&gt;&lt;h5&gt;&lt;b&gt;DESCRIPTION&lt;/b&gt;&lt;/h5&gt;&lt;/div&gt;&lt;hr/&gt;&lt;div&gt;&lt;h4&gt;&lt;p&gt;This spell turns an oak tree into a protector or guardian. The spell can only be cast on a single tree at a time; while &lt;i&gt;liveoak&lt;/i&gt; is in effect, you can't cast it again on another tree. &lt;i&gt;Liveoak&lt;/i&gt; must be cast on a healthy, Huge oak. A triggering phrase of up to one word per caster level is placed on the targeted oak. The &lt;i&gt;liveoak&lt;/i&gt; spell triggers the tree into animating as a treant.&lt;/p&gt;&lt;p&gt;If &lt;i&gt;liveoak&lt;/i&gt; is dispelled, the tree takes root immediately wherever it happens to be. If released by you, the tree tries to return to its original location before taking root.&lt;/p&gt;&lt;/h4&gt;&lt;/div&gt;</t>
  </si>
  <si>
    <t> Oak becomes treant guardian.</t>
  </si>
  <si>
    <t>Locate Object</t>
  </si>
  <si>
    <t>bard 2, cleric 3/oracle 3, sorcerer/wizard 2, witch 3, inquisitor 3</t>
  </si>
  <si>
    <t>V, S, F/DF (a forked twig)</t>
  </si>
  <si>
    <t>circle, centered on you, with a radius of 400 ft. + 40 ft./level</t>
  </si>
  <si>
    <t>You sense the direction of a well-known or clearly visualized object. You can search for general items, in which case you locate the nearest of its kind if more than one is within range. Attempting to find a certain item requires a specific and accurate mental image; if the image is not close enough to the actual object, the spell fails. You cannot specify a unique item unless you have observed that particular item firsthand (not through divination). The spell is blocked by even a thin sheet of lead. Creatures cannot be found by this spell. Polymorph any object and nondetection fool it.</t>
  </si>
  <si>
    <t>&lt;p&gt;You sense the direction of a well-known or clearly visualized object.&lt;/p&gt;&lt;p&gt;You can search for general items, in which case you locate the nearest of its kind if more than one is within range. Attempting to find a certain item requires a specific and accurate mental image; if the image is not close enough to the actual object, the spell fails.&lt;/p&gt;&lt;p&gt;You cannot specify a unique item unless you have observed that particular item firsthand (not through divination).&lt;/p&gt;&lt;p&gt;The spell is blocked by even a thin sheet of lead. Creatures cannot be found by this spell. &lt;i&gt;Polymorph any object&lt;/i&gt; and &lt;i&gt;nondetection&lt;/i&gt; fool it.&lt;/p&gt;</t>
  </si>
  <si>
    <t>&lt;link rel="stylesheet"href="PF.css"&gt;&lt;div class="heading"&gt;&lt;p class="alignleft"&gt;Locate Object&lt;/p&gt;&lt;div style="clear: both;"&gt;&lt;/div&gt;&lt;/div&gt;&lt;div&gt;&lt;h5&gt;&lt;b&gt;School &lt;/b&gt;divination; &lt;b&gt;Level &lt;/b&gt;bard 2, cleric 3/oracle 3, sorcerer/wizard 2, witch 3, inquisitor 3&lt;/h5&gt;&lt;/div&gt;&lt;hr/&gt;&lt;div&gt;&lt;h5&gt;&lt;b&gt;CASTING&lt;/b&gt;&lt;/h5&gt;&lt;/div&gt;&lt;hr/&gt;&lt;div&gt;&lt;h5&gt;&lt;b&gt;Casting Time &lt;/b&gt;1 standard action&lt;/h5&gt;&lt;h5&gt;&lt;b&gt;Components &lt;/b&gt;V, S, F/DF (a forked twig)&lt;/h5&gt;&lt;/div&gt;&lt;hr/&gt;&lt;div&gt;&lt;h5&gt;&lt;b&gt;EFFECT&lt;/b&gt;&lt;/h5&gt;&lt;/div&gt;&lt;hr/&gt;&lt;div&gt;&lt;h5&gt;&lt;b&gt;Range &lt;/b&gt;long (400 ft. + 40 ft./level)&lt;/h5&gt;&lt;h5&gt;&lt;b&gt;Area &lt;/b&gt;circle, centered on you, with a radius of 400 ft. + 40 ft./level&lt;/h5&gt;&lt;h5&gt;&lt;b&gt;Duration &lt;/b&gt;1 min./level&lt;/h5&gt;&lt;h5&gt;&lt;b&gt;Saving Throw &lt;/b&gt;none; &lt;b&gt;Spell Resistance &lt;/b&gt;no&lt;/h5&gt;&lt;/div&gt;&lt;hr/&gt;&lt;div&gt;&lt;h5&gt;&lt;b&gt;DESCRIPTION&lt;/b&gt;&lt;/h5&gt;&lt;/div&gt;&lt;hr/&gt;&lt;div&gt;&lt;h4&gt;&lt;p&gt;You sense the direction of a well-known or clearly visualized object.&lt;/p&gt;&lt;p&gt;You can search for general items, in which case you locate the nearest of its kind if more than one is within range. Attempting to find a certain item requires a specific and accurate mental image; if the image is not close enough to the actual object, the spell fails.&lt;/p&gt;&lt;p&gt;You cannot specify a unique item unless you have observed that particular item firsthand (not through divination).&lt;/p&gt;&lt;p&gt;The spell is blocked by even a thin sheet of lead. Creatures cannot be found by this spell. &lt;i&gt;Polymorph any object&lt;/i&gt; and &lt;i&gt;nondetection&lt;/i&gt; fool it.&lt;/p&gt;&lt;/h4&gt;&lt;/div&gt;</t>
  </si>
  <si>
    <t>Thievery, Travel</t>
  </si>
  <si>
    <t>Senses direction toward object (specific or type).</t>
  </si>
  <si>
    <t>Locate Creature</t>
  </si>
  <si>
    <t>bard 4, sorcerer/wizard 4, summoner 3, witch 4</t>
  </si>
  <si>
    <t>V, S, M (fur from a bloodhound)</t>
  </si>
  <si>
    <t>This spell functions like locate object, except this spell locates a known creature. You slowly turn and sense when you are facing in the direction of the creature to be located, provided it is within range. You also know in which direction the creature is moving, if any. The spell can locate a creature of a specific kind or a specific creature known to you. It cannot find a creature of a certain type. To find a kind of creature, you must have seen such a creature up close (within 30 feet) at least once. Running water blocks the spell. It cannot detect objects. It can be fooled by mislead, nondetection, and polymorph spells.</t>
  </si>
  <si>
    <t>&lt;p&gt;This spell functions like &lt;i&gt;locate object,&lt;/i&gt; except this spell locates a known creature. You slowly turn and sense when you are facing in the direction of the creature to be located, provided it is within range. You also know in which direction the creature is moving, if any.&lt;/p&gt;&lt;p&gt;The spell can locate a creature of a specific kind or a specific creature known to you. It cannot find a creature of a certain type. To find a kind of creature, you must have seen such a creature up close (within 30 feet) at least once.&lt;/p&gt;&lt;p&gt;Running water blocks the spell. It cannot detect objects. It can be fooled by &lt;i&gt;mislead, nondetection&lt;/i&gt;, and &lt;i&gt;polymorph&lt;/i&gt; spells.&lt;/p&gt;</t>
  </si>
  <si>
    <t>&lt;link rel="stylesheet"href="PF.css"&gt;&lt;div class="heading"&gt;&lt;p class="alignleft"&gt;Locate Creature&lt;/p&gt;&lt;div style="clear: both;"&gt;&lt;/div&gt;&lt;/div&gt;&lt;div&gt;&lt;h5&gt;&lt;b&gt;School &lt;/b&gt;divination; &lt;b&gt;Level &lt;/b&gt;bard 4, sorcerer/wizard 4, summoner 3, witch 4&lt;/h5&gt;&lt;/div&gt;&lt;hr/&gt;&lt;div&gt;&lt;h5&gt;&lt;b&gt;CASTING&lt;/b&gt;&lt;/h5&gt;&lt;/div&gt;&lt;hr/&gt;&lt;div&gt;&lt;h5&gt;&lt;b&gt;Casting Time &lt;/b&gt;1 standard action&lt;/h5&gt;&lt;h5&gt;&lt;b&gt;Components &lt;/b&gt;V, S, M (fur from a bloodhound)&lt;/h5&gt;&lt;/div&gt;&lt;hr/&gt;&lt;div&gt;&lt;h5&gt;&lt;b&gt;EFFECT&lt;/b&gt;&lt;/h5&gt;&lt;/div&gt;&lt;hr/&gt;&lt;div&gt;&lt;h5&gt;&lt;b&gt;Range &lt;/b&gt;long (400 ft. + 40 ft./level)&lt;/h5&gt;&lt;h5&gt;&lt;b&gt;Area &lt;/b&gt;circle, centered on you, with a radius of 400 ft. + 40 ft./level&lt;/h5&gt;&lt;h5&gt;&lt;b&gt;Duration &lt;/b&gt;10 min./level&lt;/h5&gt;&lt;h5&gt;&lt;b&gt;Saving Throw &lt;/b&gt;none; &lt;b&gt;Spell Resistance &lt;/b&gt;no&lt;/h5&gt;&lt;/div&gt;&lt;hr/&gt;&lt;div&gt;&lt;h5&gt;&lt;b&gt;DESCRIPTION&lt;/b&gt;&lt;/h5&gt;&lt;/div&gt;&lt;hr/&gt;&lt;div&gt;&lt;h4&gt;&lt;p&gt;This spell functions like &lt;i&gt;locate object,&lt;/i&gt; except this spell locates a known creature. You slowly turn and sense when you are facing in the direction of the creature to be located, provided it is within range. You also know in which direction the creature is moving, if any.&lt;/p&gt;&lt;p&gt;The spell can locate a creature of a specific kind or a specific creature known to you. It cannot find a creature of a certain type. To find a kind of creature, you must have seen such a creature up close (within 30 feet) at least once.&lt;/p&gt;&lt;p&gt;Running water blocks the spell. It cannot detect objects. It can be fooled by &lt;i&gt;mislead, nondetection&lt;/i&gt;, and &lt;i&gt;polymorph&lt;/i&gt; spells.&lt;/p&gt;&lt;/h4&gt;&lt;/div&gt;</t>
  </si>
  <si>
    <t>Exploration</t>
  </si>
  <si>
    <t>Indicates direction to known creature.</t>
  </si>
  <si>
    <t>Longstrider</t>
  </si>
  <si>
    <t>V, S, M (a pinch of dirt)</t>
  </si>
  <si>
    <t>This spell gives you a +10 foot enhancement bonus to your base speed. It has no effect on other modes of movement, such as burrow, climb, fly, or swim.</t>
  </si>
  <si>
    <t>&lt;p&gt;This spell gives you a +10 foot enhancement bonus to your base speed. It has no effect on other modes of movement, such as burrow, climb, fly, or swim.&lt;/p&gt;</t>
  </si>
  <si>
    <t>&lt;link rel="stylesheet"href="PF.css"&gt;&lt;div class="heading"&gt;&lt;p class="alignleft"&gt;Longstrider&lt;/p&gt;&lt;div style="clear: both;"&gt;&lt;/div&gt;&lt;/div&gt;&lt;div&gt;&lt;h5&gt;&lt;b&gt;School &lt;/b&gt;transmutation; &lt;b&gt;Level &lt;/b&gt;druid 1, ranger 1&lt;/h5&gt;&lt;/div&gt;&lt;hr/&gt;&lt;div&gt;&lt;h5&gt;&lt;b&gt;CASTING&lt;/b&gt;&lt;/h5&gt;&lt;/div&gt;&lt;hr/&gt;&lt;div&gt;&lt;h5&gt;&lt;b&gt;Casting Time &lt;/b&gt;1 standard action&lt;/h5&gt;&lt;h5&gt;&lt;b&gt;Components &lt;/b&gt;V, S, M (a pinch of dirt)&lt;/h5&gt;&lt;/div&gt;&lt;hr/&gt;&lt;div&gt;&lt;h5&gt;&lt;b&gt;EFFECT&lt;/b&gt;&lt;/h5&gt;&lt;/div&gt;&lt;hr/&gt;&lt;div&gt;&lt;h5&gt;&lt;b&gt;Range &lt;/b&gt;personal&lt;/h5&gt;&lt;h5&gt;&lt;b&gt;Targets &lt;/b&gt;you&lt;/h5&gt;&lt;h5&gt;&lt;b&gt;Duration &lt;/b&gt;1 hour/level (D)&lt;/h5&gt;&lt;/div&gt;&lt;hr/&gt;&lt;div&gt;&lt;h5&gt;&lt;b&gt;DESCRIPTION&lt;/b&gt;&lt;/h5&gt;&lt;/div&gt;&lt;hr/&gt;&lt;div&gt;&lt;h4&gt;&lt;p&gt;This spell gives you a +10 foot enhancement bonus to your base speed. It has no effect on other modes of movement, such as burrow, climb, fly, or swim.&lt;/p&gt;&lt;/h4&gt;&lt;/div&gt;</t>
  </si>
  <si>
    <t>Your speed increases by 10 ft.</t>
  </si>
  <si>
    <t>Lullaby</t>
  </si>
  <si>
    <t>bard 0</t>
  </si>
  <si>
    <t>living creatures within a 10-ft.-radius burst</t>
  </si>
  <si>
    <t>concentration + 1 round/level</t>
  </si>
  <si>
    <t>Any creature within the area that fails a Will save becomes drowsy and inattentive, taking a -5 penalty on Perception checks and a -2 penalty on Will saves against sleep effects while the lullaby is in effect. Lullaby lasts for as long as the caster concentrates, plus up to 1 round per caster level thereafter.</t>
  </si>
  <si>
    <t>&lt;p&gt;Any creature within the area that fails a Will save becomes drowsy and inattentive, taking a -5 penalty on Perception checks and a -2 penalty on Will saves against &lt;i&gt;sleep&lt;/i&gt; effects while the &lt;i&gt;lullaby&lt;/i&gt; is in effect. &lt;i&gt;Lullaby&lt;/i&gt; lasts for as long as the caster concentrates, plus up to 1 round per caster level thereafter.&lt;/p&gt;</t>
  </si>
  <si>
    <t>&lt;link rel="stylesheet"href="PF.css"&gt;&lt;div class="heading"&gt;&lt;p class="alignleft"&gt;Lullaby&lt;/p&gt;&lt;div style="clear: both;"&gt;&lt;/div&gt;&lt;/div&gt;&lt;div&gt;&lt;h5&gt;&lt;b&gt;School &lt;/b&gt;enchantment (compulsion) [mind-affecting]; &lt;b&gt;Level &lt;/b&gt;bard 0&lt;/h5&gt;&lt;/div&gt;&lt;hr/&gt;&lt;div&gt;&lt;h5&gt;&lt;b&gt;CASTING&lt;/b&gt;&lt;/h5&gt;&lt;/div&gt;&lt;hr/&gt;&lt;div&gt;&lt;h5&gt;&lt;b&gt;Casting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ft./level)&lt;/h5&gt;&lt;h5&gt;&lt;b&gt;Area &lt;/b&gt;living creatures within a 10-ft.-radius burst&lt;/h5&gt;&lt;h5&gt;&lt;b&gt;Duration &lt;/b&gt;concentration + 1 round/level (D)&lt;/h5&gt;&lt;h5&gt;&lt;b&gt;Saving Throw &lt;/b&gt;Will negates; &lt;b&gt;Spell Resistance &lt;/b&gt;yes&lt;/h5&gt;&lt;/div&gt;&lt;hr/&gt;&lt;div&gt;&lt;h5&gt;&lt;b&gt;DESCRIPTION&lt;/b&gt;&lt;/h5&gt;&lt;/div&gt;&lt;hr/&gt;&lt;div&gt;&lt;h4&gt;&lt;p&gt;Any creature within the area that fails a Will save becomes drowsy and inattentive, taking a -5 penalty on Perception checks and a -2 penalty on Will saves against &lt;i&gt;sleep&lt;/i&gt; effects while the &lt;i&gt;lullaby&lt;/i&gt; is in effect. &lt;i&gt;Lullaby&lt;/i&gt; lasts for as long as the caster concentrates, plus up to 1 round per caster level thereafter.&lt;/p&gt;&lt;/h4&gt;&lt;/div&gt;</t>
  </si>
  <si>
    <t> Makes subject drowsy  –5 on Perception checks, –2 on Will saves against sleep.</t>
  </si>
  <si>
    <t>Mage Armor</t>
  </si>
  <si>
    <t>sorcerer/wizard 1, summoner 1, witch 1</t>
  </si>
  <si>
    <t>V, S, F (a piece of cured leather)</t>
  </si>
  <si>
    <t>An invisible but tangible field of force surrounds the subject of a mage armor spell, providing a +4 armor bonus to AC. Unlike mundane armor, mage armor entails no armor check penalty, arcane spell failure chance, or speed reduction. Since mage armor is made of force, incorporeal creatures can't bypass it the way they do normal armor.</t>
  </si>
  <si>
    <t>&lt;p&gt;An invisible but tangible field of force surrounds the subject of a &lt;i&gt;mage armor&lt;/i&gt; spell, providing a +4 armor bonus to AC.&lt;/p&gt;&lt;p&gt;Unlike mundane armor, &lt;i&gt;mage armor&lt;/i&gt; entails no armor check penalty, arcane spell failure chance, or speed reduction. Since &lt;i&gt;mage armor&lt;/i&gt; is made of force, incorporeal creatures can't bypass it the way they do normal armor.&lt;/p&gt;</t>
  </si>
  <si>
    <t>&lt;link rel="stylesheet"href="PF.css"&gt;&lt;div class="heading"&gt;&lt;p class="alignleft"&gt;Mage Armor&lt;/p&gt;&lt;div style="clear: both;"&gt;&lt;/div&gt;&lt;/div&gt;&lt;div&gt;&lt;h5&gt;&lt;b&gt;School &lt;/b&gt;conjuration (creation) [force]; &lt;b&gt;Level &lt;/b&gt;sorcerer/wizard 1, summoner 1, witch 1&lt;/h5&gt;&lt;/div&gt;&lt;hr/&gt;&lt;div&gt;&lt;h5&gt;&lt;b&gt;CASTING&lt;/b&gt;&lt;/h5&gt;&lt;/div&gt;&lt;hr/&gt;&lt;div&gt;&lt;h5&gt;&lt;b&gt;Casting Time &lt;/b&gt;1 standard action&lt;/h5&gt;&lt;h5&gt;&lt;b&gt;Components &lt;/b&gt;V, S, F (a piece of cured leather)&lt;/h5&gt;&lt;/div&gt;&lt;hr/&gt;&lt;div&gt;&lt;h5&gt;&lt;b&gt;EFFECT&lt;/b&gt;&lt;/h5&gt;&lt;/div&gt;&lt;hr/&gt;&lt;div&gt;&lt;h5&gt;&lt;b&gt;Range &lt;/b&gt;touch&lt;/h5&gt;&lt;h5&gt;&lt;b&gt;Targets &lt;/b&gt;creature touched&lt;/h5&gt;&lt;h5&gt;&lt;b&gt;Duration &lt;/b&gt;1 hour/level (D)&lt;/h5&gt;&lt;h5&gt;&lt;b&gt;Saving Throw &lt;/b&gt;Will negates (harmless); &lt;b&gt;Spell Resistance &lt;/b&gt;no&lt;/h5&gt;&lt;/div&gt;&lt;hr/&gt;&lt;div&gt;&lt;h5&gt;&lt;b&gt;DESCRIPTION&lt;/b&gt;&lt;/h5&gt;&lt;/div&gt;&lt;hr/&gt;&lt;div&gt;&lt;h4&gt;&lt;p&gt;An invisible but tangible field of force surrounds the subject of a &lt;i&gt;mage armor&lt;/i&gt; spell, providing a +4 armor bonus to AC.&lt;/p&gt;&lt;p&gt;Unlike mundane armor, &lt;i&gt;mage armor&lt;/i&gt; entails no armor check penalty, arcane spell failure chance, or speed reduction. Since &lt;i&gt;mage armor&lt;/i&gt; is made of force, incorporeal creatures can't bypass it the way they do normal armor.&lt;/p&gt;&lt;/h4&gt;&lt;h5&gt;&lt;b&gt;Mythic: &lt;/b&gt;The armor bonus increases to +6. There is a 50% chance that any critical hit or sneak attack made against the target is negated and treated as a normal hit, as if the target were wearing moderate fortification armor.&lt;/h5&gt;&lt;/div&gt;</t>
  </si>
  <si>
    <t> Gives subject +4 armor bonus.</t>
  </si>
  <si>
    <t>The armor bonus increases to +6. There is a 50% chance that any critical hit or sneak attack made against the target is negated and treated as a normal hit, as if the target were wearing moderate fortification armor.</t>
  </si>
  <si>
    <t>Mage Hand</t>
  </si>
  <si>
    <t>bard 0, sorcerer/wizard 0, summoner 0, magus 0</t>
  </si>
  <si>
    <t>one nonmagical, unattended object weighing up to 5 lbs.</t>
  </si>
  <si>
    <t>You point your finger at an object and can lift it and move it at will from a distance. As a move action, you can propel the object as far as 15 feet in any direction, though the spell ends if the distance between you and the object ever exceeds the spell's range.</t>
  </si>
  <si>
    <t>&lt;p&gt;You point your finger at an object and can lift it and move it at will from a distance. As a move action, you can propel the object as far as 15 feet in any direction, though the spell ends if the distance between you and the object ever exceeds the spell's range.&lt;/p&gt;</t>
  </si>
  <si>
    <t>&lt;link rel="stylesheet"href="PF.css"&gt;&lt;div class="heading"&gt;&lt;p class="alignleft"&gt;Mage Hand&lt;/p&gt;&lt;div style="clear: both;"&gt;&lt;/div&gt;&lt;/div&gt;&lt;div&gt;&lt;h5&gt;&lt;b&gt;School &lt;/b&gt;transmutation; &lt;b&gt;Level &lt;/b&gt;bard 0, sorcerer/wizard 0, summoner 0, magus 0&lt;/h5&gt;&lt;/div&gt;&lt;hr/&gt;&lt;div&gt;&lt;h5&gt;&lt;b&gt;CASTING&lt;/b&gt;&lt;/h5&gt;&lt;/div&gt;&lt;hr/&gt;&lt;div&gt;&lt;h5&gt;&lt;b&gt;Casting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nonmagical, unattended object weighing up to 5 lbs.&lt;/h5&gt;&lt;h5&gt;&lt;b&gt;Duration &lt;/b&gt;concentration&lt;/h5&gt;&lt;h5&gt;&lt;b&gt;Saving Throw &lt;/b&gt;none; &lt;b&gt;Spell Resistance &lt;/b&gt;no&lt;/h5&gt;&lt;/div&gt;&lt;hr/&gt;&lt;div&gt;&lt;h5&gt;&lt;b&gt;DESCRIPTION&lt;/b&gt;&lt;/h5&gt;&lt;/div&gt;&lt;hr/&gt;&lt;div&gt;&lt;h4&gt;&lt;p&gt;You point your finger at an object and can lift it and move it at will from a distance. As a move action, you can propel the object as far as 15 feet in any direction, though the spell ends if the distance between you and the object ever exceeds the spell's range.&lt;/p&gt;&lt;/h4&gt;&lt;/div&gt;</t>
  </si>
  <si>
    <t>5-pound telekinesis.</t>
  </si>
  <si>
    <t>Mage's Disjunction</t>
  </si>
  <si>
    <t>all magical effects and magic items within a 40-ft.-radius burst, or one magic item (see text)</t>
  </si>
  <si>
    <t>1 minute/level</t>
  </si>
  <si>
    <t>All magical effects and magic items within the radius of the spell, except for those that you carry or touch, are disjoined. That is, spells and spell-like effects are unraveled and destroyed completely (ending the effect as a dispel magic spell does), and each permanent magic item must make a successful Will save or be turned into a normal item for the duration of this spell. An item in a creature's possession uses its own Will save bonus or its possessor's Will save bonus, whichever is higher. If an item's saving throw results in a natural 1 on the die, the item is destroyed instead of being suppressed. You also have a 1% chance per caster level of destroying an antimagic field. If the antimagic field survives the disjunction, no items within it are disjoined. You can also use this spell to target a single item. The item gets a Will save at a -5 penalty to avoid being permanently destroyed. Even artifacts are subject to mage's disjunction, though there is only a 1% chance per caster level of actually affecting such powerful items. If successful, the artifact's power unravels, and it is destroyed (with no save). If an artifact is destroyed, you must make a DC 25 Will save or permanently lose all spellcasting abilities. These abilities cannot be recovered by mortal magic, not even miracle or wish. Destroying artifacts is a dangerous business, and it is 95% likely to attract the attention of some powerful being who has an interest in or connection with the device.</t>
  </si>
  <si>
    <t>&lt;p&gt;All magical effects and magic items within the radius of the spell, except for those that you carry or touch, are disjoined.&lt;/p&gt;&lt;p&gt;That is, spells and spell-like effects are unraveled and destroyed completely (ending the effect as a &lt;i&gt;dispel magic&lt;/i&gt; spell does), and each permanent magic item must make a successful Will save or be turned into a normal item for the duration of this spell.&lt;/p&gt;&lt;p&gt;An item in a creature's possession uses its own Will save bonus or its possessor's Will save bonus, whichever is higher. If an item's saving throw results in a natural 1 on the die, the item is destroyed instead of being suppressed.&lt;/p&gt;&lt;p&gt;You also have a 1% chance per caster level of destroying an &lt;i&gt;antimagic field&lt;/i&gt;. If the &lt;i&gt;antimagic field&lt;/i&gt; survives the &lt;i&gt;disjunction&lt;/i&gt;, no items within it are disjoined.&lt;/p&gt;&lt;p&gt;You can also use this spell to target a single item. The item gets a Will save at a -5 penalty to avoid being permanently destroyed. Even artifacts are subject to mage's &lt;i&gt;disjunction&lt;/i&gt;, though there is only a 1% chance per caster level of actually affecting such powerful items. If successful, the artifact's power unravels, and it is destroyed (with no save). If an artifact is destroyed, you must make a DC 25 Will save or permanently lose all spellcasting abilities. These abilities cannot be recovered by mortal magic, not even &lt;i&gt;miracle&lt;/i&gt; or &lt;i&gt;wish&lt;/i&gt;. Destroying artifacts is a dangerous business, and it is 95% likely to attract the attention of some powerful being who has an interest in or connection with the device.&lt;/p&gt;</t>
  </si>
  <si>
    <t>&lt;link rel="stylesheet"href="PF.css"&gt;&lt;div class="heading"&gt;&lt;p class="alignleft"&gt;Mage's Disjunction&lt;/p&gt;&lt;div style="clear: both;"&gt;&lt;/div&gt;&lt;/div&gt;&lt;div&gt;&lt;h5&gt;&lt;b&gt;School &lt;/b&gt;abjuration; &lt;b&gt;Level &lt;/b&gt;sorcerer/wizard 9&lt;/h5&gt;&lt;/div&gt;&lt;hr/&gt;&lt;div&gt;&lt;h5&gt;&lt;b&gt;CASTING&lt;/b&gt;&lt;/h5&gt;&lt;/div&gt;&lt;hr/&gt;&lt;div&gt;&lt;h5&gt;&lt;b&gt;Casting Time &lt;/b&gt;1 standard action&lt;/h5&gt;&lt;h5&gt;&lt;b&gt;Components &lt;/b&gt;V&lt;/h5&gt;&lt;/div&gt;&lt;hr/&gt;&lt;div&gt;&lt;h5&gt;&lt;b&gt;EFFECT&lt;/b&gt;&lt;/h5&gt;&lt;/div&gt;&lt;hr/&gt;&lt;div&gt;&lt;h5&gt;&lt;b&gt;Range &lt;/b&gt;close (25 ft. + 5 ft./2 levels)&lt;/h5&gt;&lt;h5&gt;&lt;b&gt;Area &lt;/b&gt;all magical effects and magic items within a 40-ft.-radius burst, or one magic item (see text)&lt;/h5&gt;&lt;h5&gt;&lt;b&gt;Duration &lt;/b&gt;1 minute/level&lt;/h5&gt;&lt;h5&gt;&lt;b&gt;Saving Throw &lt;/b&gt;Will negates (object); &lt;b&gt;Spell Resistance &lt;/b&gt;no&lt;/h5&gt;&lt;/div&gt;&lt;hr/&gt;&lt;div&gt;&lt;h5&gt;&lt;b&gt;DESCRIPTION&lt;/b&gt;&lt;/h5&gt;&lt;/div&gt;&lt;hr/&gt;&lt;div&gt;&lt;h4&gt;&lt;p&gt;All magical effects and magic items within the radius of the spell, except for those that you carry or touch, are disjoined.&lt;/p&gt;&lt;p&gt;That is, spells and spell-like effects are unraveled and destroyed completely (ending the effect as a &lt;i&gt;dispel magic&lt;/i&gt; spell does), and each permanent magic item must make a successful Will save or be turned into a normal item for the duration of this spell.&lt;/p&gt;&lt;p&gt;An item in a creature's possession uses its own Will save bonus or its possessor's Will save bonus, whichever is higher. If an item's saving throw results in a natural 1 on the die, the item is destroyed instead of being suppressed.&lt;/p&gt;&lt;p&gt;You also have a 1% chance per caster level of destroying an &lt;i&gt;antimagic field&lt;/i&gt;. If the &lt;i&gt;antimagic field&lt;/i&gt; survives the &lt;i&gt;disjunction&lt;/i&gt;, no items within it are disjoined.&lt;/p&gt;&lt;p&gt;You can also use this spell to target a single item. The item gets a Will save at a -5 penalty to avoid being permanently destroyed. Even artifacts are subject to mage's &lt;i&gt;disjunction&lt;/i&gt;, though there is only a 1% chance per caster level of actually affecting such powerful items. If successful, the artifact's power unravels, and it is destroyed (with no save). If an artifact is destroyed, you must make a DC 25 Will save or permanently lose all spellcasting abilities. These abilities cannot be recovered by mortal magic, not even &lt;i&gt;miracle&lt;/i&gt; or &lt;i&gt;wish&lt;/i&gt;. Destroying artifacts is a dangerous business, and it is 95% likely to attract the attention of some powerful being who has an interest in or connection with the device.&lt;/p&gt;&lt;/h4&gt;&lt;h5&gt;&lt;b&gt;Mythic: &lt;/b&gt;The duration increases to 10 minutes per caster level. The chance to destroy an antimagic field increases to 2% per caster level.&lt;/h5&gt;&lt;/div&gt;</t>
  </si>
  <si>
    <t> Dispels magic, disenchants magic items.</t>
  </si>
  <si>
    <t>The duration increases to 10 minutes per caster level. The chance to destroy an antimagic field increases to 2% per caster level.</t>
  </si>
  <si>
    <t>Mage's Faithful Hound</t>
  </si>
  <si>
    <t>sorcerer/wizard 5, summoner 4</t>
  </si>
  <si>
    <t>V, S, M (a tiny silver whistle, a piece of bone, and a thread)</t>
  </si>
  <si>
    <t>phantom watchdog</t>
  </si>
  <si>
    <t>1 hour/caster level or until discharged, then 1 round/caster level; see text</t>
  </si>
  <si>
    <t>You conjure up a phantom watchdog that is invisible to everyone but yourself. It then guards the area where it was conjured (it does not move). The hound immediately starts barking loudly if any Small or larger creature approaches within 30 feet of it. (Those within 30 feet of the hound when it is conjured may move about in the area, but if they leave and return, they activate the barking.) The hound sees invisible and ethereal creatures. It does not react to figments, but it does react to shadow illusions. If an intruder approaches to within 5 feet of the hound, the dog stops barking and delivers a vicious bite (+10 attack bonus, 2d6+3 points of piercing damage) once per round. The dog also gets the bonuses appropriate to an invisible creature (see invisibility). The dog is considered ready to bite intruders, so it delivers its first bite on the intruder's turn. Its bite is the equivalent of a magic weapon for the purpose of damage reduction. The hound cannot be attacked, but it can be dispelled. The spell lasts for 1 hour per caster level, but once the hound begins barking, it lasts only 1 round per caster level. If you are ever more than 100 feet distant from the hound, the spell ends.</t>
  </si>
  <si>
    <t>&lt;p&gt;You conjure up a phantom watchdog that is invisible to everyone but yourself. It then guards the area where it was conjured (it does not move). The hound immediately starts barking loudly if any Small or larger creature approaches within 30 feet of it. (Those within 30 feet of the hound when it is conjured may move about in the area, but if they leave and return, they activate the barking.) The hound sees invisible and ethereal creatures. It does not react to figments, but it does react to shadow illusions.&lt;/p&gt;&lt;p&gt;If an intruder approaches to within 5 feet of the hound, the dog stops barking and delivers a vicious bite (+10 attack bonus, 2d6+3 points of piercing damage) once per round. The dog also gets the bonuses appropriate to an invisible creature (see &lt;i&gt;invisibility).&lt;/i&gt;&lt;/p&gt;&lt;p&gt;The dog is considered ready to bite intruders, so it delivers its first bite on the intruder's turn. Its bite is the equivalent of a magic weapon for the purpose of damage reduction. The hound cannot be attacked, but it can be dispelled.&lt;/p&gt;&lt;p&gt;The spell lasts for 1 hour per caster level, but once the hound begins barking, it lasts only 1 round per caster level. If you are ever more than 100 feet distant from the hound, the spell ends.&lt;/p&gt;</t>
  </si>
  <si>
    <t>&lt;link rel="stylesheet"href="PF.css"&gt;&lt;div class="heading"&gt;&lt;p class="alignleft"&gt;Mage's Faithful Hound&lt;/p&gt;&lt;div style="clear: both;"&gt;&lt;/div&gt;&lt;/div&gt;&lt;div&gt;&lt;h5&gt;&lt;b&gt;School &lt;/b&gt;conjuration (creation); &lt;b&gt;Level &lt;/b&gt;sorcerer/wizard 5, summoner 4&lt;/h5&gt;&lt;/div&gt;&lt;hr/&gt;&lt;div&gt;&lt;h5&gt;&lt;b&gt;CASTING&lt;/b&gt;&lt;/h5&gt;&lt;/div&gt;&lt;hr/&gt;&lt;div&gt;&lt;h5&gt;&lt;b&gt;Casting Time &lt;/b&gt;1 standard action&lt;/h5&gt;&lt;h5&gt;&lt;b&gt;Components &lt;/b&gt;V, S, M (a tiny silver whistle, a piece of bone, and a thread)&lt;/h5&gt;&lt;/div&gt;&lt;hr/&gt;&lt;div&gt;&lt;h5&gt;&lt;b&gt;EFFECT&lt;/b&gt;&lt;/h5&gt;&lt;/div&gt;&lt;hr/&gt;&lt;div&gt;&lt;h5&gt;&lt;b&gt;Range &lt;/b&gt;close (25 ft. + 5 ft./2 levels)&lt;/h5&gt;&lt;h5&gt;&lt;b&gt;Effect &lt;/b&gt;phantom watchdog&lt;/h5&gt;&lt;h5&gt;&lt;b&gt;Duration &lt;/b&gt;1 hour/caster level or until discharged, then 1 round/caster level; see text&lt;/h5&gt;&lt;h5&gt;&lt;b&gt;Saving Throw &lt;/b&gt;none; &lt;b&gt;Spell Resistance &lt;/b&gt;no&lt;/h5&gt;&lt;/div&gt;&lt;hr/&gt;&lt;div&gt;&lt;h5&gt;&lt;b&gt;DESCRIPTION&lt;/b&gt;&lt;/h5&gt;&lt;/div&gt;&lt;hr/&gt;&lt;div&gt;&lt;h4&gt;&lt;p&gt;You conjure up a phantom watchdog that is invisible to everyone but yourself. It then guards the area where it was conjured (it does not move). The hound immediately starts barking loudly if any Small or larger creature approaches within 30 feet of it. (Those within 30 feet of the hound when it is conjured may move about in the area, but if they leave and return, they activate the barking.) The hound sees invisible and ethereal creatures. It does not react to figments, but it does react to shadow illusions.&lt;/p&gt;&lt;p&gt;If an intruder approaches to within 5 feet of the hound, the dog stops barking and delivers a vicious bite (+10 attack bonus, 2d6+3 points of piercing damage) once per round. The dog also gets the bonuses appropriate to an invisible creature (see &lt;i&gt;invisibility).&lt;/i&gt;&lt;/p&gt;&lt;p&gt;The dog is considered ready to bite intruders, so it delivers its first bite on the intruder's turn. Its bite is the equivalent of a magic weapon for the purpose of damage reduction. The hound cannot be attacked, but it can be dispelled.&lt;/p&gt;&lt;p&gt;The spell lasts for 1 hour per caster level, but once the hound begins barking, it lasts only 1 round per caster level. If you are ever more than 100 feet distant from the hound, the spell ends.&lt;/p&gt;&lt;/h4&gt;&lt;/div&gt;</t>
  </si>
  <si>
    <t> Phantom dog can guard a location and attack intruders.</t>
  </si>
  <si>
    <t>Mage's Lucubration</t>
  </si>
  <si>
    <t>wizard 6</t>
  </si>
  <si>
    <t>You instantly prepare any one spell of 5th level or lower that you have used during the past 24 hours. The spell must have been actually cast during that period. The chosen spell is stored in your mind as through prepared in the normal fashion. If the recalled spell requires material components, you must provide them. The recovered spell is not usable until the material components are available.</t>
  </si>
  <si>
    <t>&lt;p&gt;You instantly prepare any one spell of 5th level or lower that you have used during the past 24 hours. The spell must have been actually cast during that period. The chosen spell is stored in your mind as through prepared in the normal fashion.&lt;/p&gt;&lt;p&gt;If the recalled spell requires material components, you must provide them. The recovered spell is not usable until the material components are available.&lt;/p&gt;</t>
  </si>
  <si>
    <t>&lt;link rel="stylesheet"href="PF.css"&gt;&lt;div class="heading"&gt;&lt;p class="alignleft"&gt;Mage's Lucubration&lt;/p&gt;&lt;div style="clear: both;"&gt;&lt;/div&gt;&lt;/div&gt;&lt;div&gt;&lt;h5&gt;&lt;b&gt;School &lt;/b&gt;transmutation; &lt;b&gt;Level &lt;/b&gt;wizard 6&lt;/h5&gt;&lt;/div&gt;&lt;hr/&gt;&lt;div&gt;&lt;h5&gt;&lt;b&gt;CASTING&lt;/b&gt;&lt;/h5&gt;&lt;/div&gt;&lt;hr/&gt;&lt;div&gt;&lt;h5&gt;&lt;b&gt;Casting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&lt;/b&gt;instantaneous&lt;/h5&gt;&lt;/div&gt;&lt;hr/&gt;&lt;div&gt;&lt;h5&gt;&lt;b&gt;DESCRIPTION&lt;/b&gt;&lt;/h5&gt;&lt;/div&gt;&lt;hr/&gt;&lt;div&gt;&lt;h4&gt;&lt;p&gt;You instantly prepare any one spell of 5th level or lower that you have used during the past 24 hours. The spell must have been actually cast during that period. The chosen spell is stored in your mind as through prepared in the normal fashion.&lt;/p&gt;&lt;p&gt;If the recalled spell requires material components, you must provide them. The recovered spell is not usable until the material components are available.&lt;/p&gt;&lt;/h4&gt;&lt;/div&gt;</t>
  </si>
  <si>
    <t> Wizard only. Recalls spell of 5th level or lower.</t>
  </si>
  <si>
    <t>Mage's Magnificent Mansion</t>
  </si>
  <si>
    <t>V, S, F (a miniature ivory door, a piece of polished marble, and a silver spoon, each worth 5 gp)</t>
  </si>
  <si>
    <t>extradimensional mansion, up to three 10-ft. cubes/level (S)</t>
  </si>
  <si>
    <t>You conjure up an extradimensional dwelling that has a single entrance on the plane from which the spell was cast. The entry point looks like a faint shimmering in the air that is 4 feet wide and 8 feet high. Only those you designate may enter the mansion, and the portal is shut and made invisible behind you when you enter. You may open it again from your own side at will. Once observers have passed beyond the entrance, they are in a magnificent foyer with numerous chambers beyond. The atmosphere is clean, fresh, and warm. You can create any floor plan you desire to the limit of the spell's effect. The place is furnished and contains sufficient foodstuffs to serve a nine-course banquet to a dozen people per caster level. A staff of near-transparent servants (as many as two per caster level), liveried and obedient, wait upon all who enter. The servants function as unseen servant spells except that they are visible and can go anywhere in the mansion. Since the place can be entered only through its special portal, outside conditions do not affect the mansion, nor do conditions inside it pass to the plane beyond.</t>
  </si>
  <si>
    <t>&lt;p&gt;You conjure up an extradimensional dwelling that has a single entrance on the plane from which the spell was cast. The entry point looks like a faint shimmering in the air that is 4 feet wide and 8 feet high. Only those you designate may enter the mansion, and the portal is shut and made invisible behind you when you enter. You may open it again from your own side at will. Once observers have passed beyond the entrance, they are in a magnificent foyer with numerous chambers beyond. The atmosphere is clean, fresh, and warm.&lt;/p&gt;&lt;p&gt;You can create any floor plan you desire to the limit of the spell's effect. The place is furnished and contains sufficient foodstuffs to serve a nine-course banquet to a dozen people per caster level.&lt;/p&gt;&lt;p&gt;A staff of near-transparent servants (as many as two per caster level), liveried and obedient, wait upon all who enter. The servants function as &lt;i&gt;unseen servant&lt;/i&gt; spells except that they are visible and can go anywhere in the mansion.&lt;/p&gt;&lt;p&gt;Since the place can be entered only through its special portal, outside conditions do not affect the mansion, nor do conditions inside it pass to the plane beyond.&lt;/p&gt;</t>
  </si>
  <si>
    <t>&lt;link rel="stylesheet"href="PF.css"&gt;&lt;div class="heading"&gt;&lt;p class="alignleft"&gt;Mage's Magnificent Mansion&lt;/p&gt;&lt;div style="clear: both;"&gt;&lt;/div&gt;&lt;/div&gt;&lt;div&gt;&lt;h5&gt;&lt;b&gt;School &lt;/b&gt;conjuration (creation); &lt;b&gt;Level &lt;/b&gt;sorcerer/wizard 7&lt;/h5&gt;&lt;/div&gt;&lt;hr/&gt;&lt;div&gt;&lt;h5&gt;&lt;b&gt;CASTING&lt;/b&gt;&lt;/h5&gt;&lt;/div&gt;&lt;hr/&gt;&lt;div&gt;&lt;h5&gt;&lt;b&gt;Casting Time &lt;/b&gt;1 standard action&lt;/h5&gt;&lt;h5&gt;&lt;b&gt;Components &lt;/b&gt;V, S, F (a miniature ivory door, a piece of polished marble, and a silver spoon, each worth 5 gp)&lt;/h5&gt;&lt;/div&gt;&lt;hr/&gt;&lt;div&gt;&lt;h5&gt;&lt;b&gt;EFFECT&lt;/b&gt;&lt;/h5&gt;&lt;/div&gt;&lt;hr/&gt;&lt;div&gt;&lt;h5&gt;&lt;b&gt;Range &lt;/b&gt;close (25 ft. + 5 ft./2 levels)&lt;/h5&gt;&lt;h5&gt;&lt;b&gt;Effect &lt;/b&gt;extradimensional mansion, up to three 10-ft. cubes/level (S)&lt;/h5&gt;&lt;h5&gt;&lt;b&gt;Duration &lt;/b&gt;2 hours/level (D)&lt;/h5&gt;&lt;h5&gt;&lt;b&gt;Saving Throw &lt;/b&gt;none; &lt;b&gt;Spell Resistance &lt;/b&gt;no&lt;/h5&gt;&lt;/div&gt;&lt;hr/&gt;&lt;div&gt;&lt;h5&gt;&lt;b&gt;DESCRIPTION&lt;/b&gt;&lt;/h5&gt;&lt;/div&gt;&lt;hr/&gt;&lt;div&gt;&lt;h4&gt;&lt;p&gt;You conjure up an extradimensional dwelling that has a single entrance on the plane from which the spell was cast. The entry point looks like a faint shimmering in the air that is 4 feet wide and 8 feet high. Only those you designate may enter the mansion, and the portal is shut and made invisible behind you when you enter. You may open it again from your own side at will. Once observers have passed beyond the entrance, they are in a magnificent foyer with numerous chambers beyond. The atmosphere is clean, fresh, and warm.&lt;/p&gt;&lt;p&gt;You can create any floor plan you desire to the limit of the spell's effect. The place is furnished and contains sufficient foodstuffs to serve a nine-course banquet to a dozen people per caster level.&lt;/p&gt;&lt;p&gt;A staff of near-transparent servants (as many as two per caster level), liveried and obedient, wait upon all who enter. The servants function as &lt;i&gt;unseen servant&lt;/i&gt; spells except that they are visible and can go anywhere in the mansion.&lt;/p&gt;&lt;p&gt;Since the place can be entered only through its special portal, outside conditions do not affect the mansion, nor do conditions inside it pass to the plane beyond.&lt;/p&gt;&lt;/h4&gt;&lt;/div&gt;</t>
  </si>
  <si>
    <t> Door leads to extradimensional mansion.</t>
  </si>
  <si>
    <t>Mage's Private Sanctum</t>
  </si>
  <si>
    <t>V, S, M (a sheet of lead, a piece of glass, a wad of cotton, and powdered chrysolite)</t>
  </si>
  <si>
    <t>30-ft. cube/level</t>
  </si>
  <si>
    <t>This spell ensures privacy. Anyone looking into the area from outside sees only a dark, foggy mass. Darkvision cannot penetrate it. No sounds, no matter how loud, can escape the area, so nobody can eavesdrop from outside. Those inside can see out normally. Divination (scrying) spells cannot perceive anything within the area, and those within are immune to detect thoughts. The ward prevents speech between those inside and those outside (because it blocks sound), but it does not prevent other communication, such as a sending or message spell, or telepathic communication, such as that between a wizard and her familiar. The spell does not prevent creatures or objects from moving into and out of the area. Mage's private sanctum can be made permanent with a permanency spell.</t>
  </si>
  <si>
    <t>&lt;p&gt;This spell ensures privacy. Anyone looking into the area from outside sees only a dark, foggy mass. Darkvision cannot penetrate it. No sounds, no matter how loud, can escape the area, so nobody can eavesdrop from outside. Those inside can see out normally.&lt;/p&gt;&lt;p&gt;Divination (scrying) spells cannot perceive anything within the area, and those within are immune to &lt;i&gt;detect thoughts&lt;/i&gt;. The ward prevents speech between those inside and those outside (because it blocks sound), but it does not prevent other communication, such as a &lt;i&gt;sending&lt;/i&gt; or &lt;i&gt;message&lt;/i&gt; spell, or telepathic communication, such as that between a wizard and her familiar.&lt;/p&gt;&lt;p&gt;The spell does not prevent creatures or objects from moving into and out of the area.&lt;/p&gt;&lt;p&gt;Mage's private sanctum can be made permanent with a &lt;i&gt;permanency&lt;/i&gt; spell.&lt;/p&gt;</t>
  </si>
  <si>
    <t>&lt;link rel="stylesheet"href="PF.css"&gt;&lt;div class="heading"&gt;&lt;p class="alignleft"&gt;Mage's Private Sanctum&lt;/p&gt;&lt;div style="clear: both;"&gt;&lt;/div&gt;&lt;/div&gt;&lt;div&gt;&lt;h5&gt;&lt;b&gt;School &lt;/b&gt;abjuration; &lt;b&gt;Level &lt;/b&gt;sorcerer/wizard 5&lt;/h5&gt;&lt;/div&gt;&lt;hr/&gt;&lt;div&gt;&lt;h5&gt;&lt;b&gt;CASTING&lt;/b&gt;&lt;/h5&gt;&lt;/div&gt;&lt;hr/&gt;&lt;div&gt;&lt;h5&gt;&lt;b&gt;Casting Time &lt;/b&gt;10 minutes&lt;/h5&gt;&lt;h5&gt;&lt;b&gt;Components &lt;/b&gt;V, S, M (a sheet of lead, a piece of glass, a wad of cotton, and powdered chrysolite)&lt;/h5&gt;&lt;/div&gt;&lt;hr/&gt;&lt;div&gt;&lt;h5&gt;&lt;b&gt;EFFECT&lt;/b&gt;&lt;/h5&gt;&lt;/div&gt;&lt;hr/&gt;&lt;div&gt;&lt;h5&gt;&lt;b&gt;Range &lt;/b&gt;close (25 ft. + 5 ft./2 levels)&lt;/h5&gt;&lt;h5&gt;&lt;b&gt;Area &lt;/b&gt;30-ft. cube/level (S)&lt;/h5&gt;&lt;h5&gt;&lt;b&gt;Duration &lt;/b&gt;24 hours (D)&lt;/h5&gt;&lt;h5&gt;&lt;b&gt;Saving Throw &lt;/b&gt;none; &lt;b&gt;Spell Resistance &lt;/b&gt;no&lt;/h5&gt;&lt;/div&gt;&lt;hr/&gt;&lt;div&gt;&lt;h5&gt;&lt;b&gt;DESCRIPTION&lt;/b&gt;&lt;/h5&gt;&lt;/div&gt;&lt;hr/&gt;&lt;div&gt;&lt;h4&gt;&lt;p&gt;This spell ensures privacy. Anyone looking into the area from outside sees only a dark, foggy mass. Darkvision cannot penetrate it. No sounds, no matter how loud, can escape the area, so nobody can eavesdrop from outside. Those inside can see out normally.&lt;/p&gt;&lt;p&gt;Divination (scrying) spells cannot perceive anything within the area, and those within are immune to &lt;i&gt;detect thoughts&lt;/i&gt;. The ward prevents speech between those inside and those outside (because it blocks sound), but it does not prevent other communication, such as a &lt;i&gt;sending&lt;/i&gt; or &lt;i&gt;message&lt;/i&gt; spell, or telepathic communication, such as that between a wizard and her familiar.&lt;/p&gt;&lt;p&gt;The spell does not prevent creatures or objects from moving into and out of the area.&lt;/p&gt;&lt;p&gt;Mage's private sanctum can be made permanent with a &lt;i&gt;permanency&lt;/i&gt; spell.&lt;/p&gt;&lt;/h4&gt;&lt;/div&gt;</t>
  </si>
  <si>
    <t> Prevents anyone from viewing or scrying an area for 24 hours.</t>
  </si>
  <si>
    <t>Mage's Sword</t>
  </si>
  <si>
    <t>V, S, F (a miniature platinum sword worth 250 gp)</t>
  </si>
  <si>
    <t>one sword</t>
  </si>
  <si>
    <t>This spell brings into being a shimmering, sword-like plane of force. The sword strikes at any opponent within its range, as you desire, starting in the round that you cast the spell. The sword attacks its designated target once each round on your turn. Its attack bonus is equal to your caster level + your Intelligence bonus or your Charisma bonus (for wizards or sorcerers, respectively) with an additional +3 enhancement bonus. As a force effect, it can strike ethereal and incorporeal creatures. It deals 4d6+3 points of force damage, with a threat range of 19-20 and a critical multiplier of x2. The sword always strikes from your direction. It does not get a bonus for flanking or help a combatant get one. If the sword goes beyond the spell range from you, goes out of your sight, or you are not directing it, it returns to you and hovers. Each round after the first, you can use a standard action to switch the sword to a new target. If you do not, the sword continues to attack the previous round's target. The sword cannot be attacked or harmed by physical attacks, but dispel magic, disintegrate, a sphere of annihilation, or a rod of cancellation affects it. The sword's AC is 13 (10, +0 size bonus for Medium object, +3 deflection bonus). If an attacked creature has spell resistance, the resistance is checked the first time mage's sword strikes it. If the sword is successfully resisted, the spell is dispelled. If not, the sword has its normal full effect on that creature for the duration of the spell.</t>
  </si>
  <si>
    <t>&lt;p&gt;This spell brings into being a shimmering, sword-like plane of force. The sword strikes at any opponent within its range, as you desire, starting in the round that you cast the spell. The sword attacks its designated target once each round on your turn. Its attack bonus is equal to your caster level + your Intelligence bonus or your Charisma bonus (for wizards or sorcerers, respectively) with an additional +3 enhancement bonus. As a force effect, it can strike ethereal and incorporeal creatures. It deals 4d6+3 points of force damage, with a threat range of 19-20 and a critical multiplier of x2.&lt;/p&gt;&lt;p&gt;The sword always strikes from your direction. It does not get a bonus for flanking or help a combatant get one. If the sword goes beyond the spell range from you, goes out of your sight, or you are not directing it, it returns to you and hovers.&lt;/p&gt;&lt;p&gt;Each round after the first, you can use a standard action to switch the sword to a new target. If you do not, the sword continues to attack the previous round's target.&lt;/p&gt;&lt;p&gt;The sword cannot be attacked or harmed by physical attacks, but dispel magic, disintegrate, a sphere of annihilation, or a &lt;i&gt;rod of cancellation&lt;/i&gt; affects it. The sword's AC is 13 (10, +0 size bonus for Medium object, +3 deflection bonus).&lt;/p&gt;&lt;p&gt;If an attacked creature has spell resistance, the resistance is checked the first time mage's sword strikes it. If the sword is successfully resisted, the spell is dispelled. If not, the sword has its normal full effect on that creature for the duration of the spell.&lt;/p&gt;</t>
  </si>
  <si>
    <t>&lt;link rel="stylesheet"href="PF.css"&gt;&lt;div class="heading"&gt;&lt;p class="alignleft"&gt;Mage's Sword&lt;/p&gt;&lt;div style="clear: both;"&gt;&lt;/div&gt;&lt;/div&gt;&lt;div&gt;&lt;h5&gt;&lt;b&gt;School &lt;/b&gt;evocation [force]; &lt;b&gt;Level &lt;/b&gt;sorcerer/wizard 7&lt;/h5&gt;&lt;/div&gt;&lt;hr/&gt;&lt;div&gt;&lt;h5&gt;&lt;b&gt;CASTING&lt;/b&gt;&lt;/h5&gt;&lt;/div&gt;&lt;hr/&gt;&lt;div&gt;&lt;h5&gt;&lt;b&gt;Casting Time &lt;/b&gt;1 standard action&lt;/h5&gt;&lt;h5&gt;&lt;b&gt;Components &lt;/b&gt;V, S, F (a miniature platinum sword worth 250 gp)&lt;/h5&gt;&lt;/div&gt;&lt;hr/&gt;&lt;div&gt;&lt;h5&gt;&lt;b&gt;EFFECT&lt;/b&gt;&lt;/h5&gt;&lt;/div&gt;&lt;hr/&gt;&lt;div&gt;&lt;h5&gt;&lt;b&gt;Range &lt;/b&gt;close (25 ft. + 5 ft./2 levels)&lt;/h5&gt;&lt;h5&gt;&lt;b&gt;Effect &lt;/b&gt;one sword&lt;/h5&gt;&lt;h5&gt;&lt;b&gt;Duration &lt;/b&gt;1 round/level (D)&lt;/h5&gt;&lt;h5&gt;&lt;b&gt;Saving Throw &lt;/b&gt;none; &lt;b&gt;Spell Resistance &lt;/b&gt;yes&lt;/h5&gt;&lt;/div&gt;&lt;hr/&gt;&lt;div&gt;&lt;h5&gt;&lt;b&gt;DESCRIPTION&lt;/b&gt;&lt;/h5&gt;&lt;/div&gt;&lt;hr/&gt;&lt;div&gt;&lt;h4&gt;&lt;p&gt;This spell brings into being a shimmering, sword-like plane of force. The sword strikes at any opponent within its range, as you desire, starting in the round that you cast the spell. The sword attacks its designated target once each round on your turn. Its attack bonus is equal to your caster level + your Intelligence bonus or your Charisma bonus (for wizards or sorcerers, respectively) with an additional +3 enhancement bonus. As a force effect, it can strike ethereal and incorporeal creatures. It deals 4d6+3 points of force damage, with a threat range of 19-20 and a critical multiplier of x2.&lt;/p&gt;&lt;p&gt;The sword always strikes from your direction. It does not get a bonus for flanking or help a combatant get one. If the sword goes beyond the spell range from you, goes out of your sight, or you are not directing it, it returns to you and hovers.&lt;/p&gt;&lt;p&gt;Each round after the first, you can use a standard action to switch the sword to a new target. If you do not, the sword continues to attack the previous round's target.&lt;/p&gt;&lt;p&gt;The sword cannot be attacked or harmed by physical attacks, but dispel magic, disintegrate, a sphere of annihilation, or a &lt;i&gt;rod of cancellation&lt;/i&gt; affects it. The sword's AC is 13 (10, +0 size bonus for Medium object, +3 deflection bonus).&lt;/p&gt;&lt;p&gt;If an attacked creature has spell resistance, the resistance is checked the first time mage's sword strikes it. If the sword is successfully resisted, the spell is dispelled. If not, the sword has its normal full effect on that creature for the duration of the spell.&lt;/p&gt;&lt;/h4&gt;&lt;/div&gt;</t>
  </si>
  <si>
    <t> Floating magic blade strikes opponents.</t>
  </si>
  <si>
    <t>Magic Aura</t>
  </si>
  <si>
    <t>V, S, F (a small square of silk that must be passed over the object that receives the aura)</t>
  </si>
  <si>
    <t>one touched object weighing up to 5 lbs./level</t>
  </si>
  <si>
    <t>You alter an item's aura so that it registers to detect spells (and spells with similar capabilities) as though it were nonmagical, or a magic item of a kind you specify, or the subject of a spell you specify. If the object bearing magic aura has identify cast on it or is similarly examined, the examiner recognizes that the aura is false and detects the object's actual qualities if he succeeds on a Will save. Otherwise, he believes the aura and no amount of testing reveals what the true magic is. If the targeted item's own aura is exceptionally powerful (if it is an artifact, for instance), magic aura doesn't work. Note: A magic weapon, shield, or suit of armor must be a masterwork item, so a sword of average make, for example, looks suspicious if it has a magical aura.</t>
  </si>
  <si>
    <t>&lt;p&gt;You alter an item's aura so that it registers to &lt;i&gt;detect&lt;/i&gt; spells (and spells with similar capabilities) as though it were nonmagical, or a magic item of a kind you specify, or the subject of a spell you specify. If the object bearing &lt;i&gt;magic aura&lt;/i&gt; has &lt;i&gt;identify&lt;/i&gt; cast on it or is similarly examined, the examiner recognizes that the aura is false and &lt;i&gt;detect&lt;/i&gt;s the object's actual qualities if he succeeds on a Will save. Otherwise, he believes the aura and no amount of testing reveals what the true magic is.&lt;/p&gt;&lt;p&gt;If the targeted item's own aura is exceptionally powerful (if it is an artifact, for instance), &lt;i&gt;magic aura&lt;/i&gt; doesn't work.&lt;/p&gt;&lt;p&gt;&lt;i&gt;Note:&lt;/i&gt; A magic weapon, shield, or suit of armor must be a masterwork item, so a sword of average make, for example, looks suspicious if it has a magical aura.&lt;/p&gt;</t>
  </si>
  <si>
    <t>&lt;link rel="stylesheet"href="PF.css"&gt;&lt;div class="heading"&gt;&lt;p class="alignleft"&gt;Magic Aura&lt;/p&gt;&lt;div style="clear: both;"&gt;&lt;/div&gt;&lt;/div&gt;&lt;div&gt;&lt;h5&gt;&lt;b&gt;School &lt;/b&gt;illusion (glamer); &lt;b&gt;Level &lt;/b&gt;bard 1, sorcerer/wizard 1&lt;/h5&gt;&lt;/div&gt;&lt;hr/&gt;&lt;div&gt;&lt;h5&gt;&lt;b&gt;CASTING&lt;/b&gt;&lt;/h5&gt;&lt;/div&gt;&lt;hr/&gt;&lt;div&gt;&lt;h5&gt;&lt;b&gt;Casting Time &lt;/b&gt;1 standard action&lt;/h5&gt;&lt;h5&gt;&lt;b&gt;Components &lt;/b&gt;V, S, F (a small square of silk that must be passed over the object that receives the aura)&lt;/h5&gt;&lt;/div&gt;&lt;hr/&gt;&lt;div&gt;&lt;h5&gt;&lt;b&gt;EFFECT&lt;/b&gt;&lt;/h5&gt;&lt;/div&gt;&lt;hr/&gt;&lt;div&gt;&lt;h5&gt;&lt;b&gt;Range &lt;/b&gt;touch&lt;/h5&gt;&lt;h5&gt;&lt;b&gt;Targets &lt;/b&gt;one touched object weighing up to 5 lbs./level&lt;/h5&gt;&lt;h5&gt;&lt;b&gt;Duration &lt;/b&gt;1 day/level (D)&lt;/h5&gt;&lt;h5&gt;&lt;b&gt;Saving Throw &lt;/b&gt;none; see text; &lt;b&gt;Spell Resistance &lt;/b&gt;no&lt;/h5&gt;&lt;/div&gt;&lt;hr/&gt;&lt;div&gt;&lt;h5&gt;&lt;b&gt;DESCRIPTION&lt;/b&gt;&lt;/h5&gt;&lt;/div&gt;&lt;hr/&gt;&lt;div&gt;&lt;h4&gt;&lt;p&gt;You alter an item's aura so that it registers to &lt;i&gt;detect&lt;/i&gt; spells (and spells with similar capabilities) as though it were nonmagical, or a magic item of a kind you specify, or the subject of a spell you specify. If the object bearing &lt;i&gt;magic aura&lt;/i&gt; has &lt;i&gt;identify&lt;/i&gt; cast on it or is similarly examined, the examiner recognizes that the aura is false and &lt;i&gt;detect&lt;/i&gt;s the object's actual qualities if he succeeds on a Will save. Otherwise, he believes the aura and no amount of testing reveals what the true magic is.&lt;/p&gt;&lt;p&gt;If the targeted item's own aura is exceptionally powerful (if it is an artifact, for instance), &lt;i&gt;magic aura&lt;/i&gt; doesn't work.&lt;/p&gt;&lt;p&gt;&lt;i&gt;Note:&lt;/i&gt; A magic weapon, shield, or suit of armor must be a masterwork item, so a sword of average make, for example, looks suspicious if it has a magical aura.&lt;/p&gt;&lt;/h4&gt;&lt;/div&gt;</t>
  </si>
  <si>
    <t>Alters object’s magic aura.</t>
  </si>
  <si>
    <t>Magic Circle against Evil</t>
  </si>
  <si>
    <t>cleric 3/oracle 3, paladin 3, sorcerer/wizard 3, summoner 3, inquisitor 3, summoner 3, inquisitor 3</t>
  </si>
  <si>
    <t>V, S, M/DF (a 3-ft.-diameter circle of powdered silver)</t>
  </si>
  <si>
    <t>10-ft.-radius emanation from touched creature</t>
  </si>
  <si>
    <t>no; see text</t>
  </si>
  <si>
    <t>All creatures within the area gain the effects of a protection from evil spell, and evil summoned creatures cannot enter the area either. Creatures in the area, or who later enter the area, receive only one attempt to suppress effects that are controlling them. If successful, such effects are suppressed as long as they remain in the area. Creatures that leave the area and come back are not protected. You must overcome a creature's spell resistance in order to keep it at bay (as in the third function of protection from evil), but the deflection and resistance bonuses and the protection from mental control apply regardless of enemies' spell resistance. This spell has an alternative version that you may choose when casting it. A magic circle against evil can be focused inward rather than outward. When focused inward, the spell binds a nongood called creature (such as those called by the lesser planar binding, planar binding, and greater planar binding spells) for a maximum of 24 hours per caster level, provided that you cast the spell that calls the creature within 1 round of casting the magic circle. The creature cannot cross the circle's boundaries. If a creature too large to fit into the spell's area is the subject of the spell, the spell acts as a normal protection from evil spell for that creature only. A magic circle leaves much to be desired as a trap. If the circle of powdered silver laid down in the process of spellcasting is broken, the effect immediately ends. The trapped creature can do nothing that disturbs the circle, directly or indirectly, but other creatures can. If the called creature has spell resistance, it can test the trap once a day. If you fail to overcome its spell resistance, the creature breaks free, destroying the circle. A creature capable of any form of dimensional travel (astral projection, blink, dimension door, etherealness, gate, plane shift, shadow walk, teleport, and similar abilities) can simply leave the circle through such means. You can prevent the creature's extradimensional escape by casting a dimensional anchor spell on it, but you must cast the spell before the creature acts. If you are successful, the anchor effect lasts as long as the magic circle does. The creature cannot reach across the magic circle, but its ranged attacks (ranged weapons, spells, magical abilities, and the like) can. The creature can attack any target it can reach with its ranged attacks except for the circle itself. You can add a special diagram (a two-dimensional bounded figure with no gaps along its circumference, augmented with various magical sigils) to make the magic circle more secure. Drawing the diagram by hand takes 10 minutes and requires a DC 20 Spellcraft check. You do not know the result of this check. If the check fails, the diagram is ineffective. You can take 10 when drawing the diagram if you are under no particular time pressure to complete the task. This task also takes 10 full minutes. If time is no factor at all, and you devote 3 hours and 20 minutes to the task, you can take 20. A successful diagram allows you to cast a dimensional anchor spell on the magic circle during the round before casting any summoning spell. The anchor holds any called creatures in the magic circle for 24 hours per caster level. A creature cannot use its spell resistance against a magic circle prepared with a diagram, and none of its abilities or attacks can cross the diagram. If the creature tries a Charisma check to break free of the trap (see the lesser planar binding spell), the DC increases by 5. The creature is immediately released if anything disturbs the diagram-even a straw laid across it. The creature itself cannot disturb the diagram either directly or indirectly, as noted above. This spell is not cumulative with protection from evil and vice versa.</t>
  </si>
  <si>
    <t>&lt;p&gt;All creatures within the area gain the effects of a &lt;i&gt;protection from evil&lt;/i&gt; spell, and evil summoned creatures cannot enter the area either. Creatures in the area, or who later enter the area, receive only one attempt to suppress effects that are controlling them.&lt;/p&gt;&lt;p&gt;If successful, such effects are suppressed as long as they remain in the area. Creatures that leave the area and come back are not protected. You must overcome a creature's spell resistance in order to keep it at bay (as in the third function of &lt;i&gt;protection from evil&lt;/i&gt;), but the deflection and resistance bonuses and the protection from mental control apply regardless of enemies' spell resistance.&lt;/p&gt;&lt;p&gt;This spell has an alternative version that you may choose when casting it. A &lt;i&gt;&lt;i&gt;magic circle&lt;/i&gt; against evil&lt;/i&gt; can be focused inward rather than outward. When focused inward, the spell binds a nongood called creature (such as those called by the &lt;i&gt;&lt;i&gt;lesser planar binding&lt;/i&gt;, planar binding,&lt;/i&gt; and &lt;i&gt;greater planar binding&lt;/i&gt; spells) for a maximum of 24 hours per caster level, provided that you cast the spell that calls the creature within 1 round of casting the &lt;i&gt;magic circle&lt;/i&gt;. The creature cannot cross the circle's boundaries. If a creature too large to fit into the spell's area is the subject of the spell, the spell acts as a normal &lt;i&gt;protection from evil&lt;/i&gt; spell for that creature only.&lt;/p&gt;&lt;p&gt;A &lt;i&gt;magic circle&lt;/i&gt; leaves much to be desired as a trap. If the circle of powdered silver laid down in the process of spellcasting is broken, the effect immediately ends. The trapped creature can do nothing that disturbs the circle, directly or indirectly, but other creatures can. If the called creature has spell resistance, it can test the trap once a day. If you fail to overcome its spell resistance, the creature breaks free, destroying the circle.&lt;/p&gt;&lt;p&gt;A creature capable of any form of dimensional travel (astral projection, blink, dimension door, etherealness, gate, plane shift, shadow walk, teleport, and similar abilities) can simply leave the circle through such means. You can prevent the creature's extradimensional escape by casting a &lt;i&gt;dimensional &lt;i&gt;anchor&lt;/i&gt;&lt;/i&gt; spell on it, but you must cast the spell before the creature acts. If you are successful, the &lt;i&gt;anchor&lt;/i&gt; effect lasts as long as the &lt;i&gt;magic circle&lt;/i&gt; does. The creature cannot reach across the &lt;i&gt;magic circle&lt;/i&gt;, but its ranged attacks (ranged weapons, spells, magical abilities, and the like) can. The creature can attack any target it can reach with its ranged attacks except for the circle itself.&lt;/p&gt;&lt;p&gt;You can add a special diagram (a two-dimensional bounded figure with no gaps along its circumference, augmented with various magical sigils) to make the &lt;i&gt;magic circle&lt;/i&gt; more secure. Drawing the diagram by hand takes 10 minutes and requires a DC 20 Spellcraft check. You do not know the result of this check. If the check fails, the diagram is ineffective. You can take 10 when drawing the diagram if you are under no particular time pressure to complete the task.&lt;/p&gt;&lt;p&gt;This task also takes 10 full minutes. If time is no factor at all, and you devote 3 hours and 20 minutes to the task, you can take 20.&lt;/p&gt;&lt;p&gt;A successful diagram allows you to cast a &lt;i&gt;dimensional &lt;i&gt;anchor&lt;/i&gt;&lt;/i&gt; spell on the &lt;i&gt;magic circle&lt;/i&gt; during the round before casting any summoning spell. The &lt;i&gt;anchor&lt;/i&gt; holds any called creatures in the &lt;i&gt;magic circle&lt;/i&gt; for 24 hours per caster level. A creature cannot use its spell resistance against a &lt;i&gt;magic circle&lt;/i&gt; prepared with a diagram, and none of its abilities or attacks can cross the diagram. If the creature tries a Charisma check to break free of the trap (see the &lt;i&gt;lesser planar binding&lt;/i&gt; spell), the DC increases by 5. The creature is immediately released if anything disturbs the diagram-even a straw laid across it. The creature itself cannot disturb the diagram either directly or indirectly, as noted above.&lt;/p&gt;&lt;p&gt;This spell is not cumulative with &lt;i&gt;protection from evil&lt;/i&gt; and vice versa.&lt;/p&gt;</t>
  </si>
  <si>
    <t>&lt;link rel="stylesheet"href="PF.css"&gt;&lt;div class="heading"&gt;&lt;p class="alignleft"&gt;Magic Circle against Evil&lt;/p&gt;&lt;div style="clear: both;"&gt;&lt;/div&gt;&lt;/div&gt;&lt;div&gt;&lt;h5&gt;&lt;b&gt;School &lt;/b&gt;abjuration [good]; &lt;b&gt;Level &lt;/b&gt;cleric 3/oracle 3, paladin 3, sorcerer/wizard 3, summoner 3, inquisitor 3, summoner 3, inquisitor 3&lt;/h5&gt;&lt;/div&gt;&lt;hr/&gt;&lt;div&gt;&lt;h5&gt;&lt;b&gt;CASTING&lt;/b&gt;&lt;/h5&gt;&lt;/div&gt;&lt;hr/&gt;&lt;div&gt;&lt;h5&gt;&lt;b&gt;Casting Time &lt;/b&gt;1 standard action&lt;/h5&gt;&lt;h5&gt;&lt;b&gt;Components &lt;/b&gt;V, S, M/DF (a 3-ft.-diameter circle of powdered silver)&lt;/h5&gt;&lt;/div&gt;&lt;hr/&gt;&lt;div&gt;&lt;h5&gt;&lt;b&gt;EFFECT&lt;/b&gt;&lt;/h5&gt;&lt;/div&gt;&lt;hr/&gt;&lt;div&gt;&lt;h5&gt;&lt;b&gt;Range &lt;/b&gt;touch&lt;/h5&gt;&lt;h5&gt;&lt;b&gt;Area &lt;/b&gt;10-ft.-radius emanation from touched creature&lt;/h5&gt;&lt;h5&gt;&lt;b&gt;Duration &lt;/b&gt;10 min./level&lt;/h5&gt;&lt;h5&gt;&lt;b&gt;Saving Throw &lt;/b&gt;Will negates (harmless); &lt;b&gt;Spell Resistance &lt;/b&gt;no; see text&lt;/h5&gt;&lt;/div&gt;&lt;hr/&gt;&lt;div&gt;&lt;h5&gt;&lt;b&gt;DESCRIPTION&lt;/b&gt;&lt;/h5&gt;&lt;/div&gt;&lt;hr/&gt;&lt;div&gt;&lt;h4&gt;&lt;p&gt;All creatures within the area gain the effects of a &lt;i&gt;protection from evil&lt;/i&gt; spell, and evil summoned creatures cannot enter the area either. Creatures in the area, or who later enter the area, receive only one attempt to suppress effects that are controlling them.&lt;/p&gt;&lt;p&gt;If successful, such effects are suppressed as long as they remain in the area. Creatures that leave the area and come back are not protected. You must overcome a creature's spell resistance in order to keep it at bay (as in the third function of &lt;i&gt;protection from evil&lt;/i&gt;), but the deflection and resistance bonuses and the protection from mental control apply regardless of enemies' spell resistance.&lt;/p&gt;&lt;p&gt;This spell has an alternative version that you may choose when casting it. A &lt;i&gt;&lt;i&gt;magic circle&lt;/i&gt; against evil&lt;/i&gt; can be focused inward rather than outward. When focused inward, the spell binds a nongood called creature (such as those called by the &lt;i&gt;&lt;i&gt;lesser planar binding&lt;/i&gt;, planar binding,&lt;/i&gt; and &lt;i&gt;greater planar binding&lt;/i&gt; spells) for a maximum of 24 hours per caster level, provided that you cast the spell that calls the creature within 1 round of casting the &lt;i&gt;magic circle&lt;/i&gt;. The creature cannot cross the circle's boundaries. If a creature too large to fit into the spell's area is the subject of the spell, the spell acts as a normal &lt;i&gt;protection from evil&lt;/i&gt; spell for that creature only.&lt;/p&gt;&lt;p&gt;A &lt;i&gt;magic circle&lt;/i&gt; leaves much to be desired as a trap. If the circle of powdered silver laid down in the process of spellcasting is broken, the effect immediately ends. The trapped creature can do nothing that disturbs the circle, directly or indirectly, but other creatures can. If the called creature has spell resistance, it can test the trap once a day. If you fail to overcome its spell resistance, the creature breaks free, destroying the circle.&lt;/p&gt;&lt;p&gt;A creature capable of any form of dimensional travel (astral projection, blink, dimension door, etherealness, gate, plane shift, shadow walk, teleport, and similar abilities) can simply leave the circle through such means. You can prevent the creature's extradimensional escape by casting a &lt;i&gt;dimensional &lt;i&gt;anchor&lt;/i&gt;&lt;/i&gt; spell on it, but you must cast the spell before the creature acts. If you are successful, the &lt;i&gt;anchor&lt;/i&gt; effect lasts as long as the &lt;i&gt;magic circle&lt;/i&gt; does. The creature cannot reach across the &lt;i&gt;magic circle&lt;/i&gt;, but its ranged attacks (ranged weapons, spells, magical abilities, and the like) can. The creature can attack any target it can reach with its ranged attacks except for the circle itself.&lt;/p&gt;&lt;p&gt;You can add a special diagram (a two-dimensional bounded figure with no gaps along its circumference, augmented with various magical sigils) to make the &lt;i&gt;magic circle&lt;/i&gt; more secure. Drawing the diagram by hand takes 10 minutes and requires a DC 20 Spellcraft check. You do not know the result of this check. If the check fails, the diagram is ineffective. You can take 10 when drawing the diagram if you are under no particular time pressure to complete the task.&lt;/p&gt;&lt;p&gt;This task also takes 10 full minutes. If time is no factor at all, and you devote 3 hours and 20 minutes to the task, you can take 20.&lt;/p&gt;&lt;p&gt;A successful diagram allows you to cast a &lt;i&gt;dimensional &lt;i&gt;anchor&lt;/i&gt;&lt;/i&gt; spell on the &lt;i&gt;magic circle&lt;/i&gt; during the round before casting any summoning spell. The &lt;i&gt;anchor&lt;/i&gt; holds any called creatures in the &lt;i&gt;magic circle&lt;/i&gt; for 24 hours per caster level. A creature cannot use its spell resistance against a &lt;i&gt;magic circle&lt;/i&gt; prepared with a diagram, and none of its abilities or attacks can cross the diagram. If the creature tries a Charisma check to break free of the trap (see the &lt;i&gt;lesser planar binding&lt;/i&gt; spell), the DC increases by 5. The creature is immediately released if anything disturbs the diagram-even a straw laid across it. The creature itself cannot disturb the diagram either directly or indirectly, as noted above.&lt;/p&gt;&lt;p&gt;This spell is not cumulative with &lt;i&gt;protection from evil&lt;/i&gt; and vice versa.&lt;/p&gt;&lt;/h4&gt;&lt;/div&gt;</t>
  </si>
  <si>
    <t>As protection spells, but 10-ft. radius and 10 min./level.</t>
  </si>
  <si>
    <t>Magic Circle against Chaos</t>
  </si>
  <si>
    <t>This spell functions like magic circle against evil, except that it is similar to protection from chaos instead of protection from evil, and it can imprison a nonlawful called creature.</t>
  </si>
  <si>
    <t>&lt;p&gt;This spell functions like &lt;i&gt;magic circle against evil,&lt;/i&gt; except that it is similar to &lt;i&gt;protection from chaos&lt;/i&gt; instead of &lt;i&gt;protection from evil&lt;/i&gt;, and it can imprison a nonlawful called creature.&lt;/p&gt;</t>
  </si>
  <si>
    <t>&lt;link rel="stylesheet"href="PF.css"&gt;&lt;div class="heading"&gt;&lt;p class="alignleft"&gt;Magic Circle against Chaos&lt;/p&gt;&lt;div style="clear: both;"&gt;&lt;/div&gt;&lt;/div&gt;&lt;div&gt;&lt;h5&gt;&lt;b&gt;School &lt;/b&gt;abjuration [lawful]; &lt;b&gt;Level &lt;/b&gt;cleric 3/oracle 3, paladin 3, sorcerer/wizard 3, summoner 3, inquisitor 3, summoner 3, inquisitor 3&lt;/h5&gt;&lt;/div&gt;&lt;hr/&gt;&lt;div&gt;&lt;h5&gt;&lt;b&gt;CASTING&lt;/b&gt;&lt;/h5&gt;&lt;/div&gt;&lt;hr/&gt;&lt;div&gt;&lt;h5&gt;&lt;b&gt;Casting Time &lt;/b&gt;1 standard action&lt;/h5&gt;&lt;h5&gt;&lt;b&gt;Components &lt;/b&gt;V, S, M/DF (a 3-ft.-diameter circle of powdered silver)&lt;/h5&gt;&lt;/div&gt;&lt;hr/&gt;&lt;div&gt;&lt;h5&gt;&lt;b&gt;EFFECT&lt;/b&gt;&lt;/h5&gt;&lt;/div&gt;&lt;hr/&gt;&lt;div&gt;&lt;h5&gt;&lt;b&gt;Range &lt;/b&gt;touch&lt;/h5&gt;&lt;h5&gt;&lt;b&gt;Area &lt;/b&gt;10-ft.-radius emanation from touched creature&lt;/h5&gt;&lt;h5&gt;&lt;b&gt;Duration &lt;/b&gt;10 min./level&lt;/h5&gt;&lt;h5&gt;&lt;b&gt;Saving Throw &lt;/b&gt;Will negates (harmless); &lt;b&gt;Spell Resistance &lt;/b&gt;no; see text&lt;/h5&gt;&lt;/div&gt;&lt;hr/&gt;&lt;div&gt;&lt;h5&gt;&lt;b&gt;DESCRIPTION&lt;/b&gt;&lt;/h5&gt;&lt;/div&gt;&lt;hr/&gt;&lt;div&gt;&lt;h4&gt;&lt;p&gt;This spell functions like &lt;i&gt;magic circle against evil,&lt;/i&gt; except that it is similar to &lt;i&gt;protection from chaos&lt;/i&gt; instead of &lt;i&gt;protection from evil&lt;/i&gt;, and it can imprison a nonlawful called creature.&lt;/p&gt;&lt;/h4&gt;&lt;/div&gt;</t>
  </si>
  <si>
    <t>Magic Circle against Good</t>
  </si>
  <si>
    <t>cleric 3/oracle 3, sorcerer/wizard 3, summoner 3, inquisitor 3, antipaladin 3</t>
  </si>
  <si>
    <t>This spell functions like magic circle against evil, except that it is similar to protection from good instead of protection from evil, and it can imprison a nonevil called creature.</t>
  </si>
  <si>
    <t>&lt;p&gt;This spell functions like &lt;i&gt;magic circle against evil,&lt;/i&gt; except that it is similar to &lt;i&gt;protection from good&lt;/i&gt; instead of &lt;i&gt;protection from evil&lt;/i&gt;, and it can imprison a nonevil called creature.&lt;/p&gt;</t>
  </si>
  <si>
    <t>&lt;link rel="stylesheet"href="PF.css"&gt;&lt;div class="heading"&gt;&lt;p class="alignleft"&gt;Magic Circle against Good&lt;/p&gt;&lt;div style="clear: both;"&gt;&lt;/div&gt;&lt;/div&gt;&lt;div&gt;&lt;h5&gt;&lt;b&gt;School &lt;/b&gt;abjuration [evil]; &lt;b&gt;Level &lt;/b&gt;cleric 3/oracle 3, sorcerer/wizard 3, summoner 3, inquisitor 3, antipaladin 3&lt;/h5&gt;&lt;/div&gt;&lt;hr/&gt;&lt;div&gt;&lt;h5&gt;&lt;b&gt;CASTING&lt;/b&gt;&lt;/h5&gt;&lt;/div&gt;&lt;hr/&gt;&lt;div&gt;&lt;h5&gt;&lt;b&gt;Casting Time &lt;/b&gt;1 standard action&lt;/h5&gt;&lt;h5&gt;&lt;b&gt;Components &lt;/b&gt;V, S, M/DF (a 3-ft.-diameter circle of powdered silver)&lt;/h5&gt;&lt;/div&gt;&lt;hr/&gt;&lt;div&gt;&lt;h5&gt;&lt;b&gt;EFFECT&lt;/b&gt;&lt;/h5&gt;&lt;/div&gt;&lt;hr/&gt;&lt;div&gt;&lt;h5&gt;&lt;b&gt;Range &lt;/b&gt;touch&lt;/h5&gt;&lt;h5&gt;&lt;b&gt;Area &lt;/b&gt;10-ft.-radius emanation from touched creature&lt;/h5&gt;&lt;h5&gt;&lt;b&gt;Duration &lt;/b&gt;10 min./level&lt;/h5&gt;&lt;h5&gt;&lt;b&gt;Saving Throw &lt;/b&gt;Will negates (harmless); &lt;b&gt;Spell Resistance &lt;/b&gt;no; see text&lt;/h5&gt;&lt;/div&gt;&lt;hr/&gt;&lt;div&gt;&lt;h5&gt;&lt;b&gt;DESCRIPTION&lt;/b&gt;&lt;/h5&gt;&lt;/div&gt;&lt;hr/&gt;&lt;div&gt;&lt;h4&gt;&lt;p&gt;This spell functions like &lt;i&gt;magic circle against evil,&lt;/i&gt; except that it is similar to &lt;i&gt;protection from good&lt;/i&gt; instead of &lt;i&gt;protection from evil&lt;/i&gt;, and it can imprison a nonevil called creature.&lt;/p&gt;&lt;/h4&gt;&lt;/div&gt;</t>
  </si>
  <si>
    <t>Magic Circle against Law</t>
  </si>
  <si>
    <t>This spell functions like magic circle against evil, except that it is similar to protection from law instead of protection from evil, and it can imprison a nonchaotic called creature.</t>
  </si>
  <si>
    <t>&lt;p&gt;This spell functions like &lt;i&gt;magic circle against evil,&lt;/i&gt; except that it is similar to &lt;i&gt;protection from law&lt;/i&gt; instead of &lt;i&gt;protection from evil&lt;/i&gt;, and it can imprison a nonchaotic called creature.&lt;/p&gt;</t>
  </si>
  <si>
    <t>&lt;link rel="stylesheet"href="PF.css"&gt;&lt;div class="heading"&gt;&lt;p class="alignleft"&gt;Magic Circle against Law&lt;/p&gt;&lt;div style="clear: both;"&gt;&lt;/div&gt;&lt;/div&gt;&lt;div&gt;&lt;h5&gt;&lt;b&gt;School &lt;/b&gt;abjuration [chaotic]; &lt;b&gt;Level &lt;/b&gt;cleric 3/oracle 3, sorcerer/wizard 3, summoner 3, inquisitor 3, antipaladin 3&lt;/h5&gt;&lt;/div&gt;&lt;hr/&gt;&lt;div&gt;&lt;h5&gt;&lt;b&gt;CASTING&lt;/b&gt;&lt;/h5&gt;&lt;/div&gt;&lt;hr/&gt;&lt;div&gt;&lt;h5&gt;&lt;b&gt;Casting Time &lt;/b&gt;1 standard action&lt;/h5&gt;&lt;h5&gt;&lt;b&gt;Components &lt;/b&gt;V, S, M/DF (a 3-ft.-diameter circle of powdered silver)&lt;/h5&gt;&lt;/div&gt;&lt;hr/&gt;&lt;div&gt;&lt;h5&gt;&lt;b&gt;EFFECT&lt;/b&gt;&lt;/h5&gt;&lt;/div&gt;&lt;hr/&gt;&lt;div&gt;&lt;h5&gt;&lt;b&gt;Range &lt;/b&gt;touch&lt;/h5&gt;&lt;h5&gt;&lt;b&gt;Area &lt;/b&gt;10-ft.-radius emanation from touched creature&lt;/h5&gt;&lt;h5&gt;&lt;b&gt;Duration &lt;/b&gt;10 min./level&lt;/h5&gt;&lt;h5&gt;&lt;b&gt;Saving Throw &lt;/b&gt;Will negates (harmless); &lt;b&gt;Spell Resistance &lt;/b&gt;no; see text&lt;/h5&gt;&lt;/div&gt;&lt;hr/&gt;&lt;div&gt;&lt;h5&gt;&lt;b&gt;DESCRIPTION&lt;/b&gt;&lt;/h5&gt;&lt;/div&gt;&lt;hr/&gt;&lt;div&gt;&lt;h4&gt;&lt;p&gt;This spell functions like &lt;i&gt;magic circle against evil,&lt;/i&gt; except that it is similar to &lt;i&gt;protection from law&lt;/i&gt; instead of &lt;i&gt;protection from evil&lt;/i&gt;, and it can imprison a nonchaotic called creature.&lt;/p&gt;&lt;/h4&gt;&lt;/div&gt;</t>
  </si>
  <si>
    <t>Magic Fang</t>
  </si>
  <si>
    <t>druid 1, ranger 1, summoner 1</t>
  </si>
  <si>
    <t>Magic fang gives one natural weapon or unarmed strike of the subject a +1 enhancement bonus on attack and damage rolls. The spell can affect a slam attack, fist, bite, or other natural weapon. The spell does not change an unarmed strike's damage from nonlethal damage to lethal damage. Magic fang can be made permanent with a permanency spell.</t>
  </si>
  <si>
    <t>&lt;p&gt;&lt;i&gt;Magic fang&lt;/i&gt; gives one natural weapon or unarmed strike of the subject a +1 enhancement bonus on attack and damage rolls. The spell can affect a slam attack, fist, bite, or other natural weapon.&lt;/p&gt;&lt;p&gt;The spell does not change an unarmed strike's damage from nonlethal damage to lethal damage.&lt;/p&gt;&lt;p&gt;&lt;i&gt;Magic fang&lt;/i&gt; can be made permanent with a &lt;i&gt;permanency&lt;/i&gt; spell.&lt;/p&gt;</t>
  </si>
  <si>
    <t>&lt;link rel="stylesheet"href="PF.css"&gt;&lt;div class="heading"&gt;&lt;p class="alignleft"&gt;Magic Fang&lt;/p&gt;&lt;div style="clear: both;"&gt;&lt;/div&gt;&lt;/div&gt;&lt;div&gt;&lt;h5&gt;&lt;b&gt;School &lt;/b&gt;transmutation; &lt;b&gt;Level &lt;/b&gt;druid 1, ranger 1, summoner 1&lt;/h5&gt;&lt;/div&gt;&lt;hr/&gt;&lt;div&gt;&lt;h5&gt;&lt;b&gt;CASTING&lt;/b&gt;&lt;/h5&gt;&lt;/div&gt;&lt;hr/&gt;&lt;div&gt;&lt;h5&gt;&lt;b&gt;Casting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&lt;/b&gt;living creature touched&lt;/h5&gt;&lt;h5&gt;&lt;b&gt;Duration &lt;/b&gt;1 min./level&lt;/h5&gt;&lt;h5&gt;&lt;b&gt;Saving Throw &lt;/b&gt;Will negates (harmless); &lt;b&gt;Spell Resistance &lt;/b&gt;yes (harmless)&lt;/h5&gt;&lt;/div&gt;&lt;hr/&gt;&lt;div&gt;&lt;h5&gt;&lt;b&gt;DESCRIPTION&lt;/b&gt;&lt;/h5&gt;&lt;/div&gt;&lt;hr/&gt;&lt;div&gt;&lt;h4&gt;&lt;p&gt;&lt;i&gt;Magic fang&lt;/i&gt; gives one natural weapon or unarmed strike of the subject a +1 enhancement bonus on attack and damage rolls. The spell can affect a slam attack, fist, bite, or other natural weapon.&lt;/p&gt;&lt;p&gt;The spell does not change an unarmed strike's damage from nonlethal damage to lethal damage.&lt;/p&gt;&lt;p&gt;&lt;i&gt;Magic fang&lt;/i&gt; can be made permanent with a &lt;i&gt;permanency&lt;/i&gt; spell.&lt;/p&gt;&lt;/h4&gt;&lt;h5&gt;&lt;b&gt;Mythic: &lt;/b&gt;The spell affects an additional number of the target's natural weapons equal to your tier. For example, if you're 3rd tier, it could affect two claws and one bite).&lt;/h5&gt;&lt;/div&gt;</t>
  </si>
  <si>
    <t>Fur, Scalykind</t>
  </si>
  <si>
    <t>One natural weapon of subject creature gets +1 on attack and damage rolls.</t>
  </si>
  <si>
    <t>The spell affects an additional number of the target's natural weapons equal to your tier. For example, if you're 3rd tier, it could affect two claws and one bite).</t>
  </si>
  <si>
    <t>Magic Fang, Greater</t>
  </si>
  <si>
    <t>druid 3, ranger 3, summoner 3</t>
  </si>
  <si>
    <t>This spell functions like magic fang, except that the enhancement bonus on attack and damage rolls is +1 per four caster levels (maximum +5). This bonus does not allow a natural weapon or unarmed strike to bypass damage reduction aside from magic. Alternatively, you may imbue all of the creature's natural weapons with a +1 enhancement bonus (regardless of your caster level). Greater magic fang can be made permanent with a permanency spell.</t>
  </si>
  <si>
    <t>&lt;p&gt;This spell functions like &lt;i&gt;magic fang&lt;/i&gt;, except that the enhancement bonus on attack and damage rolls is +1 per four caster levels (maximum +5). This bonus does not allow a natural weapon or unarmed strike to bypass damage reduction aside from magic.&lt;/p&gt;&lt;p&gt;Alternatively, you may imbue all of the creature's natural weapons with a +1 enhancement bonus (regardless of your caster level).&lt;/p&gt;&lt;p&gt;Greater &lt;i&gt;magic fang&lt;/i&gt; can be made permanent with a &lt;i&gt;permanency&lt;/i&gt; spell.&lt;/p&gt;</t>
  </si>
  <si>
    <t>&lt;link rel="stylesheet"href="PF.css"&gt;&lt;div class="heading"&gt;&lt;p class="alignleft"&gt;Magic Fang, Greater&lt;/p&gt;&lt;div style="clear: both;"&gt;&lt;/div&gt;&lt;/div&gt;&lt;div&gt;&lt;h5&gt;&lt;b&gt;School &lt;/b&gt;transmutation; &lt;b&gt;Level &lt;/b&gt;druid 3, ranger 3, summoner 3&lt;/h5&gt;&lt;/div&gt;&lt;hr/&gt;&lt;div&gt;&lt;h5&gt;&lt;b&gt;CASTING&lt;/b&gt;&lt;/h5&gt;&lt;/div&gt;&lt;hr/&gt;&lt;div&gt;&lt;h5&gt;&lt;b&gt;Casting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levels)&lt;/h5&gt;&lt;h5&gt;&lt;b&gt;Targets &lt;/b&gt;one living creature&lt;/h5&gt;&lt;h5&gt;&lt;b&gt;Duration &lt;/b&gt;1 hour/level&lt;/h5&gt;&lt;h5&gt;&lt;b&gt;Saving Throw &lt;/b&gt;Will negates (harmless); &lt;b&gt;Spell Resistance &lt;/b&gt;yes (harmless)&lt;/h5&gt;&lt;/div&gt;&lt;hr/&gt;&lt;div&gt;&lt;h5&gt;&lt;b&gt;DESCRIPTION&lt;/b&gt;&lt;/h5&gt;&lt;/div&gt;&lt;hr/&gt;&lt;div&gt;&lt;h4&gt;&lt;p&gt;This spell functions like &lt;i&gt;magic fang&lt;/i&gt;, except that the enhancement bonus on attack and damage rolls is +1 per four caster levels (maximum +5). This bonus does not allow a natural weapon or unarmed strike to bypass damage reduction aside from magic.&lt;/p&gt;&lt;p&gt;Alternatively, you may imbue all of the creature's natural weapons with a +1 enhancement bonus (regardless of your caster level).&lt;/p&gt;&lt;p&gt;Greater &lt;i&gt;magic fang&lt;/i&gt; can be made permanent with a &lt;i&gt;permanency&lt;/i&gt; spell.&lt;/p&gt;&lt;/h4&gt;&lt;/div&gt;</t>
  </si>
  <si>
    <t>One natural weapon gets + 1/four levels (max +5).</t>
  </si>
  <si>
    <t>Magic Jar</t>
  </si>
  <si>
    <t>sorcerer/wizard 5, alchemist 5, summoner 4, witch 5</t>
  </si>
  <si>
    <t>V, S, F (a gem or crystal worth at least 100 gp)</t>
  </si>
  <si>
    <t>1 hour/level or until you return to your body</t>
  </si>
  <si>
    <t>By casting magic jar, you place your soul in a gem or large crystal (known as the magic jar), leaving your body lifeless. Then you can attempt to take control of a nearby body, forcing its soul into the magic jar. You may move back to the jar (thereby returning the trapped soul to its body) and attempt to possess another body. The spell ends when you send your soul back to your own body, leaving the receptacle empty. To cast the spell, the magic jar must be within spell range and you must know where it is, though you do not need line of sight or line of effect to it. When you transfer your soul upon casting, your body is, as near as anyone can tell, dead. While in the magic jar, you can sense and attack any life force within 10 feet per caster level (and on the same plane of existence). You do need line of effect from the jar to the creatures. You cannot determine the exact creature types or positions of these creatures. In a group of life forces, you can sense a difference of 4 or more HD between one creature and another and can determine whether a life force is powered by positive or negative energy. (Undead creatures are powered by negative energy. Only sentient undead creatures have, or are, souls.) You could choose to take over either a stronger or a weaker creature, but which particular stronger or weaker creature you attempt to possess is determined randomly. Attempting to possess a body is a full-round action. It is blocked by protection from evil or a similar ward. You possess the body and force the creature's soul into the magic jar unless the subject succeeds on a Will save. Failure to take over the host leaves your life force in the magic jar, and the target automatically succeeds on further saving throws if you attempt to possess its body again. If you are successful, your life force occupies the host body, and the host's life force is imprisoned in the magic jar. You keep your Intelligence, Wisdom, Charisma, level, class, base attack bonus, base save bonuses, alignment, and mental abilities. The body retains its Strength, Dexterity, Constitution, hit points, natural abilities, and automatic abilities. A body with extra limbs does not allow you to make more attacks (or more advantageous two-weapon attacks) than normal. You can't choose to activate the body's extraordinary or supernatural abilities. The creature's spells and spell-like abilities do not stay with the body. As a standard action, you can shift freely from a host to the magic jar if within range, sending the trapped soul back to its body. The spell ends when you shift from the jar to your own body. If the host body is slain, you return to the magic jar, if within range, and the life force of the host departs (it is dead). If the host body is slain beyond the range of the spell, both you and the host die. Any life force with nowhere to go is treated as slain. If the spell ends while you are in the magic jar, you return to your body (or die if your body is out of range or destroyed). If the spell ends while you are in a host, you return to your body (or die, if it is out of range of your current position), and the soul in the magic jar returns to its body (or dies if it is out of range). Destroying the receptacle ends the spell, and the spell can be dispelled at either the magic jar or the host's location.</t>
  </si>
  <si>
    <t>&lt;p&gt;By casting &lt;i&gt;&lt;i&gt;magic jar&lt;/i&gt;,&lt;/i&gt; you place your soul in a gem or large crystal (known as the &lt;i&gt;magic jar&lt;/i&gt;), leaving your body lifeless. Then you can attempt to take control of a nearby body, forcing its soul into the &lt;i&gt;magic jar&lt;/i&gt;. You may move back to the jar (thereby returning the trapped soul to its body) and attempt to possess another body.&lt;/p&gt;&lt;p&gt;The spell ends when you send your soul back to your own body, leaving the receptacle empty. To cast the spell, the &lt;i&gt;magic jar&lt;/i&gt; must be within spell range and you must know where it is, though you do not need line of sight or line of effect to it. When you transfer your soul upon casting, your body is, as near as anyone can tell, dead.&lt;/p&gt;&lt;p&gt;While in the &lt;i&gt;&lt;i&gt;magic jar&lt;/i&gt;,&lt;/i&gt; you can sense and attack any life force within 10 feet per caster level (and on the same plane of existence).&lt;/p&gt;&lt;p&gt;You do need line of effect from the jar to the creatures. You cannot determine the exact creature types or positions of these creatures.&lt;/p&gt;&lt;p&gt;In a group of life forces, you can sense a difference of 4 or more HD between one creature and another and can determine whether a life force is powered by positive or negative energy. (Undead creatures are powered by negative energy. Only sentient undead creatures have, or are, souls.) You could choose to take over either a stronger or a weaker creature, but which particular stronger or weaker creature you attempt to possess is determined randomly.&lt;/p&gt;&lt;p&gt;Attempting to possess a body is a full-round action. It is blocked by &lt;i&gt;protection from evil&lt;/i&gt; or a similar ward. You possess the body and force the creature's soul into the &lt;i&gt;magic jar&lt;/i&gt; unless the subject succeeds on a Will save. Failure to take over the host leaves your life force in the &lt;i&gt;&lt;i&gt;magic jar&lt;/i&gt;,&lt;/i&gt; and the target automatically succeeds on further saving throws if you attempt to possess its body again.&lt;/p&gt;&lt;p&gt;If you are successful, your life force occupies the host body, and the host's life force is imprisoned in the &lt;i&gt;magic jar&lt;/i&gt;. You keep your Intelligence, Wisdom, Charisma, level, class, base attack bonus, base save bonuses, alignment, and mental abilities. The body retains its Strength, Dexterity, Constitution, hit points, natural abilities, and automatic abilities. A body with extra limbs does not allow you to make more attacks (or more advantageous two-weapon attacks) than normal. You can't choose to activate the body's extraordinary or supernatural abilities. The creature's spells and spell-like abilities do not stay with the body.&lt;/p&gt;&lt;p&gt;As a standard action, you can shift freely from a host to the &lt;i&gt;magic jar&lt;/i&gt; if within range, sending the trapped soul back to its body. The spell ends when you shift from the jar to your own body.&lt;/p&gt;&lt;p&gt;If the host body is slain, you return to the &lt;i&gt;&lt;i&gt;magic jar&lt;/i&gt;,&lt;/i&gt; if within range, and the life force of the host departs (it is dead). If the host body is slain beyond the range of the spell, both you and the host die. Any life force with nowhere to go is treated as slain.&lt;/p&gt;&lt;p&gt;If the spell ends while you are in the &lt;i&gt;&lt;i&gt;magic jar&lt;/i&gt;,&lt;/i&gt; you return to your body (or die if your body is out of range or destroyed). If the spell ends while you are in a host, you return to your body (or die, if it is out of range of your current position), and the soul in the &lt;i&gt;magic jar&lt;/i&gt; returns to its body (or dies if it is out of range). Destroying the receptacle ends the spell, and the spell can be dispelled at either the &lt;i&gt;magic jar&lt;/i&gt; or the host's location.&lt;/p&gt;</t>
  </si>
  <si>
    <t>&lt;link rel="stylesheet"href="PF.css"&gt;&lt;div class="heading"&gt;&lt;p class="alignleft"&gt;Magic Jar&lt;/p&gt;&lt;div style="clear: both;"&gt;&lt;/div&gt;&lt;/div&gt;&lt;div&gt;&lt;h5&gt;&lt;b&gt;School &lt;/b&gt;necromancy; &lt;b&gt;Level &lt;/b&gt;sorcerer/wizard 5, alchemist 5, summoner 4, witch 5&lt;/h5&gt;&lt;/div&gt;&lt;hr/&gt;&lt;div&gt;&lt;h5&gt;&lt;b&gt;CASTING&lt;/b&gt;&lt;/h5&gt;&lt;/div&gt;&lt;hr/&gt;&lt;div&gt;&lt;h5&gt;&lt;b&gt;Casting Time &lt;/b&gt;1 standard action&lt;/h5&gt;&lt;h5&gt;&lt;b&gt;Components &lt;/b&gt;V, S, F (a gem or crystal worth at least 100 gp)&lt;/h5&gt;&lt;/div&gt;&lt;hr/&gt;&lt;div&gt;&lt;h5&gt;&lt;b&gt;EFFECT&lt;/b&gt;&lt;/h5&gt;&lt;/div&gt;&lt;hr/&gt;&lt;div&gt;&lt;h5&gt;&lt;b&gt;Range &lt;/b&gt;medium (100 ft. + 10 ft./level)&lt;/h5&gt;&lt;h5&gt;&lt;b&gt;Targets &lt;/b&gt;one creature&lt;/h5&gt;&lt;h5&gt;&lt;b&gt;Duration &lt;/b&gt;1 hour/level or until you return to your body&lt;/h5&gt;&lt;h5&gt;&lt;b&gt;Saving Throw &lt;/b&gt;Will negates; see text; &lt;b&gt;Spell Resistance &lt;/b&gt;yes&lt;/h5&gt;&lt;/div&gt;&lt;hr/&gt;&lt;div&gt;&lt;h5&gt;&lt;b&gt;DESCRIPTION&lt;/b&gt;&lt;/h5&gt;&lt;/div&gt;&lt;hr/&gt;&lt;div&gt;&lt;h4&gt;&lt;p&gt;By casting &lt;i&gt;&lt;i&gt;magic jar&lt;/i&gt;,&lt;/i&gt; you place your soul in a gem or large crystal (known as the &lt;i&gt;magic jar&lt;/i&gt;), leaving your body lifeless. Then you can attempt to take control of a nearby body, forcing its soul into the &lt;i&gt;magic jar&lt;/i&gt;. You may move back to the jar (thereby returning the trapped soul to its body) and attempt to possess another body.&lt;/p&gt;&lt;p&gt;The spell ends when you send your soul back to your own body, leaving the receptacle empty. To cast the spell, the &lt;i&gt;magic jar&lt;/i&gt; must be within spell range and you must know where it is, though you do not need line of sight or line of effect to it. When you transfer your soul upon casting, your body is, as near as anyone can tell, dead.&lt;/p&gt;&lt;p&gt;While in the &lt;i&gt;&lt;i&gt;magic jar&lt;/i&gt;,&lt;/i&gt; you can sense and attack any life force within 10 feet per caster level (and on the same plane of existence).&lt;/p&gt;&lt;p&gt;You do need line of effect from the jar to the creatures. You cannot determine the exact creature types or positions of these creatures.&lt;/p&gt;&lt;p&gt;In a group of life forces, you can sense a difference of 4 or more HD between one creature and another and can determine whether a life force is powered by positive or negative energy. (Undead creatures are powered by negative energy. Only sentient undead creatures have, or are, souls.) You could choose to take over either a stronger or a weaker creature, but which particular stronger or weaker creature you attempt to possess is determined randomly.&lt;/p&gt;&lt;p&gt;Attempting to possess a body is a full-round action. It is blocked by &lt;i&gt;protection from evil&lt;/i&gt; or a similar ward. You possess the body and force the creature's soul into the &lt;i&gt;magic jar&lt;/i&gt; unless the subject succeeds on a Will save. Failure to take over the host leaves your life force in the &lt;i&gt;&lt;i&gt;magic jar&lt;/i&gt;,&lt;/i&gt; and the target automatically succeeds on further saving throws if you attempt to possess its body again.&lt;/p&gt;&lt;p&gt;If you are successful, your life force occupies the host body, and the host's life force is imprisoned in the &lt;i&gt;magic jar&lt;/i&gt;. You keep your Intelligence, Wisdom, Charisma, level, class, base attack bonus, base save bonuses, alignment, and mental abilities. The body retains its Strength, Dexterity, Constitution, hit points, natural abilities, and automatic abilities. A body with extra limbs does not allow you to make more attacks (or more advantageous two-weapon attacks) than normal. You can't choose to activate the body's extraordinary or supernatural abilities. The creature's spells and spell-like abilities do not stay with the body.&lt;/p&gt;&lt;p&gt;As a standard action, you can shift freely from a host to the &lt;i&gt;magic jar&lt;/i&gt; if within range, sending the trapped soul back to its body. The spell ends when you shift from the jar to your own body.&lt;/p&gt;&lt;p&gt;If the host body is slain, you return to the &lt;i&gt;&lt;i&gt;magic jar&lt;/i&gt;,&lt;/i&gt; if within range, and the life force of the host departs (it is dead). If the host body is slain beyond the range of the spell, both you and the host die. Any life force with nowhere to go is treated as slain.&lt;/p&gt;&lt;p&gt;If the spell ends while you are in the &lt;i&gt;&lt;i&gt;magic jar&lt;/i&gt;,&lt;/i&gt; you return to your body (or die if your body is out of range or destroyed). If the spell ends while you are in a host, you return to your body (or die, if it is out of range of your current position), and the soul in the &lt;i&gt;magic jar&lt;/i&gt; returns to its body (or dies if it is out of range). Destroying the receptacle ends the spell, and the spell can be dispelled at either the &lt;i&gt;magic jar&lt;/i&gt; or the host's location.&lt;/p&gt;&lt;/h4&gt;&lt;/div&gt;</t>
  </si>
  <si>
    <t> Enables possession of another creature.</t>
  </si>
  <si>
    <t>Magic Missile</t>
  </si>
  <si>
    <t>up to five creatures, no two of which can be more than 15 ft. apart</t>
  </si>
  <si>
    <t>A missile of magical energy darts forth from your fingertip and strikes its target, dealing 1d4+1 points of force damage. The missile strikes unerringly, even if the target is in melee combat, so long as it has less than total cover or total concealment. Specific parts of a creature can't be singled out. Objects are not damaged by the spell. For every two caster levels beyond 1st, you gain an additional missile-two at 3rd level, three at 5th, four at 7th, and the maximum of five missiles at 9th level or higher. If you shoot multiple missiles, you can have them strike a single creature or several creatures. A single missile can strike only one creature. You must designate targets before you check for spell resistance or roll damage.</t>
  </si>
  <si>
    <t>&lt;p&gt;A missile of magical energy darts forth from your fingertip and strikes its target, dealing 1d4+1 points of force damage.&lt;/p&gt;&lt;p&gt;The missile strikes unerringly, even if the target is in melee combat, so long as it has less than total cover or total concealment.&lt;/p&gt;&lt;p&gt;Specific parts of a creature can't be singled out. Objects are not damaged by the spell.&lt;/p&gt;&lt;p&gt;For every two caster levels beyond 1st, you gain an additional missile-two at 3rd level, three at 5th, four at 7th, and the maximum of five missiles at 9th level or higher. If you shoot multiple missiles, you can have them strike a single creature or several creatures.&lt;/p&gt;&lt;p&gt;A single missile can strike only one creature. You must designate targets before you check for spell resistance or roll damage.&lt;/p&gt;</t>
  </si>
  <si>
    <t>&lt;link rel="stylesheet"href="PF.css"&gt;&lt;div class="heading"&gt;&lt;p class="alignleft"&gt;Magic Missile&lt;/p&gt;&lt;div style="clear: both;"&gt;&lt;/div&gt;&lt;/div&gt;&lt;div&gt;&lt;h5&gt;&lt;b&gt;School &lt;/b&gt;evocation [force]; &lt;b&gt;Level &lt;/b&gt;sorcerer/wizard 1, magus 1&lt;/h5&gt;&lt;/div&gt;&lt;hr/&gt;&lt;div&gt;&lt;h5&gt;&lt;b&gt;CASTING&lt;/b&gt;&lt;/h5&gt;&lt;/div&gt;&lt;hr/&gt;&lt;div&gt;&lt;h5&gt;&lt;b&gt;Casting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ft./level)&lt;/h5&gt;&lt;h5&gt;&lt;b&gt;Targets &lt;/b&gt;up to five creatures, no two of which can be more than 15 ft. apart&lt;/h5&gt;&lt;h5&gt;&lt;b&gt;Duration &lt;/b&gt;instantaneous&lt;/h5&gt;&lt;h5&gt;&lt;b&gt;Saving Throw &lt;/b&gt;none; &lt;b&gt;Spell Resistance &lt;/b&gt;yes&lt;/h5&gt;&lt;/div&gt;&lt;hr/&gt;&lt;div&gt;&lt;h5&gt;&lt;b&gt;DESCRIPTION&lt;/b&gt;&lt;/h5&gt;&lt;/div&gt;&lt;hr/&gt;&lt;div&gt;&lt;h4&gt;&lt;p&gt;A missile of magical energy darts forth from your fingertip and strikes its target, dealing 1d4+1 points of force damage.&lt;/p&gt;&lt;p&gt;The missile strikes unerringly, even if the target is in melee combat, so long as it has less than total cover or total concealment.&lt;/p&gt;&lt;p&gt;Specific parts of a creature can't be singled out. Objects are not damaged by the spell.&lt;/p&gt;&lt;p&gt;For every two caster levels beyond 1st, you gain an additional missile-two at 3rd level, three at 5th, four at 7th, and the maximum of five missiles at 9th level or higher. If you shoot multiple missiles, you can have them strike a single creature or several creatures.&lt;/p&gt;&lt;p&gt;A single missile can strike only one creature. You must designate targets before you check for spell resistance or roll damage.&lt;/p&gt;&lt;/h4&gt;&lt;h5&gt;&lt;b&gt;Mythic: &lt;/b&gt;The damage dealt by each missile increases to 2d4+1. The missiles bypass the shield spell and similar effects that block the non-mythic version of this spell.&lt;/h5&gt;&lt;h5&gt;&lt;b&gt;Augmented (4th)&lt;/b&gt;: If you expend two uses of mythic power, the spell creates double the normal number of missiles (affecting up to 10 creatures), its range increases to line of sight, and it bypasses the targets' spell resistance and spell immunity.&lt;/h5&gt;&lt;/div&gt;</t>
  </si>
  <si>
    <t> 1d4+1 damage; +1 missile per two levels above 1st (max 5).</t>
  </si>
  <si>
    <t>The damage dealt by each missile increases to 2d4+1. The missiles bypass the shield spell and similar effects that block the non-mythic version of this spell.</t>
  </si>
  <si>
    <t>Augmented (4th): If you expend two uses of mythic power, the spell creates double the normal number of missiles (affecting up to 10 creatures), its range increases to line of sight, and it bypasses the targets' spell resistance and spell immunity.</t>
  </si>
  <si>
    <t>Magic Mouth</t>
  </si>
  <si>
    <t>bard 1, sorcerer/wizard 2, summoner 1</t>
  </si>
  <si>
    <t>V, S, M (a small bit of honeycomb and jade dust worth 10 gp)</t>
  </si>
  <si>
    <t>This spell imbues the chosen object or creature with an enchanted mouth that suddenly appears and speaks its message the next time a specified event occurs. The message, which must be 25 or fewer words long, can be in any language known by you and can be delivered over a period of 10 minutes. The mouth cannot utter verbal components, use command words, or activate magical effects. It does, however, move according to the words articulated; if it were placed upon a statue, the mouth of the statue would move and appear to speak. Magic mouth can also be placed upon a tree, rock, or any other object or creature. The spell functions when specific conditions are fulfilled according to your command as set in the spell. Commands can be as general or as detailed as desired, although only visual and audible triggers can be used. Triggers react to what appears to be the case. Disguises and illusions can fool them. Normal darkness does not defeat a visual trigger, but magical darkness or invisibility does. Silent movement or magical silence defeats audible triggers. Audible triggers can be keyed to general types of noises or to a specific noise or spoken word. Actions can serve as triggers if they are visible or audible. A magic mouth cannot distinguish alignment, level, Hit Dice, or class except by external garb. The range limit of a trigger is 15 feet per caster level, so a 6thlevel caster can command a magic mouth to respond to triggers as far as 90 feet away. Regardless of range, the mouth can respond only to visible or audible triggers and actions in line of sight or within hearing distance. Magic mouth can be made permanent with a permanency spell.</t>
  </si>
  <si>
    <t>&lt;p&gt;This spell imbues the chosen object or creature with an enchanted mouth that suddenly appears and speaks its message the next time a specified event occurs. The message, which must be 25 or fewer words long, can be in any language known by you and can be delivered over a period of 10 minutes. The mouth cannot utter verbal components, use command words, or activate magical effects. It does, however, move according to the words articulated; if it were placed upon a statue, the mouth of the statue would move and appear to speak. &lt;i&gt;Magic mouth&lt;/i&gt; can also be placed upon a tree, rock, or any other object or creature.&lt;/p&gt;&lt;p&gt;The spell functions when specific conditions are fulfilled according to your command as set in the spell. Commands can be as general or as detailed as desired, although only visual and audible triggers can be used. Triggers react to what appears to be the case.&lt;/p&gt;&lt;p&gt;Disguises and illusions can fool them. Normal &lt;i&gt;darkness&lt;/i&gt; does not defeat a visual trigger, but magical &lt;i&gt;darkness&lt;/i&gt; or &lt;i&gt;invisibility&lt;/i&gt; does.&lt;/p&gt;&lt;p&gt;Silent movement or magical &lt;i&gt;silence&lt;/i&gt; defeats audible triggers. Audible triggers can be keyed to general types of noises or to a specific noise or spoken word. Actions can serve as triggers if they are visible or audible. A &lt;i&gt;magic mouth&lt;/i&gt; cannot distinguish alignment, level, Hit Dice, or class except by external garb.&lt;/p&gt;&lt;p&gt;The range limit of a trigger is 15 feet per caster level, so a 6thlevel caster can command a &lt;i&gt;magic mouth&lt;/i&gt; to respond to triggers as far as 90 feet away. Regardless of range, the mouth can respond only to visible or audible triggers and actions in line of sight or within hearing distance.&lt;/p&gt;&lt;p&gt;&lt;i&gt;Magic mouth&lt;/i&gt; can be made permanent with a &lt;i&gt;permanency&lt;/i&gt; spell.&lt;/p&gt;</t>
  </si>
  <si>
    <t>&lt;link rel="stylesheet"href="PF.css"&gt;&lt;div class="heading"&gt;&lt;p class="alignleft"&gt;Magic Mouth&lt;/p&gt;&lt;div style="clear: both;"&gt;&lt;/div&gt;&lt;/div&gt;&lt;div&gt;&lt;h5&gt;&lt;b&gt;School &lt;/b&gt;illusion (glamer); &lt;b&gt;Level &lt;/b&gt;bard 1, sorcerer/wizard 2, summoner 1&lt;/h5&gt;&lt;/div&gt;&lt;hr/&gt;&lt;div&gt;&lt;h5&gt;&lt;b&gt;CASTING&lt;/b&gt;&lt;/h5&gt;&lt;/div&gt;&lt;hr/&gt;&lt;div&gt;&lt;h5&gt;&lt;b&gt;Casting Time &lt;/b&gt;1 standard action&lt;/h5&gt;&lt;h5&gt;&lt;b&gt;Components &lt;/b&gt;V, S, M (a small bit of honeycomb and jade dust worth 10 gp)&lt;/h5&gt;&lt;/div&gt;&lt;hr/&gt;&lt;div&gt;&lt;h5&gt;&lt;b&gt;EFFECT&lt;/b&gt;&lt;/h5&gt;&lt;/div&gt;&lt;hr/&gt;&lt;div&gt;&lt;h5&gt;&lt;b&gt;Range &lt;/b&gt;close (25 ft. + 5 ft./2 levels)&lt;/h5&gt;&lt;h5&gt;&lt;b&gt;Targets &lt;/b&gt;one creature or object&lt;/h5&gt;&lt;h5&gt;&lt;b&gt;Duration &lt;/b&gt;permanent until discharged&lt;/h5&gt;&lt;h5&gt;&lt;b&gt;Saving Throw &lt;/b&gt;Will negates (object); &lt;b&gt;Spell Resistance &lt;/b&gt;yes (object)&lt;/h5&gt;&lt;/div&gt;&lt;hr/&gt;&lt;div&gt;&lt;h5&gt;&lt;b&gt;DESCRIPTION&lt;/b&gt;&lt;/h5&gt;&lt;/div&gt;&lt;hr/&gt;&lt;div&gt;&lt;h4&gt;&lt;p&gt;This spell imbues the chosen object or creature with an enchanted mouth that suddenly appears and speaks its message the next time a specified event occurs. The message, which must be 25 or fewer words long, can be in any language known by you and can be delivered over a period of 10 minutes. The mouth cannot utter verbal components, use command words, or activate magical effects. It does, however, move according to the words articulated; if it were placed upon a statue, the mouth of the statue would move and appear to speak. &lt;i&gt;Magic mouth&lt;/i&gt; can also be placed upon a tree, rock, or any other object or creature.&lt;/p&gt;&lt;p&gt;The spell functions when specific conditions are fulfilled according to your command as set in the spell. Commands can be as general or as detailed as desired, although only visual and audible triggers can be used. Triggers react to what appears to be the case.&lt;/p&gt;&lt;p&gt;Disguises and illusions can fool them. Normal &lt;i&gt;darkness&lt;/i&gt; does not defeat a visual trigger, but magical &lt;i&gt;darkness&lt;/i&gt; or &lt;i&gt;invisibility&lt;/i&gt; does.&lt;/p&gt;&lt;p&gt;Silent movement or magical &lt;i&gt;silence&lt;/i&gt; defeats audible triggers. Audible triggers can be keyed to general types of noises or to a specific noise or spoken word. Actions can serve as triggers if they are visible or audible. A &lt;i&gt;magic mouth&lt;/i&gt; cannot distinguish alignment, level, Hit Dice, or class except by external garb.&lt;/p&gt;&lt;p&gt;The range limit of a trigger is 15 feet per caster level, so a 6thlevel caster can command a &lt;i&gt;magic mouth&lt;/i&gt; to respond to triggers as far as 90 feet away. Regardless of range, the mouth can respond only to visible or audible triggers and actions in line of sight or within hearing distance.&lt;/p&gt;&lt;p&gt;&lt;i&gt;Magic mouth&lt;/i&gt; can be made permanent with a &lt;i&gt;permanency&lt;/i&gt; spell.&lt;/p&gt;&lt;/h4&gt;&lt;/div&gt;</t>
  </si>
  <si>
    <t>Objects speaks once when triggered.</t>
  </si>
  <si>
    <t>Magic Stone</t>
  </si>
  <si>
    <t>cleric/oracle 1, druid 1</t>
  </si>
  <si>
    <t>up to three pebbles touched</t>
  </si>
  <si>
    <t>30 minutes or until discharged</t>
  </si>
  <si>
    <t>You transmute as many as three pebbles, which can be no larger than sling bullets, so that they strike with great force when thrown or slung. If hurled, they have a range increment of 20 feet. If slung, treat them as sling bullets (range increment 50 feet). The spell gives them a +1 enhancement bonus on attack and damage rolls. The user of the stones makes a normal ranged attack. Each stone that hits deals 1d6+1 points of damage (including the spell's enhancement bonus), or 2d6+2 points against undead.</t>
  </si>
  <si>
    <t>&lt;p&gt;You transmute as many as three pebbles, which can be no larger than sling bullets, so that they strike with great force when thrown or slung. If hurled, they have a range increment of 20 feet. If slung, treat them as sling bullets (range increment 50 feet). The spell gives them a +1 enhancement bonus on attack and damage rolls. The user of the stones makes a normal ranged attack. Each stone that hits deals 1d6+1 points of damage (including the spell's enhancement bonus), or 2d6+2 points against undead.&lt;/p&gt;</t>
  </si>
  <si>
    <t>&lt;link rel="stylesheet"href="PF.css"&gt;&lt;div class="heading"&gt;&lt;p class="alignleft"&gt;Magic Stone&lt;/p&gt;&lt;div style="clear: both;"&gt;&lt;/div&gt;&lt;/div&gt;&lt;div&gt;&lt;h5&gt;&lt;b&gt;School &lt;/b&gt;transmutation; &lt;b&gt;Level &lt;/b&gt;cleric/oracle 1, druid 1&lt;/h5&gt;&lt;/div&gt;&lt;hr/&gt;&lt;div&gt;&lt;h5&gt;&lt;b&gt;CASTING&lt;/b&gt;&lt;/h5&gt;&lt;/div&gt;&lt;hr/&gt;&lt;div&gt;&lt;h5&gt;&lt;b&gt;Casting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&lt;/b&gt;up to three pebbles touched&lt;/h5&gt;&lt;h5&gt;&lt;b&gt;Duration &lt;/b&gt;30 minutes or until discharged&lt;/h5&gt;&lt;h5&gt;&lt;b&gt;Saving Throw &lt;/b&gt;Will negates (harmless, object); &lt;b&gt;Spell Resistance &lt;/b&gt;yes (harmless, object)&lt;/h5&gt;&lt;/div&gt;&lt;hr/&gt;&lt;div&gt;&lt;h5&gt;&lt;b&gt;DESCRIPTION&lt;/b&gt;&lt;/h5&gt;&lt;/div&gt;&lt;hr/&gt;&lt;div&gt;&lt;h4&gt;&lt;p&gt;You transmute as many as three pebbles, which can be no larger than sling bullets, so that they strike with great force when thrown or slung. If hurled, they have a range increment of 20 feet. If slung, treat them as sling bullets (range increment 50 feet). The spell gives them a +1 enhancement bonus on attack and damage rolls. The user of the stones makes a normal ranged attack. Each stone that hits deals 1d6+1 points of damage (including the spell's enhancement bonus), or 2d6+2 points against undead.&lt;/p&gt;&lt;/h4&gt;&lt;/div&gt;</t>
  </si>
  <si>
    <t>Earth</t>
  </si>
  <si>
    <t>Three stones gain +1 on attack, deal 1d6 +1 damage.</t>
  </si>
  <si>
    <t>Magic Vestment</t>
  </si>
  <si>
    <t>cleric/oracle 3, inquisitor 3</t>
  </si>
  <si>
    <t>armor or shield touched</t>
  </si>
  <si>
    <t>You imbue a suit of armor or a shield with an enhancement bonus of +1 per four caster levels (maximum +5 at 20th level). An outfit of regular clothing counts as armor that grants no AC bonus for the purpose of this spell.</t>
  </si>
  <si>
    <t>&lt;p&gt;You imbue a suit of armor or a shield with an enhancement bonus of +1 per four caster levels (maximum +5 at 20th level).&lt;/p&gt;&lt;p&gt;An outfit of regular clothing counts as armor that grants no AC bonus for the purpose of this spell.&lt;/p&gt;</t>
  </si>
  <si>
    <t>&lt;link rel="stylesheet"href="PF.css"&gt;&lt;div class="heading"&gt;&lt;p class="alignleft"&gt;Magic Vestment&lt;/p&gt;&lt;div style="clear: both;"&gt;&lt;/div&gt;&lt;/div&gt;&lt;div&gt;&lt;h5&gt;&lt;b&gt;School &lt;/b&gt;transmutation; &lt;b&gt;Level &lt;/b&gt;cleric/oracle 3, inquisitor 3&lt;/h5&gt;&lt;/div&gt;&lt;hr/&gt;&lt;div&gt;&lt;h5&gt;&lt;b&gt;CASTING&lt;/b&gt;&lt;/h5&gt;&lt;/div&gt;&lt;hr/&gt;&lt;div&gt;&lt;h5&gt;&lt;b&gt;Casting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&lt;/b&gt;armor or shield touched&lt;/h5&gt;&lt;h5&gt;&lt;b&gt;Duration &lt;/b&gt;1 hour/level&lt;/h5&gt;&lt;h5&gt;&lt;b&gt;Saving Throw &lt;/b&gt;Will negates (harmless, object); &lt;b&gt;Spell Resistance &lt;/b&gt;yes (harmless, object)&lt;/h5&gt;&lt;/div&gt;&lt;hr/&gt;&lt;div&gt;&lt;h5&gt;&lt;b&gt;DESCRIPTION&lt;/b&gt;&lt;/h5&gt;&lt;/div&gt;&lt;hr/&gt;&lt;div&gt;&lt;h4&gt;&lt;p&gt;You imbue a suit of armor or a shield with an enhancement bonus of +1 per four caster levels (maximum +5 at 20th level).&lt;/p&gt;&lt;p&gt;An outfit of regular clothing counts as armor that grants no AC bonus for the purpose of this spell.&lt;/p&gt;&lt;/h4&gt;&lt;h5&gt;&lt;b&gt;Mythic: &lt;/b&gt;You can add one armor special ability to the target if it's armor or one shield special ability if it's a shield. The special ability must have a base price modifier no greater than a +1 enhancement bonus or 4,000 gp.&lt;/h5&gt;&lt;h5&gt;&lt;b&gt;Augmented (3rd)&lt;/b&gt;: If you expend two uses of mythic power, you can add any number of special abilities with a total base price modifier no greater than a +2 enhancement bonus or 15,000 gp.&lt;/h5&gt;&lt;/div&gt;</t>
  </si>
  <si>
    <t>Nobility, Strength, War</t>
  </si>
  <si>
    <t> Armor or shield gains +1 enhancement per four levels.</t>
  </si>
  <si>
    <t>Devotion, Wisdom</t>
  </si>
  <si>
    <t>You can add one armor special ability to the target if it's armor or one shield special ability if it's a shield. The special ability must have a base price modifier no greater than a +1 enhancement bonus or 4,000 gp.</t>
  </si>
  <si>
    <t>Augmented (3rd): If you expend two uses of mythic power, you can add any number of special abilities with a total base price modifier no greater than a +2 enhancement bonus or 15,000 gp.</t>
  </si>
  <si>
    <t>Magic Weapon</t>
  </si>
  <si>
    <t>cleric 1/oracle 1, paladin 1, sorcerer/wizard 1, inquisitor 1, antipaladin 1, magus 1</t>
  </si>
  <si>
    <t>Magic weapon gives a weapon a +1 enhancement bonus on attack and damage rolls. An enhancement bonus does not stack with a masterwork weapon's +1 bonus on attack rolls. You can't cast this spell on a natural weapon, such as an unarmed strike (instead, see magic fang). A monk's unarmed strike is considered a weapon, and thus it can be enhanced by this spell.</t>
  </si>
  <si>
    <t>&lt;p&gt;&lt;i&gt;Magic weapon&lt;/i&gt; gives a weapon a +1 enhancement bonus on attack and damage rolls. An enhancement bonus does not stack with a masterwork weapon's +1 bonus on attack rolls.&lt;/p&gt;&lt;p&gt;You can't cast this spell on a natural weapon, such as an unarmed strike (instead, see magic fang). A monk's unarmed strike is considered a weapon, and thus it can be enhanced by this spell.&lt;/p&gt;</t>
  </si>
  <si>
    <t>&lt;link rel="stylesheet"href="PF.css"&gt;&lt;div class="heading"&gt;&lt;p class="alignleft"&gt;Magic Weapon&lt;/p&gt;&lt;div style="clear: both;"&gt;&lt;/div&gt;&lt;/div&gt;&lt;div&gt;&lt;h5&gt;&lt;b&gt;School &lt;/b&gt;transmutation; &lt;b&gt;Level &lt;/b&gt;cleric 1/oracle 1, paladin 1, sorcerer/wizard 1, inquisitor 1, antipaladin 1, magus 1&lt;/h5&gt;&lt;/div&gt;&lt;hr/&gt;&lt;div&gt;&lt;h5&gt;&lt;b&gt;CASTING&lt;/b&gt;&lt;/h5&gt;&lt;/div&gt;&lt;hr/&gt;&lt;div&gt;&lt;h5&gt;&lt;b&gt;Casting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&lt;/b&gt;weapon touched&lt;/h5&gt;&lt;h5&gt;&lt;b&gt;Duration &lt;/b&gt;1 min./level&lt;/h5&gt;&lt;h5&gt;&lt;b&gt;Saving Throw &lt;/b&gt;Will negates (harmless, object); &lt;b&gt;Spell Resistance &lt;/b&gt;yes (harmless, object)&lt;/h5&gt;&lt;/div&gt;&lt;hr/&gt;&lt;div&gt;&lt;h5&gt;&lt;b&gt;DESCRIPTION&lt;/b&gt;&lt;/h5&gt;&lt;/div&gt;&lt;hr/&gt;&lt;div&gt;&lt;h4&gt;&lt;p&gt;&lt;i&gt;Magic weapon&lt;/i&gt; gives a weapon a +1 enhancement bonus on attack and damage rolls. An enhancement bonus does not stack with a masterwork weapon's +1 bonus on attack rolls.&lt;/p&gt;&lt;p&gt;You can't cast this spell on a natural weapon, such as an unarmed strike (instead, see magic fang). A monk's unarmed strike is considered a weapon, and thus it can be enhanced by this spell.&lt;/p&gt;&lt;/h4&gt;&lt;/div&gt;</t>
  </si>
  <si>
    <t>Weapon gains +1 bonus.</t>
  </si>
  <si>
    <t>Magic Weapon, Greater</t>
  </si>
  <si>
    <t>cleric/oracle 4, paladin 3, sorcerer/wizard 3, inquisitor 3, antipaladin 3, magus 3</t>
  </si>
  <si>
    <t>V, S, M/DF (powdered lime and carbon)</t>
  </si>
  <si>
    <t>one weapon or 50 projectiles (all of which must be together at the time of casting)</t>
  </si>
  <si>
    <t>This spell functions like magic weapon, except that it gives a weapon an enhancement bonus on attack and damage rolls of +1 per four caster levels (maximum +5). This bonus does not allow a weapon to bypass damage reduction aside from magic. Alternatively, you can affect as many as 50 arrows, bolts, or bullets. The projectiles must be of the same kind, and they have to be together (in the same quiver or other container). Projectiles, but not thrown weapons, lose their transmutation after they are used. Treat shuriken as projectiles, rather than as thrown weapons, for the purpose of this spell.</t>
  </si>
  <si>
    <t>&lt;p&gt;This spell functions like &lt;i&gt;magic weapon&lt;/i&gt;, except that it gives a weapon an enhancement bonus on attack and damage rolls of +1 per four caster levels (maximum +5). This bonus does not allow a weapon to bypass damage reduction aside from magic.&lt;/p&gt;&lt;p&gt;Alternatively, you can affect as many as 50 arrows, bolts, or bullets.&lt;/p&gt;&lt;p&gt;The projectiles must be of the same kind, and they have to be together (in the same quiver or other container). Projectiles, but not thrown weapons, lose their transmutation after they are used.&lt;/p&gt;&lt;p&gt;Treat shuriken as projectiles, rather than as thrown weapons, for the purpose of this spell.&lt;/p&gt;</t>
  </si>
  <si>
    <t>&lt;link rel="stylesheet"href="PF.css"&gt;&lt;div class="heading"&gt;&lt;p class="alignleft"&gt;Magic Weapon, Greater&lt;/p&gt;&lt;div style="clear: both;"&gt;&lt;/div&gt;&lt;/div&gt;&lt;div&gt;&lt;h5&gt;&lt;b&gt;School &lt;/b&gt;transmutation; &lt;b&gt;Level &lt;/b&gt;cleric/oracle 4, paladin 3, sorcerer/wizard 3, inquisitor 3, antipaladin 3, magus 3&lt;/h5&gt;&lt;/div&gt;&lt;hr/&gt;&lt;div&gt;&lt;h5&gt;&lt;b&gt;CASTING&lt;/b&gt;&lt;/h5&gt;&lt;/div&gt;&lt;hr/&gt;&lt;div&gt;&lt;h5&gt;&lt;b&gt;Casting Time &lt;/b&gt;1 standard action&lt;/h5&gt;&lt;h5&gt;&lt;b&gt;Components &lt;/b&gt;V, S, M/DF (powdered lime and carbon)&lt;/h5&gt;&lt;/div&gt;&lt;hr/&gt;&lt;div&gt;&lt;h5&gt;&lt;b&gt;EFFECT&lt;/b&gt;&lt;/h5&gt;&lt;/div&gt;&lt;hr/&gt;&lt;div&gt;&lt;h5&gt;&lt;b&gt;Range &lt;/b&gt;close (25 ft. + 5 ft./2 levels)&lt;/h5&gt;&lt;h5&gt;&lt;b&gt;Targets &lt;/b&gt;one weapon or 50 projectiles (all of which must be together at the time of casting)&lt;/h5&gt;&lt;h5&gt;&lt;b&gt;Duration &lt;/b&gt;1 hour/level&lt;/h5&gt;&lt;h5&gt;&lt;b&gt;Saving Throw &lt;/b&gt;Will negates (harmless, object); &lt;b&gt;Spell Resistance &lt;/b&gt;yes (harmless, object)&lt;/h5&gt;&lt;/div&gt;&lt;hr/&gt;&lt;div&gt;&lt;h5&gt;&lt;b&gt;DESCRIPTION&lt;/b&gt;&lt;/h5&gt;&lt;/div&gt;&lt;hr/&gt;&lt;div&gt;&lt;h4&gt;&lt;p&gt;This spell functions like &lt;i&gt;magic weapon&lt;/i&gt;, except that it gives a weapon an enhancement bonus on attack and damage rolls of +1 per four caster levels (maximum +5). This bonus does not allow a weapon to bypass damage reduction aside from magic.&lt;/p&gt;&lt;p&gt;Alternatively, you can affect as many as 50 arrows, bolts, or bullets.&lt;/p&gt;&lt;p&gt;The projectiles must be of the same kind, and they have to be together (in the same quiver or other container). Projectiles, but not thrown weapons, lose their transmutation after they are used.&lt;/p&gt;&lt;p&gt;Treat shuriken as projectiles, rather than as thrown weapons, for the purpose of this spell.&lt;/p&gt;&lt;/h4&gt;&lt;h5&gt;&lt;b&gt;Mythic: &lt;/b&gt;You can add one of the following weapon special abilities to the weapon: flaming, frost, keen, merciful, shock, or thundering.&lt;/h5&gt;&lt;h5&gt;&lt;b&gt;Augmented (5th)&lt;/b&gt;: If you expend two uses of mythic power, you can reduce the granted enhancement bonus by 1 to add two of the above abilities or one of the following abilities: anarchic, axiomatic, flaming burst, holy, icy burst, shocking burst, or unholy.&lt;/h5&gt;&lt;/div&gt;</t>
  </si>
  <si>
    <t>Weapon gains +1 bonus/four levels (max +5).</t>
  </si>
  <si>
    <t>Shaitan</t>
  </si>
  <si>
    <t>You can add one of the following weapon special abilities to the weapon: flaming, frost, keen, merciful, shock, or thundering.</t>
  </si>
  <si>
    <t>Augmented (5th): If you expend two uses of mythic power, you can reduce the granted enhancement bonus by 1 to add two of the above abilities or one of the following abilities: anarchic, axiomatic, flaming burst, holy, icy burst, shocking burst, or unholy.</t>
  </si>
  <si>
    <t>Minor Creation</t>
  </si>
  <si>
    <t>sorcerer/wizard 4, summoner 3, witch 4</t>
  </si>
  <si>
    <t>V, S, M (a tiny piece of matter of the same sort of item you plan to create with minor creation)</t>
  </si>
  <si>
    <t>unattended, nonmagical object of nonliving plant matter, up to 1 cu. ft./level</t>
  </si>
  <si>
    <t>You create a nonmagical, unattended object of nonliving vegetable matter. The volume of the item created cannot exceed 1 cubic foot per caster level. You must succeed on an appropriate Craft skill check to make a complex item. Attempting to use any created object as a material component causes the spell to fail.</t>
  </si>
  <si>
    <t>&lt;p&gt;You create a nonmagical, unattended object of nonliving vegetable matter. The volume of the item created cannot exceed 1 cubic foot per caster level. You must succeed on an appropriate Craft skill check to make a complex item.&lt;/p&gt;&lt;p&gt;Attempting to use any created object as a material component causes the spell to fail.&lt;/p&gt;</t>
  </si>
  <si>
    <t>&lt;link rel="stylesheet"href="PF.css"&gt;&lt;div class="heading"&gt;&lt;p class="alignleft"&gt;Minor Creation&lt;/p&gt;&lt;div style="clear: both;"&gt;&lt;/div&gt;&lt;/div&gt;&lt;div&gt;&lt;h5&gt;&lt;b&gt;School &lt;/b&gt;conjuration (creation); &lt;b&gt;Level &lt;/b&gt;sorcerer/wizard 4, summoner 3, witch 4&lt;/h5&gt;&lt;/div&gt;&lt;hr/&gt;&lt;div&gt;&lt;h5&gt;&lt;b&gt;CASTING&lt;/b&gt;&lt;/h5&gt;&lt;/div&gt;&lt;hr/&gt;&lt;div&gt;&lt;h5&gt;&lt;b&gt;Casting Time &lt;/b&gt;1 minute&lt;/h5&gt;&lt;h5&gt;&lt;b&gt;Components &lt;/b&gt;V, S, M (a tiny piece of matter of the same sort of item you plan to create with minor creation)&lt;/h5&gt;&lt;/div&gt;&lt;hr/&gt;&lt;div&gt;&lt;h5&gt;&lt;b&gt;EFFECT&lt;/b&gt;&lt;/h5&gt;&lt;/div&gt;&lt;hr/&gt;&lt;div&gt;&lt;h5&gt;&lt;b&gt;Range &lt;/b&gt;0 ft.&lt;/h5&gt;&lt;h5&gt;&lt;b&gt;Effect &lt;/b&gt;unattended, nonmagical object of nonliving plant matter, up to 1 cu. ft./level&lt;/h5&gt;&lt;h5&gt;&lt;b&gt;Duration &lt;/b&gt;1 hour/level (D)&lt;/h5&gt;&lt;h5&gt;&lt;b&gt;Saving Throw &lt;/b&gt;none; &lt;b&gt;Spell Resistance &lt;/b&gt;no&lt;/h5&gt;&lt;/div&gt;&lt;hr/&gt;&lt;div&gt;&lt;h5&gt;&lt;b&gt;DESCRIPTION&lt;/b&gt;&lt;/h5&gt;&lt;/div&gt;&lt;hr/&gt;&lt;div&gt;&lt;h4&gt;&lt;p&gt;You create a nonmagical, unattended object of nonliving vegetable matter. The volume of the item created cannot exceed 1 cubic foot per caster level. You must succeed on an appropriate Craft skill check to make a complex item.&lt;/p&gt;&lt;p&gt;Attempting to use any created object as a material component causes the spell to fail.&lt;/p&gt;&lt;/h4&gt;&lt;/div&gt;</t>
  </si>
  <si>
    <t> Creates one cloth or wood object.</t>
  </si>
  <si>
    <t>Djinni</t>
  </si>
  <si>
    <t>Major Creation</t>
  </si>
  <si>
    <t>sorcerer/wizard 5, summoner 4, witch 5</t>
  </si>
  <si>
    <t>This spell functions like minor creation, except that you can also create an object of mineral nature: stone, crystal, metal, or the like. The duration of the created item varies with its relative hardness and rarity, as indicated on the following table. Hardness and Rarity Examples Duration Vegetable matter 2 hr./level Stone, crystal, base metals 1 hr./level Precious metals 20 min./level Gems 10 min./level Rare metal* 1 round/level * Includes adamantine, alchemical silver, and mithral. You can't use major creation to create a cold iron item.</t>
  </si>
  <si>
    <t>&lt;p&gt;This spell functions like &lt;i&gt;minor creation,&lt;/i&gt; except that you can also create an object of mineral nature: stone, crystal, metal, or the like. The duration of the created item varies with its relative hardness and rarity, as indicated on the following table.&lt;/p&gt;&lt;p&gt; &lt;table&gt;&lt;tr&gt;&lt;th&gt;Hardness and Rarity Examples&lt;/th&gt;&lt;th&gt;Duration&lt;/th&gt;&lt;/tr&gt;&lt;tr&gt;&lt;td&gt;Vegetable matter&lt;/td&gt;&lt;td&gt;2 hr./level&lt;/td&gt;&lt;/tr&gt;&lt;tr&gt;&lt;td&gt;Stone, crystal, base metals&lt;/td&gt;&lt;td&gt;1 hr./level&lt;/td&gt;&lt;/tr&gt;&lt;tr&gt;&lt;td&gt;Precious metals&lt;/td&gt;&lt;td&gt;20 min./level&lt;/td&gt;&lt;/tr&gt;&lt;tr&gt;&lt;td&gt;Gems&lt;/td&gt;&lt;td&gt;10 min./level&lt;/td&gt;&lt;/tr&gt;&lt;tr&gt;&lt;td&gt;Rare metal*&lt;/td&gt;&lt;td&gt;1 round/level&lt;/td&gt;&lt;/tr&gt;&lt;tr&gt;&lt;td colspan="2"&gt;*Includes adamantine, alchemical silver, and mithral. You can't use major creation to create a cold iron item.&lt;/td&gt;&lt;/tr&gt;&lt;/table&gt; &lt;/p&gt;</t>
  </si>
  <si>
    <t>&lt;link rel="stylesheet"href="PF.css"&gt;&lt;div class="heading"&gt;&lt;p class="alignleft"&gt;Major Creation&lt;/p&gt;&lt;div style="clear: both;"&gt;&lt;/div&gt;&lt;/div&gt;&lt;div&gt;&lt;h5&gt;&lt;b&gt;School &lt;/b&gt;conjuration (creation); &lt;b&gt;Level &lt;/b&gt;sorcerer/wizard 5, summoner 4, witch 5&lt;/h5&gt;&lt;/div&gt;&lt;hr/&gt;&lt;div&gt;&lt;h5&gt;&lt;b&gt;CASTING&lt;/b&gt;&lt;/h5&gt;&lt;/div&gt;&lt;hr/&gt;&lt;div&gt;&lt;h5&gt;&lt;b&gt;Casting Time &lt;/b&gt;10 minutes&lt;/h5&gt;&lt;h5&gt;&lt;b&gt;Components &lt;/b&gt;V, S, M (a tiny piece of matter of the same sort of item you plan to create with minor creation)&lt;/h5&gt;&lt;/div&gt;&lt;hr/&gt;&lt;div&gt;&lt;h5&gt;&lt;b&gt;EFFECT&lt;/b&gt;&lt;/h5&gt;&lt;/div&gt;&lt;hr/&gt;&lt;div&gt;&lt;h5&gt;&lt;b&gt;Range &lt;/b&gt;close (25 ft. + 5 ft./2 levels)&lt;/h5&gt;&lt;h5&gt;&lt;b&gt;Effect &lt;/b&gt;unattended, nonmagical object of nonliving plant matter, up to 1 cu. ft./level&lt;/h5&gt;&lt;h5&gt;&lt;b&gt;Duration &lt;/b&gt;see text&lt;/h5&gt;&lt;h5&gt;&lt;b&gt;Saving Throw &lt;/b&gt;none; &lt;b&gt;Spell Resistance &lt;/b&gt;no&lt;/h5&gt;&lt;/div&gt;&lt;hr/&gt;&lt;div&gt;&lt;h5&gt;&lt;b&gt;DESCRIPTION&lt;/b&gt;&lt;/h5&gt;&lt;/div&gt;&lt;hr/&gt;&lt;div&gt;&lt;h4&gt;&lt;p&gt;This spell functions like &lt;i&gt;minor creation,&lt;/i&gt; except that you can also create an object of mineral nature: stone, crystal, metal, or the like. The duration of the created item varies with its relative hardness and rarity, as indicated on the following table.&lt;/p&gt;&lt;p&gt; &lt;table&gt;&lt;tr&gt;&lt;th&gt;Hardness and Rarity Examples&lt;/th&gt;&lt;th&gt;Duration&lt;/th&gt;&lt;/tr&gt;&lt;tr&gt;&lt;td&gt;Vegetable matter&lt;/td&gt;&lt;td&gt;2 hr./level&lt;/td&gt;&lt;/tr&gt;&lt;tr&gt;&lt;td&gt;Stone, crystal, base metals&lt;/td&gt;&lt;td&gt;1 hr./level&lt;/td&gt;&lt;/tr&gt;&lt;tr&gt;&lt;td&gt;Precious metals&lt;/td&gt;&lt;td&gt;20 min./level&lt;/td&gt;&lt;/tr&gt;&lt;tr&gt;&lt;td&gt;Gems&lt;/td&gt;&lt;td&gt;10 min./level&lt;/td&gt;&lt;/tr&gt;&lt;tr&gt;&lt;td&gt;Rare metal*&lt;/td&gt;&lt;td&gt;1 round/level&lt;/td&gt;&lt;/tr&gt;&lt;tr&gt;&lt;td colspan="2"&gt;*Includes adamantine, alchemical silver, and mithral. You can't use major creation to create a cold iron item.&lt;/td&gt;&lt;/tr&gt;&lt;/table&gt; &lt;/p&gt;&lt;/h4&gt;&lt;/div&gt;</t>
  </si>
  <si>
    <t> As minor creation, plus stone and metal.</t>
  </si>
  <si>
    <t>Major Image</t>
  </si>
  <si>
    <t>V, S, F (a bit of fleece)</t>
  </si>
  <si>
    <t>visual figment that cannot extend beyond four 10-ft. cubes + one 10-ft. cube/level (S)</t>
  </si>
  <si>
    <t>Concentration + 3 rounds</t>
  </si>
  <si>
    <t>This spell functions like silent image, except that sound, smell, and thermal illusions are included in the spell effect. While concentrating, you can move the image within the range. The image disappears when struck by an opponent unless you cause the illusion to react appropriately.</t>
  </si>
  <si>
    <t>&lt;p&gt;This spell functions like &lt;i&gt;silent image,&lt;/i&gt; except that sound, smell, and thermal illusions are included in the spell effect. While concentrating, you can move the image within the range.&lt;/p&gt;&lt;p&gt;The image disappears when struck by an opponent unless you cause the illusion to react appropriately.&lt;/p&gt;</t>
  </si>
  <si>
    <t>&lt;link rel="stylesheet"href="PF.css"&gt;&lt;div class="heading"&gt;&lt;p class="alignleft"&gt;Major Image&lt;/p&gt;&lt;div style="clear: both;"&gt;&lt;/div&gt;&lt;/div&gt;&lt;div&gt;&lt;h5&gt;&lt;b&gt;School &lt;/b&gt;illusion (figment); &lt;b&gt;Level &lt;/b&gt;bard 3, sorcerer/wizard 3, magus 3, witch 3, alchemist 2, witch 2, inquisitor 2, witch 8&lt;/h5&gt;&lt;/div&gt;&lt;hr/&gt;&lt;div&gt;&lt;h5&gt;&lt;b&gt;CASTING&lt;/b&gt;&lt;/h5&gt;&lt;/div&gt;&lt;hr/&gt;&lt;div&gt;&lt;h5&gt;&lt;b&gt;Casting Time &lt;/b&gt;1 standard action&lt;/h5&gt;&lt;h5&gt;&lt;b&gt;Components &lt;/b&gt;V, S, F (a bit of fleece)&lt;/h5&gt;&lt;/div&gt;&lt;hr/&gt;&lt;div&gt;&lt;h5&gt;&lt;b&gt;EFFECT&lt;/b&gt;&lt;/h5&gt;&lt;/div&gt;&lt;hr/&gt;&lt;div&gt;&lt;h5&gt;&lt;b&gt;Range &lt;/b&gt;long (400 ft. + 40 ft./level)&lt;/h5&gt;&lt;h5&gt;&lt;b&gt;Effect &lt;/b&gt;visual figment that cannot extend beyond four 10-ft. cubes + one 10-ft. cube/level (S)&lt;/h5&gt;&lt;h5&gt;&lt;b&gt;Duration &lt;/b&gt;Concentration + 3 rounds&lt;/h5&gt;&lt;h5&gt;&lt;b&gt;Saving Throw &lt;/b&gt;Will disbelief (if interacted with); &lt;b&gt;Spell Resistance &lt;/b&gt;no&lt;/h5&gt;&lt;/div&gt;&lt;hr/&gt;&lt;div&gt;&lt;h5&gt;&lt;b&gt;DESCRIPTION&lt;/b&gt;&lt;/h5&gt;&lt;/div&gt;&lt;hr/&gt;&lt;div&gt;&lt;h4&gt;&lt;p&gt;This spell functions like &lt;i&gt;silent image,&lt;/i&gt; except that sound, smell, and thermal illusions are included in the spell effect. While concentrating, you can move the image within the range.&lt;/p&gt;&lt;p&gt;The image disappears when struck by an opponent unless you cause the illusion to react appropriately.&lt;/p&gt;&lt;/h4&gt;&lt;/div&gt;</t>
  </si>
  <si>
    <t>As silent image, plus sound, smell, and thermal effects.</t>
  </si>
  <si>
    <t>Make Whole</t>
  </si>
  <si>
    <t>cleric/oracle 2, sorcerer/wizard 2</t>
  </si>
  <si>
    <t>one object of up to 10 cu. ft./level or one construct creature of any size</t>
  </si>
  <si>
    <t>This spell functions as mending, except that it repairs 1d6 points of damage per level when cast on an object or construct creature (maximum 5d6). Make whole can fix destroyed magic items (at 0 hit points or less), and restores the magic properties of the item if your caster level is at least twice that of the item. Items with charges (such as wands) and single-use items (such as potions and scrolls) cannot be repaired in this way. When make whole is used on a construct creature, the spell bypasses any immunity to magic as if the spell did not allow spell resistance.</t>
  </si>
  <si>
    <t>&lt;p&gt;This spell functions as &lt;i&gt;mending&lt;/i&gt;, except that it repairs 1d6 points of damage per level when cast on an object or construct creature (maximum 5d6).&lt;/p&gt;&lt;p&gt;&lt;i&gt;Make whole&lt;/i&gt; can fix destroyed magic items (at 0 hit points or less), and restores the magic properties of the item if your caster level is at least twice that of the item. Items with charges (such as wands) and single-use items (such as potions and scrolls) cannot be repaired in this way. When &lt;i&gt;make whole&lt;/i&gt; is used on a construct creature, the spell bypasses any immunity to magic as if the spell did not allow spell resistance.&lt;/p&gt;</t>
  </si>
  <si>
    <t>&lt;link rel="stylesheet"href="PF.css"&gt;&lt;div class="heading"&gt;&lt;p class="alignleft"&gt;Make Whole&lt;/p&gt;&lt;div style="clear: both;"&gt;&lt;/div&gt;&lt;/div&gt;&lt;div&gt;&lt;h5&gt;&lt;b&gt;School &lt;/b&gt;transmutation; &lt;b&gt;Level &lt;/b&gt;cleric/oracle 2, sorcerer/wizard 2&lt;/h5&gt;&lt;/div&gt;&lt;hr/&gt;&lt;div&gt;&lt;h5&gt;&lt;b&gt;CASTING&lt;/b&gt;&lt;/h5&gt;&lt;/div&gt;&lt;hr/&gt;&lt;div&gt;&lt;h5&gt;&lt;b&gt;Casting Time &lt;/b&gt;10 minutes&lt;/h5&gt;&lt;h5&gt;&lt;b&gt;Components &lt;/b&gt;V, S&lt;/h5&gt;&lt;/div&gt;&lt;hr/&gt;&lt;div&gt;&lt;h5&gt;&lt;b&gt;EFFECT&lt;/b&gt;&lt;/h5&gt;&lt;/div&gt;&lt;hr/&gt;&lt;div&gt;&lt;h5&gt;&lt;b&gt;Range &lt;/b&gt;close (25 ft. + 5 ft./2 levels)&lt;/h5&gt;&lt;h5&gt;&lt;b&gt;Targets &lt;/b&gt;one object of up to 10 cu. ft./level or one construct creature of any size&lt;/h5&gt;&lt;h5&gt;&lt;b&gt;Duration &lt;/b&gt;instantaneous&lt;/h5&gt;&lt;h5&gt;&lt;b&gt;Saving Throw &lt;/b&gt;Will negates (harmless, object); &lt;b&gt;Spell Resistance &lt;/b&gt;yes (harmless, object)&lt;/h5&gt;&lt;/div&gt;&lt;hr/&gt;&lt;div&gt;&lt;h5&gt;&lt;b&gt;DESCRIPTION&lt;/b&gt;&lt;/h5&gt;&lt;/div&gt;&lt;hr/&gt;&lt;div&gt;&lt;h4&gt;&lt;p&gt;This spell functions as &lt;i&gt;mending&lt;/i&gt;, except that it repairs 1d6 points of damage per level when cast on an object or construct creature (maximum 5d6).&lt;/p&gt;&lt;p&gt;&lt;i&gt;Make whole&lt;/i&gt; can fix destroyed magic items (at 0 hit points or less), and restores the magic properties of the item if your caster level is at least twice that of the item. Items with charges (such as wands) and single-use items (such as potions and scrolls) cannot be repaired in this way. When &lt;i&gt;make whole&lt;/i&gt; is used on a construct creature, the spell bypasses any immunity to magic as if the spell did not allow spell resistance.&lt;/p&gt;&lt;/h4&gt;&lt;h5&gt;&lt;b&gt;Mythic: &lt;/b&gt;The damage the spell repairs increases to 2d6 points of damage per caster level when cast on a construct creature (maximum 10d6). A construct repaired with this spell gains a +2 enhancement bonus on an ability score of your choice for the next 24 hours. To repair a magic item, your caster level has to equal to only the caster level of the magic item, not double the caster level.&lt;/h5&gt;&lt;/div&gt;</t>
  </si>
  <si>
    <t>Repairs an object.</t>
  </si>
  <si>
    <t>The damage the spell repairs increases to 2d6 points of damage per caster level when cast on a construct creature (maximum 10d6). A construct repaired with this spell gains a +2 enhancement bonus on an ability score of your choice for the next 24 hours. To repair a magic item, your caster level has to equal to only the caster level of the magic item, not double the caster level.</t>
  </si>
  <si>
    <t>Mark of Justice</t>
  </si>
  <si>
    <t>cleric 5/oracle 5, paladin 4, witch 5, inquisitor 5</t>
  </si>
  <si>
    <t>permanent; see text</t>
  </si>
  <si>
    <t>You mark a subject and state some behavior on the part of the subject that will activate the mark. When activated, the mark curses the subject. Typically, you designate some sort of undesirable behavior that activates the mark, but you can pick any act you please. The effect of the mark is identical with the effect of bestow curse. Since this spell takes 10 minutes to cast and involves writing on the target, you can cast it only on a creature that is willing or restrained. Like the effect of bestow curse, a mark of justice cannot be dispelled, but it can be removed with a break enchantment, limited wish, miracle, remove curse, or wish spell. Remove curse works only if its caster level is equal to or higher than your mark of justice caster level. These restrictions apply regardless of whether the mark has activated.</t>
  </si>
  <si>
    <t>&lt;p&gt;You mark a subject and state some behavior on the part of the subject that will activate the mark. When activated, the mark curses the subject. Typically, you designate some sort of undesirable behavior that activates the mark, but you can pick any act you please.&lt;/p&gt;&lt;p&gt;The effect of the mark is identical with the effect of &lt;i&gt;bestow curse&lt;/i&gt;.&lt;/p&gt;&lt;p&gt;Since this spell takes 10 minutes to cast and involves writing on the target, you can cast it only on a creature that is willing or restrained.&lt;/p&gt;&lt;p&gt;Like the effect of &lt;i&gt;bestow curse&lt;/i&gt;, a &lt;i&gt;mark of justice&lt;/i&gt; cannot be dispelled, but it can be removed with a break enchantment, limited &lt;i&gt;wish&lt;/i&gt;, miracle, remove curse, or &lt;i&gt;wish&lt;/i&gt; spell. &lt;i&gt;Remove curse&lt;/i&gt; works only if its caster level is equal to or higher than your &lt;i&gt;mark of justice&lt;/i&gt; caster level. These restrictions apply regardless of whether the mark has activated.&lt;/p&gt;</t>
  </si>
  <si>
    <t>&lt;link rel="stylesheet"href="PF.css"&gt;&lt;div class="heading"&gt;&lt;p class="alignleft"&gt;Mark of Justice&lt;/p&gt;&lt;div style="clear: both;"&gt;&lt;/div&gt;&lt;/div&gt;&lt;div&gt;&lt;h5&gt;&lt;b&gt;School &lt;/b&gt;necromancy [curse]; &lt;b&gt;Level &lt;/b&gt;cleric 5/oracle 5, paladin 4, witch 5, inquisitor 5&lt;/h5&gt;&lt;/div&gt;&lt;hr/&gt;&lt;div&gt;&lt;h5&gt;&lt;b&gt;CASTING&lt;/b&gt;&lt;/h5&gt;&lt;/div&gt;&lt;hr/&gt;&lt;div&gt;&lt;h5&gt;&lt;b&gt;Casting Time &lt;/b&gt;10 minutes&lt;/h5&gt;&lt;h5&gt;&lt;b&gt;Components &lt;/b&gt;V, S, DF&lt;/h5&gt;&lt;/div&gt;&lt;hr/&gt;&lt;div&gt;&lt;h5&gt;&lt;b&gt;EFFECT&lt;/b&gt;&lt;/h5&gt;&lt;/div&gt;&lt;hr/&gt;&lt;div&gt;&lt;h5&gt;&lt;b&gt;Range &lt;/b&gt;touch&lt;/h5&gt;&lt;h5&gt;&lt;b&gt;Targets &lt;/b&gt;creature touched&lt;/h5&gt;&lt;h5&gt;&lt;b&gt;Duration &lt;/b&gt;permanent; see text&lt;/h5&gt;&lt;h5&gt;&lt;b&gt;Saving Throw &lt;/b&gt;none; &lt;b&gt;Spell Resistance &lt;/b&gt;yes&lt;/h5&gt;&lt;/div&gt;&lt;hr/&gt;&lt;div&gt;&lt;h5&gt;&lt;b&gt;DESCRIPTION&lt;/b&gt;&lt;/h5&gt;&lt;/div&gt;&lt;hr/&gt;&lt;div&gt;&lt;h4&gt;&lt;p&gt;You mark a subject and state some behavior on the part of the subject that will activate the mark. When activated, the mark curses the subject. Typically, you designate some sort of undesirable behavior that activates the mark, but you can pick any act you please.&lt;/p&gt;&lt;p&gt;The effect of the mark is identical with the effect of &lt;i&gt;bestow curse&lt;/i&gt;.&lt;/p&gt;&lt;p&gt;Since this spell takes 10 minutes to cast and involves writing on the target, you can cast it only on a creature that is willing or restrained.&lt;/p&gt;&lt;p&gt;Like the effect of &lt;i&gt;bestow curse&lt;/i&gt;, a &lt;i&gt;mark of justice&lt;/i&gt; cannot be dispelled, but it can be removed with a break enchantment, limited &lt;i&gt;wish&lt;/i&gt;, miracle, remove curse, or &lt;i&gt;wish&lt;/i&gt; spell. &lt;i&gt;Remove curse&lt;/i&gt; works only if its caster level is equal to or higher than your &lt;i&gt;mark of justice&lt;/i&gt; caster level. These restrictions apply regardless of whether the mark has activated.&lt;/p&gt;&lt;/h4&gt;&lt;/div&gt;</t>
  </si>
  <si>
    <t>Designates action that triggers curse on subject.</t>
  </si>
  <si>
    <t>Maze</t>
  </si>
  <si>
    <t>sorcerer/wizard 8, summoner 6, witch 8</t>
  </si>
  <si>
    <t>You banish the subject into an extradimensional labyrinth. Each round on its turn, it may attempt a DC 20 Intelligence check to escape the labyrinth as a full-round action. If the subject doesn't escape, the maze disappears after 10 minutes, freeing the subject. On escaping or leaving the maze, the subject reappears where it had been when the maze spell was cast. If this location is filled with a solid object, the subject appears in the nearest open space. Spells and abilities that move a creature within a plane, such as teleport and dimension door, do not help a creature escape a maze spell, although a plane shift spell allows it to exit to whatever plane is designated in that spell. Minotaurs are not affected by this spell.</t>
  </si>
  <si>
    <t>&lt;p&gt;You banish the subject into an extradimensional labyrinth. Each round on its turn, it may attempt a DC 20 Intelligence check to escape the labyrinth as a full-round action. If the subject doesn't escape, the &lt;i&gt;maze&lt;/i&gt; disappears after 10 minutes, freeing the subject.&lt;/p&gt;&lt;p&gt;On escaping or leaving the &lt;i&gt;maze&lt;/i&gt;, the subject reappears where it had been when the &lt;i&gt;maze&lt;/i&gt; spell was cast. If this location is filled with a solid object, the subject appears in the nearest open space.&lt;/p&gt;&lt;p&gt;Spells and abilities that move a creature within a plane, such as &lt;i&gt;teleport&lt;/i&gt; and &lt;i&gt;dimension door&lt;/i&gt;, do not help a creature escape a &lt;i&gt;maze&lt;/i&gt; spell, although a &lt;i&gt;plane shift&lt;/i&gt; spell allows it to exit to whatever plane is designated in that spell. Minotaurs are not affected by this spell.&lt;/p&gt;</t>
  </si>
  <si>
    <t>&lt;link rel="stylesheet"href="PF.css"&gt;&lt;div class="heading"&gt;&lt;p class="alignleft"&gt;Maze&lt;/p&gt;&lt;div style="clear: both;"&gt;&lt;/div&gt;&lt;/div&gt;&lt;div&gt;&lt;h5&gt;&lt;b&gt;School &lt;/b&gt;conjuration (teleportation); &lt;b&gt;Level &lt;/b&gt;sorcerer/wizard 8, summoner 6, witch 8&lt;/h5&gt;&lt;/div&gt;&lt;hr/&gt;&lt;div&gt;&lt;h5&gt;&lt;b&gt;CASTING&lt;/b&gt;&lt;/h5&gt;&lt;/div&gt;&lt;hr/&gt;&lt;div&gt;&lt;h5&gt;&lt;b&gt;Casting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&lt;/b&gt;see text&lt;/h5&gt;&lt;h5&gt;&lt;b&gt;Saving Throw &lt;/b&gt;none; &lt;b&gt;Spell Resistance &lt;/b&gt;yes&lt;/h5&gt;&lt;/div&gt;&lt;hr/&gt;&lt;div&gt;&lt;h5&gt;&lt;b&gt;DESCRIPTION&lt;/b&gt;&lt;/h5&gt;&lt;/div&gt;&lt;hr/&gt;&lt;div&gt;&lt;h4&gt;&lt;p&gt;You banish the subject into an extradimensional labyrinth. Each round on its turn, it may attempt a DC 20 Intelligence check to escape the labyrinth as a full-round action. If the subject doesn't escape, the &lt;i&gt;maze&lt;/i&gt; disappears after 10 minutes, freeing the subject.&lt;/p&gt;&lt;p&gt;On escaping or leaving the &lt;i&gt;maze&lt;/i&gt;, the subject reappears where it had been when the &lt;i&gt;maze&lt;/i&gt; spell was cast. If this location is filled with a solid object, the subject appears in the nearest open space.&lt;/p&gt;&lt;p&gt;Spells and abilities that move a creature within a plane, such as &lt;i&gt;teleport&lt;/i&gt; and &lt;i&gt;dimension door&lt;/i&gt;, do not help a creature escape a &lt;i&gt;maze&lt;/i&gt; spell, although a &lt;i&gt;plane shift&lt;/i&gt; spell allows it to exit to whatever plane is designated in that spell. Minotaurs are not affected by this spell.&lt;/p&gt;&lt;/h4&gt;&lt;h5&gt;&lt;b&gt;Mythic: &lt;/b&gt;A spectral minotaur hunts the target trapped in the maze. Every round the creature fails to escape from the maze, it takes 2d8 + your tier points of piercing and slashing damage from this phantom opponent.&lt;/h5&gt;&lt;/div&gt;</t>
  </si>
  <si>
    <t> Traps subject in extradimensional maze.</t>
  </si>
  <si>
    <t>A spectral minotaur hunts the target trapped in the maze. Every round the creature fails to escape from the maze, it takes 2d8 + your tier points of piercing and slashing damage from this phantom opponent.</t>
  </si>
  <si>
    <t>Meld into Stone</t>
  </si>
  <si>
    <t>cleric 3/oracle 3, druid 3</t>
  </si>
  <si>
    <t>Meld into stone enables you to meld your body and possessions into a single block of stone. The stone must be large enough to accommodate your body in all three dimensions. When the casting is complete, you and not more than 100 pounds of nonliving gear merge with the stone. If either condition is violated, the spell fails and is wasted. While in the stone, you remain in contact, however tenuous, with the face of the stone through which you melded. You remain aware of the passage of time and can cast spells on yourself while hiding in the stone. Nothing that goes on outside the stone can be seen, but you can still hear what happens around you. Minor physical damage to the stone does not harm you, but its partial destruction (to the extent that you no longer fit within it) expels you and deals you 5d6 points of damage. The stone's complete destruction expels you and slays you instantly unless you make a DC 18 Fortitude save. Even if you make your save, you still take 5d6 points of damage. Any time before the duration expires, you can step out of the stone through the surface that you entered. If the spell's duration expires or the effect is dispelled before you voluntarily exit the stone, you are violently expelled and take 5d6 points of damage. The following spells harm you if cast upon the stone that you are occupying. Stone to flesh expels you and deals you 5d6 points of damage. Stone shape deals 3d6 points of damage but does not expel you. Transmute rock to mud expels you and then slays you instantly unless you make a DC 18 Fortitude save, in which case you are merely expelled. Finally, passwall expels you without damage.</t>
  </si>
  <si>
    <t>&lt;p&gt;&lt;i&gt;Meld into stone&lt;/i&gt; enables you to meld your body and possessions into a single block of stone. The stone must be large enough to accommodate your body in all three dimensions. When the casting is complete, you and not more than 100 pounds of nonliving gear merge with the stone. If either condition is violated, the spell fails and is wasted.&lt;/p&gt;&lt;p&gt;While in the stone, you remain in contact, however tenuous, with the face of the stone through which you melded. You remain aware of the passage of time and can cast spells on yourself while hiding in the stone. Nothing that goes on outside the stone can be seen, but you can still hear what happens around you. Minor physical damage to the stone does not harm you, but its partial destruction (to the extent that you no longer fit within it) expels you and deals you 5d6 points of damage. The stone's complete destruction expels you and slays you instantly unless you make a DC 18 Fortitude save. Even if you make your save, you still take 5d6 points of damage.&lt;/p&gt;&lt;p&gt;Any time before the duration expires, you can step out of the stone through the surface that you entered. If the spell's duration expires or the effect is dispelled before you voluntarily exit the stone, you are violently expelled and take 5d6 points of damage.&lt;/p&gt;&lt;p&gt;The following spells harm you if cast upon the stone that you are occupying. &lt;i&gt;Stone to flesh&lt;/i&gt; expels you and deals you 5d6 points of damage. Stone &lt;i&gt;shape&lt;/i&gt; deals 3d6 points of damage but does not expel you. &lt;i&gt;Transmute rock to mud&lt;/i&gt; expels you and then slays you instantly unless you make a DC 18 Fortitude save, in which case you are merely expelled. Finally, &lt;i&gt;passwall&lt;/i&gt; expels you without damage.&lt;/p&gt;</t>
  </si>
  <si>
    <t>&lt;link rel="stylesheet"href="PF.css"&gt;&lt;div class="heading"&gt;&lt;p class="alignleft"&gt;Meld into Stone&lt;/p&gt;&lt;div style="clear: both;"&gt;&lt;/div&gt;&lt;/div&gt;&lt;div&gt;&lt;h5&gt;&lt;b&gt;School &lt;/b&gt;transmutation [earth]; &lt;b&gt;Level &lt;/b&gt;cleric 3/oracle 3, druid 3&lt;/h5&gt;&lt;/div&gt;&lt;hr/&gt;&lt;div&gt;&lt;h5&gt;&lt;b&gt;CASTING&lt;/b&gt;&lt;/h5&gt;&lt;/div&gt;&lt;hr/&gt;&lt;div&gt;&lt;h5&gt;&lt;b&gt;Casting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&lt;/b&gt;you&lt;/h5&gt;&lt;h5&gt;&lt;b&gt;Duration &lt;/b&gt;10 min./level&lt;/h5&gt;&lt;/div&gt;&lt;hr/&gt;&lt;div&gt;&lt;h5&gt;&lt;b&gt;DESCRIPTION&lt;/b&gt;&lt;/h5&gt;&lt;/div&gt;&lt;hr/&gt;&lt;div&gt;&lt;h4&gt;&lt;p&gt;&lt;i&gt;Meld into stone&lt;/i&gt; enables you to meld your body and possessions into a single block of stone. The stone must be large enough to accommodate your body in all three dimensions. When the casting is complete, you and not more than 100 pounds of nonliving gear merge with the stone. If either condition is violated, the spell fails and is wasted.&lt;/p&gt;&lt;p&gt;While in the stone, you remain in contact, however tenuous, with the face of the stone through which you melded. You remain aware of the passage of time and can cast spells on yourself while hiding in the stone. Nothing that goes on outside the stone can be seen, but you can still hear what happens around you. Minor physical damage to the stone does not harm you, but its partial destruction (to the extent that you no longer fit within it) expels you and deals you 5d6 points of damage. The stone's complete destruction expels you and slays you instantly unless you make a DC 18 Fortitude save. Even if you make your save, you still take 5d6 points of damage.&lt;/p&gt;&lt;p&gt;Any time before the duration expires, you can step out of the stone through the surface that you entered. If the spell's duration expires or the effect is dispelled before you voluntarily exit the stone, you are violently expelled and take 5d6 points of damage.&lt;/p&gt;&lt;p&gt;The following spells harm you if cast upon the stone that you are occupying. &lt;i&gt;Stone to flesh&lt;/i&gt; expels you and deals you 5d6 points of damage. Stone &lt;i&gt;shape&lt;/i&gt; deals 3d6 points of damage but does not expel you. &lt;i&gt;Transmute rock to mud&lt;/i&gt; expels you and then slays you instantly unless you make a DC 18 Fortitude save, in which case you are merely expelled. Finally, &lt;i&gt;passwall&lt;/i&gt; expels you without damage.&lt;/p&gt;&lt;/h4&gt;&lt;/div&gt;</t>
  </si>
  <si>
    <t>You and your gear merge with stone.</t>
  </si>
  <si>
    <t>Mending</t>
  </si>
  <si>
    <t>bard 0, cleric 0/oracle 0, druid 0, sorcerer/wizard 0, summoner 0, witch 0, summoner 0, witch 0</t>
  </si>
  <si>
    <t>one object of up to 1 lb./level</t>
  </si>
  <si>
    <t>This spell repairs damaged objects, restoring 1d4 hit points to the object. If the object has the broken condition, this condition is removed if the object is restored to at least half its original hit points. All of the pieces of an object must be present for this spell to function. Magic items can be repaired by this spell, but you must have a caster level equal to or higher than that of the object. Magic items that are destroyed (at 0 hit points or less) can be repaired with this spell, but this spell does not restore their magic abilities. This spell does not affect creatures (including constructs). This spell has no effect on objects that have been warped or otherwise transmuted, but it can still repair damage done to such items.</t>
  </si>
  <si>
    <t>&lt;p&gt;This spell repairs damaged objects, restoring 1d4 hit points to the object. If the object has the broken condition, this condition is removed if the object is restored to at least half its original hit points. All of the pieces of an object must be present for this spell to function. Magic items can be repaired by this spell, but you must have a caster level equal to or higher than that of the object. Magic items that are destroyed (at 0 hit points or less) can be repaired with this spell, but this spell does not restore their magic abilities. This spell does not affect creatures (including constructs). This spell has no effect on objects that have been warped or otherwise transmuted, but it can still repair damage done to such items.&lt;/p&gt;</t>
  </si>
  <si>
    <t>&lt;link rel="stylesheet"href="PF.css"&gt;&lt;div class="heading"&gt;&lt;p class="alignleft"&gt;Mending&lt;/p&gt;&lt;div style="clear: both;"&gt;&lt;/div&gt;&lt;/div&gt;&lt;div&gt;&lt;h5&gt;&lt;b&gt;School &lt;/b&gt;transmutation; &lt;b&gt;Level &lt;/b&gt;bard 0, cleric 0/oracle 0, druid 0, sorcerer/wizard 0, summoner 0, witch 0, summoner 0, witch 0&lt;/h5&gt;&lt;/div&gt;&lt;hr/&gt;&lt;div&gt;&lt;h5&gt;&lt;b&gt;CASTING&lt;/b&gt;&lt;/h5&gt;&lt;/div&gt;&lt;hr/&gt;&lt;div&gt;&lt;h5&gt;&lt;b&gt;Casting Time &lt;/b&gt;10 minutes&lt;/h5&gt;&lt;h5&gt;&lt;b&gt;Components &lt;/b&gt;V, S&lt;/h5&gt;&lt;/div&gt;&lt;hr/&gt;&lt;div&gt;&lt;h5&gt;&lt;b&gt;EFFECT&lt;/b&gt;&lt;/h5&gt;&lt;/div&gt;&lt;hr/&gt;&lt;div&gt;&lt;h5&gt;&lt;b&gt;Range &lt;/b&gt;10 ft.&lt;/h5&gt;&lt;h5&gt;&lt;b&gt;Targets &lt;/b&gt;one object of up to 1 lb./level&lt;/h5&gt;&lt;h5&gt;&lt;b&gt;Duration &lt;/b&gt;instantaneous&lt;/h5&gt;&lt;h5&gt;&lt;b&gt;Saving Throw &lt;/b&gt;Will negates (harmless, object); &lt;b&gt;Spell Resistance &lt;/b&gt;yes (harmless, object)&lt;/h5&gt;&lt;/div&gt;&lt;hr/&gt;&lt;div&gt;&lt;h5&gt;&lt;b&gt;DESCRIPTION&lt;/b&gt;&lt;/h5&gt;&lt;/div&gt;&lt;hr/&gt;&lt;div&gt;&lt;h4&gt;&lt;p&gt;This spell repairs damaged objects, restoring 1d4 hit points to the object. If the object has the broken condition, this condition is removed if the object is restored to at least half its original hit points. All of the pieces of an object must be present for this spell to function. Magic items can be repaired by this spell, but you must have a caster level equal to or higher than that of the object. Magic items that are destroyed (at 0 hit points or less) can be repaired with this spell, but this spell does not restore their magic abilities. This spell does not affect creatures (including constructs). This spell has no effect on objects that have been warped or otherwise transmuted, but it can still repair damage done to such items.&lt;/p&gt;&lt;/h4&gt;&lt;/div&gt;</t>
  </si>
  <si>
    <t>Makes minor repairs on an object.</t>
  </si>
  <si>
    <t>Message</t>
  </si>
  <si>
    <t>language-dependent</t>
  </si>
  <si>
    <t>bard 0, sorcerer/wizard 0, summoner 0, witch 0</t>
  </si>
  <si>
    <t>V, S, F (a piece of copper wire)</t>
  </si>
  <si>
    <t>one creature/level</t>
  </si>
  <si>
    <t>You can whisper messages and receive whispered replies. Those nearby can hear these messages with a DC 25 Perception check. You point your finger at each creature you want to receive the message. When you whisper, the whispered message is audible to all targeted creatures within range. Magical silence, 1 foot of stone, 1 inch of common metal (or a thin sheet of lead), or 3 feet of wood or dirt blocks the spell. The message does not have to travel in a straight line. It can circumvent a barrier if there is an open path between you and the subject, and the path's entire length lies within the spell's range. The creatures that receive the message can whisper a reply that you hear. The spell transmits sound, not meaning; it doesn't transcend language barriers. To speak a message, you must mouth the words and whisper.</t>
  </si>
  <si>
    <t>&lt;p&gt;You can whisper messages and receive whispered replies.&lt;/p&gt;&lt;p&gt;Those nearby can hear these messages with a DC 25 Perception check. You point your finger at each creature you want to receive the message. When you whisper, the whispered message is audible to all targeted creatures within range.&lt;/p&gt;&lt;p&gt;Magical &lt;i&gt;silence,&lt;/i&gt; 1 foot of stone, 1 inch of common metal (or a thin sheet of lead), or 3 feet of wood or dirt blocks the spell.&lt;/p&gt;&lt;p&gt;The message does not have to travel in a straight line. It can circumvent a barrier if there is an open path between you and the subject, and the path's entire length lies within the spell's range. The creatures that receive the message can whisper a reply that you hear. The spell transmits sound, not meaning; it doesn't transcend language barriers. To speak a message, you must mouth the words and whisper.&lt;/p&gt;</t>
  </si>
  <si>
    <t>&lt;link rel="stylesheet"href="PF.css"&gt;&lt;div class="heading"&gt;&lt;p class="alignleft"&gt;Message&lt;/p&gt;&lt;div style="clear: both;"&gt;&lt;/div&gt;&lt;/div&gt;&lt;div&gt;&lt;h5&gt;&lt;b&gt;School &lt;/b&gt;transmutation [language-dependent]; &lt;b&gt;Level &lt;/b&gt;bard 0, sorcerer/wizard 0, summoner 0, witch 0&lt;/h5&gt;&lt;/div&gt;&lt;hr/&gt;&lt;div&gt;&lt;h5&gt;&lt;b&gt;CASTING&lt;/b&gt;&lt;/h5&gt;&lt;/div&gt;&lt;hr/&gt;&lt;div&gt;&lt;h5&gt;&lt;b&gt;Casting Time &lt;/b&gt;1 standard action&lt;/h5&gt;&lt;h5&gt;&lt;b&gt;Components &lt;/b&gt;V, S, F (a piece of copper wire)&lt;/h5&gt;&lt;/div&gt;&lt;hr/&gt;&lt;div&gt;&lt;h5&gt;&lt;b&gt;EFFECT&lt;/b&gt;&lt;/h5&gt;&lt;/div&gt;&lt;hr/&gt;&lt;div&gt;&lt;h5&gt;&lt;b&gt;Range &lt;/b&gt;medium (100 ft. + 10 ft./level)&lt;/h5&gt;&lt;h5&gt;&lt;b&gt;Targets &lt;/b&gt;one creature/level&lt;/h5&gt;&lt;h5&gt;&lt;b&gt;Duration &lt;/b&gt;10 min./level&lt;/h5&gt;&lt;h5&gt;&lt;b&gt;Saving Throw &lt;/b&gt;none; &lt;b&gt;Spell Resistance &lt;/b&gt;no&lt;/h5&gt;&lt;/div&gt;&lt;hr/&gt;&lt;div&gt;&lt;h5&gt;&lt;b&gt;DESCRIPTION&lt;/b&gt;&lt;/h5&gt;&lt;/div&gt;&lt;hr/&gt;&lt;div&gt;&lt;h4&gt;&lt;p&gt;You can whisper messages and receive whispered replies.&lt;/p&gt;&lt;p&gt;Those nearby can hear these messages with a DC 25 Perception check. You point your finger at each creature you want to receive the message. When you whisper, the whispered message is audible to all targeted creatures within range.&lt;/p&gt;&lt;p&gt;Magical &lt;i&gt;silence,&lt;/i&gt; 1 foot of stone, 1 inch of common metal (or a thin sheet of lead), or 3 feet of wood or dirt blocks the spell.&lt;/p&gt;&lt;p&gt;The message does not have to travel in a straight line. It can circumvent a barrier if there is an open path between you and the subject, and the path's entire length lies within the spell's range. The creatures that receive the message can whisper a reply that you hear. The spell transmits sound, not meaning; it doesn't transcend language barriers. To speak a message, you must mouth the words and whisper.&lt;/p&gt;&lt;/h4&gt;&lt;/div&gt;</t>
  </si>
  <si>
    <t>Whisper conversation at distance.</t>
  </si>
  <si>
    <t>Meteor Swarm</t>
  </si>
  <si>
    <t>four 40-ft.-radius spreads, see text</t>
  </si>
  <si>
    <t>none or Reflex half, see text</t>
  </si>
  <si>
    <t>Meteor swarm is a very powerful and spectacular spell that is similar to fireball in many aspects. When you cast it, four 2-foot-diameter spheres spring from your outstretched hand and streak in straight lines to the spots you select. The meteor spheres leave a fiery trail of sparks. If you aim a sphere at a specific creature, you may make a ranged touch attack to strike the target with the meteor. Any creature struck by a sphere takes 2d6 points of bludgeoning damage (no save) and takes a -4 penalty on the saving throw against the sphere's fire damage (see below). If a targeted sphere misses its target, it simply explodes at the nearest corner of the target's space. You may aim more than one sphere at the same target. Once a sphere reaches its destination, it explodes in a 40-foot-radius spread, dealing 6d6 points of fire damage to each creature in the area. If a creature is within the area of more than one sphere, it must save separately against each. Despite stemming from separate spheres, all of the fire damage is added together after the saves have been made, and fire resistance is applied only once.</t>
  </si>
  <si>
    <t>&lt;p&gt;&lt;i&gt;Meteor swarm&lt;/i&gt; is a very powerful and spectacular spell that is similar to &lt;i&gt;fireball&lt;/i&gt; in many aspects. When you cast it, four 2-foot-diameter spheres spring from your outstretched hand and streak in straight lines to the spots you select. The meteor spheres leave a fiery trail of sparks.&lt;/p&gt;&lt;p&gt;If you aim a sphere at a specific creature, you may make a ranged touch attack to strike the target with the meteor. Any creature struck by a sphere takes 2d6 points of bludgeoning damage (no save) and takes a -4 penalty on the saving throw against the sphere's fire damage (see below). If a targeted sphere misses its target, it simply explodes at the nearest corner of the target's space. You may aim more than one sphere at the same target.&lt;/p&gt;&lt;p&gt;Once a sphere reaches its destination, it explodes in a 40-foot-radius spread, dealing 6d6 points of fire damage to each creature in the area. If a creature is within the area of more than one sphere, it must save separately against each. Despite stemming from separate spheres, all of the fire damage is added together after the saves have been made, and fire resistance is applied only once.&lt;/p&gt;</t>
  </si>
  <si>
    <t>&lt;link rel="stylesheet"href="PF.css"&gt;&lt;div class="heading"&gt;&lt;p class="alignleft"&gt;Meteor Swarm&lt;/p&gt;&lt;div style="clear: both;"&gt;&lt;/div&gt;&lt;/div&gt;&lt;div&gt;&lt;h5&gt;&lt;b&gt;School &lt;/b&gt;evocation [fire]; &lt;b&gt;Level &lt;/b&gt;sorcerer/wizard 9&lt;/h5&gt;&lt;/div&gt;&lt;hr/&gt;&lt;div&gt;&lt;h5&gt;&lt;b&gt;CASTING&lt;/b&gt;&lt;/h5&gt;&lt;/div&gt;&lt;hr/&gt;&lt;div&gt;&lt;h5&gt;&lt;b&gt;Casting Time &lt;/b&gt;1 standard action&lt;/h5&gt;&lt;h5&gt;&lt;b&gt;Components &lt;/b&gt;V, S&lt;/h5&gt;&lt;/div&gt;&lt;hr/&gt;&lt;div&gt;&lt;h5&gt;&lt;b&gt;EFFECT&lt;/b&gt;&lt;/h5&gt;&lt;/div&gt;&lt;hr/&gt;&lt;div&gt;&lt;h5&gt;&lt;b&gt;Range &lt;/b&gt;long (400 ft. + 40 ft./level)&lt;/h5&gt;&lt;h5&gt;&lt;b&gt;Area &lt;/b&gt;four 40-ft.-radius spreads, see text&lt;/h5&gt;&lt;h5&gt;&lt;b&gt;Duration &lt;/b&gt;instantaneous&lt;/h5&gt;&lt;h5&gt;&lt;b&gt;Saving Throw &lt;/b&gt;none or Reflex half, see text; &lt;b&gt;Spell Resistance &lt;/b&gt;yes&lt;/h5&gt;&lt;/div&gt;&lt;hr/&gt;&lt;div&gt;&lt;h5&gt;&lt;b&gt;DESCRIPTION&lt;/b&gt;&lt;/h5&gt;&lt;/div&gt;&lt;hr/&gt;&lt;div&gt;&lt;h4&gt;&lt;p&gt;&lt;i&gt;Meteor swarm&lt;/i&gt; is a very powerful and spectacular spell that is similar to &lt;i&gt;fireball&lt;/i&gt; in many aspects. When you cast it, four 2-foot-diameter spheres spring from your outstretched hand and streak in straight lines to the spots you select. The meteor spheres leave a fiery trail of sparks.&lt;/p&gt;&lt;p&gt;If you aim a sphere at a specific creature, you may make a ranged touch attack to strike the target with the meteor. Any creature struck by a sphere takes 2d6 points of bludgeoning damage (no save) and takes a -4 penalty on the saving throw against the sphere's fire damage (see below). If a targeted sphere misses its target, it simply explodes at the nearest corner of the target's space. You may aim more than one sphere at the same target.&lt;/p&gt;&lt;p&gt;Once a sphere reaches its destination, it explodes in a 40-foot-radius spread, dealing 6d6 points of fire damage to each creature in the area. If a creature is within the area of more than one sphere, it must save separately against each. Despite stemming from separate spheres, all of the fire damage is added together after the saves have been made, and fire resistance is applied only once.&lt;/p&gt;&lt;/h4&gt;&lt;h5&gt;&lt;b&gt;Mythic: &lt;/b&gt;The meteors created by this spell deal bludgeoning damage in a line extending from you to the target destination where it explodes. Creatures in the path of a meteor take 2d10 points of bludgeoning damage and must succeed at a Fortitude save or be knocked prone. The damage from the exploding meteors increases to 6d10 points of fire damage. Creatures that fail their Reflex saves against the fire damage are also knocked prone and deafened for 1d4 rounds.&lt;/h5&gt;&lt;h5&gt;&lt;b&gt;Augmented (10th)&lt;/b&gt;: If you expend two uses of mythic power, creatures in the path of a meteor also take 4d10 points of fire damage and the damage from the exploding meteors increases to 10d10 points of fire damage; this fire damage bypasses fire resistance and fire immunity.&lt;/h5&gt;&lt;/div&gt;</t>
  </si>
  <si>
    <t> Four exploding spheres each deal 6d6 fire damage.</t>
  </si>
  <si>
    <t>Boreal, Infernal, Orc, Starsoul</t>
  </si>
  <si>
    <t>Elements, Moon</t>
  </si>
  <si>
    <t>The meteors created by this spell deal bludgeoning damage in a line extending from you to the target destination where it explodes. Creatures in the path of a meteor take 2d10 points of bludgeoning damage and must succeed at a Fortitude save or be knocked prone. The damage from the exploding meteors increases to 6d10 points of fire damage. Creatures that fail their Reflex saves against the fire damage are also knocked prone and deafened for 1d4 rounds.</t>
  </si>
  <si>
    <t>Augmented (10th): If you expend two uses of mythic power, creatures in the path of a meteor also take 4d10 points of fire damage and the damage from the exploding meteors increases to 10d10 points of fire damage; this fire damage bypasses fire resistance and fire immunity.</t>
  </si>
  <si>
    <t>Mind Blank</t>
  </si>
  <si>
    <t>The subject is protected from all devices and spells that gather information about the target through divination magic (such as detect evil, locate creature, scry, and see invisible). This spell also grants a +8 resistance bonus on saving throws against all mindaffecting spells and effects. Mind blank even foils limited wish, miracle, and wish spells when they are used in such a way as to gain information about the target. In the case of scrying that scans an area the creature is in, such as arcane eye, the spell works but the creature simply isn't detected. Scrying attempts that are targeted specifically at the subject do not work at all.</t>
  </si>
  <si>
    <t>&lt;p&gt;The subject is protected from all devices and spells that gather information about the target through divination magic (such as &lt;i&gt;detect evil, locate creature, scry,&lt;/i&gt; and &lt;i&gt;see invisible&lt;/i&gt;). This spell also grants a +8 resistance bonus on saving throws against all mindaffecting spells and effects. &lt;i&gt;Mind blank&lt;/i&gt; even foils limited &lt;i&gt;wish&lt;/i&gt;, miracle, and &lt;i&gt;wish&lt;/i&gt; spells when they are used in such a way as to gain information about the target. In the case of scrying that scans an area the creature is in, such as &lt;i&gt;arcane eye,&lt;/i&gt; the spell works but the creature simply isn't detected. Scrying attempts that are targeted specifically at the subject do not work at all.&lt;/p&gt;</t>
  </si>
  <si>
    <t>&lt;link rel="stylesheet"href="PF.css"&gt;&lt;div class="heading"&gt;&lt;p class="alignleft"&gt;Mind Blank&lt;/p&gt;&lt;div style="clear: both;"&gt;&lt;/div&gt;&lt;/div&gt;&lt;div&gt;&lt;h5&gt;&lt;b&gt;School &lt;/b&gt;abjuration; &lt;b&gt;Level &lt;/b&gt;sorcerer/wizard 8, witch 8&lt;/h5&gt;&lt;/div&gt;&lt;hr/&gt;&lt;div&gt;&lt;h5&gt;&lt;b&gt;CASTING&lt;/b&gt;&lt;/h5&gt;&lt;/div&gt;&lt;hr/&gt;&lt;div&gt;&lt;h5&gt;&lt;b&gt;Casting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&lt;/b&gt;24 hours&lt;/h5&gt;&lt;h5&gt;&lt;b&gt;Saving Throw &lt;/b&gt;Will negates (harmless); &lt;b&gt;Spell Resistance &lt;/b&gt;yes (harmless)&lt;/h5&gt;&lt;/div&gt;&lt;hr/&gt;&lt;div&gt;&lt;h5&gt;&lt;b&gt;DESCRIPTION&lt;/b&gt;&lt;/h5&gt;&lt;/div&gt;&lt;hr/&gt;&lt;div&gt;&lt;h4&gt;&lt;p&gt;The subject is protected from all devices and spells that gather information about the target through divination magic (such as &lt;i&gt;detect evil, locate creature, scry,&lt;/i&gt; and &lt;i&gt;see invisible&lt;/i&gt;). This spell also grants a +8 resistance bonus on saving throws against all mindaffecting spells and effects. &lt;i&gt;Mind blank&lt;/i&gt; even foils limited &lt;i&gt;wish&lt;/i&gt;, miracle, and &lt;i&gt;wish&lt;/i&gt; spells when they are used in such a way as to gain information about the target. In the case of scrying that scans an area the creature is in, such as &lt;i&gt;arcane eye,&lt;/i&gt; the spell works but the creature simply isn't detected. Scrying attempts that are targeted specifically at the subject do not work at all.&lt;/p&gt;&lt;/h4&gt;&lt;/div&gt;</t>
  </si>
  <si>
    <t>Liberation, Protection, Thought</t>
  </si>
  <si>
    <t> Subject is protected from mental/emotional magic and scrying.</t>
  </si>
  <si>
    <t>Aberrant, Martyred, Rakshasa</t>
  </si>
  <si>
    <t>Mind Fog</t>
  </si>
  <si>
    <t>bard 5, sorcerer/wizard 5, witch 5</t>
  </si>
  <si>
    <t>30 minutes and 2d6 rounds; see text</t>
  </si>
  <si>
    <t>Mind fog produces a bank of thin mist that weakens the mental resistance of those caught in it. Creatures in the mind fog take a -10 penalty on Wisdom checks and Will saves. (A creature that successfully saves against the fog is not affected and need not make further saves even if it remains in the fog.) Affected creatures take the penalty as long as they remain in the fog and for 2d6 rounds thereafter. The fog is stationary and lasts for 30 minutes (or until dispersed by wind). A moderate wind (11+ mph) disperses the fog in 4 rounds; a strong wind (21+ mph) disperses the fog in 1 round. The fog is thin and does not significantly hamper vision.</t>
  </si>
  <si>
    <t>&lt;p&gt;&lt;i&gt;Mind fog&lt;/i&gt; produces a bank of thin mist that weakens the mental resistance of those caught in it. Creatures in the &lt;i&gt;mind fog&lt;/i&gt; take a -10 penalty on Wisdom checks and Will saves. (A creature that successfully saves against the fog is not affected and need not make further saves even if it remains in the fog.) Affected creatures take the penalty as long as they remain in the fog and for 2d6 rounds thereafter. The fog is stationary and lasts for 30 minutes (or until dispersed by wind).&lt;/p&gt;&lt;p&gt;A moderate wind (11+ mph) disperses the fog in 4 rounds; a strong wind (21+ mph) disperses the fog in 1 round.&lt;/p&gt;&lt;p&gt;The fog is thin and does not significantly hamper vision.&lt;/p&gt;</t>
  </si>
  <si>
    <t>&lt;link rel="stylesheet"href="PF.css"&gt;&lt;div class="heading"&gt;&lt;p class="alignleft"&gt;Mind Fog&lt;/p&gt;&lt;div style="clear: both;"&gt;&lt;/div&gt;&lt;/div&gt;&lt;div&gt;&lt;h5&gt;&lt;b&gt;School &lt;/b&gt;enchantment (compulsion) [mind-affecting]; &lt;b&gt;Level &lt;/b&gt;bard 5, sorcerer/wizard 5, witch 5&lt;/h5&gt;&lt;/div&gt;&lt;hr/&gt;&lt;div&gt;&lt;h5&gt;&lt;b&gt;CASTING&lt;/b&gt;&lt;/h5&gt;&lt;/div&gt;&lt;hr/&gt;&lt;div&gt;&lt;h5&gt;&lt;b&gt;Casting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ft./level)&lt;/h5&gt;&lt;h5&gt;&lt;b&gt;Effect &lt;/b&gt;fog spreads in 20-ft. radius, 20 ft. high&lt;/h5&gt;&lt;h5&gt;&lt;b&gt;Duration &lt;/b&gt;30 minutes and 2d6 rounds; see text&lt;/h5&gt;&lt;h5&gt;&lt;b&gt;Saving Throw &lt;/b&gt;Will negates; &lt;b&gt;Spell Resistance &lt;/b&gt;yes&lt;/h5&gt;&lt;/div&gt;&lt;hr/&gt;&lt;div&gt;&lt;h5&gt;&lt;b&gt;DESCRIPTION&lt;/b&gt;&lt;/h5&gt;&lt;/div&gt;&lt;hr/&gt;&lt;div&gt;&lt;h4&gt;&lt;p&gt;&lt;i&gt;Mind fog&lt;/i&gt; produces a bank of thin mist that weakens the mental resistance of those caught in it. Creatures in the &lt;i&gt;mind fog&lt;/i&gt; take a -10 penalty on Wisdom checks and Will saves. (A creature that successfully saves against the fog is not affected and need not make further saves even if it remains in the fog.) Affected creatures take the penalty as long as they remain in the fog and for 2d6 rounds thereafter. The fog is stationary and lasts for 30 minutes (or until dispersed by wind).&lt;/p&gt;&lt;p&gt;A moderate wind (11+ mph) disperses the fog in 4 rounds; a strong wind (21+ mph) disperses the fog in 1 round.&lt;/p&gt;&lt;p&gt;The fog is thin and does not significantly hamper vision.&lt;/p&gt;&lt;/h4&gt;&lt;/div&gt;</t>
  </si>
  <si>
    <t>Subjects in fog get –10 to Wis and Will checks.</t>
  </si>
  <si>
    <t>Minor Image</t>
  </si>
  <si>
    <t>bard 2, sorcerer/wizard 2, magus 2</t>
  </si>
  <si>
    <t>concentration + 2 rounds</t>
  </si>
  <si>
    <t>This spell functions like silent image, except that minor image includes some minor sounds but not understandable speech.</t>
  </si>
  <si>
    <t>&lt;p&gt;This spell functions like &lt;i&gt;silent image&lt;/i&gt;, except that &lt;i&gt;minor image&lt;/i&gt; includes some minor sounds but not understandable speech.&lt;/p&gt;</t>
  </si>
  <si>
    <t>&lt;link rel="stylesheet"href="PF.css"&gt;&lt;div class="heading"&gt;&lt;p class="alignleft"&gt;Minor Image&lt;/p&gt;&lt;div style="clear: both;"&gt;&lt;/div&gt;&lt;/div&gt;&lt;div&gt;&lt;h5&gt;&lt;b&gt;School &lt;/b&gt;illusion (figment); &lt;b&gt;Level &lt;/b&gt;bard 2, sorcerer/wizard 2, magus 2&lt;/h5&gt;&lt;/div&gt;&lt;hr/&gt;&lt;div&gt;&lt;h5&gt;&lt;b&gt;CASTING&lt;/b&gt;&lt;/h5&gt;&lt;/div&gt;&lt;hr/&gt;&lt;div&gt;&lt;h5&gt;&lt;b&gt;Casting Time &lt;/b&gt;1 standard action&lt;/h5&gt;&lt;h5&gt;&lt;b&gt;Components &lt;/b&gt;V, S, F (a bit of fleece)&lt;/h5&gt;&lt;/div&gt;&lt;hr/&gt;&lt;div&gt;&lt;h5&gt;&lt;b&gt;EFFECT&lt;/b&gt;&lt;/h5&gt;&lt;/div&gt;&lt;hr/&gt;&lt;div&gt;&lt;h5&gt;&lt;b&gt;Range &lt;/b&gt;long (400 ft. + 40 ft./level)&lt;/h5&gt;&lt;h5&gt;&lt;b&gt;Effect &lt;/b&gt;visual figment that cannot extend beyond four 10-ft. cubes + one 10-ft. cube/level (S)&lt;/h5&gt;&lt;h5&gt;&lt;b&gt;Duration &lt;/b&gt;concentration + 2 rounds&lt;/h5&gt;&lt;h5&gt;&lt;b&gt;Saving Throw &lt;/b&gt;Will disbelief (if interacted with); &lt;b&gt;Spell Resistance &lt;/b&gt;no&lt;/h5&gt;&lt;/div&gt;&lt;hr/&gt;&lt;div&gt;&lt;h5&gt;&lt;b&gt;DESCRIPTION&lt;/b&gt;&lt;/h5&gt;&lt;/div&gt;&lt;hr/&gt;&lt;div&gt;&lt;h4&gt;&lt;p&gt;This spell functions like &lt;i&gt;silent image&lt;/i&gt;, except that &lt;i&gt;minor image&lt;/i&gt; includes some minor sounds but not understandable speech.&lt;/p&gt;&lt;/h4&gt;&lt;/div&gt;</t>
  </si>
  <si>
    <t>As silent image, plus some sound.</t>
  </si>
  <si>
    <t>Miracle</t>
  </si>
  <si>
    <t>V, S; see text</t>
  </si>
  <si>
    <t>You don't so much cast a miracle as request one. You state what you would like to have happen and request that your deity (or the power you pray to for spells) intercede. A miracle can do any of the following things. • Duplicate any cleric spell of 8th level or lower. • Duplicate any other spell of 7th level or lower. • Undo the harmful effects of certain spells, such as feeblemind or insanity. • Have any effect whose power level is in line with the above effects. Alternatively, a cleric can make a very powerful request. Casting such a miracle costs the cleric 25,000 gp in powdered diamond because of the powerful divine energies involved. Examples of especially powerful miracles of this sort could include the following: • Swinging the tide of a battle in your favor by raising fallen allies to continue fighting. • Moving you and your allies, with all your and their gear, from one plane to a specific locale through planar barriers with no chance of error. • Protecting a city from an earthquake, volcanic eruption, flood, or other major natural disaster. In any event, a request that is out of line with the deity's (or alignment's) nature is refused. A duplicated spell allows saving throws and spell resistance as normal, but the save DCs are as for a 9th-level spell. When a miracle spell duplicates a spell with a material component that costs more than 100 gp, you must provide that component.</t>
  </si>
  <si>
    <t>&lt;p&gt;You don't so much cast a &lt;i&gt;miracle&lt;/i&gt; as request one. You state what you would like to have happen and request that your deity (or the power you pray to for spells) intercede.&lt;/p&gt;&lt;p&gt;A &lt;i&gt;miracle&lt;/i&gt; can do any of the following things.&lt;/p&gt;&lt;p&gt;&lt;ul&gt;&lt;li&gt; Duplicate any cleric spell of 8th level or lower.&lt;/p&gt;&lt;p&gt;&lt;li&gt; Duplicate any other spell of 7th level or lower.&lt;/p&gt;&lt;p&gt;&lt;li&gt; Undo the harmful effects of certain spells, such as &lt;i&gt;feeblemind&lt;/i&gt; or &lt;i&gt;insanity.&lt;/i&gt;&lt;/p&gt;&lt;p&gt;&lt;li&gt; Have any effect whose power level is in line with the above effects.&lt;/ul&gt;&lt;/p&gt;&lt;p&gt;Alternatively, a cleric can make a very powerful request. Casting such a &lt;i&gt;miracle&lt;/i&gt; costs the cleric 25,000 gp in powdered diamond because of the powerful divine energies involved. Examples of especially powerful &lt;i&gt;miracle&lt;/i&gt;s of this sort could include the following: &lt;ul&gt;&lt;li&gt; Swinging the tide of a battle in your favor by raising fallen allies to continue fighting.&lt;/p&gt;&lt;p&gt;&lt;li&gt; Moving you and your allies, with all your and their gear, from one plane to a specific locale through planar barriers with no chance of error.&lt;/p&gt;&lt;p&gt;&lt;li&gt; Protecting a city from an earthquake, volcanic eruption, flood, or other major natural disaster.&lt;/ul&gt;&lt;/p&gt;&lt;p&gt;In any event, a request that is out of line with the deity's (or alignment's) nature is refused.&lt;/p&gt;&lt;p&gt;A duplicated spell allows saving throws and spell resistance as normal, but the save DCs are as for a 9th-level spell. When a &lt;i&gt;miracle&lt;/i&gt; spell duplicates a spell with a material component that costs more than 100 gp, you must provide that component.&lt;/p&gt;</t>
  </si>
  <si>
    <t>&lt;link rel="stylesheet"href="PF.css"&gt;&lt;div class="heading"&gt;&lt;p class="alignleft"&gt;Miracle&lt;/p&gt;&lt;div style="clear: both;"&gt;&lt;/div&gt;&lt;/div&gt;&lt;div&gt;&lt;h5&gt;&lt;b&gt;School &lt;/b&gt;evocation; &lt;b&gt;Level &lt;/b&gt;cleric 9/oracle 9&lt;/h5&gt;&lt;/div&gt;&lt;hr/&gt;&lt;div&gt;&lt;h5&gt;&lt;b&gt;CASTING&lt;/b&gt;&lt;/h5&gt;&lt;/div&gt;&lt;hr/&gt;&lt;div&gt;&lt;h5&gt;&lt;b&gt;Casting Time &lt;/b&gt;1 standard action&lt;/h5&gt;&lt;h5&gt;&lt;b&gt;Components &lt;/b&gt;V, S; see text&lt;/h5&gt;&lt;/div&gt;&lt;hr/&gt;&lt;div&gt;&lt;h5&gt;&lt;b&gt;EFFECT&lt;/b&gt;&lt;/h5&gt;&lt;/div&gt;&lt;hr/&gt;&lt;div&gt;&lt;h5&gt;&lt;b&gt;Range &lt;/b&gt;see text&lt;/h5&gt;&lt;h5&gt;&lt;b&gt;Area &lt;/b&gt;see text&lt;/h5&gt;&lt;h5&gt;&lt;b&gt;Duration &lt;/b&gt;see text&lt;/h5&gt;&lt;h5&gt;&lt;b&gt;Saving Throw &lt;/b&gt;see text; &lt;b&gt;Spell Resistance &lt;/b&gt;yes&lt;/h5&gt;&lt;/div&gt;&lt;hr/&gt;&lt;div&gt;&lt;h5&gt;&lt;b&gt;DESCRIPTION&lt;/b&gt;&lt;/h5&gt;&lt;/div&gt;&lt;hr/&gt;&lt;div&gt;&lt;h4&gt;&lt;p&gt;You don't so much cast a &lt;i&gt;miracle&lt;/i&gt; as request one. You state what you would like to have happen and request that your deity (or the power you pray to for spells) intercede.&lt;/p&gt;&lt;p&gt;A &lt;i&gt;miracle&lt;/i&gt; can do any of the following things.&lt;/p&gt;&lt;p&gt;&lt;ul&gt;&lt;li&gt; Duplicate any cleric spell of 8th level or lower.&lt;/p&gt;&lt;p&gt;&lt;li&gt; Duplicate any other spell of 7th level or lower.&lt;/p&gt;&lt;p&gt;&lt;li&gt; Undo the harmful effects of certain spells, such as &lt;i&gt;feeblemind&lt;/i&gt; or &lt;i&gt;insanity.&lt;/i&gt;&lt;/p&gt;&lt;p&gt;&lt;li&gt; Have any effect whose power level is in line with the above effects.&lt;/ul&gt;&lt;/p&gt;&lt;p&gt;Alternatively, a cleric can make a very powerful request. Casting such a &lt;i&gt;miracle&lt;/i&gt; costs the cleric 25,000 gp in powdered diamond because of the powerful divine energies involved. Examples of especially powerful &lt;i&gt;miracle&lt;/i&gt;s of this sort could include the following: &lt;ul&gt;&lt;li&gt; Swinging the tide of a battle in your favor by raising fallen allies to continue fighting.&lt;/p&gt;&lt;p&gt;&lt;li&gt; Moving you and your allies, with all your and their gear, from one plane to a specific locale through planar barriers with no chance of error.&lt;/p&gt;&lt;p&gt;&lt;li&gt; Protecting a city from an earthquake, volcanic eruption, flood, or other major natural disaster.&lt;/ul&gt;&lt;/p&gt;&lt;p&gt;In any event, a request that is out of line with the deity's (or alignment's) nature is refused.&lt;/p&gt;&lt;p&gt;A duplicated spell allows saving throws and spell resistance as normal, but the save DCs are as for a 9th-level spell. When a &lt;i&gt;miracle&lt;/i&gt; spell duplicates a spell with a material component that costs more than 100 gp, you must provide that component.&lt;/p&gt;&lt;/h4&gt;&lt;/div&gt;</t>
  </si>
  <si>
    <t>Community, Divine, Luck</t>
  </si>
  <si>
    <t> Requests a deity's intercession.</t>
  </si>
  <si>
    <t>Mirage Arcana</t>
  </si>
  <si>
    <t>one 20-ft. cube/level</t>
  </si>
  <si>
    <t>concentration +1 hour/ level</t>
  </si>
  <si>
    <t>This spell functions like hallucinatory terrain, except that it enables you to make any area appear to be something other than it is. The illusion includes audible, visual, tactile, and olfactory elements. Unlike hallucinatory terrain, the spell can alter the appearance of structures (or add them where none are present). Still, it can't disguise, conceal, or add creatures (though creatures within the area might hide themselves within the illusion just as they can hide themselves within a real location).</t>
  </si>
  <si>
    <t>&lt;p&gt;This spell functions like &lt;i&gt;hallucinatory terrain&lt;/i&gt;, except that it enables you to make any area appear to be something other than it is. The illusion includes audible, visual, tactile, and olfactory elements.&lt;/p&gt;&lt;p&gt;Unlike &lt;i&gt;hallucinatory terrain&lt;/i&gt;, the spell can alter the appearance of structures (or add them where none are present). Still, it can't disguise, conceal, or add creatures (though creatures within the area might hide themselves within the illusion just as they can hide themselves within a real location).&lt;/p&gt;</t>
  </si>
  <si>
    <t>&lt;link rel="stylesheet"href="PF.css"&gt;&lt;div class="heading"&gt;&lt;p class="alignleft"&gt;Mirage Arcana&lt;/p&gt;&lt;div style="clear: both;"&gt;&lt;/div&gt;&lt;/div&gt;&lt;div&gt;&lt;h5&gt;&lt;b&gt;School &lt;/b&gt;illusion (glamer); &lt;b&gt;Level &lt;/b&gt;bard 5, sorcerer/wizard 5&lt;/h5&gt;&lt;/div&gt;&lt;hr/&gt;&lt;div&gt;&lt;h5&gt;&lt;b&gt;CASTING&lt;/b&gt;&lt;/h5&gt;&lt;/div&gt;&lt;hr/&gt;&lt;div&gt;&lt;h5&gt;&lt;b&gt;Casting Time &lt;/b&gt;1 standard action&lt;/h5&gt;&lt;h5&gt;&lt;b&gt;Components &lt;/b&gt;V, S&lt;/h5&gt;&lt;/div&gt;&lt;hr/&gt;&lt;div&gt;&lt;h5&gt;&lt;b&gt;EFFECT&lt;/b&gt;&lt;/h5&gt;&lt;/div&gt;&lt;hr/&gt;&lt;div&gt;&lt;h5&gt;&lt;b&gt;Range &lt;/b&gt;long (400 ft. + 40 ft./level)&lt;/h5&gt;&lt;h5&gt;&lt;b&gt;Area &lt;/b&gt;one 20-ft. cube/level (S)&lt;/h5&gt;&lt;h5&gt;&lt;b&gt;Duration &lt;/b&gt;concentration +1 hour/ level (D)&lt;/h5&gt;&lt;h5&gt;&lt;b&gt;Saving Throw &lt;/b&gt;Will disbelief (if interacted with); &lt;b&gt;Spell Resistance &lt;/b&gt;no&lt;/h5&gt;&lt;/div&gt;&lt;hr/&gt;&lt;div&gt;&lt;h5&gt;&lt;b&gt;DESCRIPTION&lt;/b&gt;&lt;/h5&gt;&lt;/div&gt;&lt;hr/&gt;&lt;div&gt;&lt;h4&gt;&lt;p&gt;This spell functions like &lt;i&gt;hallucinatory terrain&lt;/i&gt;, except that it enables you to make any area appear to be something other than it is. The illusion includes audible, visual, tactile, and olfactory elements.&lt;/p&gt;&lt;p&gt;Unlike &lt;i&gt;hallucinatory terrain&lt;/i&gt;, the spell can alter the appearance of structures (or add them where none are present). Still, it can't disguise, conceal, or add creatures (though creatures within the area might hide themselves within the illusion just as they can hide themselves within a real location).&lt;/p&gt;&lt;/h4&gt;&lt;/div&gt;</t>
  </si>
  <si>
    <t>As hallucinatory terrain, plus structures.</t>
  </si>
  <si>
    <t>Mirror Image</t>
  </si>
  <si>
    <t>This spell creates a number of illusory doubles of you that inhabit your square. These doubles make it difficult for enemies to precisely locate and attack you. When mirror image is cast, 1d4 images plus one image per three caster levels (maximum eight images total) are created. These images remain in your space and move with you, mimicking your movements, sounds, and actions exactly. Whenever you are attacked or are the target of a spell that requires an attack roll, there is a possibility that the attack targets one of your images instead. If the attack is a hit, roll randomly to see whether the selected target is real or a figment. If it is a figment, the figment is destroyed. If the attack misses by 5 or less, one of your figments is destroyed by the near miss. Area spells affect you normally and do not destroy any of your figments. Spells and effects that do not require an attack roll affect you normally and do not destroy any of your figments. Spells that require a touch attack are harmlessly discharged if used to destroy a figment. An attacker must be able to see the figments to be fooled. If you are invisible or the attacker is blind, the spell has no effect (although the normal miss chances still apply).</t>
  </si>
  <si>
    <t>&lt;p&gt;This spell creates a number of illusory doubles of you that inhabit your square. These doubles make it difficult for enemies to precisely locate and attack you.&lt;/p&gt;&lt;p&gt;When &lt;i&gt;mirror image&lt;/i&gt; is cast, 1d4 images plus one image per three caster levels (maximum eight images total) are created.&lt;/p&gt;&lt;p&gt;These images remain in your space and move with you, mimicking your movements, sounds, and actions exactly. Whenever you are attacked or are the target of a spell that requires an attack roll, there is a possibility that the attack targets one of your images instead. If the attack is a hit, roll randomly to see whether the selected target is real or a figment. If it is a figment, the figment is destroyed. If the attack misses by 5 or less, one of your figments is destroyed by the near miss. Area spells affect you normally and do not destroy any of your figments. Spells and effects that do not require an attack roll affect you normally and do not destroy any of your figments. Spells that require a touch attack are harmlessly discharged if used to destroy a figment.&lt;/p&gt;&lt;p&gt;An attacker must be able to see the figments to be fooled. If you are invisible or the attacker is blind, the spell has no effect (although the normal miss chances still apply).&lt;/p&gt;</t>
  </si>
  <si>
    <t>&lt;link rel="stylesheet"href="PF.css"&gt;&lt;div class="heading"&gt;&lt;p class="alignleft"&gt;Mirror Image&lt;/p&gt;&lt;div style="clear: both;"&gt;&lt;/div&gt;&lt;/div&gt;&lt;div&gt;&lt;h5&gt;&lt;b&gt;School &lt;/b&gt;illusion (figment); &lt;b&gt;Level &lt;/b&gt;bard 2, sorcerer/wizard 2, magus 2&lt;/h5&gt;&lt;/div&gt;&lt;hr/&gt;&lt;div&gt;&lt;h5&gt;&lt;b&gt;CASTING&lt;/b&gt;&lt;/h5&gt;&lt;/div&gt;&lt;hr/&gt;&lt;div&gt;&lt;h5&gt;&lt;b&gt;Casting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min./level&lt;/h5&gt;&lt;/div&gt;&lt;hr/&gt;&lt;div&gt;&lt;h5&gt;&lt;b&gt;DESCRIPTION&lt;/b&gt;&lt;/h5&gt;&lt;/div&gt;&lt;hr/&gt;&lt;div&gt;&lt;h4&gt;&lt;p&gt;This spell creates a number of illusory doubles of you that inhabit your square. These doubles make it difficult for enemies to precisely locate and attack you.&lt;/p&gt;&lt;p&gt;When &lt;i&gt;mirror image&lt;/i&gt; is cast, 1d4 images plus one image per three caster levels (maximum eight images total) are created.&lt;/p&gt;&lt;p&gt;These images remain in your space and move with you, mimicking your movements, sounds, and actions exactly. Whenever you are attacked or are the target of a spell that requires an attack roll, there is a possibility that the attack targets one of your images instead. If the attack is a hit, roll randomly to see whether the selected target is real or a figment. If it is a figment, the figment is destroyed. If the attack misses by 5 or less, one of your figments is destroyed by the near miss. Area spells affect you normally and do not destroy any of your figments. Spells and effects that do not require an attack roll affect you normally and do not destroy any of your figments. Spells that require a touch attack are harmlessly discharged if used to destroy a figment.&lt;/p&gt;&lt;p&gt;An attacker must be able to see the figments to be fooled. If you are invisible or the attacker is blind, the spell has no effect (although the normal miss chances still apply).&lt;/p&gt;&lt;/h4&gt;&lt;h5&gt;&lt;b&gt;Mythic: &lt;/b&gt;The maximum number of images generated by this spell increases to 12. Destroying an image creates a flash of light. Any creature that destroys an image must succeed at a Will save or be dazzled for 1 round.&lt;/h5&gt;&lt;/div&gt;</t>
  </si>
  <si>
    <t>Creates decoy duplicates of you (1d4 + 1 per three levels, max 8).</t>
  </si>
  <si>
    <t>The maximum number of images generated by this spell increases to 12. Destroying an image creates a flash of light. Any creature that destroys an image must succeed at a Will save or be dazzled for 1 round.</t>
  </si>
  <si>
    <t>Misdirection</t>
  </si>
  <si>
    <t>bard 2, sorcerer/wizard 2, summoner 2</t>
  </si>
  <si>
    <t>one creature or object, up to a 10-ft. cube in size</t>
  </si>
  <si>
    <t>By means of this spell, you misdirect the information from divination spells that reveal auras (detect evil, detect magic, discern lies, and the like). On casting the spell, you choose another object within range. For the duration of the spell, the subject of misdirection is detected as if it were the other object. Neither the subject nor the other object gets a saving throw against this effect. Detection spells provide information based on the second object rather than on the actual target of the detection unless the caster of the detection succeeds on a Will save. For instance, you could make yourself detect as a tree if one were within range at casting: not evil, not lying, not magical, neutral in alignment, and so forth. This spell does not affect other types of divination magic (augury, detect thoughts, clairaudience/clairvoyance, and the like).</t>
  </si>
  <si>
    <t>&lt;p&gt;By means of this spell, you misdirect the information from divination spells that reveal auras (detect &lt;i&gt;evil, detect magic, discern lies,&lt;/i&gt; and the like). On casting the spell, you choose another object within range. For the duration of the spell, the subject of &lt;i&gt;misdirection is&lt;/i&gt; detected as if it were the other object. Neither the subject nor the other object gets a saving throw against this effect. Detection spells provide information based on the second object rather than on the actual target of the detection unless the caster of the detection succeeds on a Will save. For instance, you could make yourself detect as a tree if one were within range at casting: not evil, not lying, not magical, neutral in alignment, and so forth. This spell does not affect other types of divination magic (augury, &lt;i&gt;detect thoughts, clairaudience/clairvoyance,&lt;/i&gt; and the like).&lt;/p&gt;</t>
  </si>
  <si>
    <t>&lt;link rel="stylesheet"href="PF.css"&gt;&lt;div class="heading"&gt;&lt;p class="alignleft"&gt;Misdirection&lt;/p&gt;&lt;div style="clear: both;"&gt;&lt;/div&gt;&lt;/div&gt;&lt;div&gt;&lt;h5&gt;&lt;b&gt;School &lt;/b&gt;illusion (glamer); &lt;b&gt;Level &lt;/b&gt;bard 2, sorcerer/wizard 2, summoner 2&lt;/h5&gt;&lt;/div&gt;&lt;hr/&gt;&lt;div&gt;&lt;h5&gt;&lt;b&gt;CASTING&lt;/b&gt;&lt;/h5&gt;&lt;/div&gt;&lt;hr/&gt;&lt;div&gt;&lt;h5&gt;&lt;b&gt;Casting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 or object, up to a 10-ft. cube in size&lt;/h5&gt;&lt;h5&gt;&lt;b&gt;Duration &lt;/b&gt;1 hour/level&lt;/h5&gt;&lt;h5&gt;&lt;b&gt;Saving Throw &lt;/b&gt;none or Will negates; see text; &lt;b&gt;Spell Resistance &lt;/b&gt;no&lt;/h5&gt;&lt;/div&gt;&lt;hr/&gt;&lt;div&gt;&lt;h5&gt;&lt;b&gt;DESCRIPTION&lt;/b&gt;&lt;/h5&gt;&lt;/div&gt;&lt;hr/&gt;&lt;div&gt;&lt;h4&gt;&lt;p&gt;By means of this spell, you misdirect the information from divination spells that reveal auras (detect &lt;i&gt;evil, detect magic, discern lies,&lt;/i&gt; and the like). On casting the spell, you choose another object within range. For the duration of the spell, the subject of &lt;i&gt;misdirection is&lt;/i&gt; detected as if it were the other object. Neither the subject nor the other object gets a saving throw against this effect. Detection spells provide information based on the second object rather than on the actual target of the detection unless the caster of the detection succeeds on a Will save. For instance, you could make yourself detect as a tree if one were within range at casting: not evil, not lying, not magical, neutral in alignment, and so forth. This spell does not affect other types of divination magic (augury, &lt;i&gt;detect thoughts, clairaudience/clairvoyance,&lt;/i&gt; and the like).&lt;/p&gt;&lt;/h4&gt;&lt;/div&gt;</t>
  </si>
  <si>
    <t>Misleads divinations for one creature or object.</t>
  </si>
  <si>
    <t>Mislead</t>
  </si>
  <si>
    <t>figment, glamer</t>
  </si>
  <si>
    <t>bard 5, sorcerer/wizard 6, alchemist 6, magus 6</t>
  </si>
  <si>
    <t>Target/ you/one illusory double</t>
  </si>
  <si>
    <t>1 round/level (D) and concentration + 3 rounds; see text</t>
  </si>
  <si>
    <t>none or Will disbelief (if interacted with); see text</t>
  </si>
  <si>
    <t>You become invisible (as greater invisibility, a glamer), and at the same time, an illusory double of you (as major image, a figment) appears. You are then free to go elsewhere while your double moves away. The double appears within range but thereafter moves as you direct it (which requires concentration beginning on the first round after the casting). You can make the figment appear superimposed perfectly over your own body so that observers don't notice an image appearing and you turning invisible. You and the figment can then move in different directions. The double moves at your speed and can talk and gesture as if it were real, but it cannot attack or cast spells, though it can pretend to do so. The illusory double lasts as long as you concentrate upon it, plus 3 additional rounds. After you cease concentration, the illusory double continues to carry out the same activity until the duration expires. The greater invisibility lasts for 1 round per level, regardless of concentration.</t>
  </si>
  <si>
    <t>&lt;p&gt;You become invisible (as &lt;i&gt;greater invisibility&lt;/i&gt;, a glamer), and at the same time, an illusory double of you (as &lt;i&gt;major image&lt;/i&gt;, a figment) appears. You are then free to go elsewhere while your double moves away. The double appears within range but thereafter moves as you direct it (which requires concentration beginning on the first round after the casting). You can make the figment appear superimposed perfectly over your own body so that observers don't notice an image appearing and you turning invisible. You and the figment can then move in different directions. The double moves at your speed and can talk and gesture as if it were real, but it cannot attack or cast spells, though it can pretend to do so.&lt;/p&gt;&lt;p&gt;The illusory double lasts as long as you concentrate upon it, plus 3 additional rounds. After you cease concentration, the illusory double continues to carry out the same activity until the duration expires. The &lt;i&gt;greater invisibility&lt;/i&gt; lasts for 1 round per level, regardless of concentration.&lt;/p&gt;</t>
  </si>
  <si>
    <t>&lt;link rel="stylesheet"href="PF.css"&gt;&lt;div class="heading"&gt;&lt;p class="alignleft"&gt;Mislead&lt;/p&gt;&lt;div style="clear: both;"&gt;&lt;/div&gt;&lt;/div&gt;&lt;div&gt;&lt;h5&gt;&lt;b&gt;School &lt;/b&gt;illusion (figment, glamer); &lt;b&gt;Level &lt;/b&gt;bard 5, sorcerer/wizard 6, alchemist 6, magus 6&lt;/h5&gt;&lt;/div&gt;&lt;hr/&gt;&lt;div&gt;&lt;h5&gt;&lt;b&gt;CASTING&lt;/b&gt;&lt;/h5&gt;&lt;/div&gt;&lt;hr/&gt;&lt;div&gt;&lt;h5&gt;&lt;b&gt;Casting Time &lt;/b&gt;1 standard action&lt;/h5&gt;&lt;h5&gt;&lt;b&gt;Components &lt;/b&gt;S&lt;/h5&gt;&lt;/div&gt;&lt;hr/&gt;&lt;div&gt;&lt;h5&gt;&lt;b&gt;EFFECT&lt;/b&gt;&lt;/h5&gt;&lt;/div&gt;&lt;hr/&gt;&lt;div&gt;&lt;h5&gt;&lt;b&gt;Range &lt;/b&gt;close (25 ft. + 5 ft./2 levels)&lt;/h5&gt;&lt;h5&gt;&lt;b&gt;Effect &lt;/b&gt;Target/ you/one illusory double&lt;/h5&gt;&lt;h5&gt;&lt;b&gt;Duration &lt;/b&gt;1 round/level (D) and concentration + 3 rounds; see text&lt;/h5&gt;&lt;h5&gt;&lt;b&gt;Saving Throw &lt;/b&gt;none or Will disbelief (if interacted with); see text; &lt;b&gt;Spell Resistance &lt;/b&gt;no&lt;/h5&gt;&lt;/div&gt;&lt;hr/&gt;&lt;div&gt;&lt;h5&gt;&lt;b&gt;DESCRIPTION&lt;/b&gt;&lt;/h5&gt;&lt;/div&gt;&lt;hr/&gt;&lt;div&gt;&lt;h4&gt;&lt;p&gt;You become invisible (as &lt;i&gt;greater invisibility&lt;/i&gt;, a glamer), and at the same time, an illusory double of you (as &lt;i&gt;major image&lt;/i&gt;, a figment) appears. You are then free to go elsewhere while your double moves away. The double appears within range but thereafter moves as you direct it (which requires concentration beginning on the first round after the casting). You can make the figment appear superimposed perfectly over your own body so that observers don't notice an image appearing and you turning invisible. You and the figment can then move in different directions. The double moves at your speed and can talk and gesture as if it were real, but it cannot attack or cast spells, though it can pretend to do so.&lt;/p&gt;&lt;p&gt;The illusory double lasts as long as you concentrate upon it, plus 3 additional rounds. After you cease concentration, the illusory double continues to carry out the same activity until the duration expires. The &lt;i&gt;greater invisibility&lt;/i&gt; lasts for 1 round per level, regardless of concentration.&lt;/p&gt;&lt;/h4&gt;&lt;h5&gt;&lt;b&gt;Mythic: &lt;/b&gt;You create one illusory double per 5 caster levels, each of which appears in your square or in an unoccupied square adjacent to yours. When you cast the spell, you can give each of these doubles a simple programmed task as a telepathic command, such a "walk south," "beg for mercy," or "follow that troll." You can change or modify a single illusory double's programmed task by spending a swift, move, or standard action; this requires concentration.&lt;/h5&gt;&lt;h5&gt;&lt;b&gt;Augmented (4th)&lt;/b&gt;: If you expend two uses of mythic power, this spell also grants you the benefits of augmented mythic invisibility instead of greater invisibility.&lt;/h5&gt;&lt;/div&gt;</t>
  </si>
  <si>
    <t>Luck, Trickery</t>
  </si>
  <si>
    <t>Turns you invisible and creates illusory double.</t>
  </si>
  <si>
    <t>Destined, Fey</t>
  </si>
  <si>
    <t>You create one illusory double per 5 caster levels, each of which appears in your square or in an unoccupied square adjacent to yours. When you cast the spell, you can give each of these doubles a simple programmed task as a telepathic command, such a "walk south," "beg for mercy," or "follow that troll." You can change or modify a single illusory double's programmed task by spending a swift, move, or standard action; this requires concentration.</t>
  </si>
  <si>
    <t>Augmented (4th): If you expend two uses of mythic power, this spell also grants you the benefits of augmented mythic invisibility instead of greater invisibility.</t>
  </si>
  <si>
    <t>Mnemonic Enhancer</t>
  </si>
  <si>
    <t>wizard 4</t>
  </si>
  <si>
    <t>V, S, M (a piece of string, and ink consisting of squid secretion mixed with black dragon's blood), F (an ivory plaque worth 50 gp)</t>
  </si>
  <si>
    <t>Casting this spell allows you to prepare additional spells or retain spells recently cast. Pick one of these two versions when the spell is cast. Prepare: You prepare up to three additional levels of spells. A cantrip counts as 1/2 level for this purpose. You prepare and cast these spells normally. Retain: You retain any spell of 3rd level or lower that you had cast up to 1 round before you started casting the mnemonic enhancer. This restores the previously cast spell to your mind. In either event, the spell or spells prepared or retained fade after 24 hours (if not cast).</t>
  </si>
  <si>
    <t>&lt;p&gt;Casting this spell allows you to prepare additional spells or retain spells recently cast. Pick one of these two versions when the spell is cast.&lt;/p&gt;&lt;p&gt;&lt;i&gt;Prepare:&lt;/i&gt; You prepare up to three additional levels of spells. A cantrip counts as 1/2 level for this purpose. You prepare and cast these spells normally.&lt;/p&gt;&lt;p&gt;&lt;i&gt;Retain:&lt;/i&gt; You retain any spell of 3rd level or lower that you had cast up to 1 round before you started casting the &lt;i&gt;mnemonic enhancer&lt;/i&gt;.&lt;/p&gt;&lt;p&gt;This restores the previously cast spell to your mind.&lt;/p&gt;&lt;p&gt;In either event, the spell or spells prepared or retained fade after 24 hours (if not cast).&lt;/p&gt;</t>
  </si>
  <si>
    <t>&lt;link rel="stylesheet"href="PF.css"&gt;&lt;div class="heading"&gt;&lt;p class="alignleft"&gt;Mnemonic Enhancer&lt;/p&gt;&lt;div style="clear: both;"&gt;&lt;/div&gt;&lt;/div&gt;&lt;div&gt;&lt;h5&gt;&lt;b&gt;School &lt;/b&gt;transmutation; &lt;b&gt;Level &lt;/b&gt;wizard 4&lt;/h5&gt;&lt;/div&gt;&lt;hr/&gt;&lt;div&gt;&lt;h5&gt;&lt;b&gt;CASTING&lt;/b&gt;&lt;/h5&gt;&lt;/div&gt;&lt;hr/&gt;&lt;div&gt;&lt;h5&gt;&lt;b&gt;Casting Time &lt;/b&gt;10 minutes&lt;/h5&gt;&lt;h5&gt;&lt;b&gt;Components &lt;/b&gt;V, S, M (a piece of string, and ink consisting of squid secretion mixed with black dragon's blood), F (an ivory plaque worth 50 gp)&lt;/h5&gt;&lt;/div&gt;&lt;hr/&gt;&lt;div&gt;&lt;h5&gt;&lt;b&gt;EFFECT&lt;/b&gt;&lt;/h5&gt;&lt;/div&gt;&lt;hr/&gt;&lt;div&gt;&lt;h5&gt;&lt;b&gt;Range &lt;/b&gt;personal&lt;/h5&gt;&lt;h5&gt;&lt;b&gt;Targets &lt;/b&gt;you&lt;/h5&gt;&lt;h5&gt;&lt;b&gt;Duration &lt;/b&gt;instantaneous&lt;/h5&gt;&lt;/div&gt;&lt;hr/&gt;&lt;div&gt;&lt;h5&gt;&lt;b&gt;DESCRIPTION&lt;/b&gt;&lt;/h5&gt;&lt;/div&gt;&lt;hr/&gt;&lt;div&gt;&lt;h4&gt;&lt;p&gt;Casting this spell allows you to prepare additional spells or retain spells recently cast. Pick one of these two versions when the spell is cast.&lt;/p&gt;&lt;p&gt;&lt;i&gt;Prepare:&lt;/i&gt; You prepare up to three additional levels of spells. A cantrip counts as 1/2 level for this purpose. You prepare and cast these spells normally.&lt;/p&gt;&lt;p&gt;&lt;i&gt;Retain:&lt;/i&gt; You retain any spell of 3rd level or lower that you had cast up to 1 round before you started casting the &lt;i&gt;mnemonic enhancer&lt;/i&gt;.&lt;/p&gt;&lt;p&gt;This restores the previously cast spell to your mind.&lt;/p&gt;&lt;p&gt;In either event, the spell or spells prepared or retained fade after 24 hours (if not cast).&lt;/p&gt;&lt;/h4&gt;&lt;/div&gt;</t>
  </si>
  <si>
    <t> Wizard only. Prepare extra spells or retain one just cast.</t>
  </si>
  <si>
    <t>Modify Memory</t>
  </si>
  <si>
    <t>bard 4</t>
  </si>
  <si>
    <t>You reach into the subject's mind and modify as many as 5 minutes of its memories in one of the following ways. • Eliminate all memory of an event the subject actually experienced. This spell cannot negate charm, geas/quest, suggestion, or similar spells. • Allow the subject to recall with perfect clarity an event it actually experienced. • Change the details of an event the subject actually experienced. • Implant a memory of an event the subject never experienced. Casting the spell takes 1 round. If the subject fails to save, you proceed with the spell by spending as much as 5 minutes (a period of time equal to the amount of memory you want to modify) visualizing the memory you wish to modify in the subject. If your concentration is disturbed before the visualization is complete, or if the subject is ever beyond the spell's range during this time, the spell is lost. A modified memory does not necessarily affect the subject's actions, particularly if it contradicts the creature's natural inclinations. An illogical modified memory is dismissed by the creature as a bad dream, too much wine, or another similar excuse.</t>
  </si>
  <si>
    <t>&lt;p&gt;You reach into the subject's mind and modify as many as 5 minutes of its memories in one of the following ways.&lt;/p&gt;&lt;p&gt;&lt;ul&gt;&lt;li&gt; Eliminate all memory of an event the subject actually experienced. This spell cannot negate &lt;i&gt;charm, geas/quest, suggestion,&lt;/i&gt; or similar spells.&lt;/p&gt;&lt;p&gt;&lt;li&gt; Allow the subject to recall with perfect clarity an event it actually experienced.&lt;/p&gt;&lt;p&gt;&lt;li&gt; Change the details of an event the subject actually experienced.&lt;/p&gt;&lt;p&gt;&lt;li&gt; Implant a memory of an event the subject never experienced.&lt;/ul&gt;&lt;/p&gt;&lt;p&gt;Casting the spell takes 1 round. If the subject fails to save, you proceed with the spell by spending as much as 5 minutes (a period of time equal to the amount of memory you want to modify) visualizing the memory you wish to modify in the subject. If your concentration is disturbed before the visualization is complete, or if the subject is ever beyond the spell's range during this time, the spell is lost.&lt;/p&gt;&lt;p&gt;A modified memory does not necessarily affect the subject's actions, particularly if it contradicts the creature's natural inclinations. An illogical modified memory is dismissed by the creature as a bad dream, too much wine, or another similar excuse.&lt;/p&gt;</t>
  </si>
  <si>
    <t>&lt;link rel="stylesheet"href="PF.css"&gt;&lt;div class="heading"&gt;&lt;p class="alignleft"&gt;Modify Memory&lt;/p&gt;&lt;div style="clear: both;"&gt;&lt;/div&gt;&lt;/div&gt;&lt;div&gt;&lt;h5&gt;&lt;b&gt;School &lt;/b&gt;enchantment (compulsion) [mind-affecting]; &lt;b&gt;Level &lt;/b&gt;bard 4&lt;/h5&gt;&lt;/div&gt;&lt;hr/&gt;&lt;div&gt;&lt;h5&gt;&lt;b&gt;CASTING&lt;/b&gt;&lt;/h5&gt;&lt;/div&gt;&lt;hr/&gt;&lt;div&gt;&lt;h5&gt;&lt;b&gt;Casting Time &lt;/b&gt;1 round; see text&lt;/h5&gt;&lt;h5&gt;&lt;b&gt;Components &lt;/b&gt;V, S&lt;/h5&gt;&lt;/div&gt;&lt;hr/&gt;&lt;div&gt;&lt;h5&gt;&lt;b&gt;EFFECT&lt;/b&gt;&lt;/h5&gt;&lt;/div&gt;&lt;hr/&gt;&lt;div&gt;&lt;h5&gt;&lt;b&gt;Range &lt;/b&gt;close (25 ft. + 5 ft./2 levels)&lt;/h5&gt;&lt;h5&gt;&lt;b&gt;Targets &lt;/b&gt;one living creature&lt;/h5&gt;&lt;h5&gt;&lt;b&gt;Duration &lt;/b&gt;permanent&lt;/h5&gt;&lt;h5&gt;&lt;b&gt;Saving Throw &lt;/b&gt;Will negates; &lt;b&gt;Spell Resistance &lt;/b&gt;yes&lt;/h5&gt;&lt;/div&gt;&lt;hr/&gt;&lt;div&gt;&lt;h5&gt;&lt;b&gt;DESCRIPTION&lt;/b&gt;&lt;/h5&gt;&lt;/div&gt;&lt;hr/&gt;&lt;div&gt;&lt;h4&gt;&lt;p&gt;You reach into the subject's mind and modify as many as 5 minutes of its memories in one of the following ways.&lt;/p&gt;&lt;p&gt;&lt;ul&gt;&lt;li&gt; Eliminate all memory of an event the subject actually experienced. This spell cannot negate &lt;i&gt;charm, geas/quest, suggestion,&lt;/i&gt; or similar spells.&lt;/p&gt;&lt;p&gt;&lt;li&gt; Allow the subject to recall with perfect clarity an event it actually experienced.&lt;/p&gt;&lt;p&gt;&lt;li&gt; Change the details of an event the subject actually experienced.&lt;/p&gt;&lt;p&gt;&lt;li&gt; Implant a memory of an event the subject never experienced.&lt;/ul&gt;&lt;/p&gt;&lt;p&gt;Casting the spell takes 1 round. If the subject fails to save, you proceed with the spell by spending as much as 5 minutes (a period of time equal to the amount of memory you want to modify) visualizing the memory you wish to modify in the subject. If your concentration is disturbed before the visualization is complete, or if the subject is ever beyond the spell's range during this time, the spell is lost.&lt;/p&gt;&lt;p&gt;A modified memory does not necessarily affect the subject's actions, particularly if it contradicts the creature's natural inclinations. An illogical modified memory is dismissed by the creature as a bad dream, too much wine, or another similar excuse.&lt;/p&gt;&lt;/h4&gt;&lt;/div&gt;</t>
  </si>
  <si>
    <t>Loss, Memory</t>
  </si>
  <si>
    <t> Changes 5 minutes of subject's memories.</t>
  </si>
  <si>
    <t>Moment of Prescience</t>
  </si>
  <si>
    <t>1 hour/level or until discharged</t>
  </si>
  <si>
    <t>This spell grants you a sixth sense. Once during the spell's duration, you may choose to use its effect. This spell grants you an insight bonus equal to your caster level (maximum +25) on any single attack roll, combat maneuver check, opposed ability or skill check, or saving throw. Alternatively, you can apply the insight bonus to your AC against a single attack (even if flatfooted). Activating the effect doesn't take an action; you can even activate it on another character's turn. You must choose to use the moment of prescience before you make the roll it is to modify. Once used, the spell ends. You can't have more than one moment of prescience active on you at the same time.</t>
  </si>
  <si>
    <t>&lt;p&gt;This spell grants you a sixth sense. Once during the spell's duration, you may choose to use its effect. This spell grants you an insight bonus equal to your caster level (maximum +25) on any single attack roll, combat maneuver check, opposed ability or skill check, or saving throw. Alternatively, you can apply the insight bonus to your AC against a single attack (even if flatfooted).&lt;/p&gt;&lt;p&gt;Activating the effect doesn't take an action; you can even activate it on another character's turn. You must choose to use the &lt;i&gt;moment of prescience&lt;/i&gt; before you make the roll it is to modify.&lt;/p&gt;&lt;p&gt;Once used, the spell ends. You can't have more than one &lt;i&gt;moment of prescience&lt;/i&gt; active on you at the same time.&lt;/p&gt;</t>
  </si>
  <si>
    <t>&lt;link rel="stylesheet"href="PF.css"&gt;&lt;div class="heading"&gt;&lt;p class="alignleft"&gt;Moment of Prescience&lt;/p&gt;&lt;div style="clear: both;"&gt;&lt;/div&gt;&lt;/div&gt;&lt;div&gt;&lt;h5&gt;&lt;b&gt;School &lt;/b&gt;divination; &lt;b&gt;Level &lt;/b&gt;sorcerer/wizard 8, witch 8&lt;/h5&gt;&lt;/div&gt;&lt;hr/&gt;&lt;div&gt;&lt;h5&gt;&lt;b&gt;CASTING&lt;/b&gt;&lt;/h5&gt;&lt;/div&gt;&lt;hr/&gt;&lt;div&gt;&lt;h5&gt;&lt;b&gt;Casting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hour/level or until discharged&lt;/h5&gt;&lt;/div&gt;&lt;hr/&gt;&lt;div&gt;&lt;h5&gt;&lt;b&gt;DESCRIPTION&lt;/b&gt;&lt;/h5&gt;&lt;/div&gt;&lt;hr/&gt;&lt;div&gt;&lt;h4&gt;&lt;p&gt;This spell grants you a sixth sense. Once during the spell's duration, you may choose to use its effect. This spell grants you an insight bonus equal to your caster level (maximum +25) on any single attack roll, combat maneuver check, opposed ability or skill check, or saving throw. Alternatively, you can apply the insight bonus to your AC against a single attack (even if flatfooted).&lt;/p&gt;&lt;p&gt;Activating the effect doesn't take an action; you can even activate it on another character's turn. You must choose to use the &lt;i&gt;moment of prescience&lt;/i&gt; before you make the roll it is to modify.&lt;/p&gt;&lt;p&gt;Once used, the spell ends. You can't have more than one &lt;i&gt;moment of prescience&lt;/i&gt; active on you at the same time.&lt;/p&gt;&lt;/h4&gt;&lt;/div&gt;</t>
  </si>
  <si>
    <t>Luck, Memory</t>
  </si>
  <si>
    <t> You gain +1/level insight bonus on single attack roll, check, or save.</t>
  </si>
  <si>
    <t>Destined, Dreamspun</t>
  </si>
  <si>
    <t>Mount</t>
  </si>
  <si>
    <t>sorcerer/wizard 1, summoner 1, witch 1, magus 1</t>
  </si>
  <si>
    <t>V, S, M (a bit of horse hair)</t>
  </si>
  <si>
    <t>one mount</t>
  </si>
  <si>
    <t>You summon a light horse or a pony (your choice) to serve you as a mount (see the Pathfinder RPG Bestiary). The steed serves willingly and well. The mount comes with a bit and bridle and a riding saddle.</t>
  </si>
  <si>
    <t>&lt;p&gt;You summon a light horse or a pony (your choice) to serve you as a mount (see the &lt;i&gt;Pathfinder RPG Bestiary&lt;/i&gt;). The steed serves willingly and well. The mount comes with a bit and bridle and a riding saddle.&lt;/p&gt;</t>
  </si>
  <si>
    <t>&lt;link rel="stylesheet"href="PF.css"&gt;&lt;div class="heading"&gt;&lt;p class="alignleft"&gt;Mount&lt;/p&gt;&lt;div style="clear: both;"&gt;&lt;/div&gt;&lt;/div&gt;&lt;div&gt;&lt;h5&gt;&lt;b&gt;School &lt;/b&gt;conjuration (summoning); &lt;b&gt;Level &lt;/b&gt;sorcerer/wizard 1, summoner 1, witch 1, magus 1&lt;/h5&gt;&lt;/div&gt;&lt;hr/&gt;&lt;div&gt;&lt;h5&gt;&lt;b&gt;CASTING&lt;/b&gt;&lt;/h5&gt;&lt;/div&gt;&lt;hr/&gt;&lt;div&gt;&lt;h5&gt;&lt;b&gt;Casting Time &lt;/b&gt;1 round&lt;/h5&gt;&lt;h5&gt;&lt;b&gt;Components &lt;/b&gt;V, S, M (a bit of horse hair)&lt;/h5&gt;&lt;/div&gt;&lt;hr/&gt;&lt;div&gt;&lt;h5&gt;&lt;b&gt;EFFECT&lt;/b&gt;&lt;/h5&gt;&lt;/div&gt;&lt;hr/&gt;&lt;div&gt;&lt;h5&gt;&lt;b&gt;Range &lt;/b&gt;close (25 ft. + 5 ft./2 levels)&lt;/h5&gt;&lt;h5&gt;&lt;b&gt;Effect &lt;/b&gt;one mount&lt;/h5&gt;&lt;h5&gt;&lt;b&gt;Duration &lt;/b&gt;2 hours/level (D)&lt;/h5&gt;&lt;h5&gt;&lt;b&gt;Saving Throw &lt;/b&gt;none; &lt;b&gt;Spell Resistance &lt;/b&gt;no&lt;/h5&gt;&lt;/div&gt;&lt;hr/&gt;&lt;div&gt;&lt;h5&gt;&lt;b&gt;DESCRIPTION&lt;/b&gt;&lt;/h5&gt;&lt;/div&gt;&lt;hr/&gt;&lt;div&gt;&lt;h4&gt;&lt;p&gt;You summon a light horse or a pony (your choice) to serve you as a mount (see the &lt;i&gt;Pathfinder RPG Bestiary&lt;/i&gt;). The steed serves willingly and well. The mount comes with a bit and bridle and a riding saddle.&lt;/p&gt;&lt;/h4&gt;&lt;/div&gt;</t>
  </si>
  <si>
    <t> Summons riding horse for 2 hours/level.</t>
  </si>
  <si>
    <t>Move Earth</t>
  </si>
  <si>
    <t>druid 6, sorcerer/wizard 6</t>
  </si>
  <si>
    <t>V, S, M (clay, loam, sand, and an iron blade)</t>
  </si>
  <si>
    <t>dirt in an area up to 750 ft. square and up to 10 ft. deep (S)</t>
  </si>
  <si>
    <t>Move earth moves dirt (clay, loam, sand, and soil), possibly collapsing embankments, moving hillocks, shifting dunes, and so forth. In no event can rock formations be collapsed or moved. The area to be affected determines the casting time. For every 150- foot square (up to 10 feet deep), casting takes 10 minutes. The maximum area, 750 feet by 750 feet, takes 4 hours and 10 minutes to move. This spell does not violently break the surface of the ground. Instead, it creates wavelike crests and troughs, with the earth reacting with glacial fluidity until the desired result is achieved. Trees, structures, rock formations, and such are mostly unaffected except for changes in elevation and relative topography. The spell cannot be used for tunneling and is generally too slow to trap or bury creatures. Its primary use is for digging or filling moats or for adjusting terrain contours before a battle. This spell has no effect on earth creatures.</t>
  </si>
  <si>
    <t>&lt;p&gt;&lt;i&gt;Move earth&lt;/i&gt; moves dirt (clay, loam, sand, and soil), possibly collapsing embankments, moving hillocks, shifting dunes, and so forth.&lt;/p&gt;&lt;p&gt;In no event can rock formations be collapsed or moved. The area to be affected determines the casting time. For every 150- foot square (up to 10 feet deep), casting takes 10 minutes. The maximum area, 750 feet by 750 feet, takes 4 hours and 10 minutes to move.&lt;/p&gt;&lt;p&gt;This spell does not violently break the surface of the ground.&lt;/p&gt;&lt;p&gt;Instead, it creates wavelike crests and troughs, with the earth reacting with glacial fluidity until the desired result is achieved.&lt;/p&gt;&lt;p&gt;Trees, structures, rock formations, and such are mostly unaffected except for changes in elevation and relative topography.&lt;/p&gt;&lt;p&gt;The spell cannot be used for tunneling and is generally too slow to trap or bury creatures. Its primary use is for digging or filling moats or for adjusting terrain contours before a battle.&lt;/p&gt;&lt;p&gt;This spell has no effect on earth creatures.&lt;/p&gt;</t>
  </si>
  <si>
    <t>&lt;link rel="stylesheet"href="PF.css"&gt;&lt;div class="heading"&gt;&lt;p class="alignleft"&gt;Move Earth&lt;/p&gt;&lt;div style="clear: both;"&gt;&lt;/div&gt;&lt;/div&gt;&lt;div&gt;&lt;h5&gt;&lt;b&gt;School &lt;/b&gt;transmutation [earth]; &lt;b&gt;Level &lt;/b&gt;druid 6, sorcerer/wizard 6&lt;/h5&gt;&lt;/div&gt;&lt;hr/&gt;&lt;div&gt;&lt;h5&gt;&lt;b&gt;CASTING&lt;/b&gt;&lt;/h5&gt;&lt;/div&gt;&lt;hr/&gt;&lt;div&gt;&lt;h5&gt;&lt;b&gt;Casting Time &lt;/b&gt;see text&lt;/h5&gt;&lt;h5&gt;&lt;b&gt;Components &lt;/b&gt;V, S, M (clay, loam, sand, and an iron blade)&lt;/h5&gt;&lt;/div&gt;&lt;hr/&gt;&lt;div&gt;&lt;h5&gt;&lt;b&gt;EFFECT&lt;/b&gt;&lt;/h5&gt;&lt;/div&gt;&lt;hr/&gt;&lt;div&gt;&lt;h5&gt;&lt;b&gt;Range &lt;/b&gt;long (400 ft. + 40 ft./level)&lt;/h5&gt;&lt;h5&gt;&lt;b&gt;Area &lt;/b&gt;dirt in an area up to 750 ft. square and up to 10 ft. deep (S)&lt;/h5&gt;&lt;h5&gt;&lt;b&gt;Duration &lt;/b&gt;instantaneous&lt;/h5&gt;&lt;h5&gt;&lt;b&gt;Saving Throw &lt;/b&gt;none; &lt;b&gt;Spell Resistance &lt;/b&gt;no&lt;/h5&gt;&lt;/div&gt;&lt;hr/&gt;&lt;div&gt;&lt;h5&gt;&lt;b&gt;DESCRIPTION&lt;/b&gt;&lt;/h5&gt;&lt;/div&gt;&lt;hr/&gt;&lt;div&gt;&lt;h4&gt;&lt;p&gt;&lt;i&gt;Move earth&lt;/i&gt; moves dirt (clay, loam, sand, and soil), possibly collapsing embankments, moving hillocks, shifting dunes, and so forth.&lt;/p&gt;&lt;p&gt;In no event can rock formations be collapsed or moved. The area to be affected determines the casting time. For every 150- foot square (up to 10 feet deep), casting takes 10 minutes. The maximum area, 750 feet by 750 feet, takes 4 hours and 10 minutes to move.&lt;/p&gt;&lt;p&gt;This spell does not violently break the surface of the ground.&lt;/p&gt;&lt;p&gt;Instead, it creates wavelike crests and troughs, with the earth reacting with glacial fluidity until the desired result is achieved.&lt;/p&gt;&lt;p&gt;Trees, structures, rock formations, and such are mostly unaffected except for changes in elevation and relative topography.&lt;/p&gt;&lt;p&gt;The spell cannot be used for tunneling and is generally too slow to trap or bury creatures. Its primary use is for digging or filling moats or for adjusting terrain contours before a battle.&lt;/p&gt;&lt;p&gt;This spell has no effect on earth creatures.&lt;/p&gt;&lt;/h4&gt;&lt;h5&gt;&lt;b&gt;Mythic: &lt;/b&gt;This spell can move earth much more quickly, with each full round of casting allowing you to reshape a 25-foot-square area up to 10 feet deep. All creatures on or under the ground within that area are knocked prone and moved to the closest square outside the area being shaped. A successful Reflex save prevents a creature from being knocked prone, but it's still moved.&lt;/h5&gt;&lt;/div&gt;</t>
  </si>
  <si>
    <t>Digs trenches and builds hills.</t>
  </si>
  <si>
    <t>This spell can move earth much more quickly, with each full round of casting allowing you to reshape a 25-foot-square area up to 10 feet deep. All creatures on or under the ground within that area are knocked prone and moved to the closest square outside the area being shaped. A successful Reflex save prevents a creature from being knocked prone, but it's still moved.</t>
  </si>
  <si>
    <t>Neutralize Poison</t>
  </si>
  <si>
    <t>bard 4, cleric 4/oracle 4, druid 3, paladin 4, ranger 3, alchemist 4, witch 4, inquisitor 4</t>
  </si>
  <si>
    <t>V, S, M/DF (charcoal)</t>
  </si>
  <si>
    <t>creature or object of up to 1 cu. ft./level touched</t>
  </si>
  <si>
    <t>instantaneous or 10 min./level; see text</t>
  </si>
  <si>
    <t>You detoxify any sort of venom in the creature or object touched. If the target is a creature, you must make a caster level check (1d20 + caster level) against the DC of each poison affecting the target. Success means that the poison is neutralized. A cured creature suffers no additional effects from the poison, and any temporary effects are ended, but the spell does not reverse instantaneous effects, such as hit point damage, temporary ability damage, or effects that don't go away on their own. This spell can instead neutralize the poison in a poisonous creature or object for 10 minutes per level, at the caster's option. If cast on a creature, the creature receives a Will save to negate the effect.</t>
  </si>
  <si>
    <t>&lt;p&gt;You detoxify any sort of venom in the creature or object touched. If the target is a creature, you must make a caster level check (1d20 + caster level) against the DC of each poison affecting the target. Success means that the poison is neutralized. A cured creature suffers no additional effects from the poison, and any temporary effects are ended, but the spell does not reverse instantaneous effects, such as hit point damage, temporary ability damage, or effects that don't go away on their own.&lt;/p&gt;&lt;p&gt;This spell can instead neutralize the poison in a poisonous creature or object for 10 minutes per level, at the caster's option.&lt;/p&gt;&lt;p&gt;If cast on a creature, the creature receives a Will save to negate the effect.&lt;/p&gt;</t>
  </si>
  <si>
    <t>&lt;link rel="stylesheet"href="PF.css"&gt;&lt;div class="heading"&gt;&lt;p class="alignleft"&gt;Neutralize Poison&lt;/p&gt;&lt;div style="clear: both;"&gt;&lt;/div&gt;&lt;/div&gt;&lt;div&gt;&lt;h5&gt;&lt;b&gt;School &lt;/b&gt;conjuration (healing); &lt;b&gt;Level &lt;/b&gt;bard 4, cleric 4/oracle 4, druid 3, paladin 4, ranger 3, alchemist 4, witch 4, inquisitor 4, alchemist 4, witch 4, inquisitor 4&lt;/h5&gt;&lt;/div&gt;&lt;hr/&gt;&lt;div&gt;&lt;h5&gt;&lt;b&gt;CASTING&lt;/b&gt;&lt;/h5&gt;&lt;/div&gt;&lt;hr/&gt;&lt;div&gt;&lt;h5&gt;&lt;b&gt;Casting Time &lt;/b&gt;1 standard action&lt;/h5&gt;&lt;h5&gt;&lt;b&gt;Components &lt;/b&gt;V, S, M/DF (charcoal)&lt;/h5&gt;&lt;/div&gt;&lt;hr/&gt;&lt;div&gt;&lt;h5&gt;&lt;b&gt;EFFECT&lt;/b&gt;&lt;/h5&gt;&lt;/div&gt;&lt;hr/&gt;&lt;div&gt;&lt;h5&gt;&lt;b&gt;Range &lt;/b&gt;touch&lt;/h5&gt;&lt;h5&gt;&lt;b&gt;Targets &lt;/b&gt;creature or object of up to 1 cu. ft./level touched&lt;/h5&gt;&lt;h5&gt;&lt;b&gt;Duration &lt;/b&gt;instantaneous or 10 min./level; see text&lt;/h5&gt;&lt;h5&gt;&lt;b&gt;Saving Throw &lt;/b&gt;Will negates (harmless, object); &lt;b&gt;Spell Resistance &lt;/b&gt;yes (harmless, object)&lt;/h5&gt;&lt;/div&gt;&lt;hr/&gt;&lt;div&gt;&lt;h5&gt;&lt;b&gt;DESCRIPTION&lt;/b&gt;&lt;/h5&gt;&lt;/div&gt;&lt;hr/&gt;&lt;div&gt;&lt;h4&gt;&lt;p&gt;You detoxify any sort of venom in the creature or object touched. If the target is a creature, you must make a caster level check (1d20 + caster level) against the DC of each poison affecting the target. Success means that the poison is neutralized. A cured creature suffers no additional effects from the poison, and any temporary effects are ended, but the spell does not reverse instantaneous effects, such as hit point damage, temporary ability damage, or effects that don't go away on their own.&lt;/p&gt;&lt;p&gt;This spell can instead neutralize the poison in a poisonous creature or object for 10 minutes per level, at the caster's option.&lt;/p&gt;&lt;p&gt;If cast on a creature, the creature receives a Will save to negate the effect.&lt;/p&gt;&lt;/h4&gt;&lt;/div&gt;</t>
  </si>
  <si>
    <t>Restoration</t>
  </si>
  <si>
    <t>Immunizes subject against poison, detoxifies venom in or on subject.</t>
  </si>
  <si>
    <t>Nightmare</t>
  </si>
  <si>
    <t>mind-affecting, evil</t>
  </si>
  <si>
    <t>You send a hideous and unsettling phantasmal vision to a specific creature that you name or otherwise specifically designate. The nightmare prevents restful sleep and causes 1d10 points of damage. The nightmare leaves the subject fatigued and unable to regain arcane spells for the next 24 hours. The difficulty of the save depends on your knowledge the subject and the physical connection (if any) you have to that creature. Knowledge Will Save Modifier None* +10 Secondhand (you have heard of the subject) +5 Firsthand (you have met the subject) +0 Familiar (you know the subject well) -5 *You must have some sort of connection to a creature of which you have no knowledge. Connection Will Save Modifier Likeness or picture -2 Possession or garment -4 Body part, lock of hair, bit of nail, etc. -10 Dispel evil cast on the subject while you are casting the spell dispels the nightmare and causes you to be stunned for 10 minutes per caster level of the dispel evil. If the recipient is awake when the spell begins, you can choose to cease casting (ending the spell) or to enter a trance until the recipient goes to sleep, whereupon you become alert again and complete the casting. If you are disturbed during the trance, you must succeed on a concentration check as if you were in the midst of casting a spell or the spell ends. If you choose to enter a trance, you are not aware of your surroundings or the activities around you while in the trance. You are defenseless, both physically and mentally, while in the trance. (You always fail Reflex and Will saving throws, for example.) Creatures who don't sleep (such as outsiders) or dream are immune to this spell.</t>
  </si>
  <si>
    <t>&lt;p&gt;You send a hideous and unsettling phantasmal vision to a specific creature that you name or otherwise specifically designate.&lt;/p&gt;&lt;p&gt;The &lt;i&gt;nightmare&lt;/i&gt; prevents restful sleep and causes 1d10 points of damage. The &lt;i&gt;nightmare&lt;/i&gt; leaves the subject fatigued and unable to regain arcane spells for the next 24 hours.&lt;/p&gt;&lt;p&gt;The difficulty of the save depends on your knowledge the subject and the physical connection (if any) you have to that creature.&lt;/p&gt; &lt;table border ='1'&gt;&lt;tr&gt;&lt;th&gt;&lt;table&gt;&lt;tr&gt;&lt;th&gt;Knowledge&lt;/th&gt;&lt;th&gt;Will Save Modifier&lt;/th&gt;&lt;/tr&gt;&lt;tr&gt;&lt;td&gt;None*&lt;/td&gt;&lt;td&gt;+10&lt;/td&gt;&lt;/tr&gt;&lt;tr&gt;&lt;td&gt;Secondhand (you have heard of the subject)&lt;/td&gt;&lt;td&gt;+5&lt;/td&gt;&lt;/tr&gt;&lt;tr&gt;&lt;td&gt;Firsthand (you have met the subject)&lt;/td&gt;&lt;td&gt;+0&lt;/td&gt;&lt;/tr&gt;&lt;tr&gt;&lt;td&gt;Familiar (you know the subject well)&lt;/td&gt;&lt;td&gt;-5&lt;/td&gt;&lt;/tr&gt;&lt;tr&gt;&lt;td colspan="2"&gt;*You must have some sort of connection to a creature of which you have no knowledge.&lt;/td&gt;&lt;/tr&gt;&lt;/table&gt;&lt;/td&gt;&lt;/tr&gt;&lt;/table&gt; &lt;table border ='1'&gt;&lt;tr&gt;&lt;th&gt;&lt;table&gt;&lt;tr&gt;&lt;th&gt;Connection&lt;/th&gt;&lt;th&gt;will Save Modifier&lt;/th&gt;&lt;/tr&gt;&lt;tr&gt;&lt;td&gt;Likeness or picture&lt;/td&gt;&lt;td&gt;-2&lt;/td&gt;&lt;/tr&gt;&lt;tr&gt;&lt;td&gt;Possession or garment&lt;/td&gt;&lt;td&gt;-4&lt;/td&gt;&lt;/tr&gt;&lt;tr&gt;&lt;td&gt;Body part, lock of hair, bit of nail, etc.&lt;/td&gt;&lt;td&gt;-10&lt;/td&gt;&lt;/tr&gt;&lt;/table&gt;&lt;/td&gt;&lt;/tr&gt;&lt;/table&gt; &lt;i&gt;Dispel evil&lt;/i&gt; cast on the subject while you are casting the spell dispels the &lt;i&gt;nightmare&lt;/i&gt; and causes you to be stunned for 10 minutes per caster level of the &lt;i&gt;dispel evil&lt;/i&gt;.&lt;/p&gt;&lt;p&gt;If the recipient is awake when the spell begins, you can choose to cease casting (ending the spell) or to enter a trance until the recipient goes to sleep, whereupon you become alert again and complete the casting. If you are disturbed during the trance, you must succeed on a concentration check as if you were in the midst of casting a spell or the spell ends.&lt;/p&gt;&lt;p&gt;If you choose to enter a trance, you are not aware of your surroundings or the activities around you while in the trance.&lt;/p&gt;&lt;p&gt;You are defenseless, both physically and mentally, while in the trance. (You always fail Reflex and Will saving throws, for example.) Creatures who don't sleep (such as outsiders) or dream are immune to this spell.&lt;/p&gt;</t>
  </si>
  <si>
    <t>&lt;link rel="stylesheet"href="PF.css"&gt;&lt;div class="heading"&gt;&lt;p class="alignleft"&gt;Nightmare&lt;/p&gt;&lt;div style="clear: both;"&gt;&lt;/div&gt;&lt;/div&gt;&lt;div&gt;&lt;h5&gt;&lt;b&gt;School &lt;/b&gt;illusion (phantasm) [mind-affecting, evil]; &lt;b&gt;Level &lt;/b&gt;bard 5, sorcerer/wizard 5, alchemist 5&lt;/h5&gt;&lt;/div&gt;&lt;hr/&gt;&lt;div&gt;&lt;h5&gt;&lt;b&gt;CASTING&lt;/b&gt;&lt;/h5&gt;&lt;/div&gt;&lt;hr/&gt;&lt;div&gt;&lt;h5&gt;&lt;b&gt;Casting Time &lt;/b&gt;10 minutes&lt;/h5&gt;&lt;h5&gt;&lt;b&gt;Components &lt;/b&gt;V, S&lt;/h5&gt;&lt;/div&gt;&lt;hr/&gt;&lt;div&gt;&lt;h5&gt;&lt;b&gt;EFFECT&lt;/b&gt;&lt;/h5&gt;&lt;/div&gt;&lt;hr/&gt;&lt;div&gt;&lt;h5&gt;&lt;b&gt;Range &lt;/b&gt;unlimited&lt;/h5&gt;&lt;h5&gt;&lt;b&gt;Targets &lt;/b&gt;one living creature&lt;/h5&gt;&lt;h5&gt;&lt;b&gt;Duration &lt;/b&gt;instantaneous&lt;/h5&gt;&lt;h5&gt;&lt;b&gt;Saving Throw &lt;/b&gt;Will negates; see text; &lt;b&gt;Spell Resistance &lt;/b&gt;yes&lt;/h5&gt;&lt;/div&gt;&lt;hr/&gt;&lt;div&gt;&lt;h5&gt;&lt;b&gt;DESCRIPTION&lt;/b&gt;&lt;/h5&gt;&lt;/div&gt;&lt;hr/&gt;&lt;div&gt;&lt;h4&gt;&lt;p&gt;You send a hideous and unsettling phantasmal vision to a specific creature that you name or otherwise specifically designate.&lt;/p&gt;&lt;p&gt;The &lt;i&gt;nightmare&lt;/i&gt; prevents restful sleep and causes 1d10 points of damage. The &lt;i&gt;nightmare&lt;/i&gt; leaves the subject fatigued and unable to regain arcane spells for the next 24 hours.&lt;/p&gt;&lt;p&gt;The difficulty of the save depends on your knowledge the subject and the physical connection (if any) you have to that creature.&lt;/p&gt; &lt;table border ='1'&gt;&lt;tr&gt;&lt;th&gt;Knowledge&lt;/th&gt;&lt;th&gt;Will Save Modifier&lt;/th&gt;&lt;/tr&gt;&lt;tr&gt;&lt;td&gt;None*&lt;/td&gt;&lt;td&gt;+10&lt;/td&gt;&lt;/tr&gt;&lt;tr&gt;&lt;td&gt;Secondhand (you have heard of the subject)&lt;/td&gt;&lt;td&gt;+5&lt;/td&gt;&lt;/tr&gt;&lt;tr&gt;&lt;td&gt;Firsthand (you have met the subject)&lt;/td&gt;&lt;td&gt;+0&lt;/td&gt;&lt;/tr&gt;&lt;tr&gt;&lt;td&gt;Familiar (you know the subject well)&lt;/td&gt;&lt;td&gt;-5&lt;/td&gt;&lt;/tr&gt;&lt;tr&gt;&lt;td colspan='2'&gt;*You must have some sort of connection to a creature of which you have no knowledge.&lt;/td&gt;&lt;/tr&gt;&lt;/table&gt; &lt;table border ='1'&gt;&lt;tr&gt;&lt;th&gt;Connection&lt;/th&gt;&lt;th&gt;Will Save Modifier&lt;/th&gt;&lt;/tr&gt;&lt;tr&gt;&lt;td&gt;Likeness or picture&lt;/td&gt;&lt;td&gt;-2&lt;/td&gt;&lt;/tr&gt;&lt;tr&gt;&lt;td&gt;Possession or garment&lt;/td&gt;&lt;td&gt;-4&lt;/td&gt;&lt;/tr&gt;&lt;tr&gt;&lt;td&gt;Body part, lock of hair, bit of nail, etc.&lt;/td&gt;&lt;td&gt;-10&lt;/td&gt;&lt;/tr&gt;&lt;/table&gt; &lt;i&gt;Dispel evil&lt;/i&gt; cast on the subject while you are casting the spell dispels the &lt;i&gt;nightmare&lt;/i&gt; and causes you to be stunned for 10 minutes per caster level of the &lt;i&gt;dispel evil&lt;/i&gt;.&lt;/p&gt;&lt;p&gt;If the recipient is awake when the spell begins, you can choose to cease casting (ending the spell) or to enter a trance until the recipient goes to sleep, whereupon you become alert again and complete the casting. If you are disturbed during the trance, you must succeed on a concentration check as if you were in the midst of casting a spell or the spell ends.&lt;/p&gt;&lt;p&gt;If you choose to enter a trance, you are not aware of your surroundings or the activities around you while in the trance.&lt;/p&gt;&lt;p&gt;You are defenseless, both physically and mentally, while in the trance. (You always fail Reflex and Will saving throws, for example.) Creatures who don't sleep (such as outsiders) or dream are immune to this spell.&lt;/p&gt;&lt;/h4&gt;&lt;h5&gt;&lt;b&gt;Mythic: &lt;/b&gt;The spell's damage increases to 4d6 points of damage, and the target is also shaken for 24 hours.&lt;/h5&gt;&lt;h5&gt;&lt;b&gt;Augmented (6th)&lt;/b&gt;: You can deliver a mind-affecting spell through a mythic nightmare. The maximum level of the delivered spell is equal to half your tier, and you must expend one use of mythic power for each spell level of the imbued spell in addition to the one use needed to cast mythic nightmare. You choose whether the delivered spell affects the creature immediately or when it awakens. The delivered spell affects only the target, even if it normally affects multiple creatures or an area.&lt;/h5&gt;&lt;/div&gt;</t>
  </si>
  <si>
    <t>Madness, Night</t>
  </si>
  <si>
    <t>Sends vision dealing 1d10 damage, fatigue.</t>
  </si>
  <si>
    <t>The spell's damage increases to 4d6 points of damage, and the target is also shaken for 24 hours.</t>
  </si>
  <si>
    <t>Augmented (6th): You can deliver a mind-affecting spell through a mythic nightmare. The maximum level of the delivered spell is equal to half your tier, and you must expend one use of mythic power for each spell level of the imbued spell in addition to the one use needed to cast mythic nightmare. You choose whether the delivered spell affects the creature immediately or when it awakens. The delivered spell affects only the target, even if it normally affects multiple creatures or an area.</t>
  </si>
  <si>
    <t>Nondetection</t>
  </si>
  <si>
    <t>ranger 4, sorcerer/wizard 3, alchemist 3, summoner 3, inquisitor 3, antipaladin 3</t>
  </si>
  <si>
    <t>V, S, M (diamond dust worth 50 gp)</t>
  </si>
  <si>
    <t>creature or object touched</t>
  </si>
  <si>
    <t>The warded creature or object becomes difficult to detect by divination spells such as clairaudience/clairvoyance, locate object, and detect spells. Nondetection also prevents location by such magic items as crystal balls. If a divination is attempted against the warded creature or item, the caster of the divination must succeed on a caster level check (1d20 + caster level) against a DC of 11 + the caster level of the spellcaster who cast nondetection. If you cast nondetection on yourself or on an item currently in your possession, the DC is 15 + your caster level. If cast on a creature, nondetection wards the creature's gear as well as the creature itself.</t>
  </si>
  <si>
    <t>&lt;p&gt;The warded creature or object becomes difficult to &lt;i&gt;detect&lt;/i&gt; by divination spells such as &lt;i&gt;clairaudience/clairvoyance, locate object,&lt;/i&gt; and &lt;i&gt;detect&lt;/i&gt; spells. &lt;i&gt;Nondetection&lt;/i&gt; also prevents location by such magic items as &lt;i&gt;crystal ball&lt;/i&gt;s. If a divination is attempted against the warded creature or item, the caster of the divination must succeed on a caster level check (1d20 + caster level) against a DC of 11 + the caster level of the spellcaster who cast &lt;i&gt;nondetection&lt;/i&gt;. If you cast &lt;i&gt;nondetection&lt;/i&gt; on yourself or on an item currently in your possession, the DC is 15 + your caster level.&lt;/p&gt;&lt;p&gt;If cast on a creature, &lt;i&gt;nondetection&lt;/i&gt; wards the creature's gear as well as the creature itself.&lt;/p&gt;</t>
  </si>
  <si>
    <t>&lt;link rel="stylesheet"href="PF.css"&gt;&lt;div class="heading"&gt;&lt;p class="alignleft"&gt;Nondetection&lt;/p&gt;&lt;div style="clear: both;"&gt;&lt;/div&gt;&lt;/div&gt;&lt;div&gt;&lt;h5&gt;&lt;b&gt;School &lt;/b&gt;abjuration; &lt;b&gt;Level &lt;/b&gt;ranger 4, sorcerer/wizard 3, alchemist 3, summoner 3, inquisitor 3, antipaladin 3&lt;/h5&gt;&lt;/div&gt;&lt;hr/&gt;&lt;div&gt;&lt;h5&gt;&lt;b&gt;CASTING&lt;/b&gt;&lt;/h5&gt;&lt;/div&gt;&lt;hr/&gt;&lt;div&gt;&lt;h5&gt;&lt;b&gt;Casting Time &lt;/b&gt;1 standard action&lt;/h5&gt;&lt;h5&gt;&lt;b&gt;Components &lt;/b&gt;V, S, M (diamond dust worth 50 gp)&lt;/h5&gt;&lt;/div&gt;&lt;hr/&gt;&lt;div&gt;&lt;h5&gt;&lt;b&gt;EFFECT&lt;/b&gt;&lt;/h5&gt;&lt;/div&gt;&lt;hr/&gt;&lt;div&gt;&lt;h5&gt;&lt;b&gt;Range &lt;/b&gt;touch&lt;/h5&gt;&lt;h5&gt;&lt;b&gt;Targets &lt;/b&gt;creature or object touched&lt;/h5&gt;&lt;h5&gt;&lt;b&gt;Duration &lt;/b&gt;1 hour/level&lt;/h5&gt;&lt;h5&gt;&lt;b&gt;Saving Throw &lt;/b&gt;Will negates (harmless, object); &lt;b&gt;Spell Resistance &lt;/b&gt;yes (harmless, object)&lt;/h5&gt;&lt;/div&gt;&lt;hr/&gt;&lt;div&gt;&lt;h5&gt;&lt;b&gt;DESCRIPTION&lt;/b&gt;&lt;/h5&gt;&lt;/div&gt;&lt;hr/&gt;&lt;div&gt;&lt;h4&gt;&lt;p&gt;The warded creature or object becomes difficult to &lt;i&gt;detect&lt;/i&gt; by divination spells such as &lt;i&gt;clairaudience/clairvoyance, locate object,&lt;/i&gt; and &lt;i&gt;detect&lt;/i&gt; spells. &lt;i&gt;Nondetection&lt;/i&gt; also prevents location by such magic items as &lt;i&gt;crystal ball&lt;/i&gt;s. If a divination is attempted against the warded creature or item, the caster of the divination must succeed on a caster level check (1d20 + caster level) against a DC of 11 + the caster level of the spellcaster who cast &lt;i&gt;nondetection&lt;/i&gt;. If you cast &lt;i&gt;nondetection&lt;/i&gt; on yourself or on an item currently in your possession, the DC is 15 + your caster level.&lt;/p&gt;&lt;p&gt;If cast on a creature, &lt;i&gt;nondetection&lt;/i&gt; wards the creature's gear as well as the creature itself.&lt;/p&gt;&lt;/h4&gt;&lt;/div&gt;</t>
  </si>
  <si>
    <t>Hides subject from divination, scrying.</t>
  </si>
  <si>
    <t>Obscure Object</t>
  </si>
  <si>
    <t>bard 1, cleric 3/oracle 3, sorcerer/wizard 2, inquisitor 3</t>
  </si>
  <si>
    <t>V, S, M/DF (chameleon skin)</t>
  </si>
  <si>
    <t>one object touched of up to 100 lbs./level</t>
  </si>
  <si>
    <t>8 hours</t>
  </si>
  <si>
    <t>This spell hides an object from location by divination (scrying) effects, such as the scrying spell or a crystal ball. Such an attempt automatically fails (if the divination is targeted on the object) or fails to perceive the object (if the divination is targeted on a nearby location, object, or person).</t>
  </si>
  <si>
    <t>&lt;p&gt;This spell hides an object from location by divination (&lt;i&gt;scrying&lt;/i&gt;) effects, such as the &lt;i&gt;scrying&lt;/i&gt; spell or a &lt;i&gt;crystal ball&lt;/i&gt;. Such an attempt automatically fails (if the divination is targeted on the object) or fails to perceive the object (if the divination is targeted on a nearby location, object, or person).&lt;/p&gt;</t>
  </si>
  <si>
    <t>&lt;link rel="stylesheet"href="PF.css"&gt;&lt;div class="heading"&gt;&lt;p class="alignleft"&gt;Obscure Object&lt;/p&gt;&lt;div style="clear: both;"&gt;&lt;/div&gt;&lt;/div&gt;&lt;div&gt;&lt;h5&gt;&lt;b&gt;School &lt;/b&gt;abjuration; &lt;b&gt;Level &lt;/b&gt;bard 1, cleric 3/oracle 3, sorcerer/wizard 2, inquisitor 3&lt;/h5&gt;&lt;/div&gt;&lt;hr/&gt;&lt;div&gt;&lt;h5&gt;&lt;b&gt;CASTING&lt;/b&gt;&lt;/h5&gt;&lt;/div&gt;&lt;hr/&gt;&lt;div&gt;&lt;h5&gt;&lt;b&gt;Casting Time &lt;/b&gt;1 standard action&lt;/h5&gt;&lt;h5&gt;&lt;b&gt;Components &lt;/b&gt;V, S, M/DF (chameleon skin)&lt;/h5&gt;&lt;/div&gt;&lt;hr/&gt;&lt;div&gt;&lt;h5&gt;&lt;b&gt;EFFECT&lt;/b&gt;&lt;/h5&gt;&lt;/div&gt;&lt;hr/&gt;&lt;div&gt;&lt;h5&gt;&lt;b&gt;Range &lt;/b&gt;touch&lt;/h5&gt;&lt;h5&gt;&lt;b&gt;Targets &lt;/b&gt;one object touched of up to 100 lbs./level&lt;/h5&gt;&lt;h5&gt;&lt;b&gt;Duration &lt;/b&gt;8 hours (D)&lt;/h5&gt;&lt;h5&gt;&lt;b&gt;Saving Throw &lt;/b&gt;Will negates (object); &lt;b&gt;Spell Resistance &lt;/b&gt;yes (object)&lt;/h5&gt;&lt;/div&gt;&lt;hr/&gt;&lt;div&gt;&lt;h5&gt;&lt;b&gt;DESCRIPTION&lt;/b&gt;&lt;/h5&gt;&lt;/div&gt;&lt;hr/&gt;&lt;div&gt;&lt;h4&gt;&lt;p&gt;This spell hides an object from location by divination (&lt;i&gt;scrying&lt;/i&gt;) effects, such as the &lt;i&gt;scrying&lt;/i&gt; spell or a &lt;i&gt;crystal ball&lt;/i&gt;. Such an attempt automatically fails (if the divination is targeted on the object) or fails to perceive the object (if the divination is targeted on a nearby location, object, or person).&lt;/p&gt;&lt;/h4&gt;&lt;/div&gt;</t>
  </si>
  <si>
    <t>Masks object against scrying.</t>
  </si>
  <si>
    <t>Obscuring Mist</t>
  </si>
  <si>
    <t>cleric 1/oracle 1, druid 1, sorcerer/wizard 1, witch 1, magus 1</t>
  </si>
  <si>
    <t>cloud spreads in 20-ft. radius from you, 20 ft. high</t>
  </si>
  <si>
    <t>A misty vapor arises around you. It is stationary. The vapor obscures all sight, including darkvision, beyond 5 feet. A creature 5 feet away has concealment (attacks have a 20% miss chance). Creatures farther away have total concealment (50% miss chance, and the attacker cannot use sight to locate the target). A moderate wind (11+ mph), such as from a gust of wind spell, disperses the fog in 4 rounds. A strong wind (21+ mph) disperses the fog in 1 round. A fireball, flame strike, or similar spell burns away the fog in the explosive or fiery spell's area. A wall of fire burns away the fog in the area into which it deals damage. This spell does not function underwater.</t>
  </si>
  <si>
    <t>&lt;p&gt;A misty vapor arises around you. It is stationary. The vapor obscures all sight, including darkvision, beyond 5 feet. A creature 5 feet away has concealment (attacks have a 20% miss chance). Creatures farther away have total concealment (50% miss chance, and the attacker cannot use sight to locate the target).&lt;/p&gt;&lt;p&gt;A moderate wind (11+ mph), such as from a &lt;i&gt;gust of wind&lt;/i&gt; spell, disperses the fog in 4 rounds. A strong wind (21+ mph) disperses the fog in 1 round. A &lt;i&gt;fireball, flame strike&lt;/i&gt;, or similar spell burns away the fog in the explosive or fiery spell's area. A &lt;i&gt;wall of fire&lt;/i&gt; burns away the fog in the area into which it deals damage.&lt;/p&gt;&lt;p&gt;This spell does not function underwater.&lt;/p&gt;</t>
  </si>
  <si>
    <t>&lt;link rel="stylesheet"href="PF.css"&gt;&lt;div class="heading"&gt;&lt;p class="alignleft"&gt;Obscuring Mist&lt;/p&gt;&lt;div style="clear: both;"&gt;&lt;/div&gt;&lt;/div&gt;&lt;div&gt;&lt;h5&gt;&lt;b&gt;School &lt;/b&gt;conjuration (creation); &lt;b&gt;Level &lt;/b&gt;cleric 1/oracle 1, druid 1, sorcerer/wizard 1, witch 1, magus 1&lt;/h5&gt;&lt;/div&gt;&lt;hr/&gt;&lt;div&gt;&lt;h5&gt;&lt;b&gt;CASTING&lt;/b&gt;&lt;/h5&gt;&lt;/div&gt;&lt;hr/&gt;&lt;div&gt;&lt;h5&gt;&lt;b&gt;Casting Time &lt;/b&gt;1 standard action&lt;/h5&gt;&lt;h5&gt;&lt;b&gt;Components &lt;/b&gt;V, S&lt;/h5&gt;&lt;/div&gt;&lt;hr/&gt;&lt;div&gt;&lt;h5&gt;&lt;b&gt;EFFECT&lt;/b&gt;&lt;/h5&gt;&lt;/div&gt;&lt;hr/&gt;&lt;div&gt;&lt;h5&gt;&lt;b&gt;Range &lt;/b&gt;20 ft.&lt;/h5&gt;&lt;h5&gt;&lt;b&gt;Effect &lt;/b&gt;cloud spreads in 20-ft. radius from you, 20 ft. high&lt;/h5&gt;&lt;h5&gt;&lt;b&gt;Duration &lt;/b&gt;1 min./level (D)&lt;/h5&gt;&lt;h5&gt;&lt;b&gt;Saving Throw &lt;/b&gt;none; &lt;b&gt;Spell Resistance &lt;/b&gt;no&lt;/h5&gt;&lt;/div&gt;&lt;hr/&gt;&lt;div&gt;&lt;h5&gt;&lt;b&gt;DESCRIPTION&lt;/b&gt;&lt;/h5&gt;&lt;/div&gt;&lt;hr/&gt;&lt;div&gt;&lt;h4&gt;&lt;p&gt;A misty vapor arises around you. It is stationary. The vapor obscures all sight, including darkvision, beyond 5 feet. A creature 5 feet away has concealment (attacks have a 20% miss chance). Creatures farther away have total concealment (50% miss chance, and the attacker cannot use sight to locate the target).&lt;/p&gt;&lt;p&gt;A moderate wind (11+ mph), such as from a &lt;i&gt;gust of wind&lt;/i&gt; spell, disperses the fog in 4 rounds. A strong wind (21+ mph) disperses the fog in 1 round. A &lt;i&gt;fireball, flame strike&lt;/i&gt;, or similar spell burns away the fog in the explosive or fiery spell's area. A &lt;i&gt;wall of fire&lt;/i&gt; burns away the fog in the area into which it deals damage.&lt;/p&gt;&lt;p&gt;This spell does not function underwater.&lt;/p&gt;&lt;/h4&gt;&lt;/div&gt;</t>
  </si>
  <si>
    <t>Air, Darkness, Water, Weather</t>
  </si>
  <si>
    <t>Fog surrounds you.</t>
  </si>
  <si>
    <t>Open/Close</t>
  </si>
  <si>
    <t>V, S, F (a brass key)</t>
  </si>
  <si>
    <t>object weighing up to 30 lbs. or portal that can be opened or closed</t>
  </si>
  <si>
    <t>You can open or close (your choice) a door, chest, box, window, bag, pouch, bottle, barrel, or other container. If anything resists this activity (such as a bar on a door or a lock on a chest), the spell fails. In addition, the spell can only open and close things weighing 30 pounds or less. Thus, doors, chests, and similar objects sized for enormous creatures may be beyond this spell's ability to affect.</t>
  </si>
  <si>
    <t>&lt;p&gt;You can open or close (your choice) a door, chest, box, window, bag, pouch, bottle, barrel, or other container. If anything resists this activity (such as a bar on a door or a lock on a chest), the spell fails. In addition, the spell can only open and close things weighing 30 pounds or less. Thus, doors, chests, and similar objects sized for enormous creatures may be beyond this spell's ability to affect.&lt;/p&gt;</t>
  </si>
  <si>
    <t>&lt;link rel="stylesheet"href="PF.css"&gt;&lt;div class="heading"&gt;&lt;p class="alignleft"&gt;Open/Close&lt;/p&gt;&lt;div style="clear: both;"&gt;&lt;/div&gt;&lt;/div&gt;&lt;div&gt;&lt;h5&gt;&lt;b&gt;School &lt;/b&gt;transmutation; &lt;b&gt;Level &lt;/b&gt;bard 0, sorcerer/wizard 0, summoner 0, magus 0&lt;/h5&gt;&lt;/div&gt;&lt;hr/&gt;&lt;div&gt;&lt;h5&gt;&lt;b&gt;CASTING&lt;/b&gt;&lt;/h5&gt;&lt;/div&gt;&lt;hr/&gt;&lt;div&gt;&lt;h5&gt;&lt;b&gt;Casting Time &lt;/b&gt;1 standard action&lt;/h5&gt;&lt;h5&gt;&lt;b&gt;Components &lt;/b&gt;V, S, F (a brass key)&lt;/h5&gt;&lt;/div&gt;&lt;hr/&gt;&lt;div&gt;&lt;h5&gt;&lt;b&gt;EFFECT&lt;/b&gt;&lt;/h5&gt;&lt;/div&gt;&lt;hr/&gt;&lt;div&gt;&lt;h5&gt;&lt;b&gt;Range &lt;/b&gt;close (25 ft. + 5 ft./2 levels)&lt;/h5&gt;&lt;h5&gt;&lt;b&gt;Targets &lt;/b&gt;object weighing up to 30 lbs. or portal that can be opened or closed&lt;/h5&gt;&lt;h5&gt;&lt;b&gt;Duration &lt;/b&gt;instantaneous&lt;/h5&gt;&lt;h5&gt;&lt;b&gt;Saving Throw &lt;/b&gt;Will negates (object); &lt;b&gt;Spell Resistance &lt;/b&gt;yes (object)&lt;/h5&gt;&lt;/div&gt;&lt;hr/&gt;&lt;div&gt;&lt;h5&gt;&lt;b&gt;DESCRIPTION&lt;/b&gt;&lt;/h5&gt;&lt;/div&gt;&lt;hr/&gt;&lt;div&gt;&lt;h4&gt;&lt;p&gt;You can open or close (your choice) a door, chest, box, window, bag, pouch, bottle, barrel, or other container. If anything resists this activity (such as a bar on a door or a lock on a chest), the spell fails. In addition, the spell can only open and close things weighing 30 pounds or less. Thus, doors, chests, and similar objects sized for enormous creatures may be beyond this spell's ability to affect.&lt;/p&gt;&lt;/h4&gt;&lt;/div&gt;</t>
  </si>
  <si>
    <t>Opens or closes small or light things.</t>
  </si>
  <si>
    <t>Order's Wrath</t>
  </si>
  <si>
    <t>nonlawful creatures within a burst that fills a 30-ft. cube</t>
  </si>
  <si>
    <t>You channel lawful power to smite enemies. The power takes the form of a three-dimensional grid of energy. Only chaotic and neutral (not lawful) creatures are harmed by the spell. The spell deals 1d8 points of damage per two caster levels (maximum 5d8) to chaotic creatures (or 1d6 points of damage per caster level, maximum 10d6, to chaotic outsiders) and causes them to be dazed for 1 round. A successful Will save reduces the damage to half and negates the daze effect. The spell deals only half damage to creatures who are neither chaotic nor lawful, and they are not dazed. They can reduce the damage in half again (down to one-quarter of the roll) with a successful Will save.</t>
  </si>
  <si>
    <t>&lt;p&gt;You channel lawful power to smite enemies. The power takes the form of a three-dimensional grid of energy. Only chaotic and neutral (not lawful) creatures are harmed by the spell.&lt;/p&gt;&lt;p&gt;The spell deals 1d8 points of damage per two caster levels (maximum 5d8) to chaotic creatures (or 1d6 points of damage per caster level, maximum 10d6, to chaotic outsiders) and causes them to be dazed for 1 round. A successful Will save reduces the damage to half and negates the daze effect.&lt;/p&gt;&lt;p&gt;The spell deals only half damage to creatures who are neither chaotic nor lawful, and they are not dazed. They can reduce the damage in half again (down to one-quarter of the roll) with a successful Will save.&lt;/p&gt;</t>
  </si>
  <si>
    <t>&lt;link rel="stylesheet"href="PF.css"&gt;&lt;div class="heading"&gt;&lt;p class="alignleft"&gt;Order's Wrath&lt;/p&gt;&lt;div style="clear: both;"&gt;&lt;/div&gt;&lt;/div&gt;&lt;div&gt;&lt;h5&gt;&lt;b&gt;School &lt;/b&gt;evocation [lawful]; &lt;b&gt;Level &lt;/b&gt;cleric/oracle 4, inquisitor 4&lt;/h5&gt;&lt;/div&gt;&lt;hr/&gt;&lt;div&gt;&lt;h5&gt;&lt;b&gt;CASTING&lt;/b&gt;&lt;/h5&gt;&lt;/div&gt;&lt;hr/&gt;&lt;div&gt;&lt;h5&gt;&lt;b&gt;Casting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ft./level)&lt;/h5&gt;&lt;h5&gt;&lt;b&gt;Area &lt;/b&gt;nonlawful creatures within a burst that fills a 30-ft. cube&lt;/h5&gt;&lt;h5&gt;&lt;b&gt;Duration &lt;/b&gt;instantaneous (1 round); see text&lt;/h5&gt;&lt;h5&gt;&lt;b&gt;Saving Throw &lt;/b&gt;Will partial; see text; &lt;b&gt;Spell Resistance &lt;/b&gt;yes&lt;/h5&gt;&lt;/div&gt;&lt;hr/&gt;&lt;div&gt;&lt;h5&gt;&lt;b&gt;DESCRIPTION&lt;/b&gt;&lt;/h5&gt;&lt;/div&gt;&lt;hr/&gt;&lt;div&gt;&lt;h4&gt;&lt;p&gt;You channel lawful power to smite enemies. The power takes the form of a three-dimensional grid of energy. Only chaotic and neutral (not lawful) creatures are harmed by the spell.&lt;/p&gt;&lt;p&gt;The spell deals 1d8 points of damage per two caster levels (maximum 5d8) to chaotic creatures (or 1d6 points of damage per caster level, maximum 10d6, to chaotic outsiders) and causes them to be dazed for 1 round. A successful Will save reduces the damage to half and negates the daze effect.&lt;/p&gt;&lt;p&gt;The spell deals only half damage to creatures who are neither chaotic nor lawful, and they are not dazed. They can reduce the damage in half again (down to one-quarter of the roll) with a successful Will save.&lt;/p&gt;&lt;/h4&gt;&lt;h5&gt;&lt;b&gt;Mythic: &lt;/b&gt;The damage dealt to chaotic outsiders increases to 1d10 points of damage per caster level (maximum 10d10) and the damage to other chaotic creatures increases to 1d12 points of damage per 2 caster levels (maximum 5d12). The duration that creatures in the area are dazed increases to 2 rounds. Chaotic creatures that succeed at their saves are dazed for 1 round.&lt;/h5&gt;&lt;/div&gt;</t>
  </si>
  <si>
    <t> Harms and dazes chaotic creatures (1d8 damage/2 levels).</t>
  </si>
  <si>
    <t>The damage dealt to chaotic outsiders increases to 1d10 points of damage per caster level (maximum 10d10) and the damage to other chaotic creatures increases to 1d12 points of damage per 2 caster levels (maximum 5d12). The duration that creatures in the area are dazed increases to 2 rounds. Chaotic creatures that succeed at their saves are dazed for 1 round.</t>
  </si>
  <si>
    <t>Overland Flight</t>
  </si>
  <si>
    <t>sorcerer/wizard 5, alchemist 5, summoner 4, witch 5, magus 5</t>
  </si>
  <si>
    <t>This spell functions like a fly spell, except you can fly at a speed of 40 feet (30 feet if wearing medium or heavy armor, or if carrying a medium or heavy load) with a bonus on Fly skill checks equal to half your caster level. When using this spell for long-distance movement, you can hustle without taking nonlethal damage (a forced march still requires Constitution checks). This means you can cover 64 miles in an 8-hour period of flight (or 48 miles at a speed of 30 feet).</t>
  </si>
  <si>
    <t>&lt;p&gt;This spell functions like a &lt;i&gt;fly&lt;/i&gt; spell, except you can &lt;i&gt;fly&lt;/i&gt; at a speed of 40 feet (30 feet if wearing medium or heavy armor, or if carrying a medium or heavy load) with a bonus on Fly skill checks equal to half your caster level. When using this spell for long-distance movement, you can hustle without taking nonlethal damage (a forced march still requires Constitution checks). This means you can cover 64 miles in an 8-hour period of flight (or 48 miles at a speed of 30 feet).&lt;/p&gt;</t>
  </si>
  <si>
    <t>&lt;link rel="stylesheet"href="PF.css"&gt;&lt;div class="heading"&gt;&lt;p class="alignleft"&gt;Overland Flight&lt;/p&gt;&lt;div style="clear: both;"&gt;&lt;/div&gt;&lt;/div&gt;&lt;div&gt;&lt;h5&gt;&lt;b&gt;School &lt;/b&gt;transmutation; &lt;b&gt;Level &lt;/b&gt;sorcerer/wizard 5, alchemist 5, summoner 4, witch 5, magus 5&lt;/h5&gt;&lt;/div&gt;&lt;hr/&gt;&lt;div&gt;&lt;h5&gt;&lt;b&gt;CASTING&lt;/b&gt;&lt;/h5&gt;&lt;/div&gt;&lt;hr/&gt;&lt;div&gt;&lt;h5&gt;&lt;b&gt;Casting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hour/level&lt;/h5&gt;&lt;/div&gt;&lt;hr/&gt;&lt;div&gt;&lt;h5&gt;&lt;b&gt;DESCRIPTION&lt;/b&gt;&lt;/h5&gt;&lt;/div&gt;&lt;hr/&gt;&lt;div&gt;&lt;h4&gt;&lt;p&gt;This spell functions like a &lt;i&gt;fly&lt;/i&gt; spell, except you can &lt;i&gt;fly&lt;/i&gt; at a speed of 40 feet (30 feet if wearing medium or heavy armor, or if carrying a medium or heavy load) with a bonus on Fly skill checks equal to half your caster level. When using this spell for long-distance movement, you can hustle without taking nonlethal damage (a forced march still requires Constitution checks). This means you can cover 64 miles in an 8-hour period of flight (or 48 miles at a speed of 30 feet).&lt;/p&gt;&lt;/h4&gt;&lt;/div&gt;</t>
  </si>
  <si>
    <t> You fly at a speed of 40 ft. and can hustle over long distances.</t>
  </si>
  <si>
    <t>Arcane, Djinni, Starsoul, Stormborn</t>
  </si>
  <si>
    <t>Owl's Wisdom</t>
  </si>
  <si>
    <t>cleric 2/oracle 2, druid 2, paladin 2, ranger 2, sorcerer/wizard 2, alchemist 2, summoner 2</t>
  </si>
  <si>
    <t>V, S, M/DF (feathers or droppings from an owl)</t>
  </si>
  <si>
    <t>The transmuted creature becomes wiser. The spell grants a +4 enhancement bonus to Wisdom, adding the usual benefit to Wisdom-related skills. Clerics, druids, and rangers (and other Wisdom-based spellcasters) who receive owl's wisdom do not gain any additional bonus spells for the increased Wisdom, but the save DCs for their spells increase.</t>
  </si>
  <si>
    <t>&lt;p&gt;The transmuted creature becomes wiser. The spell grants a +4 enhancement bonus to Wisdom, adding the usual benefit to Wisdom-related skills. Clerics, druids, and rangers (and other Wisdom-based spellcasters) who receive owl's wisdom do not gain any additional bonus spells for the increased Wisdom, but the save DCs for their spells increase.&lt;/p&gt;</t>
  </si>
  <si>
    <t>&lt;link rel="stylesheet"href="PF.css"&gt;&lt;div class="heading"&gt;&lt;p class="alignleft"&gt;Owl's Wisdom&lt;/p&gt;&lt;div style="clear: both;"&gt;&lt;/div&gt;&lt;/div&gt;&lt;div&gt;&lt;h5&gt;&lt;b&gt;School &lt;/b&gt;transmutation; &lt;b&gt;Level &lt;/b&gt;cleric 2/oracle 2, druid 2, paladin 2, ranger 2, sorcerer/wizard 2, alchemist 2, summoner 2, alchemist 2, summoner 2&lt;/h5&gt;&lt;/div&gt;&lt;hr/&gt;&lt;div&gt;&lt;h5&gt;&lt;b&gt;CASTING&lt;/b&gt;&lt;/h5&gt;&lt;/div&gt;&lt;hr/&gt;&lt;div&gt;&lt;h5&gt;&lt;b&gt;Casting Time &lt;/b&gt;1 standard action&lt;/h5&gt;&lt;h5&gt;&lt;b&gt;Components &lt;/b&gt;V, S, M/DF (feathers or droppings from an owl)&lt;/h5&gt;&lt;/div&gt;&lt;hr/&gt;&lt;div&gt;&lt;h5&gt;&lt;b&gt;EFFECT&lt;/b&gt;&lt;/h5&gt;&lt;/div&gt;&lt;hr/&gt;&lt;div&gt;&lt;h5&gt;&lt;b&gt;Range &lt;/b&gt;touch&lt;/h5&gt;&lt;h5&gt;&lt;b&gt;Targets &lt;/b&gt;creature touched&lt;/h5&gt;&lt;h5&gt;&lt;b&gt;Duration &lt;/b&gt;1 min./level&lt;/h5&gt;&lt;h5&gt;&lt;b&gt;Saving Throw &lt;/b&gt;Will negates (harmless); &lt;b&gt;Spell Resistance &lt;/b&gt;yes&lt;/h5&gt;&lt;/div&gt;&lt;hr/&gt;&lt;div&gt;&lt;h5&gt;&lt;b&gt;DESCRIPTION&lt;/b&gt;&lt;/h5&gt;&lt;/div&gt;&lt;hr/&gt;&lt;div&gt;&lt;h4&gt;&lt;p&gt;The transmuted creature becomes wiser. The spell grants a +4 enhancement bonus to Wisdom, adding the usual benefit to Wisdom-related skills. Clerics, druids, and rangers (and other Wisdom-based spellcasters) who receive owl's wisdom do not gain any additional bonus spells for the increased Wisdom, but the save DCs for their spells increase.&lt;/p&gt;&lt;/h4&gt;&lt;/div&gt;</t>
  </si>
  <si>
    <t>Subject gains +4 to Wis for 1 min./level.</t>
  </si>
  <si>
    <t>Moon, Wisdom</t>
  </si>
  <si>
    <t>Owl's Wisdom, Mass</t>
  </si>
  <si>
    <t>cleric 6/oracle 6, druid 6, sorcerer/wizard 6, summoner 4</t>
  </si>
  <si>
    <t>This spell functions like owl's wisdom, except that it affects multiple creatures.</t>
  </si>
  <si>
    <t>&lt;p&gt;This spell functions like &lt;i&gt;owl's wisdom&lt;/i&gt;, except that it affects multiple creatures.&lt;/p&gt;</t>
  </si>
  <si>
    <t>&lt;link rel="stylesheet"href="PF.css"&gt;&lt;div class="heading"&gt;&lt;p class="alignleft"&gt;Owl's Wisdom, Mass&lt;/p&gt;&lt;div style="clear: both;"&gt;&lt;/div&gt;&lt;/div&gt;&lt;div&gt;&lt;h5&gt;&lt;b&gt;School &lt;/b&gt;transmutation; &lt;b&gt;Level &lt;/b&gt;cleric 6/oracle 6, druid 6, sorcerer/wizard 6, summoner 4&lt;/h5&gt;&lt;/div&gt;&lt;hr/&gt;&lt;div&gt;&lt;h5&gt;&lt;b&gt;CASTING&lt;/b&gt;&lt;/h5&gt;&lt;/div&gt;&lt;hr/&gt;&lt;div&gt;&lt;h5&gt;&lt;b&gt;Casting Time &lt;/b&gt;1 standard action&lt;/h5&gt;&lt;h5&gt;&lt;b&gt;Components &lt;/b&gt;V, S, M/DF (feathers or droppings from an owl)&lt;/h5&gt;&lt;/div&gt;&lt;hr/&gt;&lt;div&gt;&lt;h5&gt;&lt;b&gt;EFFECT&lt;/b&gt;&lt;/h5&gt;&lt;/div&gt;&lt;hr/&gt;&lt;div&gt;&lt;h5&gt;&lt;b&gt;Range &lt;/b&gt;close (25 ft. + 5 ft./2 levels)&lt;/h5&gt;&lt;h5&gt;&lt;b&gt;Targets &lt;/b&gt;one creature/level, no two of which can be more than 30 ft. apart&lt;/h5&gt;&lt;h5&gt;&lt;b&gt;Duration &lt;/b&gt;1 min./level&lt;/h5&gt;&lt;h5&gt;&lt;b&gt;Saving Throw &lt;/b&gt;Will negates (harmless); &lt;b&gt;Spell Resistance &lt;/b&gt;yes&lt;/h5&gt;&lt;/div&gt;&lt;hr/&gt;&lt;div&gt;&lt;h5&gt;&lt;b&gt;DESCRIPTION&lt;/b&gt;&lt;/h5&gt;&lt;/div&gt;&lt;hr/&gt;&lt;div&gt;&lt;h4&gt;&lt;p&gt;This spell functions like &lt;i&gt;owl's wisdom&lt;/i&gt;, except that it affects multiple creatures.&lt;/p&gt;&lt;/h4&gt;&lt;/div&gt;</t>
  </si>
  <si>
    <t>As owl’s wisdom, affects 1 subject/level.</t>
  </si>
  <si>
    <t>Passwall</t>
  </si>
  <si>
    <t>V, S, M (sesame seeds)</t>
  </si>
  <si>
    <t>5-ft.-by-8-ft. opening, 10 ft. deep plus 5 ft. deep per three additional levels</t>
  </si>
  <si>
    <t>You create a passage through wooden, plaster, or stone walls, but not through metal or other harder materials. The passage is 10 feet deep plus an additional 5 feet deep per three caster levels above 9th (15 feet at 12th, 20 feet at 15th, and a maximum of 25 feet deep at 18th level). If the wall's thickness is more than the depth of the passage created, then a single passwall simply makes a niche or short tunnel. Several passwall spells can then form a continuing passage to breach very thick walls. When passwall ends, creatures within the passage are ejected out the nearest exit. If someone dispels the passwall or you dismiss it, creatures in the passage are ejected out the far exit, if there is one, or out the sole exit if there is only one.</t>
  </si>
  <si>
    <t>&lt;p&gt;You create a passage through wooden, plaster, or stone walls, but not through metal or other harder materials. The passage is 10 feet deep plus an additional 5 feet deep per three caster levels above 9th (15 feet at 12th, 20 feet at 15th, and a maximum of 25 feet deep at 18th level). If the wall's thickness is more than the depth of the passage created, then a single &lt;i&gt;passwall&lt;/i&gt; simply makes a niche or short tunnel. Several &lt;i&gt;passwall&lt;/i&gt; spells can then form a continuing passage to breach very thick walls. When &lt;i&gt;passwall&lt;/i&gt; ends, creatures within the passage are ejected out the nearest exit. If someone dispels the &lt;i&gt;passwall&lt;/i&gt; or you dismiss it, creatures in the passage are ejected out the far exit, if there is one, or out the sole exit if there is only one.&lt;/p&gt;</t>
  </si>
  <si>
    <t>&lt;link rel="stylesheet"href="PF.css"&gt;&lt;div class="heading"&gt;&lt;p class="alignleft"&gt;Passwall&lt;/p&gt;&lt;div style="clear: both;"&gt;&lt;/div&gt;&lt;/div&gt;&lt;div&gt;&lt;h5&gt;&lt;b&gt;School &lt;/b&gt;transmutation; &lt;b&gt;Level &lt;/b&gt;sorcerer/wizard 5&lt;/h5&gt;&lt;/div&gt;&lt;hr/&gt;&lt;div&gt;&lt;h5&gt;&lt;b&gt;CASTING&lt;/b&gt;&lt;/h5&gt;&lt;/div&gt;&lt;hr/&gt;&lt;div&gt;&lt;h5&gt;&lt;b&gt;Casting Time &lt;/b&gt;1 standard action&lt;/h5&gt;&lt;h5&gt;&lt;b&gt;Components &lt;/b&gt;V, S, M (sesame seeds)&lt;/h5&gt;&lt;/div&gt;&lt;hr/&gt;&lt;div&gt;&lt;h5&gt;&lt;b&gt;EFFECT&lt;/b&gt;&lt;/h5&gt;&lt;/div&gt;&lt;hr/&gt;&lt;div&gt;&lt;h5&gt;&lt;b&gt;Range &lt;/b&gt;touch&lt;/h5&gt;&lt;h5&gt;&lt;b&gt;Effect &lt;/b&gt;5-ft.-by-8-ft. opening, 10 ft. deep plus 5 ft. deep per three additional levels&lt;/h5&gt;&lt;h5&gt;&lt;b&gt;Duration &lt;/b&gt;1 hour/level (D)&lt;/h5&gt;&lt;h5&gt;&lt;b&gt;Saving Throw &lt;/b&gt;none; &lt;b&gt;Spell Resistance &lt;/b&gt;no&lt;/h5&gt;&lt;/div&gt;&lt;hr/&gt;&lt;div&gt;&lt;h5&gt;&lt;b&gt;DESCRIPTION&lt;/b&gt;&lt;/h5&gt;&lt;/div&gt;&lt;hr/&gt;&lt;div&gt;&lt;h4&gt;&lt;p&gt;You create a passage through wooden, plaster, or stone walls, but not through metal or other harder materials. The passage is 10 feet deep plus an additional 5 feet deep per three caster levels above 9th (15 feet at 12th, 20 feet at 15th, and a maximum of 25 feet deep at 18th level). If the wall's thickness is more than the depth of the passage created, then a single &lt;i&gt;passwall&lt;/i&gt; simply makes a niche or short tunnel. Several &lt;i&gt;passwall&lt;/i&gt; spells can then form a continuing passage to breach very thick walls. When &lt;i&gt;passwall&lt;/i&gt; ends, creatures within the passage are ejected out the nearest exit. If someone dispels the &lt;i&gt;passwall&lt;/i&gt; or you dismiss it, creatures in the passage are ejected out the far exit, if there is one, or out the sole exit if there is only one.&lt;/p&gt;&lt;/h4&gt;&lt;/div&gt;</t>
  </si>
  <si>
    <t> Creates passage through wood or stone wall.</t>
  </si>
  <si>
    <t>Pass without Trace</t>
  </si>
  <si>
    <t>one creature/level touched</t>
  </si>
  <si>
    <t>The subject or subjects of this spell do not leave footprints or a scent trail while moving. Tracking the subjects is impossible by nonmagical means.</t>
  </si>
  <si>
    <t>&lt;p&gt;The subject or subjects of this spell do not leave footprints or a scent trail while moving. Tracking the subjects is impossible by nonmagical means.&lt;/p&gt;</t>
  </si>
  <si>
    <t>&lt;link rel="stylesheet"href="PF.css"&gt;&lt;div class="heading"&gt;&lt;p class="alignleft"&gt;Pass without Trace&lt;/p&gt;&lt;div style="clear: both;"&gt;&lt;/div&gt;&lt;/div&gt;&lt;div&gt;&lt;h5&gt;&lt;b&gt;School &lt;/b&gt;transmutation; &lt;b&gt;Level &lt;/b&gt;druid 1, ranger 1&lt;/h5&gt;&lt;/div&gt;&lt;hr/&gt;&lt;div&gt;&lt;h5&gt;&lt;b&gt;CASTING&lt;/b&gt;&lt;/h5&gt;&lt;/div&gt;&lt;hr/&gt;&lt;div&gt;&lt;h5&gt;&lt;b&gt;Casting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&lt;/b&gt;one creature/level touched&lt;/h5&gt;&lt;h5&gt;&lt;b&gt;Duration &lt;/b&gt;1 hour/level (D)&lt;/h5&gt;&lt;h5&gt;&lt;b&gt;Saving Throw &lt;/b&gt;Will negates (harmless); &lt;b&gt;Spell Resistance &lt;/b&gt;yes (harmless)&lt;/h5&gt;&lt;/div&gt;&lt;hr/&gt;&lt;div&gt;&lt;h5&gt;&lt;b&gt;DESCRIPTION&lt;/b&gt;&lt;/h5&gt;&lt;/div&gt;&lt;hr/&gt;&lt;div&gt;&lt;h4&gt;&lt;p&gt;The subject or subjects of this spell do not leave footprints or a scent trail while moving. Tracking the subjects is impossible by nonmagical means.&lt;/p&gt;&lt;/h4&gt;&lt;/div&gt;</t>
  </si>
  <si>
    <t>One subject/level leaves no tracks.</t>
  </si>
  <si>
    <t>Permanency</t>
  </si>
  <si>
    <t>2 rounds</t>
  </si>
  <si>
    <t>V, S, M (see tables below)</t>
  </si>
  <si>
    <t>This spell makes the duration of certain other spells permanent. You first cast the desired spell and then follow it with the permanency spell. Depending on the spell, you must be of a minimum caster level and must expend a specific gp value of diamond dust as a material component. You can make the following spells permanent in regard to yourself. Spell M inimum Caster Level GP Cost Arcane sight 11th 7,500 gp Comprehend languages 9th 2,500 gp Darkvision 10th 5,000 gp Detect magic 9th 2,500 gp Read magic 9th 2,500 gp See invisibility 10th 5,000 gp Tongues 11th 7,500 gp You cannot cast these spells on other creatures. This application of permanency can be dispelled only by a caster of higher level than you were when you cast the spell. In addition to personal use, permanency can be used to make the following spells permanent on yourself, another creature, or an object (as appropriate). Spell M inimum Caster Level GP Cost Enlarge person 9th 2,500 gp Magic fang 9th 2,500 gp Magic fang, greater 11th 7,500 gp Reduce person 9th 2,500 gp Resistance 9th 2,500 gp Telepathic bond* 13th 12,500 gp *Only bonds two creatures per casting of permanency. Additionally, the following spells can be cast upon objects or areas only and rendered permanent. Spell M inimum Caster Level GP Cost Alarm 9th 2,500 gp Animate objects 14th 15,000 gp Dancing lights 9th 2,500 gp Ghost sound 9th 2,500 gp Gust of wind 11th 7,500 gp Invisibility 10th 5,000 gp Mage's private sanctum 13th 12,500 gp Magic mouth 10th 5,000 gp Phase door 15th 17,500 gp Prismatic sphere 17th 22,500 gp Prismatic wall 16th 20,000 gp Shrink item 11th 7,500 gp Solid fog 12th 10,000 gp Stinking cloud 11th 7,500 gp Symbol of death 16th 20,000 gp Symbol of fear 14th 15,000 gp Symbol of insanity 16th 20,000 gp Symbol of pain 13th 12,500 gp Symbol of persuasion 14th 15,000 gp Symbol of sleep 16th 20,000 gp Symbol of stunning 15th 17,500 gp Symbol of weakness 15th 17,500 gp Teleportation circle 17th 22,500 gp Wall of fire 12th 10,000 gp Wall of force 13th 12,500 gp Web 10th 5,000 gp Spells cast on other targets are vulnerable to dispel magic as normal. The GM may allow other spells to be made permanent.</t>
  </si>
  <si>
    <t>&lt;p&gt;This spell makes the duration of certain other spells permanent.&lt;/p&gt;&lt;p&gt;You first cast the desired spell and then follow it with the &lt;i&gt;permanency&lt;/i&gt; spell.&lt;/p&gt;&lt;p&gt;Depending on the spell, you must be of a minimum caster level and must expend a specific gp value of diamond dust as a material component.&lt;/p&gt;&lt;p&gt;You can make the following spells permanent in regard to yourself.&lt;/p&gt;&lt;p&gt; &lt;table&gt;&lt;tr&gt;&lt;th&gt;Spell&lt;/th&gt;&lt;th&gt;Minimum Caster Level&lt;/th&gt;&lt;th&gt;GP Cost&lt;/th&gt;&lt;/tr&gt;&lt;tr&gt;&lt;td&gt;&lt;i&gt;Arcane sight&lt;/i&gt;&lt;/td&gt;&lt;td&gt;11th&lt;/td&gt;&lt;td&gt;7,500 gp&lt;/td&gt;&lt;/tr&gt;&lt;tr&gt;&lt;td&gt;&lt;i&gt;Comprehend languages&lt;/i&gt;&lt;/td&gt;&lt;td&gt;9th&lt;/td&gt;&lt;td&gt;2,500 gp&lt;/td&gt;&lt;/tr&gt;&lt;tr&gt;&lt;td&gt;&lt;i&gt;Darkvision&lt;/i&gt;&lt;/td&gt;&lt;td&gt;10th&lt;/td&gt;&lt;td&gt;5,000 gp&lt;/td&gt;&lt;/tr&gt;&lt;tr&gt;&lt;td&gt;&lt;i&gt;Detect magic&lt;/i&gt;&lt;/td&gt;&lt;td&gt;9th&lt;/td&gt;&lt;td&gt;2,500 gp&lt;/td&gt;&lt;/tr&gt;&lt;tr&gt;&lt;td&gt;&lt;i&gt;Read magic&lt;/i&gt;&lt;/td&gt;&lt;td&gt;9th&lt;/td&gt;&lt;td&gt;2,500 gp&lt;/td&gt;&lt;/tr&gt;&lt;tr&gt;&lt;td&gt;&lt;i&gt;See invisibility&lt;/i&gt;&lt;/td&gt;&lt;td&gt;10th&lt;/td&gt;&lt;td&gt;5,000 gp&lt;/td&gt;&lt;/tr&gt;&lt;tr&gt;&lt;td&gt;&lt;i&gt;Tongues&lt;/i&gt;&lt;/td&gt;&lt;td&gt;11th&lt;/td&gt;&lt;td&gt;7,500 gp&lt;/td&gt;&lt;/tr&gt;&lt;/table&gt; You cannot cast these spells on other creatures. This application of &lt;i&gt;permanency&lt;/i&gt; can be dispelled only by a caster of higher level than you were when you cast the spell.&lt;/p&gt;&lt;p&gt;In addition to personal use, &lt;i&gt;permanency&lt;/i&gt; can be used to make the following spells permanent on yourself, another creature, or an object (as appropriate).&lt;/p&gt;&lt;p&gt; &lt;table&gt;&lt;tr&gt;&lt;th&gt;Spell&lt;/th&gt;&lt;th&gt;Minimum Caster Level&lt;/th&gt;&lt;th&gt;GP Cost&lt;/th&gt;&lt;/tr&gt;&lt;tr&gt;&lt;td&gt;&lt;i&gt;Enlarge person&lt;/i&gt;&lt;/td&gt;&lt;td&gt;9th&lt;/td&gt;&lt;td&gt;2,500 gp&lt;/td&gt;&lt;/tr&gt;&lt;tr&gt;&lt;td&gt;&lt;i&gt;Magic fang&lt;/i&gt;&lt;/td&gt;&lt;td&gt;9th&lt;/td&gt;&lt;td&gt;2,500 gp&lt;/td&gt;&lt;/tr&gt;&lt;tr&gt;&lt;td&gt;&lt;i&gt;Magic fang, greater&lt;/i&gt;&lt;/td&gt;&lt;td&gt;11th&lt;/td&gt;&lt;td&gt;7,500 gp&lt;/td&gt;&lt;/tr&gt;&lt;tr&gt;&lt;td&gt;&lt;i&gt;Reduce person&lt;/i&gt;&lt;/td&gt;&lt;td&gt;9th&lt;/td&gt;&lt;td&gt;2,500 gp&lt;/td&gt;&lt;/tr&gt;&lt;tr&gt;&lt;td&gt;&lt;i&gt;Resistance&lt;/i&gt;&lt;/td&gt;&lt;td&gt;9th&lt;/td&gt;&lt;td&gt;2,500 gp&lt;/td&gt;&lt;/tr&gt;&lt;tr&gt;&lt;td&gt;&lt;i&gt;Telepathic bond&lt;/i&gt;*&lt;/td&gt;&lt;td&gt;13th&lt;/td&gt;&lt;td&gt;12,500 gp&lt;/td&gt;&lt;/tr&gt;&lt;tr&gt;&lt;td colspan="2"&gt;*Only bonds two creatures per casting of &lt;i&gt;permanency&lt;/i&gt;.&lt;/td&gt;&lt;/tr&gt;&lt;/table&gt; &lt;/p&gt;&lt;p&gt;Additionally, the following spells can be cast upon objects or areas only and rendered permanent.&lt;/p&gt;&lt;p&gt; &lt;table&gt;&lt;tr&gt;&lt;th&gt;Spell&lt;/th&gt;&lt;th&gt;Minimum Caster Level&lt;/th&gt;&lt;th&gt;GP Cost&lt;/th&gt;&lt;/tr&gt;&lt;tr&gt;&lt;td&gt;&lt;i&gt;Alarm&lt;/i&gt;&lt;/td&gt;&lt;td&gt;9th&lt;/td&gt;&lt;td&gt;2,500 gp&lt;/td&gt;&lt;/tr&gt;&lt;tr&gt;&lt;td&gt;&lt;i&gt;Animate objects&lt;/i&gt;&lt;/td&gt;&lt;td&gt;14th&lt;/td&gt;&lt;td&gt;15,000 gp&lt;/td&gt;&lt;/tr&gt;&lt;tr&gt;&lt;td&gt;&lt;i&gt;Dancing lights&lt;/i&gt;&lt;/td&gt;&lt;td&gt;9th&lt;/td&gt;&lt;td&gt;2,500 gp&lt;/td&gt;&lt;/tr&gt;&lt;tr&gt;&lt;td&gt;&lt;i&gt;Ghost sound&lt;/i&gt;&lt;/td&gt;&lt;td&gt;9th&lt;/td&gt;&lt;td&gt;2,500 gp&lt;/td&gt;&lt;/tr&gt;&lt;tr&gt;&lt;td&gt;&lt;i&gt;Gust of wind&lt;/i&gt;&lt;/td&gt;&lt;td&gt;11th&lt;/td&gt;&lt;td&gt;7,500 gp&lt;/td&gt;&lt;/tr&gt;&lt;tr&gt;&lt;td&gt;&lt;i&gt;Invisibility&lt;/i&gt;&lt;/td&gt;&lt;td&gt;10th&lt;/td&gt;&lt;td&gt;5,000 gp&lt;/td&gt;&lt;/tr&gt;&lt;tr&gt;&lt;td&gt;&lt;i&gt;Mage's private sanctum&lt;/i&gt;&lt;/td&gt;&lt;td&gt;13th&lt;/td&gt;&lt;td&gt;12,500 gp&lt;/td&gt;&lt;/tr&gt;&lt;tr&gt;&lt;td&gt;&lt;i&gt;Magic mouth&lt;/i&gt;&lt;/td&gt;&lt;td&gt;10th&lt;/td&gt;&lt;td&gt;5,000 gp&lt;/td&gt;&lt;/tr&gt;&lt;tr&gt;&lt;td&gt;&lt;i&gt;Phase door&lt;/i&gt;&lt;/td&gt;&lt;td&gt;15th&lt;/td&gt;&lt;td&gt;17,500 gp&lt;/td&gt;&lt;/tr&gt;&lt;tr&gt;&lt;td&gt;&lt;i&gt;Prismatic sphere&lt;/i&gt;&lt;/td&gt;&lt;td&gt;17th&lt;/td&gt;&lt;td&gt;22,500 gp&lt;/td&gt;&lt;/tr&gt;&lt;tr&gt;&lt;td&gt;&lt;i&gt;Prismatic wall&lt;/i&gt;&lt;/td&gt;&lt;td&gt;16th&lt;/td&gt;&lt;td&gt;20,000 gp&lt;/td&gt;&lt;/tr&gt;&lt;tr&gt;&lt;td&gt;&lt;i&gt;Shrink item&lt;/i&gt;&lt;/td&gt;&lt;td&gt;11th&lt;/td&gt;&lt;td&gt;7,500 gp&lt;/td&gt;&lt;/tr&gt;&lt;tr&gt;&lt;td&gt;&lt;i&gt;Solid fog&lt;/i&gt;&lt;/td&gt;&lt;td&gt;12th&lt;/td&gt;&lt;td&gt;10,000 gp&lt;/td&gt;&lt;/tr&gt;&lt;tr&gt;&lt;td&gt;&lt;i&gt;Stinking cloud&lt;/i&gt;&lt;/td&gt;&lt;td&gt;11th&lt;/td&gt;&lt;td&gt;7,500 gp&lt;/td&gt;&lt;/tr&gt;&lt;tr&gt;&lt;td&gt;&lt;i&gt;Symbol of death&lt;/i&gt;&lt;/td&gt;&lt;td&gt;16th&lt;/td&gt;&lt;td&gt;20,000 gp&lt;/td&gt;&lt;/tr&gt;&lt;tr&gt;&lt;td&gt;&lt;i&gt;Symbol of fear&lt;/i&gt;&lt;/td&gt;&lt;td&gt;14th&lt;/td&gt;&lt;td&gt;15,000 gp&lt;/td&gt;&lt;/tr&gt;&lt;tr&gt;&lt;td&gt;&lt;i&gt;Symbol of insanity&lt;/i&gt;&lt;/td&gt;&lt;td&gt;16th&lt;/td&gt;&lt;td&gt;20,000 gp&lt;/td&gt;&lt;/tr&gt;&lt;tr&gt;&lt;td&gt;&lt;i&gt;Symbol of pain&lt;/i&gt;&lt;/td&gt;&lt;td&gt;13th&lt;/td&gt;&lt;td&gt;12,500 gp&lt;/td&gt;&lt;/tr&gt;&lt;tr&gt;&lt;td&gt;&lt;i&gt;Symbol of persuasion&lt;/i&gt;&lt;/td&gt;&lt;td&gt;14th&lt;/td&gt;&lt;td&gt;15,000 gp&lt;/td&gt;&lt;/tr&gt;&lt;tr&gt;&lt;td&gt;&lt;i&gt;Symbol of sleep&lt;/i&gt;&lt;/td&gt;&lt;td&gt;16th&lt;/td&gt;&lt;td&gt;20,000 gp&lt;/td&gt;&lt;/tr&gt;&lt;tr&gt;&lt;td&gt;&lt;i&gt;Symbol of stunning&lt;/i&gt;&lt;/td&gt;&lt;td&gt;15th&lt;/td&gt;&lt;td&gt;17,500 gp&lt;/td&gt;&lt;/tr&gt;&lt;tr&gt;&lt;td&gt;&lt;i&gt;Symbol of weakness&lt;/i&gt;&lt;/td&gt;&lt;td&gt;15th&lt;/td&gt;&lt;td&gt;17,500 gp&lt;/td&gt;&lt;/tr&gt;&lt;tr&gt;&lt;td&gt;&lt;i&gt;Teleportation circle&lt;/i&gt;&lt;/td&gt;&lt;td&gt;17th&lt;/td&gt;&lt;td&gt;22,500 gp&lt;/td&gt;&lt;/tr&gt;&lt;tr&gt;&lt;td&gt;&lt;i&gt;Wall of fire&lt;/i&gt;&lt;/td&gt;&lt;td&gt;12th&lt;/td&gt;&lt;td&gt;10,000 gp&lt;/td&gt;&lt;/tr&gt;&lt;tr&gt;&lt;td&gt;&lt;i&gt;Wall of force&lt;/i&gt;&lt;/td&gt;&lt;td&gt;13th&lt;/td&gt;&lt;td&gt;12,500 gp&lt;/td&gt;&lt;/tr&gt;&lt;tr&gt;&lt;td&gt;&lt;i&gt;Web&lt;/i&gt;&lt;/td&gt;&lt;td&gt;10th&lt;/td&gt;&lt;td&gt;5,000 gp&lt;/td&gt;&lt;/tr&gt;&lt;/table&gt; Spells cast on other targets are vulnerable to &lt;i&gt;dispel magic&lt;/i&gt; as normal. The GM may allow other spells to be made permanent.&lt;/p&gt;</t>
  </si>
  <si>
    <t>&lt;link rel="stylesheet"href="PF.css"&gt;&lt;div class="heading"&gt;&lt;p class="alignleft"&gt;Permanency&lt;/p&gt;&lt;div style="clear: both;"&gt;&lt;/div&gt;&lt;/div&gt;&lt;div&gt;&lt;h5&gt;&lt;b&gt;School &lt;/b&gt;universal; &lt;b&gt;Level &lt;/b&gt;sorcerer/wizard 5&lt;/h5&gt;&lt;/div&gt;&lt;hr/&gt;&lt;div&gt;&lt;h5&gt;&lt;b&gt;CASTING&lt;/b&gt;&lt;/h5&gt;&lt;/div&gt;&lt;hr/&gt;&lt;div&gt;&lt;h5&gt;&lt;b&gt;Casting Time &lt;/b&gt;2 rounds&lt;/h5&gt;&lt;h5&gt;&lt;b&gt;Components &lt;/b&gt;V, S, M (see tables below)&lt;/h5&gt;&lt;/div&gt;&lt;hr/&gt;&lt;div&gt;&lt;h5&gt;&lt;b&gt;EFFECT&lt;/b&gt;&lt;/h5&gt;&lt;/div&gt;&lt;hr/&gt;&lt;div&gt;&lt;h5&gt;&lt;b&gt;Range &lt;/b&gt;see text&lt;/h5&gt;&lt;h5&gt;&lt;b&gt;Targets &lt;/b&gt;see text&lt;/h5&gt;&lt;h5&gt;&lt;b&gt;Duration &lt;/b&gt;permanent; see text&lt;/h5&gt;&lt;h5&gt;&lt;b&gt;Saving Throw &lt;/b&gt;none; &lt;b&gt;Spell Resistance &lt;/b&gt;no&lt;/h5&gt;&lt;/div&gt;&lt;hr/&gt;&lt;div&gt;&lt;h5&gt;&lt;b&gt;DESCRIPTION&lt;/b&gt;&lt;/h5&gt;&lt;/div&gt;&lt;hr/&gt;&lt;div&gt;&lt;h4&gt;&lt;p&gt;This spell makes the duration of certain other spells permanent.&lt;/p&gt;&lt;p&gt;You first cast the desired spell and then follow it with the &lt;i&gt;permanency&lt;/i&gt; spell.&lt;/p&gt;&lt;p&gt;Depending on the spell, you must be of a minimum caster level and must expend a specific gp value of diamond dust as a material component.&lt;/p&gt;&lt;p&gt;You can make the following spells permanent in regard to yourself.&lt;/p&gt;&lt;p&gt; &lt;table&gt;&lt;tr&gt;&lt;th&gt;Spell&lt;/th&gt;&lt;th&gt;Minimum Caster Level&lt;/th&gt;&lt;th&gt;GP Cost&lt;/th&gt;&lt;/tr&gt;&lt;tr&gt;&lt;td&gt;&lt;i&gt;Arcane sight&lt;/i&gt;&lt;/td&gt;&lt;td&gt;11th&lt;/td&gt;&lt;td&gt;7,500 gp&lt;/td&gt;&lt;/tr&gt;&lt;tr&gt;&lt;td&gt;&lt;i&gt;Comprehend languages&lt;/i&gt;&lt;/td&gt;&lt;td&gt;9th&lt;/td&gt;&lt;td&gt;2,500 gp&lt;/td&gt;&lt;/tr&gt;&lt;tr&gt;&lt;td&gt;&lt;i&gt;Darkvision&lt;/i&gt;&lt;/td&gt;&lt;td&gt;10th&lt;/td&gt;&lt;td&gt;5,000 gp&lt;/td&gt;&lt;/tr&gt;&lt;tr&gt;&lt;td&gt;&lt;i&gt;Detect magic&lt;/i&gt;&lt;/td&gt;&lt;td&gt;9th&lt;/td&gt;&lt;td&gt;2,500 gp&lt;/td&gt;&lt;/tr&gt;&lt;tr&gt;&lt;td&gt;&lt;i&gt;Read magic&lt;/i&gt;&lt;/td&gt;&lt;td&gt;9th&lt;/td&gt;&lt;td&gt;2,500 gp&lt;/td&gt;&lt;/tr&gt;&lt;tr&gt;&lt;td&gt;&lt;i&gt;See invisibility&lt;/i&gt;&lt;/td&gt;&lt;td&gt;10th&lt;/td&gt;&lt;td&gt;5,000 gp&lt;/td&gt;&lt;/tr&gt;&lt;tr&gt;&lt;td&gt;&lt;i&gt;Tongues&lt;/i&gt;&lt;/td&gt;&lt;td&gt;11th&lt;/td&gt;&lt;td&gt;7,500 gp&lt;/td&gt;&lt;/tr&gt;&lt;/table&gt; You cannot cast these spells on other creatures. This application of &lt;i&gt;permanency&lt;/i&gt; can be dispelled only by a caster of higher level than you were when you cast the spell.&lt;/p&gt;&lt;p&gt;In addition to personal use, &lt;i&gt;permanency&lt;/i&gt; can be used to make the following spells permanent on yourself, another creature, or an object (as appropriate).&lt;/p&gt;&lt;p&gt; &lt;table&gt;&lt;tr&gt;&lt;th&gt;Spell&lt;/th&gt;&lt;th&gt;Minimum Caster Level&lt;/th&gt;&lt;th&gt;GP Cost&lt;/th&gt;&lt;/tr&gt;&lt;tr&gt;&lt;td&gt;&lt;i&gt;Enlarge person&lt;/i&gt;&lt;/td&gt;&lt;td&gt;9th&lt;/td&gt;&lt;td&gt;2,500 gp&lt;/td&gt;&lt;/tr&gt;&lt;tr&gt;&lt;td&gt;&lt;i&gt;Magic fang&lt;/i&gt;&lt;/td&gt;&lt;td&gt;9th&lt;/td&gt;&lt;td&gt;2,500 gp&lt;/td&gt;&lt;/tr&gt;&lt;tr&gt;&lt;td&gt;&lt;i&gt;Magic fang, greater&lt;/i&gt;&lt;/td&gt;&lt;td&gt;11th&lt;/td&gt;&lt;td&gt;7,500 gp&lt;/td&gt;&lt;/tr&gt;&lt;tr&gt;&lt;td&gt;&lt;i&gt;Reduce person&lt;/i&gt;&lt;/td&gt;&lt;td&gt;9th&lt;/td&gt;&lt;td&gt;2,500 gp&lt;/td&gt;&lt;/tr&gt;&lt;tr&gt;&lt;td&gt;&lt;i&gt;Resistance&lt;/i&gt;&lt;/td&gt;&lt;td&gt;9th&lt;/td&gt;&lt;td&gt;2,500 gp&lt;/td&gt;&lt;/tr&gt;&lt;tr&gt;&lt;td&gt;&lt;i&gt;Telepathic bond&lt;/i&gt;*&lt;/td&gt;&lt;td&gt;13th&lt;/td&gt;&lt;td&gt;12,500 gp&lt;/td&gt;&lt;/tr&gt;&lt;tr&gt;&lt;td colspan="2"&gt;*Only bonds two creatures per casting of &lt;i&gt;permanency&lt;/i&gt;.&lt;/td&gt;&lt;/tr&gt;&lt;/table&gt; &lt;/p&gt;&lt;p&gt;Additionally, the following spells can be cast upon objects or areas only and rendered permanent.&lt;/p&gt;&lt;p&gt; &lt;table&gt;&lt;tr&gt;&lt;th&gt;Spell&lt;/th&gt;&lt;th&gt;Minimum Caster Level&lt;/th&gt;&lt;th&gt;GP Cost&lt;/th&gt;&lt;/tr&gt;&lt;tr&gt;&lt;td&gt;&lt;i&gt;Alarm&lt;/i&gt;&lt;/td&gt;&lt;td&gt;9th&lt;/td&gt;&lt;td&gt;2,500 gp&lt;/td&gt;&lt;/tr&gt;&lt;tr&gt;&lt;td&gt;&lt;i&gt;Animate objects&lt;/i&gt;&lt;/td&gt;&lt;td&gt;14th&lt;/td&gt;&lt;td&gt;15,000 gp&lt;/td&gt;&lt;/tr&gt;&lt;tr&gt;&lt;td&gt;&lt;i&gt;Dancing lights&lt;/i&gt;&lt;/td&gt;&lt;td&gt;9th&lt;/td&gt;&lt;td&gt;2,500 gp&lt;/td&gt;&lt;/tr&gt;&lt;tr&gt;&lt;td&gt;&lt;i&gt;Ghost sound&lt;/i&gt;&lt;/td&gt;&lt;td&gt;9th&lt;/td&gt;&lt;td&gt;2,500 gp&lt;/td&gt;&lt;/tr&gt;&lt;tr&gt;&lt;td&gt;&lt;i&gt;Gust of wind&lt;/i&gt;&lt;/td&gt;&lt;td&gt;11th&lt;/td&gt;&lt;td&gt;7,500 gp&lt;/td&gt;&lt;/tr&gt;&lt;tr&gt;&lt;td&gt;&lt;i&gt;Invisibility&lt;/i&gt;&lt;/td&gt;&lt;td&gt;10th&lt;/td&gt;&lt;td&gt;5,000 gp&lt;/td&gt;&lt;/tr&gt;&lt;tr&gt;&lt;td&gt;&lt;i&gt;Mage's private sanctum&lt;/i&gt;&lt;/td&gt;&lt;td&gt;13th&lt;/td&gt;&lt;td&gt;12,500 gp&lt;/td&gt;&lt;/tr&gt;&lt;tr&gt;&lt;td&gt;&lt;i&gt;Magic mouth&lt;/i&gt;&lt;/td&gt;&lt;td&gt;10th&lt;/td&gt;&lt;td&gt;5,000 gp&lt;/td&gt;&lt;/tr&gt;&lt;tr&gt;&lt;td&gt;&lt;i&gt;Phase door&lt;/i&gt;&lt;/td&gt;&lt;td&gt;15th&lt;/td&gt;&lt;td&gt;17,500 gp&lt;/td&gt;&lt;/tr&gt;&lt;tr&gt;&lt;td&gt;&lt;i&gt;Prismatic sphere&lt;/i&gt;&lt;/td&gt;&lt;td&gt;17th&lt;/td&gt;&lt;td&gt;22,500 gp&lt;/td&gt;&lt;/tr&gt;&lt;tr&gt;&lt;td&gt;&lt;i&gt;Prismatic wall&lt;/i&gt;&lt;/td&gt;&lt;td&gt;16th&lt;/td&gt;&lt;td&gt;20,000 gp&lt;/td&gt;&lt;/tr&gt;&lt;tr&gt;&lt;td&gt;&lt;i&gt;Shrink item&lt;/i&gt;&lt;/td&gt;&lt;td&gt;11th&lt;/td&gt;&lt;td&gt;7,500 gp&lt;/td&gt;&lt;/tr&gt;&lt;tr&gt;&lt;td&gt;&lt;i&gt;Solid fog&lt;/i&gt;&lt;/td&gt;&lt;td&gt;12th&lt;/td&gt;&lt;td&gt;10,000 gp&lt;/td&gt;&lt;/tr&gt;&lt;tr&gt;&lt;td&gt;&lt;i&gt;Stinking cloud&lt;/i&gt;&lt;/td&gt;&lt;td&gt;11th&lt;/td&gt;&lt;td&gt;7,500 gp&lt;/td&gt;&lt;/tr&gt;&lt;tr&gt;&lt;td&gt;&lt;i&gt;Symbol of death&lt;/i&gt;&lt;/td&gt;&lt;td&gt;16th&lt;/td&gt;&lt;td&gt;20,000 gp&lt;/td&gt;&lt;/tr&gt;&lt;tr&gt;&lt;td&gt;&lt;i&gt;Symbol of fear&lt;/i&gt;&lt;/td&gt;&lt;td&gt;14th&lt;/td&gt;&lt;td&gt;15,000 gp&lt;/td&gt;&lt;/tr&gt;&lt;tr&gt;&lt;td&gt;&lt;i&gt;Symbol of insanity&lt;/i&gt;&lt;/td&gt;&lt;td&gt;16th&lt;/td&gt;&lt;td&gt;20,000 gp&lt;/td&gt;&lt;/tr&gt;&lt;tr&gt;&lt;td&gt;&lt;i&gt;Symbol of pain&lt;/i&gt;&lt;/td&gt;&lt;td&gt;13th&lt;/td&gt;&lt;td&gt;12,500 gp&lt;/td&gt;&lt;/tr&gt;&lt;tr&gt;&lt;td&gt;&lt;i&gt;Symbol of persuasion&lt;/i&gt;&lt;/td&gt;&lt;td&gt;14th&lt;/td&gt;&lt;td&gt;15,000 gp&lt;/td&gt;&lt;/tr&gt;&lt;tr&gt;&lt;td&gt;&lt;i&gt;Symbol of sleep&lt;/i&gt;&lt;/td&gt;&lt;td&gt;16th&lt;/td&gt;&lt;td&gt;20,000 gp&lt;/td&gt;&lt;/tr&gt;&lt;tr&gt;&lt;td&gt;&lt;i&gt;Symbol of stunning&lt;/i&gt;&lt;/td&gt;&lt;td&gt;15th&lt;/td&gt;&lt;td&gt;17,500 gp&lt;/td&gt;&lt;/tr&gt;&lt;tr&gt;&lt;td&gt;&lt;i&gt;Symbol of weakness&lt;/i&gt;&lt;/td&gt;&lt;td&gt;15th&lt;/td&gt;&lt;td&gt;17,500 gp&lt;/td&gt;&lt;/tr&gt;&lt;tr&gt;&lt;td&gt;&lt;i&gt;Teleportation circle&lt;/i&gt;&lt;/td&gt;&lt;td&gt;17th&lt;/td&gt;&lt;td&gt;22,500 gp&lt;/td&gt;&lt;/tr&gt;&lt;tr&gt;&lt;td&gt;&lt;i&gt;Wall of fire&lt;/i&gt;&lt;/td&gt;&lt;td&gt;12th&lt;/td&gt;&lt;td&gt;10,000 gp&lt;/td&gt;&lt;/tr&gt;&lt;tr&gt;&lt;td&gt;&lt;i&gt;Wall of force&lt;/i&gt;&lt;/td&gt;&lt;td&gt;13th&lt;/td&gt;&lt;td&gt;12,500 gp&lt;/td&gt;&lt;/tr&gt;&lt;tr&gt;&lt;td&gt;&lt;i&gt;Web&lt;/i&gt;&lt;/td&gt;&lt;td&gt;10th&lt;/td&gt;&lt;td&gt;5,000 gp&lt;/td&gt;&lt;/tr&gt;&lt;/table&gt; Spells cast on other targets are vulnerable to &lt;i&gt;dispel magic&lt;/i&gt; as normal. The GM may allow other spells to be made permanent.&lt;/p&gt;&lt;/h4&gt;&lt;/div&gt;</t>
  </si>
  <si>
    <t> Makes certain spells permanent.</t>
  </si>
  <si>
    <t>Permanent Image</t>
  </si>
  <si>
    <t>bard 6, sorcerer/wizard 6</t>
  </si>
  <si>
    <t>figment that cannot extend beyond a 20-ft. cube + one 10-ft. cube/level (S)</t>
  </si>
  <si>
    <t>This spell functions like silent image, except that the figment includes visual, auditory, olfactory, and thermal elements, and the spell is permanent. By concentrating, you can move the image within the limits of the range, but it is static while you are not concentrating.</t>
  </si>
  <si>
    <t>&lt;p&gt;This spell functions like &lt;i&gt;silent image,&lt;/i&gt; except that the figment includes visual, auditory, olfactory, and thermal elements, and the spell is permanent. By concentrating, you can move the image within the limits of the range, but it is static while you are not concentrating.&lt;/p&gt;</t>
  </si>
  <si>
    <t>&lt;link rel="stylesheet"href="PF.css"&gt;&lt;div class="heading"&gt;&lt;p class="alignleft"&gt;Permanent Image&lt;/p&gt;&lt;div style="clear: both;"&gt;&lt;/div&gt;&lt;/div&gt;&lt;div&gt;&lt;h5&gt;&lt;b&gt;School &lt;/b&gt;illusion (figment); &lt;b&gt;Level &lt;/b&gt;bard 6, sorcerer/wizard 6&lt;/h5&gt;&lt;/div&gt;&lt;hr/&gt;&lt;div&gt;&lt;h5&gt;&lt;b&gt;CASTING&lt;/b&gt;&lt;/h5&gt;&lt;/div&gt;&lt;hr/&gt;&lt;div&gt;&lt;h5&gt;&lt;b&gt;Casting Time &lt;/b&gt;1 standard action&lt;/h5&gt;&lt;h5&gt;&lt;b&gt;Components &lt;/b&gt;V, S, F (a bit of fleece)&lt;/h5&gt;&lt;/div&gt;&lt;hr/&gt;&lt;div&gt;&lt;h5&gt;&lt;b&gt;EFFECT&lt;/b&gt;&lt;/h5&gt;&lt;/div&gt;&lt;hr/&gt;&lt;div&gt;&lt;h5&gt;&lt;b&gt;Range &lt;/b&gt;long (400 ft. + 40 ft./level)&lt;/h5&gt;&lt;h5&gt;&lt;b&gt;Effect &lt;/b&gt;figment that cannot extend beyond a 20-ft. cube + one 10-ft. cube/level (S)&lt;/h5&gt;&lt;h5&gt;&lt;b&gt;Duration &lt;/b&gt;permanent (D)&lt;/h5&gt;&lt;h5&gt;&lt;b&gt;Saving Throw &lt;/b&gt;Will disbelief (if interacted with); &lt;b&gt;Spell Resistance &lt;/b&gt;no&lt;/h5&gt;&lt;/div&gt;&lt;hr/&gt;&lt;div&gt;&lt;h5&gt;&lt;b&gt;DESCRIPTION&lt;/b&gt;&lt;/h5&gt;&lt;/div&gt;&lt;hr/&gt;&lt;div&gt;&lt;h4&gt;&lt;p&gt;This spell functions like &lt;i&gt;silent image,&lt;/i&gt; except that the figment includes visual, auditory, olfactory, and thermal elements, and the spell is permanent. By concentrating, you can move the image within the limits of the range, but it is static while you are not concentrating.&lt;/p&gt;&lt;/h4&gt;&lt;/div&gt;</t>
  </si>
  <si>
    <t>Permanent illusion, includes sight, sound, smell, and thermal effects.</t>
  </si>
  <si>
    <t>Persistent Image</t>
  </si>
  <si>
    <t>This spell functions like silent image, except that the figment includes visual, auditory, olfactory, and thermal components, and the figment follows a script determined by you. The figment follows that script without your having to concentrate on it. The illusion can include intelligible speech if you wish.</t>
  </si>
  <si>
    <t>&lt;p&gt;This spell functions like &lt;i&gt;silent image,&lt;/i&gt; except that the figment includes visual, auditory, olfactory, and thermal components, and the figment follows a script determined by you. The figment follows that script without your having to concentrate on it. The illusion can include intelligible speech if you wish.&lt;/p&gt;</t>
  </si>
  <si>
    <t>&lt;link rel="stylesheet"href="PF.css"&gt;&lt;div class="heading"&gt;&lt;p class="alignleft"&gt;Persistent Image&lt;/p&gt;&lt;div style="clear: both;"&gt;&lt;/div&gt;&lt;/div&gt;&lt;div&gt;&lt;h5&gt;&lt;b&gt;School &lt;/b&gt;illusion (figment); &lt;b&gt;Level &lt;/b&gt;bard 5, sorcerer/wizard 5&lt;/h5&gt;&lt;/div&gt;&lt;hr/&gt;&lt;div&gt;&lt;h5&gt;&lt;b&gt;CASTING&lt;/b&gt;&lt;/h5&gt;&lt;/div&gt;&lt;hr/&gt;&lt;div&gt;&lt;h5&gt;&lt;b&gt;Casting Time &lt;/b&gt;1 standard action&lt;/h5&gt;&lt;h5&gt;&lt;b&gt;Components &lt;/b&gt;V, S, F (a bit of fleece)&lt;/h5&gt;&lt;/div&gt;&lt;hr/&gt;&lt;div&gt;&lt;h5&gt;&lt;b&gt;EFFECT&lt;/b&gt;&lt;/h5&gt;&lt;/div&gt;&lt;hr/&gt;&lt;div&gt;&lt;h5&gt;&lt;b&gt;Range &lt;/b&gt;long (400 ft. + 40 ft./level)&lt;/h5&gt;&lt;h5&gt;&lt;b&gt;Effect &lt;/b&gt;visual figment that cannot extend beyond four 10-ft. cubes + one 10-ft. cube/level (S)&lt;/h5&gt;&lt;h5&gt;&lt;b&gt;Duration &lt;/b&gt;1 min./level (D)&lt;/h5&gt;&lt;h5&gt;&lt;b&gt;Saving Throw &lt;/b&gt;Will disbelief (if interacted with); &lt;b&gt;Spell Resistance &lt;/b&gt;no&lt;/h5&gt;&lt;/div&gt;&lt;hr/&gt;&lt;div&gt;&lt;h5&gt;&lt;b&gt;DESCRIPTION&lt;/b&gt;&lt;/h5&gt;&lt;/div&gt;&lt;hr/&gt;&lt;div&gt;&lt;h4&gt;&lt;p&gt;This spell functions like &lt;i&gt;silent image,&lt;/i&gt; except that the figment includes visual, auditory, olfactory, and thermal components, and the figment follows a script determined by you. The figment follows that script without your having to concentrate on it. The illusion can include intelligible speech if you wish.&lt;/p&gt;&lt;/h4&gt;&lt;/div&gt;</t>
  </si>
  <si>
    <t>As major image, but no concentration required.</t>
  </si>
  <si>
    <t>Efreeti, Marid</t>
  </si>
  <si>
    <t>Phantasmal Killer</t>
  </si>
  <si>
    <t>sorcerer/wizard 4, witch 4, magus 4</t>
  </si>
  <si>
    <t>Will disbelief, then Fortitude partial; see text</t>
  </si>
  <si>
    <t>You create a phantasmal image of the most fearsome creature imaginable to the subject simply by forming the fears of the subject's subconscious mind into something that its conscious mind can visualize: this most horrible beast. Only the spell's subject can see the phantasmal killer. You see only a vague shape. The target first gets a Will save to recognize the image as unreal. If that save fails, the phantasm touches the subject, and the subject must succeed on a Fortitude save or die from fear. Even if the Fortitude save is successful, the subject takes 3d6 points of damage. If the subject of a phantasmal killer attack succeeds in disbelieving and possesses telepathy or is wearing a helm of telepathy, the beast can be turned upon you. You must then disbelieve it or become subject to its deadly fear attack.</t>
  </si>
  <si>
    <t>&lt;p&gt;You create a phantasmal image of the most fearsome creature imaginable to the subject simply by forming the fears of the subject's subconscious mind into something that its conscious mind can visualize: this most horrible beast. Only the spell's subject can see the &lt;i&gt;phantasmal killer&lt;/i&gt;. You see only a vague shape. The target first gets a Will save to recognize the image as unreal. If that save fails, the phantasm touches the subject, and the subject must succeed on a Fortitude save or die from fear.&lt;/p&gt;&lt;p&gt;Even if the Fortitude save is successful, the subject takes 3d6 points of damage.&lt;/p&gt;&lt;p&gt;If the subject of a &lt;i&gt;phantasmal killer&lt;/i&gt; attack succeeds in disbelieving and possesses telepathy or is wearing a &lt;i&gt;helm of telepathy&lt;/i&gt;, the beast can be turned upon you. You must then disbelieve it or become subject to its deadly fear attack.&lt;/p&gt;</t>
  </si>
  <si>
    <t>&lt;link rel="stylesheet"href="PF.css"&gt;&lt;div class="heading"&gt;&lt;p class="alignleft"&gt;Phantasmal Killer&lt;/p&gt;&lt;div style="clear: both;"&gt;&lt;/div&gt;&lt;/div&gt;&lt;div&gt;&lt;h5&gt;&lt;b&gt;School &lt;/b&gt;illusion (phantasm) [fear, mind-affecting]; &lt;b&gt;Level &lt;/b&gt;sorcerer/wizard 4, witch 4, magus 4&lt;/h5&gt;&lt;/div&gt;&lt;hr/&gt;&lt;div&gt;&lt;h5&gt;&lt;b&gt;CASTING&lt;/b&gt;&lt;/h5&gt;&lt;/div&gt;&lt;hr/&gt;&lt;div&gt;&lt;h5&gt;&lt;b&gt;Casting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ft./level)&lt;/h5&gt;&lt;h5&gt;&lt;b&gt;Targets &lt;/b&gt;one living creature&lt;/h5&gt;&lt;h5&gt;&lt;b&gt;Duration &lt;/b&gt;instantaneous&lt;/h5&gt;&lt;h5&gt;&lt;b&gt;Saving Throw &lt;/b&gt;Will disbelief, then Fortitude partial; see text; &lt;b&gt;Spell Resistance &lt;/b&gt;yes&lt;/h5&gt;&lt;/div&gt;&lt;hr/&gt;&lt;div&gt;&lt;h5&gt;&lt;b&gt;DESCRIPTION&lt;/b&gt;&lt;/h5&gt;&lt;/div&gt;&lt;hr/&gt;&lt;div&gt;&lt;h4&gt;&lt;p&gt;You create a phantasmal image of the most fearsome creature imaginable to the subject simply by forming the fears of the subject's subconscious mind into something that its conscious mind can visualize: this most horrible beast. Only the spell's subject can see the &lt;i&gt;phantasmal killer&lt;/i&gt;. You see only a vague shape. The target first gets a Will save to recognize the image as unreal. If that save fails, the phantasm touches the subject, and the subject must succeed on a Fortitude save or die from fear.&lt;/p&gt;&lt;p&gt;Even if the Fortitude save is successful, the subject takes 3d6 points of damage.&lt;/p&gt;&lt;p&gt;If the subject of a &lt;i&gt;phantasmal killer&lt;/i&gt; attack succeeds in disbelieving and possesses telepathy or is wearing a &lt;i&gt;helm of telepathy&lt;/i&gt;, the beast can be turned upon you. You must then disbelieve it or become subject to its deadly fear attack.&lt;/p&gt;&lt;/h4&gt;&lt;h5&gt;&lt;b&gt;Mythic: &lt;/b&gt;If the target fails its Will save but succeeds at its Fortitude save, the phantasmal killer persists in the target's mind, giving it the dazed condition until your next turn. On your next turn, the target must attempt another Fortitude save against the phantasm. Success means it takes 3d6 points of damage; failure means it dies from fear.&lt;/h5&gt;&lt;h5&gt;&lt;b&gt;Augmented (6th)&lt;/b&gt;: If you expend two uses of mythic power, the spell can affect a living target that is immune to fear, illusions, or mind-affecting effects.&lt;/h5&gt;&lt;/div&gt;</t>
  </si>
  <si>
    <t>Madness, Nightmare</t>
  </si>
  <si>
    <t> Fearsome illusion kills subject or deals 3d6 damage.</t>
  </si>
  <si>
    <t>If the target fails its Will save but succeeds at its Fortitude save, the phantasmal killer persists in the target's mind, giving it the dazed condition until your next turn. On your next turn, the target must attempt another Fortitude save against the phantasm. Success means it takes 3d6 points of damage; failure means it dies from fear.</t>
  </si>
  <si>
    <t>Augmented (6th): If you expend two uses of mythic power, the spell can affect a living target that is immune to fear, illusions, or mind-affecting effects.</t>
  </si>
  <si>
    <t>Phantom Steed</t>
  </si>
  <si>
    <t>bard 3, sorcerer/wizard 3, summoner 2, magus 3</t>
  </si>
  <si>
    <t>one quasi-real, horselike creature</t>
  </si>
  <si>
    <t>You conjure a Large, quasi-real, horselike creature (the exact coloration can be customized as you wish). It can be ridden only by you or by the one person for whom you specifically created the mount. A phantom steed has a black head and body, gray mane and tail, and smoke-colored, insubstantial hooves that make no sound. It has what seems to be a saddle, bit, and bridle. It does not fight, but animals shun it and refuse to attack it. The mount is AC 18 (-1 size, +4 natural armor, +5 Dex) and 7 hit points + 1 hit point per caster level. If it loses all its hit points, the phantom steed disappears. A phantom steed has a speed of 20 feet per two caster levels, to a maximum of 100 feet at 10th level. It can bear its rider's weight plus up to 10 pounds per caster level. These mounts gain certain powers according to caster level. A mount's abilities include those of mounts of lower caster levels. 8th Level: The mount can ride over sandy, muddy, or even swampy ground without difficulty or decrease in speed. 10th Level: The mount can use water walk at will (as the spell, no action required to activate this ability). 12th Level: The mount can use air walk at will (as the spell, no action required to activate this ability) for up to 1 round at a time, after which it falls to the ground. 14th Level: The mount can fly at its speed with a bonus on Fly skill checks equal to your caster level.</t>
  </si>
  <si>
    <t>&lt;p&gt;You conjure a Large, quasi-real, horselike creature (the exact coloration can be customized as you wish). It can be ridden only by you or by the one person for whom you specifically created the mount. A phantom steed has a black head and body, gray mane and tail, and smoke-colored, insubstantial hooves that make no sound.&lt;/p&gt;&lt;p&gt;It has what seems to be a saddle, bit, and bridle. It does not fight, but animals shun it and refuse to attack it.&lt;/p&gt;&lt;p&gt;The mount is AC 18 (-1 size, +4 natural armor, +5 Dex) and 7 hit points + 1 hit point per caster level. If it loses all its hit points, the phantom steed disappears. A phantom steed has a speed of 20 feet per two caster levels, to a maximum of 100 feet at 10th level. It can bear its rider's weight plus up to 10 pounds per caster level.&lt;/p&gt;&lt;p&gt;These mounts gain certain powers according to caster level. A mount's abilities include those of mounts of lower caster levels.&lt;/p&gt;&lt;p&gt;&lt;i&gt;8th Level&lt;/i&gt;: The mount can ride over sandy, muddy, or even swampy ground without difficulty or decrease in speed.&lt;/p&gt;&lt;p&gt;&lt;i&gt;10th Level&lt;/i&gt;: The mount can use &lt;i&gt;water walk&lt;/i&gt; at will (as the spell, no action required to activate this ability).&lt;/p&gt;&lt;p&gt;&lt;i&gt;12th Level&lt;/i&gt;: The mount can use &lt;i&gt;air walk&lt;/i&gt; at will (as the spell, no action required to activate this ability) for up to 1 round at a time, after which it falls to the ground.&lt;/p&gt;&lt;p&gt;&lt;i&gt;14th Level&lt;/i&gt;: The mount can fly at its speed with a bonus on Fly skill checks equal to your caster level.&lt;/p&gt;</t>
  </si>
  <si>
    <t>&lt;link rel="stylesheet"href="PF.css"&gt;&lt;div class="heading"&gt;&lt;p class="alignleft"&gt;Phantom Steed&lt;/p&gt;&lt;div style="clear: both;"&gt;&lt;/div&gt;&lt;/div&gt;&lt;div&gt;&lt;h5&gt;&lt;b&gt;School &lt;/b&gt;conjuration (creation); &lt;b&gt;Level &lt;/b&gt;bard 3, sorcerer/wizard 3, summoner 2, magus 3&lt;/h5&gt;&lt;/div&gt;&lt;hr/&gt;&lt;div&gt;&lt;h5&gt;&lt;b&gt;CASTING&lt;/b&gt;&lt;/h5&gt;&lt;/div&gt;&lt;hr/&gt;&lt;div&gt;&lt;h5&gt;&lt;b&gt;Casting Time &lt;/b&gt;10 minutes&lt;/h5&gt;&lt;h5&gt;&lt;b&gt;Components &lt;/b&gt;V, S&lt;/h5&gt;&lt;/div&gt;&lt;hr/&gt;&lt;div&gt;&lt;h5&gt;&lt;b&gt;EFFECT&lt;/b&gt;&lt;/h5&gt;&lt;/div&gt;&lt;hr/&gt;&lt;div&gt;&lt;h5&gt;&lt;b&gt;Range &lt;/b&gt;0 ft.&lt;/h5&gt;&lt;h5&gt;&lt;b&gt;Effect &lt;/b&gt;one quasi-real, horselike creature&lt;/h5&gt;&lt;h5&gt;&lt;b&gt;Duration &lt;/b&gt;1 hour/level (D)&lt;/h5&gt;&lt;h5&gt;&lt;b&gt;Saving Throw &lt;/b&gt;none; &lt;b&gt;Spell Resistance &lt;/b&gt;no&lt;/h5&gt;&lt;/div&gt;&lt;hr/&gt;&lt;div&gt;&lt;h5&gt;&lt;b&gt;DESCRIPTION&lt;/b&gt;&lt;/h5&gt;&lt;/div&gt;&lt;hr/&gt;&lt;div&gt;&lt;h4&gt;&lt;p&gt;You conjure a Large, quasi-real, horselike creature (the exact coloration can be customized as you wish). It can be ridden only by you or by the one person for whom you specifically created the mount. A phantom steed has a black head and body, gray mane and tail, and smoke-colored, insubstantial hooves that make no sound.&lt;/p&gt;&lt;p&gt;It has what seems to be a saddle, bit, and bridle. It does not fight, but animals shun it and refuse to attack it.&lt;/p&gt;&lt;p&gt;The mount is AC 18 (-1 size, +4 natural armor, +5 Dex) and 7 hit points + 1 hit point per caster level. If it loses all its hit points, the phantom steed disappears. A phantom steed has a speed of 20 feet per two caster levels, to a maximum of 100 feet at 10th level. It can bear its rider's weight plus up to 10 pounds per caster level.&lt;/p&gt;&lt;p&gt;These mounts gain certain powers according to caster level. A mount's abilities include those of mounts of lower caster levels.&lt;/p&gt;&lt;p&gt;&lt;i&gt;8th Level&lt;/i&gt;: The mount can ride over sandy, muddy, or even swampy ground without difficulty or decrease in speed.&lt;/p&gt;&lt;p&gt;&lt;i&gt;10th Level&lt;/i&gt;: The mount can use &lt;i&gt;water walk&lt;/i&gt; at will (as the spell, no action required to activate this ability).&lt;/p&gt;&lt;p&gt;&lt;i&gt;12th Level&lt;/i&gt;: The mount can use &lt;i&gt;air walk&lt;/i&gt; at will (as the spell, no action required to activate this ability) for up to 1 round at a time, after which it falls to the ground.&lt;/p&gt;&lt;p&gt;&lt;i&gt;14th Level&lt;/i&gt;: The mount can fly at its speed with a bonus on Fly skill checks equal to your caster level.&lt;/p&gt;&lt;/h4&gt;&lt;h5&gt;&lt;b&gt;Mythic: &lt;/b&gt;The steed's rider automatically succeeds at Ride checks to remain mounted. The mount's hit points increase to 10 plus 2 per caster level, and its speed increases to 30 feet per 2 caster levels (maximum 150 feet).&lt;/h5&gt;&lt;h5&gt;&lt;b&gt;Augmented (3rd)&lt;/b&gt;: If you expend two uses of mythic power, the phantom steed is incorporeal, but its rider can interact with it normally.&lt;/h5&gt;&lt;/div&gt;</t>
  </si>
  <si>
    <t>Magic horse appears for 1 hour/level.</t>
  </si>
  <si>
    <t>The steed's rider automatically succeeds at Ride checks to remain mounted. The mount's hit points increase to 10 plus 2 per caster level, and its speed increases to 30 feet per 2 caster levels (maximum 150 feet).</t>
  </si>
  <si>
    <t>Augmented (3rd): If you expend two uses of mythic power, the phantom steed is incorporeal, but its rider can interact with it normally.</t>
  </si>
  <si>
    <t>Phantom Trap</t>
  </si>
  <si>
    <t>V, S, M (special dust worth 50 gp)</t>
  </si>
  <si>
    <t>This spell makes a lock or other small mechanism seem to be trapped to anyone who can detect traps. You place the spell upon any small mechanism or device, such as a lock, hinge, hasp, cork, cap, or ratchet. Any character able to detect traps, or who uses any spell or device enabling trap detection, is certain a real trap exists. Of course, the effect is illusory and nothing happens if the trap is "sprung"; its primary purpose is to frighten away thieves or make them waste precious time. If another phantom trap is active within 50 feet when the spell is cast, the casting fails.</t>
  </si>
  <si>
    <t>&lt;p&gt;This spell makes a lock or other small mechanism seem to be trapped to anyone who can detect traps. You place the spell upon any small mechanism or device, such as a lock, hinge, hasp, cork, cap, or ratchet. Any character able to detect traps, or who uses any spell or device enabling trap detection, is certain a real trap exists.&lt;/p&gt;&lt;p&gt;Of course, the effect is illusory and nothing happens if the trap is "sprung"; its primary purpose is to frighten away thieves or make them waste precious time.&lt;/p&gt;&lt;p&gt;If another &lt;i&gt;phantom trap&lt;/i&gt; is active within 50 feet when the spell is cast, the casting fails.&lt;/p&gt;</t>
  </si>
  <si>
    <t>&lt;link rel="stylesheet"href="PF.css"&gt;&lt;div class="heading"&gt;&lt;p class="alignleft"&gt;Phantom Trap&lt;/p&gt;&lt;div style="clear: both;"&gt;&lt;/div&gt;&lt;/div&gt;&lt;div&gt;&lt;h5&gt;&lt;b&gt;School &lt;/b&gt;illusion (glamer); &lt;b&gt;Level &lt;/b&gt;sorcerer/wizard 2&lt;/h5&gt;&lt;/div&gt;&lt;hr/&gt;&lt;div&gt;&lt;h5&gt;&lt;b&gt;CASTING&lt;/b&gt;&lt;/h5&gt;&lt;/div&gt;&lt;hr/&gt;&lt;div&gt;&lt;h5&gt;&lt;b&gt;Casting Time &lt;/b&gt;1 standard action&lt;/h5&gt;&lt;h5&gt;&lt;b&gt;Components &lt;/b&gt;V, S, M (special dust worth 50 gp)&lt;/h5&gt;&lt;/div&gt;&lt;hr/&gt;&lt;div&gt;&lt;h5&gt;&lt;b&gt;EFFECT&lt;/b&gt;&lt;/h5&gt;&lt;/div&gt;&lt;hr/&gt;&lt;div&gt;&lt;h5&gt;&lt;b&gt;Range &lt;/b&gt;touch&lt;/h5&gt;&lt;h5&gt;&lt;b&gt;Targets &lt;/b&gt;object touched&lt;/h5&gt;&lt;h5&gt;&lt;b&gt;Duration &lt;/b&gt;permanent (D)&lt;/h5&gt;&lt;h5&gt;&lt;b&gt;Saving Throw &lt;/b&gt;none; &lt;b&gt;Spell Resistance &lt;/b&gt;no&lt;/h5&gt;&lt;/div&gt;&lt;hr/&gt;&lt;div&gt;&lt;h5&gt;&lt;b&gt;DESCRIPTION&lt;/b&gt;&lt;/h5&gt;&lt;/div&gt;&lt;hr/&gt;&lt;div&gt;&lt;h4&gt;&lt;p&gt;This spell makes a lock or other small mechanism seem to be trapped to anyone who can detect traps. You place the spell upon any small mechanism or device, such as a lock, hinge, hasp, cork, cap, or ratchet. Any character able to detect traps, or who uses any spell or device enabling trap detection, is certain a real trap exists.&lt;/p&gt;&lt;p&gt;Of course, the effect is illusory and nothing happens if the trap is "sprung"; its primary purpose is to frighten away thieves or make them waste precious time.&lt;/p&gt;&lt;p&gt;If another &lt;i&gt;phantom trap&lt;/i&gt; is active within 50 feet when the spell is cast, the casting fails.&lt;/p&gt;&lt;/h4&gt;&lt;/div&gt;</t>
  </si>
  <si>
    <t> Makes item seem trapped.</t>
  </si>
  <si>
    <t>Phase Door</t>
  </si>
  <si>
    <t>ethereal 5-ft.-by-8-ft. opening, 10 ft. deep + 5 ft. deep per three levels</t>
  </si>
  <si>
    <t>one usage per two levels</t>
  </si>
  <si>
    <t>This spell creates an ethereal passage through wooden, plaster, or stone walls, but not other materials. The phase door is invisible and inaccessible to all creatures except you, and only you can use the passage. You disappear when you enter the phase door and appear when you exit. If you desire, you can take one other creature (Medium or smaller) through the door. This counts as two uses of the door. The door does not allow light, sound, or spell effects through it, nor can you see through it without using it. Thus, the spell can provide an escape route, though certain creatures, such as phase spiders, can follow with ease. A gem of true seeing or similar magic reveals the presence of a phase door but does not allow its use. A phase door is subject to dispel magic. If anyone is within the passage when it is dispelled, he is harmlessly ejected just as if he were inside a passwall effect. You can allow other creatures to use the phase door by setting some triggering condition for the door. Such conditions can be as simple or elaborate as you desire. They can be based on a creature's name, identity, or alignment, but otherwise must be based on observable actions or qualities. Intangibles such as level, class, HD, and hit points don't qualify. Phase door can be made permanent with a permanency spell.</t>
  </si>
  <si>
    <t>&lt;p&gt;This spell creates an ethereal passage through wooden, plaster, or stone walls, but not other materials. The &lt;i&gt;phase door&lt;/i&gt; is invisible and inaccessible to all creatures except you, and only you can use the passage. You disappear when you enter the &lt;i&gt;phase door&lt;/i&gt; and appear when you exit. If you desire, you can take one other creature (Medium or smaller) through the door. This counts as two uses of the door. The door does not allow light, sound, or spell effects through it, nor can you see through it without using it. Thus, the spell can provide an escape route, though certain creatures, such as phase spiders, can follow with ease. A &lt;i&gt;gem of true seeing&lt;/i&gt; or similar magic reveals the presence of a &lt;i&gt;phase door&lt;/i&gt; but does not allow its use.&lt;/p&gt;&lt;p&gt;A &lt;i&gt;phase door&lt;/i&gt; is subject to &lt;i&gt;dispel magic.&lt;/i&gt; If anyone is within the passage when it is dispelled, he is harmlessly ejected just as if he were inside a &lt;i&gt;passwall&lt;/i&gt; effect.&lt;/p&gt;&lt;p&gt;You can allow other creatures to use the &lt;i&gt;phase door&lt;/i&gt; by setting some triggering condition for the door. Such conditions can be as simple or elaborate as you desire. They can be based on a creature's name, identity, or alignment, but otherwise must be based on observable actions or qualities. Intangibles such as level, class, HD, and hit points don't qualify.&lt;/p&gt;&lt;p&gt;&lt;i&gt;Phase door&lt;/i&gt; can be made permanent with a &lt;i&gt;permanency&lt;/i&gt; spell.&lt;/p&gt;</t>
  </si>
  <si>
    <t>&lt;link rel="stylesheet"href="PF.css"&gt;&lt;div class="heading"&gt;&lt;p class="alignleft"&gt;Phase Door&lt;/p&gt;&lt;div style="clear: both;"&gt;&lt;/div&gt;&lt;/div&gt;&lt;div&gt;&lt;h5&gt;&lt;b&gt;School &lt;/b&gt;conjuration (creation); &lt;b&gt;Level &lt;/b&gt;sorcerer/wizard 7, witch 7&lt;/h5&gt;&lt;/div&gt;&lt;hr/&gt;&lt;div&gt;&lt;h5&gt;&lt;b&gt;CASTING&lt;/b&gt;&lt;/h5&gt;&lt;/div&gt;&lt;hr/&gt;&lt;div&gt;&lt;h5&gt;&lt;b&gt;Casting Time &lt;/b&gt;1 standard action&lt;/h5&gt;&lt;h5&gt;&lt;b&gt;Components &lt;/b&gt;V&lt;/h5&gt;&lt;/div&gt;&lt;hr/&gt;&lt;div&gt;&lt;h5&gt;&lt;b&gt;EFFECT&lt;/b&gt;&lt;/h5&gt;&lt;/div&gt;&lt;hr/&gt;&lt;div&gt;&lt;h5&gt;&lt;b&gt;Range &lt;/b&gt;touch&lt;/h5&gt;&lt;h5&gt;&lt;b&gt;Effect &lt;/b&gt;ethereal 5-ft.-by-8-ft. opening, 10 ft. deep + 5 ft. deep per three levels&lt;/h5&gt;&lt;h5&gt;&lt;b&gt;Duration &lt;/b&gt;one usage per two levels&lt;/h5&gt;&lt;h5&gt;&lt;b&gt;Saving Throw &lt;/b&gt;none; &lt;b&gt;Spell Resistance &lt;/b&gt;no&lt;/h5&gt;&lt;/div&gt;&lt;hr/&gt;&lt;div&gt;&lt;h5&gt;&lt;b&gt;DESCRIPTION&lt;/b&gt;&lt;/h5&gt;&lt;/div&gt;&lt;hr/&gt;&lt;div&gt;&lt;h4&gt;&lt;p&gt;This spell creates an ethereal passage through wooden, plaster, or stone walls, but not other materials. The &lt;i&gt;phase door&lt;/i&gt; is invisible and inaccessible to all creatures except you, and only you can use the passage. You disappear when you enter the &lt;i&gt;phase door&lt;/i&gt; and appear when you exit. If you desire, you can take one other creature (Medium or smaller) through the door. This counts as two uses of the door. The door does not allow light, sound, or spell effects through it, nor can you see through it without using it. Thus, the spell can provide an escape route, though certain creatures, such as phase spiders, can follow with ease. A &lt;i&gt;gem of true seeing&lt;/i&gt; or similar magic reveals the presence of a &lt;i&gt;phase door&lt;/i&gt; but does not allow its use.&lt;/p&gt;&lt;p&gt;A &lt;i&gt;phase door&lt;/i&gt; is subject to &lt;i&gt;dispel magic.&lt;/i&gt; If anyone is within the passage when it is dispelled, he is harmlessly ejected just as if he were inside a &lt;i&gt;passwall&lt;/i&gt; effect.&lt;/p&gt;&lt;p&gt;You can allow other creatures to use the &lt;i&gt;phase door&lt;/i&gt; by setting some triggering condition for the door. Such conditions can be as simple or elaborate as you desire. They can be based on a creature's name, identity, or alignment, but otherwise must be based on observable actions or qualities. Intangibles such as level, class, HD, and hit points don't qualify.&lt;/p&gt;&lt;p&gt;&lt;i&gt;Phase door&lt;/i&gt; can be made permanent with a &lt;i&gt;permanency&lt;/i&gt; spell.&lt;/p&gt;&lt;/h4&gt;&lt;/div&gt;</t>
  </si>
  <si>
    <t> Creates an invisible passage through a barrier.</t>
  </si>
  <si>
    <t>Fey</t>
  </si>
  <si>
    <t>Planar Ally, Lesser</t>
  </si>
  <si>
    <t>calling</t>
  </si>
  <si>
    <t>V, S, M (offerings worth 500 gp plus payment, see text), DF</t>
  </si>
  <si>
    <t>one called outsider of 6 HD or less</t>
  </si>
  <si>
    <t>By casting this spell, you request your deity to send you an outsider (of 6 HD or less) of the deity's choice. If you serve no particular deity, the spell is a general plea answered by a creature sharing your philosophical alignment. If you know an individual creature's name, you may request that individual by speaking the name during the spell (though you might get a different creature anyway). You may ask the creature to perform one task in exchange for a payment from you. Tasks might range from the simple to the complex. You must be able to communicate with the creature called in order to bargain for its services. The creature called requires a payment for its services. This payment can take a variety of forms, from donating gold or magic items to an allied temple, to a gift given directly to the creature, to some other action on your part that matches the creature's alignment and goals. Regardless, this payment must be made before the creature agrees to perform any services. The bargaining takes at least 1 round, so any actions by the creature begin in the round after it arrives. A task taking up to 1 minute per caster level requires a payment of 100 gp per HD of the creature called. For a task taking up to 1 hour per caster level, the creature requires a payment of 500 gp per HD. A long-term task, one requiring up to 1 day per caster level, requires a payment of 1,000 gp per HD. A nonhazardous task requires only half the indicated payment, while an especially hazardous task might require a greater gift. Few if any creatures will accept a task that seems suicidal (remember, a called creature actually dies when it is killed, unlike a summoned creature). However, if the task is strongly aligned with the creature's ethos, it may halve or even waive the payment. At the end of its task, or when the duration bargained for expires, the creature returns to its home plane (after reporting back to you, if appropriate and possible). Note: When you use a calling spell that calls an air, chaotic, earth, evil, fire, good, lawful, or water creature, it is a spell of that type.</t>
  </si>
  <si>
    <t>&lt;p&gt;By casting this spell, you request your deity to send you an outsider (of 6 HD or less) of the deity's choice. If you serve no particular deity, the spell is a general plea answered by a creature sharing your philosophical alignment. If you know an individual creature's name, you may request that individual by speaking the name during the spell (though you might get a different creature anyway).&lt;/p&gt;&lt;p&gt;You may ask the creature to perform one task in exchange for a payment from you. Tasks might range from the simple to the complex. You must be able to communicate with the creature called in order to bargain for its services.&lt;/p&gt;&lt;p&gt;The creature called requires a payment for its services. This payment can take a variety of forms, from donating gold or magic items to an allied temple, to a gift given directly to the creature, to some other action on your part that matches the creature's alignment and goals.&lt;/p&gt;&lt;p&gt;Regardless, this payment must be made before the creature agrees to perform any services. The bargaining takes at least 1 round, so any actions by the creature begin in the round after it arrives.&lt;/p&gt;&lt;p&gt;A task taking up to 1 minute per caster level requires a payment of 100 gp per HD of the creature called. For a task taking up to 1 hour per caster level, the creature requires a payment of 500 gp per HD. A long-term task, one requiring up to 1 day per caster level, requires a payment of 1,000 gp per HD.&lt;/p&gt;&lt;p&gt;A nonhazardous task requires only half the indicated payment, while an especially hazardous task might require a greater gift. Few if any creatures will accept a task that seems suicidal (remember, a called creature actually dies when it is killed, unlike a summoned creature). However, if the task is strongly aligned with the creature's ethos, it may halve or even waive the payment.&lt;/p&gt;&lt;p&gt;At the end of its task, or when the duration bargained for expires, the creature returns to its home plane (after reporting back to you, if appropriate and possible).&lt;/p&gt;&lt;p&gt;&lt;i&gt;Note:&lt;/i&gt; When you use a calling spell that calls an air, chaotic, earth, evil, fire, good, lawful, or water creature, it is a spell of that type.&lt;/p&gt;</t>
  </si>
  <si>
    <t>&lt;link rel="stylesheet"href="PF.css"&gt;&lt;div class="heading"&gt;&lt;p class="alignleft"&gt;Planar Ally, Lesser&lt;/p&gt;&lt;div style="clear: both;"&gt;&lt;/div&gt;&lt;/div&gt;&lt;div&gt;&lt;h5&gt;&lt;b&gt;School &lt;/b&gt;conjuration (calling) [see text]; &lt;b&gt;Level &lt;/b&gt;cleric 4/oracle 4&lt;/h5&gt;&lt;/div&gt;&lt;hr/&gt;&lt;div&gt;&lt;h5&gt;&lt;b&gt;CASTING&lt;/b&gt;&lt;/h5&gt;&lt;/div&gt;&lt;hr/&gt;&lt;div&gt;&lt;h5&gt;&lt;b&gt;Casting Time &lt;/b&gt;10 minutes&lt;/h5&gt;&lt;h5&gt;&lt;b&gt;Components &lt;/b&gt;V, S, M (offerings worth 500 gp plus payment, see text), DF&lt;/h5&gt;&lt;/div&gt;&lt;hr/&gt;&lt;div&gt;&lt;h5&gt;&lt;b&gt;EFFECT&lt;/b&gt;&lt;/h5&gt;&lt;/div&gt;&lt;hr/&gt;&lt;div&gt;&lt;h5&gt;&lt;b&gt;Range &lt;/b&gt;close (25 ft. + 5 ft./2 levels)&lt;/h5&gt;&lt;h5&gt;&lt;b&gt;Effect &lt;/b&gt;one called outsider of 6 HD or less&lt;/h5&gt;&lt;h5&gt;&lt;b&gt;Duration &lt;/b&gt;instantaneous&lt;/h5&gt;&lt;h5&gt;&lt;b&gt;Saving Throw &lt;/b&gt;none; &lt;b&gt;Spell Resistance &lt;/b&gt;no&lt;/h5&gt;&lt;/div&gt;&lt;hr/&gt;&lt;div&gt;&lt;h5&gt;&lt;b&gt;DESCRIPTION&lt;/b&gt;&lt;/h5&gt;&lt;/div&gt;&lt;hr/&gt;&lt;div&gt;&lt;h4&gt;&lt;p&gt;By casting this spell, you request your deity to send you an outsider (of 6 HD or less) of the deity's choice. If you serve no particular deity, the spell is a general plea answered by a creature sharing your philosophical alignment. If you know an individual creature's name, you may request that individual by speaking the name during the spell (though you might get a different creature anyway).&lt;/p&gt;&lt;p&gt;You may ask the creature to perform one task in exchange for a payment from you. Tasks might range from the simple to the complex. You must be able to communicate with the creature called in order to bargain for its services.&lt;/p&gt;&lt;p&gt;The creature called requires a payment for its services. This payment can take a variety of forms, from donating gold or magic items to an allied temple, to a gift given directly to the creature, to some other action on your part that matches the creature's alignment and goals.&lt;/p&gt;&lt;p&gt;Regardless, this payment must be made before the creature agrees to perform any services. The bargaining takes at least 1 round, so any actions by the creature begin in the round after it arrives.&lt;/p&gt;&lt;p&gt;A task taking up to 1 minute per caster level requires a payment of 100 gp per HD of the creature called. For a task taking up to 1 hour per caster level, the creature requires a payment of 500 gp per HD. A long-term task, one requiring up to 1 day per caster level, requires a payment of 1,000 gp per HD.&lt;/p&gt;&lt;p&gt;A nonhazardous task requires only half the indicated payment, while an especially hazardous task might require a greater gift. Few if any creatures will accept a task that seems suicidal (remember, a called creature actually dies when it is killed, unlike a summoned creature). However, if the task is strongly aligned with the creature's ethos, it may halve or even waive the payment.&lt;/p&gt;&lt;p&gt;At the end of its task, or when the duration bargained for expires, the creature returns to its home plane (after reporting back to you, if appropriate and possible).&lt;/p&gt;&lt;p&gt;&lt;i&gt;Note:&lt;/i&gt; When you use a calling spell that calls an air, chaotic, earth, evil, fire, good, lawful, or water creature, it is a spell of that type.&lt;/p&gt;&lt;/h4&gt;&lt;/div&gt;</t>
  </si>
  <si>
    <t> Exchange services with a 6 HD extraplanar creature.</t>
  </si>
  <si>
    <t>Planar Ally</t>
  </si>
  <si>
    <t>see text for lesser planar ally</t>
  </si>
  <si>
    <t>V, S, M (offerings worth 1,250 gp plus payment), DF</t>
  </si>
  <si>
    <t>one or two called outsiders, totaling no more than 12 HD, which cannot be more than 30 ft. apart when they appear</t>
  </si>
  <si>
    <t>This spell functions like lesser planar ally, except you may call a single creature of 12 HD or less, or two creatures of the same kind whose HD total no more than 12. The creatures agree to help you and request your return payment together.</t>
  </si>
  <si>
    <t>&lt;p&gt;This spell functions like &lt;i&gt;lesser planar ally&lt;/i&gt;, except you may call a single creature of 12 HD or less, or two creatures of the same kind whose HD total no more than 12. The creatures agree to help you and request your return payment together.&lt;/p&gt;</t>
  </si>
  <si>
    <t>&lt;link rel="stylesheet"href="PF.css"&gt;&lt;div class="heading"&gt;&lt;p class="alignleft"&gt;Planar Ally&lt;/p&gt;&lt;div style="clear: both;"&gt;&lt;/div&gt;&lt;/div&gt;&lt;div&gt;&lt;h5&gt;&lt;b&gt;School &lt;/b&gt;conjuration (calling) [see text for lesser planar ally]; &lt;b&gt;Level &lt;/b&gt;cleric 6/oracle 6&lt;/h5&gt;&lt;/div&gt;&lt;hr/&gt;&lt;div&gt;&lt;h5&gt;&lt;b&gt;CASTING&lt;/b&gt;&lt;/h5&gt;&lt;/div&gt;&lt;hr/&gt;&lt;div&gt;&lt;h5&gt;&lt;b&gt;Casting Time &lt;/b&gt;10 minutes&lt;/h5&gt;&lt;h5&gt;&lt;b&gt;Components &lt;/b&gt;V, S, M (offerings worth 1,250 gp plus payment), DF&lt;/h5&gt;&lt;/div&gt;&lt;hr/&gt;&lt;div&gt;&lt;h5&gt;&lt;b&gt;EFFECT&lt;/b&gt;&lt;/h5&gt;&lt;/div&gt;&lt;hr/&gt;&lt;div&gt;&lt;h5&gt;&lt;b&gt;Range &lt;/b&gt;close (25 ft. + 5 ft./2 levels)&lt;/h5&gt;&lt;h5&gt;&lt;b&gt;Effect &lt;/b&gt;one or two called outsiders, totaling no more than 12 HD, which cannot be more than 30 ft. apart when they appear&lt;/h5&gt;&lt;h5&gt;&lt;b&gt;Duration &lt;/b&gt;instantaneous&lt;/h5&gt;&lt;h5&gt;&lt;b&gt;Saving Throw &lt;/b&gt;none; &lt;b&gt;Spell Resistance &lt;/b&gt;no&lt;/h5&gt;&lt;/div&gt;&lt;hr/&gt;&lt;div&gt;&lt;h5&gt;&lt;b&gt;DESCRIPTION&lt;/b&gt;&lt;/h5&gt;&lt;/div&gt;&lt;hr/&gt;&lt;div&gt;&lt;h4&gt;&lt;p&gt;This spell functions like &lt;i&gt;lesser planar ally&lt;/i&gt;, except you may call a single creature of 12 HD or less, or two creatures of the same kind whose HD total no more than 12. The creatures agree to help you and request your return payment together.&lt;/p&gt;&lt;/h4&gt;&lt;/div&gt;</t>
  </si>
  <si>
    <t>Agathion, Archon, Azata</t>
  </si>
  <si>
    <t> As lesser planar ally, but up to 12 HD.</t>
  </si>
  <si>
    <t>Planar Ally, Greater</t>
  </si>
  <si>
    <t>V, S, M (offerings worth 2,500 gp plus payment), DF</t>
  </si>
  <si>
    <t>up to three called outsiders, totaling no more than 18 HD, no two of which can be more than 30 ft. apart when they appear.</t>
  </si>
  <si>
    <t>This spell functions like lesser planar ally, except that you may call a single creature of 18 HD or less, or up to three creatures of the same kind whose Hit Dice total no more than 18. The creatures agree to help you and request your return payment together.</t>
  </si>
  <si>
    <t>&lt;p&gt;This spell functions like &lt;i&gt;lesser planar ally&lt;/i&gt;, except that you may call a single creature of 18 HD or less, or up to three creatures of the same kind whose Hit Dice total no more than 18. The creatures agree to help you and request your return payment together.&lt;/p&gt;</t>
  </si>
  <si>
    <t>&lt;link rel="stylesheet"href="PF.css"&gt;&lt;div class="heading"&gt;&lt;p class="alignleft"&gt;Planar Ally, Greater&lt;/p&gt;&lt;div style="clear: both;"&gt;&lt;/div&gt;&lt;/div&gt;&lt;div&gt;&lt;h5&gt;&lt;b&gt;School &lt;/b&gt;conjuration (calling) [see text for lesser planar ally]; &lt;b&gt;Level &lt;/b&gt;cleric 8/oracle 8&lt;/h5&gt;&lt;/div&gt;&lt;hr/&gt;&lt;div&gt;&lt;h5&gt;&lt;b&gt;CASTING&lt;/b&gt;&lt;/h5&gt;&lt;/div&gt;&lt;hr/&gt;&lt;div&gt;&lt;h5&gt;&lt;b&gt;Casting Time &lt;/b&gt;10 minutes&lt;/h5&gt;&lt;h5&gt;&lt;b&gt;Components &lt;/b&gt;V, S, M (offerings worth 2,500 gp plus payment), DF&lt;/h5&gt;&lt;/div&gt;&lt;hr/&gt;&lt;div&gt;&lt;h5&gt;&lt;b&gt;EFFECT&lt;/b&gt;&lt;/h5&gt;&lt;/div&gt;&lt;hr/&gt;&lt;div&gt;&lt;h5&gt;&lt;b&gt;Range &lt;/b&gt;close (25 ft. + 5 ft./2 levels)&lt;/h5&gt;&lt;h5&gt;&lt;b&gt;Effect &lt;/b&gt;up to three called outsiders, totaling no more than 18 HD, no two of which can be more than 30 ft. apart when they appear.&lt;/h5&gt;&lt;h5&gt;&lt;b&gt;Duration &lt;/b&gt;instantaneous&lt;/h5&gt;&lt;h5&gt;&lt;b&gt;Saving Throw &lt;/b&gt;none; &lt;b&gt;Spell Resistance &lt;/b&gt;no&lt;/h5&gt;&lt;/div&gt;&lt;hr/&gt;&lt;div&gt;&lt;h5&gt;&lt;b&gt;DESCRIPTION&lt;/b&gt;&lt;/h5&gt;&lt;/div&gt;&lt;hr/&gt;&lt;div&gt;&lt;h4&gt;&lt;p&gt;This spell functions like &lt;i&gt;lesser planar ally&lt;/i&gt;, except that you may call a single creature of 18 HD or less, or up to three creatures of the same kind whose Hit Dice total no more than 18. The creatures agree to help you and request your return payment together.&lt;/p&gt;&lt;/h4&gt;&lt;/div&gt;</t>
  </si>
  <si>
    <t>Tactics</t>
  </si>
  <si>
    <t> As lesser planar ally, but up to 18 HD.</t>
  </si>
  <si>
    <t>Planar Binding, Lesser</t>
  </si>
  <si>
    <t>close (25 ft. + 5 ft./2 levels); see text</t>
  </si>
  <si>
    <t>one elemental or outsider with 6 HD or less</t>
  </si>
  <si>
    <t>no and yes; see text</t>
  </si>
  <si>
    <t>Casting this spell attempts a dangerous act: to lure a creature from another plane to a specifically prepared trap, which must lie within the spell's range. The called creature is held in the trap until it agrees to perform one service in return for its freedom. To create the trap, you must use a magic circle spell, focused inward. The kind of creature to be bound must be known and stated. If you wish to call a specific individual, you must use that individual's proper name in casting the spell. The target creature is allowed a Will saving throw. If the saving throw succeeds, the creature resists the spell. If the saving throw fails, the creature is immediately drawn to the trap (spell resistance does not keep it from being called). The creature can escape from the trap by successfully pitting its spell resistance against your caster level check, by dimensional travel, or with a successful Charisma check (DC 15 + 1/2 your caster level + your Charisma modifier). It can try each method once per day. If it breaks loose, it can flee or attack you. A dimensional anchor cast on the creature prevents its escape via dimensional travel. You can also employ a calling diagram (see magic circle against evil) to make the trap more secure. If the creature does not break free of the trap, you can keep it bound for as long as you dare. You can attempt to compel the creature to perform a service by describing the service and perhaps offering some sort of reward. You make a Charisma check opposed by the creature's Charisma check. The check is assigned a bonus of +0 to +6 based on the nature of the service and the reward. If the creature wins the opposed check, it refuses service. New offers, bribes, and the like can be made or the old ones reoffered every 24 hours. This process can be repeated until the creature promises to serve, until it breaks free, or until you decide to get rid of it by means of some other spell. Impossible demands or unreasonable commands are never agreed to. If you ever roll a natural 1 on the Charisma check, the creature breaks free of the spell's effect and can escape or attack you. Once the requested service is completed, the creature need only to inform you to be instantly sent back whence it came. The creature might later seek revenge. If you assign some open-ended task that the creature cannot complete through its own actions, the spell remains in effect for a maximum of 1 day per caster level, and the creature gains an immediate chance to break free (with the same chance to resist as when it was trapped). Note that a clever recipient can subvert some instructions. When you use a calling spell to call an air, chaotic, earth, evil, fire, good, lawful, or water creature, it is a spell of that type.</t>
  </si>
  <si>
    <t>&lt;p&gt;Casting this spell attempts a dangerous act: to lure a creature from another plane to a specifically prepared trap, which must lie within the spell's range. The called creature is held in the trap until it agrees to perform one service in return for its freedom.&lt;/p&gt;&lt;p&gt;To create the trap, you must use a &lt;i&gt;magic circle&lt;/i&gt; spell, focused inward. The kind of creature to be bound must be known and stated. If you wish to call a specific individual, you must use that individual's proper name in casting the spell.&lt;/p&gt;&lt;p&gt;The target creature is allowed a Will saving throw. If the saving throw succeeds, the creature resists the spell. If the saving throw fails, the creature is immediately drawn to the trap (spell resistance does not keep it from being called). The creature can escape from the trap by successfully pitting its spell resistance against your caster level check, by dimensional travel, or with a successful Charisma check (DC 15 + 1/2 your caster level + your Charisma modifier). It can try each method once per day. If it breaks loose, it can flee or attack you. A &lt;i&gt;dimensional anchor&lt;/i&gt; cast on the creature prevents its escape via dimensional travel. You can also employ a calling diagram (see &lt;i&gt;magic circle&lt;/i&gt; against evil) to make the trap more secure.&lt;/p&gt;&lt;p&gt;If the creature does not break free of the trap, you can keep it bound for as long as you dare. You can attempt to compel the creature to perform a service by describing the service and perhaps offering some sort of reward. You make a Charisma check opposed by the creature's Charisma check. The check is assigned a bonus of +0 to +6 based on the nature of the service and the reward. If the creature wins the opposed check, it refuses service. New offers, bribes, and the like can be made or the old ones reoffered every 24 hours. This process can be repeated until the creature promises to serve, until it breaks free, or until you decide to get rid of it by means of some other spell. Impossible demands or unreasonable commands are never agreed to. If you ever roll a natural 1 on the Charisma check, the creature breaks free of the spell's effect and can escape or attack you.&lt;/p&gt;&lt;p&gt;Once the requested service is completed, the creature need only to inform you to be instantly sent back whence it came. The creature might later seek revenge. If you assign some open-ended task that the creature cannot complete through its own actions, the spell remains in effect for a maximum of 1 day per caster level, and the creature gains an immediate chance to break free (with the same chance to resist as when it was trapped). Note that a clever recipient can subvert some instructions.&lt;/p&gt;&lt;p&gt;When you use a calling spell to call an air, chaotic, earth, evil, fire, good, lawful, or water creature, it is a spell of that type.&lt;/p&gt;</t>
  </si>
  <si>
    <t>&lt;link rel="stylesheet"href="PF.css"&gt;&lt;div class="heading"&gt;&lt;p class="alignleft"&gt;Planar Binding, Lesser&lt;/p&gt;&lt;div style="clear: both;"&gt;&lt;/div&gt;&lt;/div&gt;&lt;div&gt;&lt;h5&gt;&lt;b&gt;School &lt;/b&gt;conjuration (calling) [see text]; &lt;b&gt;Level &lt;/b&gt;sorcerer/wizard 5, summoner 4&lt;/h5&gt;&lt;/div&gt;&lt;hr/&gt;&lt;div&gt;&lt;h5&gt;&lt;b&gt;CASTING&lt;/b&gt;&lt;/h5&gt;&lt;/div&gt;&lt;hr/&gt;&lt;div&gt;&lt;h5&gt;&lt;b&gt;Casting Time &lt;/b&gt;10 minutes&lt;/h5&gt;&lt;h5&gt;&lt;b&gt;Components &lt;/b&gt;V, S&lt;/h5&gt;&lt;/div&gt;&lt;hr/&gt;&lt;div&gt;&lt;h5&gt;&lt;b&gt;EFFECT&lt;/b&gt;&lt;/h5&gt;&lt;/div&gt;&lt;hr/&gt;&lt;div&gt;&lt;h5&gt;&lt;b&gt;Range &lt;/b&gt;close (25 ft. + 5 ft./2 levels); see text&lt;/h5&gt;&lt;h5&gt;&lt;b&gt;Targets &lt;/b&gt;one elemental or outsider with 6 HD or less&lt;/h5&gt;&lt;h5&gt;&lt;b&gt;Duration &lt;/b&gt;instantaneous&lt;/h5&gt;&lt;h5&gt;&lt;b&gt;Saving Throw &lt;/b&gt;Will negates; &lt;b&gt;Spell Resistance &lt;/b&gt;no and yes; see text&lt;/h5&gt;&lt;/div&gt;&lt;hr/&gt;&lt;div&gt;&lt;h5&gt;&lt;b&gt;DESCRIPTION&lt;/b&gt;&lt;/h5&gt;&lt;/div&gt;&lt;hr/&gt;&lt;div&gt;&lt;h4&gt;&lt;p&gt;Casting this spell attempts a dangerous act: to lure a creature from another plane to a specifically prepared trap, which must lie within the spell's range. The called creature is held in the trap until it agrees to perform one service in return for its freedom.&lt;/p&gt;&lt;p&gt;To create the trap, you must use a &lt;i&gt;magic circle&lt;/i&gt; spell, focused inward. The kind of creature to be bound must be known and stated. If you wish to call a specific individual, you must use that individual's proper name in casting the spell.&lt;/p&gt;&lt;p&gt;The target creature is allowed a Will saving throw. If the saving throw succeeds, the creature resists the spell. If the saving throw fails, the creature is immediately drawn to the trap (spell resistance does not keep it from being called). The creature can escape from the trap by successfully pitting its spell resistance against your caster level check, by dimensional travel, or with a successful Charisma check (DC 15 + 1/2 your caster level + your Charisma modifier). It can try each method once per day. If it breaks loose, it can flee or attack you. A &lt;i&gt;dimensional anchor&lt;/i&gt; cast on the creature prevents its escape via dimensional travel. You can also employ a calling diagram (see &lt;i&gt;magic circle&lt;/i&gt; against evil) to make the trap more secure.&lt;/p&gt;&lt;p&gt;If the creature does not break free of the trap, you can keep it bound for as long as you dare. You can attempt to compel the creature to perform a service by describing the service and perhaps offering some sort of reward. You make a Charisma check opposed by the creature's Charisma check. The check is assigned a bonus of +0 to +6 based on the nature of the service and the reward. If the creature wins the opposed check, it refuses service. New offers, bribes, and the like can be made or the old ones reoffered every 24 hours. This process can be repeated until the creature promises to serve, until it breaks free, or until you decide to get rid of it by means of some other spell. Impossible demands or unreasonable commands are never agreed to. If you ever roll a natural 1 on the Charisma check, the creature breaks free of the spell's effect and can escape or attack you.&lt;/p&gt;&lt;p&gt;Once the requested service is completed, the creature need only to inform you to be instantly sent back whence it came. The creature might later seek revenge. If you assign some open-ended task that the creature cannot complete through its own actions, the spell remains in effect for a maximum of 1 day per caster level, and the creature gains an immediate chance to break free (with the same chance to resist as when it was trapped). Note that a clever recipient can subvert some instructions.&lt;/p&gt;&lt;p&gt;When you use a calling spell to call an air, chaotic, earth, evil, fire, good, lawful, or water creature, it is a spell of that type.&lt;/p&gt;&lt;/h4&gt;&lt;/div&gt;</t>
  </si>
  <si>
    <t> Traps extraplanar creature of 6 HD or less until it performs a task.</t>
  </si>
  <si>
    <t>Planar Binding</t>
  </si>
  <si>
    <t>see text for lesser planar binding</t>
  </si>
  <si>
    <t>sorcerer/wizard 6, summoner 5</t>
  </si>
  <si>
    <t>up to three elementals or outsiders, totaling no more than 12 HD, no two of which can be more than 30 ft. apart when they appear</t>
  </si>
  <si>
    <t>This spell functions like lesser planar binding, except that you may call a single creature of 12 HD or less, or up to three creatures of the same kind whose Hit Dice total no more than 12. Each creature gets a saving throw, makes an independent attempt to escape, and must be individually persuaded to aid you.</t>
  </si>
  <si>
    <t>&lt;p&gt;This spell functions like &lt;i&gt;lesser planar binding&lt;/i&gt;, except that you may call a single creature of 12 HD or less, or up to three creatures of the same kind whose Hit Dice total no more than 12. Each creature gets a saving throw, makes an independent attempt to escape, and must be individually persuaded to aid you.&lt;/p&gt;</t>
  </si>
  <si>
    <t>&lt;link rel="stylesheet"href="PF.css"&gt;&lt;div class="heading"&gt;&lt;p class="alignleft"&gt;Planar Binding&lt;/p&gt;&lt;div style="clear: both;"&gt;&lt;/div&gt;&lt;/div&gt;&lt;div&gt;&lt;h5&gt;&lt;b&gt;School &lt;/b&gt;conjuration (calling) [see text for lesser planar binding]; &lt;b&gt;Level &lt;/b&gt;sorcerer/wizard 6, summoner 5&lt;/h5&gt;&lt;/div&gt;&lt;hr/&gt;&lt;div&gt;&lt;h5&gt;&lt;b&gt;CASTING&lt;/b&gt;&lt;/h5&gt;&lt;/div&gt;&lt;hr/&gt;&lt;div&gt;&lt;h5&gt;&lt;b&gt;Casting Time &lt;/b&gt;10 minutes&lt;/h5&gt;&lt;h5&gt;&lt;b&gt;Components &lt;/b&gt;V, S&lt;/h5&gt;&lt;/div&gt;&lt;hr/&gt;&lt;div&gt;&lt;h5&gt;&lt;b&gt;EFFECT&lt;/b&gt;&lt;/h5&gt;&lt;/div&gt;&lt;hr/&gt;&lt;div&gt;&lt;h5&gt;&lt;b&gt;Range &lt;/b&gt;close (25 ft. + 5 ft./2 levels); see text&lt;/h5&gt;&lt;h5&gt;&lt;b&gt;Targets &lt;/b&gt;up to three elementals or outsiders, totaling no more than 12 HD, no two of which can be more than 30 ft. apart when they appear&lt;/h5&gt;&lt;h5&gt;&lt;b&gt;Duration &lt;/b&gt;instantaneous&lt;/h5&gt;&lt;h5&gt;&lt;b&gt;Saving Throw &lt;/b&gt;Will negates; &lt;b&gt;Spell Resistance &lt;/b&gt;no and yes; see text&lt;/h5&gt;&lt;/div&gt;&lt;hr/&gt;&lt;div&gt;&lt;h5&gt;&lt;b&gt;DESCRIPTION&lt;/b&gt;&lt;/h5&gt;&lt;/div&gt;&lt;hr/&gt;&lt;div&gt;&lt;h4&gt;&lt;p&gt;This spell functions like &lt;i&gt;lesser planar binding&lt;/i&gt;, except that you may call a single creature of 12 HD or less, or up to three creatures of the same kind whose Hit Dice total no more than 12. Each creature gets a saving throw, makes an independent attempt to escape, and must be individually persuaded to aid you.&lt;/p&gt;&lt;/h4&gt;&lt;/div&gt;</t>
  </si>
  <si>
    <t>Daemon, Demon, Devil, Inevitable, Protean</t>
  </si>
  <si>
    <t> As lesser planar binding, but up to 12 HD.</t>
  </si>
  <si>
    <t>Efreeti, Infernal</t>
  </si>
  <si>
    <t>Planar Binding, Greater</t>
  </si>
  <si>
    <t>up to three elementals or outsiders, totaling no more than 18 HD, no two of which can be more than 30 ft. apart when they appear.</t>
  </si>
  <si>
    <t>This spell functions like lesser planar binding, except that you may call a single creature of 18 HD or less, or up to three creatures of the same kind whose Hit Dice total no more than 18. Each creature gets a saving throw, makes an independent attempt to escape, and must be individually persuaded to aid you.</t>
  </si>
  <si>
    <t>&lt;p&gt;This spell functions like &lt;i&gt;lesser planar binding&lt;/i&gt;, except that you may call a single creature of 18 HD or less, or up to three creatures of the same kind whose Hit Dice total no more than 18. Each creature gets a saving throw, makes an independent attempt to escape, and must be individually persuaded to aid you.&lt;/p&gt;</t>
  </si>
  <si>
    <t>&lt;link rel="stylesheet"href="PF.css"&gt;&lt;div class="heading"&gt;&lt;p class="alignleft"&gt;Planar Binding, Greater&lt;/p&gt;&lt;div style="clear: both;"&gt;&lt;/div&gt;&lt;/div&gt;&lt;div&gt;&lt;h5&gt;&lt;b&gt;School &lt;/b&gt;conjuration (calling) [see text for lesser planar binding]; &lt;b&gt;Level &lt;/b&gt;sorcerer/wizard 8, summoner 6&lt;/h5&gt;&lt;/div&gt;&lt;hr/&gt;&lt;div&gt;&lt;h5&gt;&lt;b&gt;CASTING&lt;/b&gt;&lt;/h5&gt;&lt;/div&gt;&lt;hr/&gt;&lt;div&gt;&lt;h5&gt;&lt;b&gt;Casting Time &lt;/b&gt;10 minutes&lt;/h5&gt;&lt;h5&gt;&lt;b&gt;Components &lt;/b&gt;V, S&lt;/h5&gt;&lt;/div&gt;&lt;hr/&gt;&lt;div&gt;&lt;h5&gt;&lt;b&gt;EFFECT&lt;/b&gt;&lt;/h5&gt;&lt;/div&gt;&lt;hr/&gt;&lt;div&gt;&lt;h5&gt;&lt;b&gt;Range &lt;/b&gt;close (25 ft. + 5 ft./2 levels); see text&lt;/h5&gt;&lt;h5&gt;&lt;b&gt;Targets &lt;/b&gt;up to three elementals or outsiders, totaling no more than 18 HD, no two of which can be more than 30 ft. apart when they appear.&lt;/h5&gt;&lt;h5&gt;&lt;b&gt;Duration &lt;/b&gt;instantaneous&lt;/h5&gt;&lt;h5&gt;&lt;b&gt;Saving Throw &lt;/b&gt;Will negates; &lt;b&gt;Spell Resistance &lt;/b&gt;no and yes; see text&lt;/h5&gt;&lt;/div&gt;&lt;hr/&gt;&lt;div&gt;&lt;h5&gt;&lt;b&gt;DESCRIPTION&lt;/b&gt;&lt;/h5&gt;&lt;/div&gt;&lt;hr/&gt;&lt;div&gt;&lt;h4&gt;&lt;p&gt;This spell functions like &lt;i&gt;lesser planar binding&lt;/i&gt;, except that you may call a single creature of 18 HD or less, or up to three creatures of the same kind whose Hit Dice total no more than 18. Each creature gets a saving throw, makes an independent attempt to escape, and must be individually persuaded to aid you.&lt;/p&gt;&lt;/h4&gt;&lt;/div&gt;</t>
  </si>
  <si>
    <t> As lesser planar binding, but up to 18 HD.</t>
  </si>
  <si>
    <t>Plane Shift</t>
  </si>
  <si>
    <t>cleric/oracle 5, sorcerer/wizard 7, summoner 5, witch 7</t>
  </si>
  <si>
    <t>V, S, F (a forked metal rod attuned to the plane of travel)</t>
  </si>
  <si>
    <t>creature touched, or up to eight willing creatures joining hands</t>
  </si>
  <si>
    <t>You move yourself or some other creature to another plane of existence or alternate dimension. If several willing persons link hands in a circle, as many as eight can be affected by the plane shift at the same time. Precise accuracy as to a particular arrival location on the intended plane is nigh impossible. From the Material Plane, you can reach any other plane, though you appear 5 to 500 miles (5d%) from your intended destination. Plane shift transports creatures instantaneously and then ends. The creatures need to find other means if they are to travel back (including casting plane shift again).</t>
  </si>
  <si>
    <t>&lt;p&gt;You move yourself or some other creature to another plane of existence or alternate dimension. If several willing persons link hands in a circle, as many as eight can be affected by the &lt;i&gt;plane shift&lt;/i&gt; at the same time. Precise accuracy as to a particular arrival location on the intended plane is nigh impossible. From the Material Plane, you can reach any other plane, though you appear 5 to 500 miles (5d%) from your intended destination. &lt;i&gt;Plane shift&lt;/i&gt; transports creatures instantaneously and then ends. The creatures need to find other means if they are to travel back (including casting &lt;i&gt;plane shift&lt;/i&gt; again).&lt;/p&gt;</t>
  </si>
  <si>
    <t>&lt;link rel="stylesheet"href="PF.css"&gt;&lt;div class="heading"&gt;&lt;p class="alignleft"&gt;Plane Shift&lt;/p&gt;&lt;div style="clear: both;"&gt;&lt;/div&gt;&lt;/div&gt;&lt;div&gt;&lt;h5&gt;&lt;b&gt;School &lt;/b&gt;conjuration (teleportation); &lt;b&gt;Level &lt;/b&gt;cleric/oracle 5, sorcerer/wizard 7, summoner 5, witch 7&lt;/h5&gt;&lt;/div&gt;&lt;hr/&gt;&lt;div&gt;&lt;h5&gt;&lt;b&gt;CASTING&lt;/b&gt;&lt;/h5&gt;&lt;/div&gt;&lt;hr/&gt;&lt;div&gt;&lt;h5&gt;&lt;b&gt;Casting Time &lt;/b&gt;1 standard action&lt;/h5&gt;&lt;h5&gt;&lt;b&gt;Components &lt;/b&gt;V, S, F (a forked metal rod attuned to the plane of travel)&lt;/h5&gt;&lt;/div&gt;&lt;hr/&gt;&lt;div&gt;&lt;h5&gt;&lt;b&gt;EFFECT&lt;/b&gt;&lt;/h5&gt;&lt;/div&gt;&lt;hr/&gt;&lt;div&gt;&lt;h5&gt;&lt;b&gt;Range &lt;/b&gt;touch&lt;/h5&gt;&lt;h5&gt;&lt;b&gt;Targets &lt;/b&gt;creature touched, or up to eight willing creatures joining hands&lt;/h5&gt;&lt;h5&gt;&lt;b&gt;Duration &lt;/b&gt;instantaneous&lt;/h5&gt;&lt;h5&gt;&lt;b&gt;Saving Throw &lt;/b&gt;Will negates; &lt;b&gt;Spell Resistance &lt;/b&gt;yes&lt;/h5&gt;&lt;/div&gt;&lt;hr/&gt;&lt;div&gt;&lt;h5&gt;&lt;b&gt;DESCRIPTION&lt;/b&gt;&lt;/h5&gt;&lt;/div&gt;&lt;hr/&gt;&lt;div&gt;&lt;h4&gt;&lt;p&gt;You move yourself or some other creature to another plane of existence or alternate dimension. If several willing persons link hands in a circle, as many as eight can be affected by the &lt;i&gt;plane shift&lt;/i&gt; at the same time. Precise accuracy as to a particular arrival location on the intended plane is nigh impossible. From the Material Plane, you can reach any other plane, though you appear 5 to 500 miles (5d%) from your intended destination. &lt;i&gt;Plane shift&lt;/i&gt; transports creatures instantaneously and then ends. The creatures need to find other means if they are to travel back (including casting &lt;i&gt;plane shift&lt;/i&gt; again).&lt;/p&gt;&lt;/h4&gt;&lt;h5&gt;&lt;b&gt;Mythic: &lt;/b&gt;If you've been to the destination plane and are familiar with a location there, you may choose that location and arrive on target at that location with anyone else you transport with the spell.&lt;/h5&gt;&lt;h5&gt;&lt;b&gt;Augmented&lt;/b&gt;: If you expend two uses of mythic power, you grant transported creatures the effects of a planar adaptation spell (Advanced Player's Guide 236) upon arrival, lasting for 1 hour.&lt;/h5&gt;&lt;/div&gt;</t>
  </si>
  <si>
    <t>As many as 8 subjects travel to another plane.</t>
  </si>
  <si>
    <t>Aberrant, Djinni, Efreeti, Marid, Shaitan</t>
  </si>
  <si>
    <t>If you've been to the destination plane and are familiar with a location there, you may choose that location and arrive on target at that location with anyone else you transport with the spell.</t>
  </si>
  <si>
    <t>Augmented: If you expend two uses of mythic power, you grant transported creatures the effects of a planar adaptation spell (Advanced Player's Guide 236) upon arrival, lasting for 1 hour.</t>
  </si>
  <si>
    <t>Plant Growth</t>
  </si>
  <si>
    <t>Plant growth has different effects depending on the version chosen. Overgrowth: This effect causes normal vegetation (grasses, briars, bushes, creepers, thistles, trees, vines, and so on) within long range (400 feet + 40 feet per caster level) to become thick and overgrown. The plants entwine to form a thicket or jungle that creatures must hack or force a way through. Speed drops to 5 feet, or 10 feet for Large or larger creatures. The area must have brush and trees in it for this spell to take effect. If this spell is cast on an area that is already affected by any spell or effect that enhances plants, such as entangle or wall of thorns, any DC involved with these spells is increased by 4. This bonus is granted for 1 day after the casting of plant growth. At your option, the area can be a 100-foot-radius circle, a 150-foot-radius semicircle, or a 200-foot-radius quarter circle. You may designate places within the area that are not affected. Enrichment: This effect targets plants within a range of a halfmile, raising their potential productivity over the course of the next year to one-third above normal. Plant growth counters diminish plants. This spell has no effect on plant creatures.</t>
  </si>
  <si>
    <t>&lt;p&gt;&lt;i&gt;Plant growth&lt;/i&gt; has different effects depending on the version chosen.&lt;/p&gt;&lt;p&gt;&lt;i&gt;Overgrowth:&lt;/i&gt; This effect causes normal vegetation (grasses, briars, bushes, creepers, thistles, trees, vines, and so on) within long range (400 feet + 40 feet per caster level) to become thick and overgrown.&lt;/p&gt;&lt;p&gt;The plants entwine to form a thicket or jungle that creatures must hack or force a way through. Speed drops to 5 feet, or 10 feet for Large or larger creatures. The area must have brush and trees in it for this spell to take effect. If this spell is cast on an area that is already affected by any spell or effect that enhances plants, such as &lt;i&gt;entangle&lt;/i&gt; or &lt;i&gt;wall of thorns,&lt;/i&gt; any DC involved with these spells is increased by 4.&lt;/p&gt;&lt;p&gt;This bonus is granted for 1 day after the casting of &lt;i&gt;plant growth.&lt;/i&gt;&lt;/p&gt;&lt;p&gt;At your option, the area can be a 100-foot-radius circle, a 150-foot-radius semicircle, or a 200-foot-radius quarter circle.&lt;/p&gt;&lt;p&gt;You may designate places within the area that are not affected.&lt;/p&gt;&lt;p&gt;&lt;i&gt;Enrichment:&lt;/i&gt; This effect targets plants within a range of a halfmile, raising their potential productivity over the course of the next year to one-third above normal.&lt;/p&gt;&lt;p&gt;&lt;i&gt;Plant growth&lt;/i&gt; counters &lt;i&gt;diminish plants&lt;/i&gt;.&lt;/p&gt;&lt;p&gt;This spell has no effect on plant creatures.&lt;/p&gt;</t>
  </si>
  <si>
    <t>&lt;link rel="stylesheet"href="PF.css"&gt;&lt;div class="heading"&gt;&lt;p class="alignleft"&gt;Plant Growth&lt;/p&gt;&lt;div style="clear: both;"&gt;&lt;/div&gt;&lt;/div&gt;&lt;div&gt;&lt;h5&gt;&lt;b&gt;School &lt;/b&gt;transmutation; &lt;b&gt;Level &lt;/b&gt;druid 3, ranger 3&lt;/h5&gt;&lt;/div&gt;&lt;hr/&gt;&lt;div&gt;&lt;h5&gt;&lt;b&gt;CASTING&lt;/b&gt;&lt;/h5&gt;&lt;/div&gt;&lt;hr/&gt;&lt;div&gt;&lt;h5&gt;&lt;b&gt;Casting Time &lt;/b&gt;1 standard action&lt;/h5&gt;&lt;h5&gt;&lt;b&gt;Components &lt;/b&gt;V, S, DF&lt;/h5&gt;&lt;/div&gt;&lt;hr/&gt;&lt;div&gt;&lt;h5&gt;&lt;b&gt;EFFECT&lt;/b&gt;&lt;/h5&gt;&lt;/div&gt;&lt;hr/&gt;&lt;div&gt;&lt;h5&gt;&lt;b&gt;Range &lt;/b&gt;see text&lt;/h5&gt;&lt;h5&gt;&lt;b&gt;Area &lt;/b&gt;see text&lt;/h5&gt;&lt;h5&gt;&lt;b&gt;Targets &lt;/b&gt;see text&lt;/h5&gt;&lt;h5&gt;&lt;b&gt;Duration &lt;/b&gt;instantaneous&lt;/h5&gt;&lt;h5&gt;&lt;b&gt;Saving Throw &lt;/b&gt;none; &lt;b&gt;Spell Resistance &lt;/b&gt;no&lt;/h5&gt;&lt;/div&gt;&lt;hr/&gt;&lt;div&gt;&lt;h5&gt;&lt;b&gt;DESCRIPTION&lt;/b&gt;&lt;/h5&gt;&lt;/div&gt;&lt;hr/&gt;&lt;div&gt;&lt;h4&gt;&lt;p&gt;&lt;i&gt;Plant growth&lt;/i&gt; has different effects depending on the version chosen.&lt;/p&gt;&lt;p&gt;&lt;i&gt;Overgrowth:&lt;/i&gt; This effect causes normal vegetation (grasses, briars, bushes, creepers, thistles, trees, vines, and so on) within long range (400 feet + 40 feet per caster level) to become thick and overgrown.&lt;/p&gt;&lt;p&gt;The plants entwine to form a thicket or jungle that creatures must hack or force a way through. Speed drops to 5 feet, or 10 feet for Large or larger creatures. The area must have brush and trees in it for this spell to take effect. If this spell is cast on an area that is already affected by any spell or effect that enhances plants, such as &lt;i&gt;entangle&lt;/i&gt; or &lt;i&gt;wall of thorns,&lt;/i&gt; any DC involved with these spells is increased by 4.&lt;/p&gt;&lt;p&gt;This bonus is granted for 1 day after the casting of &lt;i&gt;plant growth.&lt;/i&gt;&lt;/p&gt;&lt;p&gt;At your option, the area can be a 100-foot-radius circle, a 150-foot-radius semicircle, or a 200-foot-radius quarter circle.&lt;/p&gt;&lt;p&gt;You may designate places within the area that are not affected.&lt;/p&gt;&lt;p&gt;&lt;i&gt;Enrichment:&lt;/i&gt; This effect targets plants within a range of a halfmile, raising their potential productivity over the course of the next year to one-third above normal.&lt;/p&gt;&lt;p&gt;&lt;i&gt;Plant growth&lt;/i&gt; counters &lt;i&gt;diminish plants&lt;/i&gt;.&lt;/p&gt;&lt;p&gt;This spell has no effect on plant creatures.&lt;/p&gt;&lt;/h4&gt;&lt;/div&gt;</t>
  </si>
  <si>
    <t>Grows vegetation, improves crops.</t>
  </si>
  <si>
    <t>Plant Shape I</t>
  </si>
  <si>
    <t>sorcerer/wizard 5, alchemist 5</t>
  </si>
  <si>
    <t>When you cast this spell you can assume the form of any Small or Medium creature of the plant type (see the Pathfinder RPG Bestiary). If the form you assume has any of the following abilities, you gain the listed ability: darkvision 60 feet, low-light vision, constrict, grab, and poison. If the form you assume does not possess the ability to move, your speed is reduced to 5 feet and you lose all other forms of movement. If the creature has vulnerability to an element, you gain that vulnerability. Small plant: If the form you take is that of a Small plant, you gain a +2 size bonus to your Constitution and a +2 natural armor bonus. Medium plant: If the form you take is that of a Medium plant, you gain a +2 size bonus to your Strength, a +2 enhancement bonus to your Constitution, and a +2 natural armor bonus.</t>
  </si>
  <si>
    <t>&lt;p&gt;When you cast this spell you can assume the form of any Small or Medium creature of the plant type (see the &lt;i&gt;Pathfinder RPG Bestiary&lt;/i&gt;).&lt;/p&gt;&lt;p&gt;If the form you assume has any of the following abilities, you gain the listed ability: darkvision 60 feet, low-light vision, constrict, grab, and poison. If the form you assume does not possess the ability to move, your speed is reduced to 5 feet and you lose all other forms of movement. If the creature has vulnerability to an element, you gain that vulnerability.&lt;/p&gt;&lt;p&gt;&lt;i&gt;Small plant&lt;/i&gt;: If the form you take is that of a &lt;i&gt;Small plant&lt;/i&gt;, you gain a +2 size bonus to your Constitution and a +2 natural armor bonus.&lt;/p&gt;&lt;p&gt;&lt;i&gt;Medium plant&lt;/i&gt;: If the form you take is that of a &lt;i&gt;Medium plant&lt;/i&gt;, you gain a +2 size bonus to your Strength, a +2 enhancement bonus to your Constitution, and a +2 natural armor bonus.&lt;/p&gt;</t>
  </si>
  <si>
    <t>&lt;link rel="stylesheet"href="PF.css"&gt;&lt;div class="heading"&gt;&lt;p class="alignleft"&gt;Plant Shape I&lt;/p&gt;&lt;div style="clear: both;"&gt;&lt;/div&gt;&lt;/div&gt;&lt;div&gt;&lt;h5&gt;&lt;b&gt;School &lt;/b&gt;transmutation (polymorph); &lt;b&gt;Level &lt;/b&gt;sorcerer/wizard 5, alchemist 5&lt;/h5&gt;&lt;/div&gt;&lt;hr/&gt;&lt;div&gt;&lt;h5&gt;&lt;b&gt;CASTING&lt;/b&gt;&lt;/h5&gt;&lt;/div&gt;&lt;hr/&gt;&lt;div&gt;&lt;h5&gt;&lt;b&gt;Casting Time &lt;/b&gt;1 standard action&lt;/h5&gt;&lt;h5&gt;&lt;b&gt;Components &lt;/b&gt;V, S, M (a piece of the creature whose form you plan to assume)&lt;/h5&gt;&lt;/div&gt;&lt;hr/&gt;&lt;div&gt;&lt;h5&gt;&lt;b&gt;EFFECT&lt;/b&gt;&lt;/h5&gt;&lt;/div&gt;&lt;hr/&gt;&lt;div&gt;&lt;h5&gt;&lt;b&gt;Range &lt;/b&gt;personal&lt;/h5&gt;&lt;h5&gt;&lt;b&gt;Targets &lt;/b&gt;you&lt;/h5&gt;&lt;h5&gt;&lt;b&gt;Duration &lt;/b&gt;1 min./level (D)&lt;/h5&gt;&lt;/div&gt;&lt;hr/&gt;&lt;div&gt;&lt;h5&gt;&lt;b&gt;DESCRIPTION&lt;/b&gt;&lt;/h5&gt;&lt;/div&gt;&lt;hr/&gt;&lt;div&gt;&lt;h4&gt;&lt;p&gt;When you cast this spell you can assume the form of any Small or Medium creature of the plant type (see the &lt;i&gt;Pathfinder RPG Bestiary&lt;/i&gt;).&lt;/p&gt;&lt;p&gt;If the form you assume has any of the following abilities, you gain the listed ability: darkvision 60 feet, low-light vision, constrict, grab, and poison. If the form you assume does not possess the ability to move, your speed is reduced to 5 feet and you lose all other forms of movement. If the creature has vulnerability to an element, you gain that vulnerability.&lt;/p&gt;&lt;p&gt;&lt;i&gt;Small plant&lt;/i&gt;: If the form you take is that of a &lt;i&gt;Small plant&lt;/i&gt;, you gain a +2 size bonus to your Constitution and a +2 natural armor bonus.&lt;/p&gt;&lt;p&gt;&lt;i&gt;Medium plant&lt;/i&gt;: If the form you take is that of a &lt;i&gt;Medium plant&lt;/i&gt;, you gain a +2 size bonus to your Strength, a +2 enhancement bonus to your Constitution, and a +2 natural armor bonus.&lt;/p&gt;&lt;/h4&gt;&lt;/div&gt;</t>
  </si>
  <si>
    <t> Turns you into a Small or Medium plant.</t>
  </si>
  <si>
    <t>Plant Shape II</t>
  </si>
  <si>
    <t>sorcerer/wizard 6, alchemist 6</t>
  </si>
  <si>
    <t>This spell functions as plant shape I except that it also allows you to assume the form of a Large creature of the plant type. If the creature has immunity or resistance to any elements, you gain resistance 20 to those elements. If the creature has vulnerability to an element, you gain that vulnerability. Large plant: If the form you take is that of a Large plant, you gain a +4 size bonus to your Strength, a +2 size bonus to your Constitution, and a +4 natural armor bonus.</t>
  </si>
  <si>
    <t>&lt;p&gt;This spell functions as &lt;i&gt;plant shape I&lt;/i&gt; except that it also allows you to assume the form of a Large creature of the plant type. If the creature has immunity or resistance to any elements, you gain resistance 20 to those elements. If the creature has vulnerability to an element, you gain that vulnerability.&lt;/p&gt;&lt;p&gt;&lt;i&gt;Large plant&lt;/i&gt;: If the form you take is that of a &lt;i&gt;Large plant&lt;/i&gt;, you gain a +4 size bonus to your Strength, a +2 size bonus to your Constitution, and a +4 natural armor bonus.&lt;/p&gt;</t>
  </si>
  <si>
    <t>&lt;link rel="stylesheet"href="PF.css"&gt;&lt;div class="heading"&gt;&lt;p class="alignleft"&gt;Plant Shape II&lt;/p&gt;&lt;div style="clear: both;"&gt;&lt;/div&gt;&lt;/div&gt;&lt;div&gt;&lt;h5&gt;&lt;b&gt;School &lt;/b&gt;transmutation (polymorph); &lt;b&gt;Level &lt;/b&gt;sorcerer/wizard 6, alchemist 6&lt;/h5&gt;&lt;/div&gt;&lt;hr/&gt;&lt;div&gt;&lt;h5&gt;&lt;b&gt;CASTING&lt;/b&gt;&lt;/h5&gt;&lt;/div&gt;&lt;hr/&gt;&lt;div&gt;&lt;h5&gt;&lt;b&gt;Casting Time &lt;/b&gt;1 standard action&lt;/h5&gt;&lt;h5&gt;&lt;b&gt;Components &lt;/b&gt;V, S, M (a piece of the creature whose form you plan to assume)&lt;/h5&gt;&lt;/div&gt;&lt;hr/&gt;&lt;div&gt;&lt;h5&gt;&lt;b&gt;EFFECT&lt;/b&gt;&lt;/h5&gt;&lt;/div&gt;&lt;hr/&gt;&lt;div&gt;&lt;h5&gt;&lt;b&gt;Range &lt;/b&gt;personal&lt;/h5&gt;&lt;h5&gt;&lt;b&gt;Targets &lt;/b&gt;you&lt;/h5&gt;&lt;h5&gt;&lt;b&gt;Duration &lt;/b&gt;1 min./level (D)&lt;/h5&gt;&lt;/div&gt;&lt;hr/&gt;&lt;div&gt;&lt;h5&gt;&lt;b&gt;DESCRIPTION&lt;/b&gt;&lt;/h5&gt;&lt;/div&gt;&lt;hr/&gt;&lt;div&gt;&lt;h4&gt;&lt;p&gt;This spell functions as &lt;i&gt;plant shape I&lt;/i&gt; except that it also allows you to assume the form of a Large creature of the plant type. If the creature has immunity or resistance to any elements, you gain resistance 20 to those elements. If the creature has vulnerability to an element, you gain that vulnerability.&lt;/p&gt;&lt;p&gt;&lt;i&gt;Large plant&lt;/i&gt;: If the form you take is that of a &lt;i&gt;Large plant&lt;/i&gt;, you gain a +4 size bonus to your Strength, a +2 size bonus to your Constitution, and a +4 natural armor bonus.&lt;/p&gt;&lt;/h4&gt;&lt;/div&gt;</t>
  </si>
  <si>
    <t> Turns you into a Large plant creature.</t>
  </si>
  <si>
    <t>Plant Shape III</t>
  </si>
  <si>
    <t>This spell functions as plant shape II except that it also allows you to assume the form of a Huge creature of the plant type. If the form you assume has any of the following abilities, you gain the listed ability: DR, regeneration 5, and trample. Huge plant: If the form you take is that of a Huge plant, you gain a +8 size bonus to your Strength, a -2 penalty to your Dexterity, a +4 size bonus to your Constitution, and a +6 natural armor bonus.</t>
  </si>
  <si>
    <t>&lt;p&gt;This spell functions as &lt;i&gt;plant shape II&lt;/i&gt; except that it also allows you to assume the form of a Huge creature of the plant type. If the form you assume has any of the following abilities, you gain the listed ability: DR, regeneration 5, and trample.&lt;/p&gt;&lt;p&gt;&lt;i&gt;Huge plant&lt;/i&gt;: If the form you take is that of a &lt;i&gt;Huge plant&lt;/i&gt;, you gain a +8 size bonus to your Strength, a -2 penalty to your Dexterity, a +4 size bonus to your Constitution, and a +6 natural armor bonus.&lt;/p&gt;</t>
  </si>
  <si>
    <t>&lt;link rel="stylesheet"href="PF.css"&gt;&lt;div class="heading"&gt;&lt;p class="alignleft"&gt;Plant Shape III&lt;/p&gt;&lt;div style="clear: both;"&gt;&lt;/div&gt;&lt;/div&gt;&lt;div&gt;&lt;h5&gt;&lt;b&gt;School &lt;/b&gt;transmutation (polymorph); &lt;b&gt;Level &lt;/b&gt;sorcerer/wizard 7&lt;/h5&gt;&lt;/div&gt;&lt;hr/&gt;&lt;div&gt;&lt;h5&gt;&lt;b&gt;CASTING&lt;/b&gt;&lt;/h5&gt;&lt;/div&gt;&lt;hr/&gt;&lt;div&gt;&lt;h5&gt;&lt;b&gt;Casting Time &lt;/b&gt;1 standard action&lt;/h5&gt;&lt;h5&gt;&lt;b&gt;Components &lt;/b&gt;V, S, M (a piece of the creature whose form you plan to assume)&lt;/h5&gt;&lt;/div&gt;&lt;hr/&gt;&lt;div&gt;&lt;h5&gt;&lt;b&gt;EFFECT&lt;/b&gt;&lt;/h5&gt;&lt;/div&gt;&lt;hr/&gt;&lt;div&gt;&lt;h5&gt;&lt;b&gt;Range &lt;/b&gt;personal&lt;/h5&gt;&lt;h5&gt;&lt;b&gt;Targets &lt;/b&gt;you&lt;/h5&gt;&lt;h5&gt;&lt;b&gt;Duration &lt;/b&gt;1 min./level (D)&lt;/h5&gt;&lt;/div&gt;&lt;hr/&gt;&lt;div&gt;&lt;h5&gt;&lt;b&gt;DESCRIPTION&lt;/b&gt;&lt;/h5&gt;&lt;/div&gt;&lt;hr/&gt;&lt;div&gt;&lt;h4&gt;&lt;p&gt;This spell functions as &lt;i&gt;plant shape II&lt;/i&gt; except that it also allows you to assume the form of a Huge creature of the plant type. If the form you assume has any of the following abilities, you gain the listed ability: DR, regeneration 5, and trample.&lt;/p&gt;&lt;p&gt;&lt;i&gt;Huge plant&lt;/i&gt;: If the form you take is that of a &lt;i&gt;Huge plant&lt;/i&gt;, you gain a +8 size bonus to your Strength, a -2 penalty to your Dexterity, a +4 size bonus to your Constitution, and a +6 natural armor bonus.&lt;/p&gt;&lt;/h4&gt;&lt;/div&gt;</t>
  </si>
  <si>
    <t> Turns you into a Huge plant.</t>
  </si>
  <si>
    <t>Poison</t>
  </si>
  <si>
    <t>cleric 4/oracle 4, druid 3, witch 4, antipaladin 4</t>
  </si>
  <si>
    <t>Fortitude negates; see text</t>
  </si>
  <si>
    <t>Calling upon the venomous powers of natural predators, you infect the subject with a horrible poison by making a successful melee touch attack. This poison deals 1d3 Constitution damage per round for 6 rounds. Poisoned creatures can make a Fortitude save each round to negate the damage and end the affliction.</t>
  </si>
  <si>
    <t>&lt;p&gt;Calling upon the venomous powers of natural predators, you infect the subject with a horrible poison by making a successful melee touch attack. This poison deals 1d3 Constitution damage per round for 6 rounds. Poisoned creatures can make a Fortitude save each round to negate the damage and end the affliction.&lt;/p&gt;</t>
  </si>
  <si>
    <t>&lt;link rel="stylesheet"href="PF.css"&gt;&lt;div class="heading"&gt;&lt;p class="alignleft"&gt;Poison&lt;/p&gt;&lt;div style="clear: both;"&gt;&lt;/div&gt;&lt;/div&gt;&lt;div&gt;&lt;h5&gt;&lt;b&gt;School &lt;/b&gt;necromancy [poison]; &lt;b&gt;Level &lt;/b&gt;cleric 4/oracle 4, druid 3, witch 4, antipaladin 4&lt;/h5&gt;&lt;/div&gt;&lt;hr/&gt;&lt;div&gt;&lt;h5&gt;&lt;b&gt;CASTING&lt;/b&gt;&lt;/h5&gt;&lt;/div&gt;&lt;hr/&gt;&lt;div&gt;&lt;h5&gt;&lt;b&gt;Casting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&lt;/b&gt;living creature touched&lt;/h5&gt;&lt;h5&gt;&lt;b&gt;Duration &lt;/b&gt;instantaneous; see text&lt;/h5&gt;&lt;h5&gt;&lt;b&gt;Saving Throw &lt;/b&gt;Fortitude negates; see text; &lt;b&gt;Spell Resistance &lt;/b&gt;yes&lt;/h5&gt;&lt;/div&gt;&lt;hr/&gt;&lt;div&gt;&lt;h5&gt;&lt;b&gt;DESCRIPTION&lt;/b&gt;&lt;/h5&gt;&lt;/div&gt;&lt;hr/&gt;&lt;div&gt;&lt;h4&gt;&lt;p&gt;Calling upon the venomous powers of natural predators, you infect the subject with a horrible poison by making a successful melee touch attack. This poison deals 1d3 Constitution damage per round for 6 rounds. Poisoned creatures can make a Fortitude save each round to negate the damage and end the affliction.&lt;/p&gt;&lt;/h4&gt;&lt;/div&gt;</t>
  </si>
  <si>
    <t>Decay, Scalykind</t>
  </si>
  <si>
    <t>Touch deals 1d3 Con damage 1/round for 6 rounds.</t>
  </si>
  <si>
    <t>Polar Ray</t>
  </si>
  <si>
    <t>V, S, F (a white ceramic cone or prism)</t>
  </si>
  <si>
    <t>A blue-white ray of freezing air and ice springs from your hand. You must succeed on a ranged touch attack with the ray to deal damage to a target. The ray deals 1d6 points of cold damage per caster level (maximum 25d6) and 1d4 points of Dexterity drain.</t>
  </si>
  <si>
    <t>&lt;p&gt;A blue-white ray of freezing air and ice springs from your hand.&lt;/p&gt;&lt;p&gt;You must succeed on a ranged touch attack with the ray to deal damage to a target. The ray deals 1d6 points of cold damage per caster level (maximum 25d6) and 1d4 points of Dexterity drain.&lt;/p&gt;</t>
  </si>
  <si>
    <t>&lt;link rel="stylesheet"href="PF.css"&gt;&lt;div class="heading"&gt;&lt;p class="alignleft"&gt;Polar Ray&lt;/p&gt;&lt;div style="clear: both;"&gt;&lt;/div&gt;&lt;/div&gt;&lt;div&gt;&lt;h5&gt;&lt;b&gt;School &lt;/b&gt;evocation [cold]; &lt;b&gt;Level &lt;/b&gt;sorcerer/wizard 8&lt;/h5&gt;&lt;/div&gt;&lt;hr/&gt;&lt;div&gt;&lt;h5&gt;&lt;b&gt;CASTING&lt;/b&gt;&lt;/h5&gt;&lt;/div&gt;&lt;hr/&gt;&lt;div&gt;&lt;h5&gt;&lt;b&gt;Casting Time &lt;/b&gt;1 standard action&lt;/h5&gt;&lt;h5&gt;&lt;b&gt;Components &lt;/b&gt;V, S, F (a white ceramic cone or prism)&lt;/h5&gt;&lt;/div&gt;&lt;hr/&gt;&lt;div&gt;&lt;h5&gt;&lt;b&gt;EFFECT&lt;/b&gt;&lt;/h5&gt;&lt;/div&gt;&lt;hr/&gt;&lt;div&gt;&lt;h5&gt;&lt;b&gt;Range &lt;/b&gt;medium (100 ft. + 10 ft./level)&lt;/h5&gt;&lt;h5&gt;&lt;b&gt;Effect &lt;/b&gt;ray&lt;/h5&gt;&lt;h5&gt;&lt;b&gt;Duration &lt;/b&gt;instantaneous&lt;/h5&gt;&lt;h5&gt;&lt;b&gt;Saving Throw &lt;/b&gt;none; &lt;b&gt;Spell Resistance &lt;/b&gt;yes&lt;/h5&gt;&lt;/div&gt;&lt;hr/&gt;&lt;div&gt;&lt;h5&gt;&lt;b&gt;DESCRIPTION&lt;/b&gt;&lt;/h5&gt;&lt;/div&gt;&lt;hr/&gt;&lt;div&gt;&lt;h4&gt;&lt;p&gt;A blue-white ray of freezing air and ice springs from your hand.&lt;/p&gt;&lt;p&gt;You must succeed on a ranged touch attack with the ray to deal damage to a target. The ray deals 1d6 points of cold damage per caster level (maximum 25d6) and 1d4 points of Dexterity drain.&lt;/p&gt;&lt;/h4&gt;&lt;h5&gt;&lt;b&gt;Mythic: &lt;/b&gt;The damage dealt increases to 1d8 points of cold damage per caster level (maximum 25d8) and 1d6 points of Dexterity drain. If the target takes damage from this spell, it becomes partially encased in ice, reducing its speed by half. Creatures with the cold or incorporeal subtypes or immunity to being grappled are immune to this effect. The reduced movement lasts until the ice is destroyed. Destroying the ice requires a successful Strength or dispel check against the spell's DC or dealing 1 point of bludgeoning or fire damage per caster level to the target.&lt;/h5&gt;&lt;/div&gt;</t>
  </si>
  <si>
    <t> Ranged touch attack deals 1d6/level cold damage and 1d4 points of Dexterity drain.</t>
  </si>
  <si>
    <t>Boreal, Marid</t>
  </si>
  <si>
    <t>The damage dealt increases to 1d8 points of cold damage per caster level (maximum 25d8) and 1d6 points of Dexterity drain. If the target takes damage from this spell, it becomes partially encased in ice, reducing its speed by half. Creatures with the cold or incorporeal subtypes or immunity to being grappled are immune to this effect. The reduced movement lasts until the ice is destroyed. Destroying the ice requires a successful Strength or dispel check against the spell's DC or dealing 1 point of bludgeoning or fire damage per caster level to the target.</t>
  </si>
  <si>
    <t>Polymorph</t>
  </si>
  <si>
    <t>V, S, M (a piece of the creature whose form you choose)</t>
  </si>
  <si>
    <t>This spell transforms a willing creature into an animal, humanoid or elemental of your choosing; the spell has no effect on unwilling creatures, nor can the creature being targeted by this spell influence the new form assumed (apart from conveying its wishes, if any, to you verbally). If you use this spell to cause the target to take on the form of an animal or magical beast, the spell functions as beast shape II. If the form is that of an elemental, the spell functions as elemental body I. If the form is that of a humanoid, the spell functions as alter self. The subject may choose to resume its normal form as a full-round action; doing so ends the spell for that subject.</t>
  </si>
  <si>
    <t>&lt;p&gt;This spell transforms a willing creature into an animal, humanoid or elemental of your choosing; the spell has no effect on unwilling creatures, nor can the creature being targeted by this spell influence the new form assumed (apart from conveying its wishes, if any, to you verbally).&lt;/p&gt;&lt;p&gt;If you use this spell to cause the target to take on the form of an animal or magical beast, the spell functions as &lt;i&gt;beast shape II&lt;/i&gt;. If the form is that of an elemental, the spell functions as &lt;i&gt;elemental body I.&lt;/i&gt; If the form is that of a humanoid, the spell functions as &lt;i&gt;alter self&lt;/i&gt;.&lt;/p&gt;&lt;p&gt;The subject may choose to resume its normal form as a full-round action; doing so ends the spell for that subject.&lt;/p&gt;</t>
  </si>
  <si>
    <t>&lt;link rel="stylesheet"href="PF.css"&gt;&lt;div class="heading"&gt;&lt;p class="alignleft"&gt;Polymorph&lt;/p&gt;&lt;div style="clear: both;"&gt;&lt;/div&gt;&lt;/div&gt;&lt;div&gt;&lt;h5&gt;&lt;b&gt;School &lt;/b&gt;transmutation (polymorph); &lt;b&gt;Level &lt;/b&gt;sorcerer/wizard 5, alchemist 5&lt;/h5&gt;&lt;/div&gt;&lt;hr/&gt;&lt;div&gt;&lt;h5&gt;&lt;b&gt;CASTING&lt;/b&gt;&lt;/h5&gt;&lt;/div&gt;&lt;hr/&gt;&lt;div&gt;&lt;h5&gt;&lt;b&gt;Casting Time &lt;/b&gt;1 standard action&lt;/h5&gt;&lt;h5&gt;&lt;b&gt;Components &lt;/b&gt;V, S, M (a piece of the creature whose form you choose)&lt;/h5&gt;&lt;/div&gt;&lt;hr/&gt;&lt;div&gt;&lt;h5&gt;&lt;b&gt;EFFECT&lt;/b&gt;&lt;/h5&gt;&lt;/div&gt;&lt;hr/&gt;&lt;div&gt;&lt;h5&gt;&lt;b&gt;Range &lt;/b&gt;touch&lt;/h5&gt;&lt;h5&gt;&lt;b&gt;Targets &lt;/b&gt;living creature touched&lt;/h5&gt;&lt;h5&gt;&lt;b&gt;Duration &lt;/b&gt;1 min/level (D)&lt;/h5&gt;&lt;h5&gt;&lt;b&gt;Saving Throw &lt;/b&gt;Will negates (harmless); &lt;b&gt;Spell Resistance &lt;/b&gt;yes (harmless)&lt;/h5&gt;&lt;/div&gt;&lt;hr/&gt;&lt;div&gt;&lt;h5&gt;&lt;b&gt;DESCRIPTION&lt;/b&gt;&lt;/h5&gt;&lt;/div&gt;&lt;hr/&gt;&lt;div&gt;&lt;h4&gt;&lt;p&gt;This spell transforms a willing creature into an animal, humanoid or elemental of your choosing; the spell has no effect on unwilling creatures, nor can the creature being targeted by this spell influence the new form assumed (apart from conveying its wishes, if any, to you verbally).&lt;/p&gt;&lt;p&gt;If you use this spell to cause the target to take on the form of an animal or magical beast, the spell functions as &lt;i&gt;beast shape II&lt;/i&gt;. If the form is that of an elemental, the spell functions as &lt;i&gt;elemental body I.&lt;/i&gt; If the form is that of a humanoid, the spell functions as &lt;i&gt;alter self&lt;/i&gt;.&lt;/p&gt;&lt;p&gt;The subject may choose to resume its normal form as a full-round action; doing so ends the spell for that subject.&lt;/p&gt;&lt;/h4&gt;&lt;/div&gt;</t>
  </si>
  <si>
    <t> Gives one willing subject a new form.</t>
  </si>
  <si>
    <t>Polymorph, Greater</t>
  </si>
  <si>
    <t>This spell functions as polymorph except that it allows the creature to take on the form of a dragon or plant creature. If you use this spell to cause the target to take on the form of an animal or magical beast, it functions as beast shape IV. If the form is that of an elemental, the spell functions as elemental body III. If the form is that of a humanoid, the spell functions as alter self. If the form is that of a plant, the spell functions as plant shape II. If the form is that of a dragon, the spell functions as form of the dragon I. The subject may choose to resume its normal form as a full-round action; doing so ends the spell.</t>
  </si>
  <si>
    <t>&lt;p&gt;This spell functions as &lt;i&gt;polymorph&lt;/i&gt; except that it allows the creature to take on the form of a dragon or plant creature. If you use this spell to cause the target to take on the form of an animal or magical beast, it functions as &lt;i&gt;beast shape IV&lt;/i&gt;. If the form is that of an elemental, the spell functions as &lt;i&gt;elemental body III.&lt;/i&gt; If the form is that of a humanoid, the spell functions as &lt;i&gt;alter self&lt;/i&gt;. If the form is that of a plant, the spell functions as &lt;i&gt;plant shape II.&lt;/i&gt; If the form is that of a dragon, the spell functions as &lt;i&gt;form of the dragon I.&lt;/i&gt; The subject may choose to resume its normal form as a full-round action; doing so ends the spell.&lt;/p&gt;</t>
  </si>
  <si>
    <t>&lt;link rel="stylesheet"href="PF.css"&gt;&lt;div class="heading"&gt;&lt;p class="alignleft"&gt;Polymorph, Greater&lt;/p&gt;&lt;div style="clear: both;"&gt;&lt;/div&gt;&lt;/div&gt;&lt;div&gt;&lt;h5&gt;&lt;b&gt;School &lt;/b&gt;transmutation (polymorph); &lt;b&gt;Level &lt;/b&gt;sorcerer/wizard 7&lt;/h5&gt;&lt;/div&gt;&lt;hr/&gt;&lt;div&gt;&lt;h5&gt;&lt;b&gt;CASTING&lt;/b&gt;&lt;/h5&gt;&lt;/div&gt;&lt;hr/&gt;&lt;div&gt;&lt;h5&gt;&lt;b&gt;Casting Time &lt;/b&gt;1 standard action&lt;/h5&gt;&lt;h5&gt;&lt;b&gt;Components &lt;/b&gt;V, S, M (a piece of the creature whose form you choose)&lt;/h5&gt;&lt;/div&gt;&lt;hr/&gt;&lt;div&gt;&lt;h5&gt;&lt;b&gt;EFFECT&lt;/b&gt;&lt;/h5&gt;&lt;/div&gt;&lt;hr/&gt;&lt;div&gt;&lt;h5&gt;&lt;b&gt;Range &lt;/b&gt;touch&lt;/h5&gt;&lt;h5&gt;&lt;b&gt;Targets &lt;/b&gt;living creature touched&lt;/h5&gt;&lt;h5&gt;&lt;b&gt;Duration &lt;/b&gt;1 min/level (D)&lt;/h5&gt;&lt;h5&gt;&lt;b&gt;Saving Throw &lt;/b&gt;Will negates (harmless); &lt;b&gt;Spell Resistance &lt;/b&gt;yes (harmless)&lt;/h5&gt;&lt;/div&gt;&lt;hr/&gt;&lt;div&gt;&lt;h5&gt;&lt;b&gt;DESCRIPTION&lt;/b&gt;&lt;/h5&gt;&lt;/div&gt;&lt;hr/&gt;&lt;div&gt;&lt;h4&gt;&lt;p&gt;This spell functions as &lt;i&gt;polymorph&lt;/i&gt; except that it allows the creature to take on the form of a dragon or plant creature. If you use this spell to cause the target to take on the form of an animal or magical beast, it functions as &lt;i&gt;beast shape IV&lt;/i&gt;. If the form is that of an elemental, the spell functions as &lt;i&gt;elemental body III.&lt;/i&gt; If the form is that of a humanoid, the spell functions as &lt;i&gt;alter self&lt;/i&gt;. If the form is that of a plant, the spell functions as &lt;i&gt;plant shape II.&lt;/i&gt; If the form is that of a dragon, the spell functions as &lt;i&gt;form of the dragon I.&lt;/i&gt; The subject may choose to resume its normal form as a full-round action; doing so ends the spell.&lt;/p&gt;&lt;/h4&gt;&lt;/div&gt;</t>
  </si>
  <si>
    <t> Gives one willing subject a new, more powerful form.</t>
  </si>
  <si>
    <t>Polymorph Any Object</t>
  </si>
  <si>
    <t>V, S, M/DF (mercury, gum arabic, and smoke)</t>
  </si>
  <si>
    <t>one creature, or one nonmagical object of up to 100 cu. ft./level</t>
  </si>
  <si>
    <t>Fortitude negates (object); see text</t>
  </si>
  <si>
    <t>This spell functions like greater polymorph, except that it changes one object or creature into another. You can use this spell to transform all manner of objects and creatures into new forms-you aren't limited to transforming a living creature into another living form. The duration of the spell depends on how radical a change is made from the original state to its transmuted state. The duration is determined by using the following guidelines. I ncrease to Changed Subject Is… D uration Factor* Same kingdom (animal, vegetable, mineral) +5 Same class (mammals, fungi, metals, etc.) +2 Same size +2 Related (twig is to tree, wolf fur is to wolf, etc.) +2 Same or lower Intelligence +2 *Add all that apply. Look up the total on the next table. Duration Factor D uration Example 0 20 minutes Pebble to human 2 1 hour Marionette to human 4 3 hours Human to marionette 5 12 hours Lizard to manticore 6 2 days Sheep to wool coat 7 1 week Shrew to manticore 9+ Permanent Manticore to shrew If the target of the spell does not have physical ability scores (Strength, Dexterity, or Constitution), this spell grants a base score of 10 to each missing ability score. If the target of the spell does not have mental ability scores (Intelligence, Wisdom, or Charisma), this spell grants a score of 5 to such scores. Damage taken by the new form can result in the injury or death of the polymorphed creature. In general, damage occurs when the new form is changed through physical force. A nonmagical object cannot be made into a magic item with this spell. Magic items aren't affected by this spell. This spell cannot create material of great intrinsic value, such as copper, silver, gems, silk, gold, platinum, mithral, or adamantine. It also cannot reproduce the special properties of cold iron in order to overcome the damage reduction of certain creatures. This spell can also be used to duplicate the effects of baleful polymorph, greater polymorph, flesh to stone, stone to flesh, transmute mud to rock, transmute metal to wood, or transmute rock to mud.</t>
  </si>
  <si>
    <t>&lt;p&gt;This spell functions like &lt;i&gt;greater polymorph,&lt;/i&gt; except that it changes one object or creature into another. You can use this spell to transform all manner of objects and creatures into new forms-you aren't limited to transforming a living creature into another living form. The duration of the spell depends on how radical a change is made from the original state to its transmuted state. The duration is determined by using the following guidelines.&lt;/p&gt;&lt;p&gt; &lt;table&gt;&lt;tr&gt;&lt;th&gt;Changed Subject is...&lt;/th&gt;&lt;th&gt;Increase to duration Factor*&lt;/th&gt;&lt;/tr&gt;&lt;tr&gt;&lt;td&gt;Same kingdom (animal, vegetable, mineral)&lt;/td&gt;&lt;td&gt;+5&lt;/td&gt;&lt;/tr&gt;&lt;tr&gt;&lt;td&gt;Same class (mammals, fungi, metals, etc.)&lt;/td&gt;&lt;td&gt;+2&lt;/td&gt;&lt;/tr&gt;&lt;tr&gt;&lt;td&gt;Same size&lt;/td&gt;&lt;td&gt;+2&lt;/td&gt;&lt;/tr&gt;&lt;tr&gt;&lt;td&gt;Related (twig is to tree, wolf fur is to wolf, etc.)&lt;/td&gt;&lt;td&gt;+2&lt;/td&gt;&lt;/tr&gt;&lt;tr&gt;&lt;td&gt;Same or lower Intelligence&lt;/td&gt;&lt;td&gt;+2&lt;/td&gt;&lt;/tr&gt;&lt;tr&gt;&lt;td colspan="2"&gt;*Add all that apply. Look up the total on the next table.&lt;/td&gt;&lt;/tr&gt;&lt;/table&gt; &lt;/p&gt;&lt;p&gt; &lt;table&gt;&lt;tr&gt;&lt;th&gt;Duration Factor&lt;/th&gt;&lt;th&gt;Duration&lt;/th&gt;&lt;th&gt;Example&lt;/th&gt;&lt;/tr&gt;&lt;tr&gt;&lt;td&gt;0&lt;/td&gt;&lt;td&gt;20 minutes&lt;/td&gt;&lt;td&gt;Pebble to human&lt;/td&gt;&lt;/tr&gt;&lt;tr&gt;&lt;td&gt;2&lt;/td&gt;&lt;td&gt;1 hour&lt;/td&gt;&lt;td&gt;Marionette to human&lt;/td&gt;&lt;/tr&gt;&lt;tr&gt;&lt;td&gt;4&lt;/td&gt;&lt;td&gt;3 hours&lt;/td&gt;&lt;td&gt;Human to marionette&lt;/td&gt;&lt;/tr&gt;&lt;tr&gt;&lt;td&gt;5&lt;/td&gt;&lt;td&gt;12 hours&lt;/td&gt;&lt;td&gt;Lizard to manticore&lt;/td&gt;&lt;/tr&gt;&lt;tr&gt;&lt;td&gt;6&lt;/td&gt;&lt;td&gt;2 days&lt;/td&gt;&lt;td&gt;Sheep to wool coat&lt;/td&gt;&lt;/tr&gt;&lt;tr&gt;&lt;td&gt;7&lt;/td&gt;&lt;td&gt;1 week&lt;/td&gt;&lt;td&gt;Shrew to manticore&lt;/td&gt;&lt;/tr&gt;&lt;tr&gt;&lt;td&gt;9+&lt;/td&gt;&lt;td&gt;Permanent&lt;/td&gt;&lt;td&gt;Manticore to shrew&lt;/td&gt;&lt;/tr&gt;&lt;/table&gt; If the target of the spell does not have physical ability scores (Strength, Dexterity, or Constitution), this spell grants a base score of 10 to each missing ability score. If the target of the spell does not have mental ability scores (Intelligence, Wisdom, or Charisma), this spell grants a score of 5 to such scores. Damage taken by the new form can result in the injury or death of the polymorphed creature. In general, damage occurs when the new form is changed through physical force. A nonmagical object cannot be made into a magic item with this spell. Magic items aren't affected by this spell.&lt;/p&gt;&lt;p&gt;This spell cannot create material of great intrinsic value, such as copper, silver, gems, silk, gold, platinum, mithral, or adamantine. It also cannot reproduce the special properties of cold iron in order to overcome the damage reduction of certain creatures.&lt;/p&gt;&lt;p&gt;This spell can also be used to duplicate the effects of baleful polymorph, &lt;i&gt;greater polymorph,&lt;/i&gt; flesh to stone, stone to flesh, transmute mud to rock, transmute metal to wood, or transmute rock to mud.&lt;/p&gt;</t>
  </si>
  <si>
    <t>&lt;link rel="stylesheet"href="PF.css"&gt;&lt;div class="heading"&gt;&lt;p class="alignleft"&gt;Polymorph Any Object&lt;/p&gt;&lt;div style="clear: both;"&gt;&lt;/div&gt;&lt;/div&gt;&lt;div&gt;&lt;h5&gt;&lt;b&gt;School &lt;/b&gt;transmutation (polymorph); &lt;b&gt;Level &lt;/b&gt;sorcerer/wizard 8&lt;/h5&gt;&lt;/div&gt;&lt;hr/&gt;&lt;div&gt;&lt;h5&gt;&lt;b&gt;CASTING&lt;/b&gt;&lt;/h5&gt;&lt;/div&gt;&lt;hr/&gt;&lt;div&gt;&lt;h5&gt;&lt;b&gt;Casting Time &lt;/b&gt;1 standard action&lt;/h5&gt;&lt;h5&gt;&lt;b&gt;Components &lt;/b&gt;V, S, M/DF (mercury, gum arabic, and smoke)&lt;/h5&gt;&lt;/div&gt;&lt;hr/&gt;&lt;div&gt;&lt;h5&gt;&lt;b&gt;EFFECT&lt;/b&gt;&lt;/h5&gt;&lt;/div&gt;&lt;hr/&gt;&lt;div&gt;&lt;h5&gt;&lt;b&gt;Range &lt;/b&gt;close (25 ft. + 5 ft./2 levels)&lt;/h5&gt;&lt;h5&gt;&lt;b&gt;Targets &lt;/b&gt;one creature, or one nonmagical object of up to 100 cu. ft./level&lt;/h5&gt;&lt;h5&gt;&lt;b&gt;Duration &lt;/b&gt;see text&lt;/h5&gt;&lt;h5&gt;&lt;b&gt;Saving Throw &lt;/b&gt;Fortitude negates (object); see text; &lt;b&gt;Spell Resistance &lt;/b&gt;yes (object)&lt;/h5&gt;&lt;/div&gt;&lt;hr/&gt;&lt;div&gt;&lt;h5&gt;&lt;b&gt;DESCRIPTION&lt;/b&gt;&lt;/h5&gt;&lt;/div&gt;&lt;hr/&gt;&lt;div&gt;&lt;h4&gt;&lt;p&gt;This spell functions like &lt;i&gt;greater polymorph,&lt;/i&gt; except that it changes one object or creature into another. You can use this spell to transform all manner of objects and creatures into new forms-you aren't limited to transforming a living creature into another living form. The duration of the spell depends on how radical a change is made from the original state to its transmuted state. The duration is determined by using the following guidelines.&lt;/p&gt;&lt;p&gt; &lt;table&gt;&lt;tr&gt;&lt;th&gt;Changed Subject is...&lt;/th&gt;&lt;th&gt;Increase to duration Factor*&lt;/th&gt;&lt;/tr&gt;&lt;tr&gt;&lt;td&gt;Same kingdom (animal, vegetable, mineral)&lt;/td&gt;&lt;td&gt;+5&lt;/td&gt;&lt;/tr&gt;&lt;tr&gt;&lt;td&gt;Same class (mammals, fungi, metals, etc.)&lt;/td&gt;&lt;td&gt;+2&lt;/td&gt;&lt;/tr&gt;&lt;tr&gt;&lt;td&gt;Same size&lt;/td&gt;&lt;td&gt;+2&lt;/td&gt;&lt;/tr&gt;&lt;tr&gt;&lt;td&gt;Related (twig is to tree, wolf fur is to wolf, etc.)&lt;/td&gt;&lt;td&gt;+2&lt;/td&gt;&lt;/tr&gt;&lt;tr&gt;&lt;td&gt;Same or lower Intelligence&lt;/td&gt;&lt;td&gt;+2&lt;/td&gt;&lt;/tr&gt;&lt;tr&gt;&lt;td colspan="2"&gt;*Add all that apply. Look up the total on the next table.&lt;/td&gt;&lt;/tr&gt;&lt;/table&gt; &lt;/p&gt;&lt;p&gt; &lt;table&gt;&lt;tr&gt;&lt;th&gt;Duration Factor&lt;/th&gt;&lt;th&gt;Duration&lt;/th&gt;&lt;th&gt;Example&lt;/th&gt;&lt;/tr&gt;&lt;tr&gt;&lt;td&gt;0&lt;/td&gt;&lt;td&gt;20 minutes&lt;/td&gt;&lt;td&gt;Pebble to human&lt;/td&gt;&lt;/tr&gt;&lt;tr&gt;&lt;td&gt;2&lt;/td&gt;&lt;td&gt;1 hour&lt;/td&gt;&lt;td&gt;Marionette to human&lt;/td&gt;&lt;/tr&gt;&lt;tr&gt;&lt;td&gt;4&lt;/td&gt;&lt;td&gt;3 hours&lt;/td&gt;&lt;td&gt;Human to marionette&lt;/td&gt;&lt;/tr&gt;&lt;tr&gt;&lt;td&gt;5&lt;/td&gt;&lt;td&gt;12 hours&lt;/td&gt;&lt;td&gt;Lizard to manticore&lt;/td&gt;&lt;/tr&gt;&lt;tr&gt;&lt;td&gt;6&lt;/td&gt;&lt;td&gt;2 days&lt;/td&gt;&lt;td&gt;Sheep to wool coat&lt;/td&gt;&lt;/tr&gt;&lt;tr&gt;&lt;td&gt;7&lt;/td&gt;&lt;td&gt;1 week&lt;/td&gt;&lt;td&gt;Shrew to manticore&lt;/td&gt;&lt;/tr&gt;&lt;tr&gt;&lt;td&gt;9+&lt;/td&gt;&lt;td&gt;Permanent&lt;/td&gt;&lt;td&gt;Manticore to shrew&lt;/td&gt;&lt;/tr&gt;&lt;/table&gt; If the target of the spell does not have physical ability scores (Strength, Dexterity, or Constitution), this spell grants a base score of 10 to each missing ability score. If the target of the spell does not have mental ability scores (Intelligence, Wisdom, or Charisma), this spell grants a score of 5 to such scores. Damage taken by the new form can result in the injury or death of the polymorphed creature. In general, damage occurs when the new form is changed through physical force. A nonmagical object cannot be made into a magic item with this spell. Magic items aren't affected by this spell.&lt;/p&gt;&lt;p&gt;This spell cannot create material of great intrinsic value, such as copper, silver, gems, silk, gold, platinum, mithral, or adamantine. It also cannot reproduce the special properties of cold iron in order to overcome the damage reduction of certain creatures.&lt;/p&gt;&lt;p&gt;This spell can also be used to duplicate the effects of baleful polymorph, &lt;i&gt;greater polymorph,&lt;/i&gt; flesh to stone, stone to flesh, transmute mud to rock, transmute metal to wood, or transmute rock to mud.&lt;/p&gt;&lt;/h4&gt;&lt;/div&gt;</t>
  </si>
  <si>
    <t> Changes a subject into anything else.</t>
  </si>
  <si>
    <t>Power Word Blind</t>
  </si>
  <si>
    <t>one creature with 200 hp or less</t>
  </si>
  <si>
    <t>You utter a single word of power that causes a creature to become blinded, whether the creature can hear the word or not. The duration of the spell depends on the target's current hit point total. Any creature that currently has 201 or more hit points is unaffected. Hit Points Duration 50 or less Permanent 51-100 1d4+1 minutes 101-200 1d4+1 rounds</t>
  </si>
  <si>
    <t>&lt;p&gt;You utter a single word of power that causes a creature to become blinded, whether the creature can hear the word or not. The duration of the spell depends on the target's current hit point total.&lt;/p&gt;&lt;p&gt;Any creature that currently has 201 or more hit points is unaffected.&lt;/p&gt;&lt;p&gt; &lt;table&gt;&lt;tr&gt;&lt;th&gt;Hit points&lt;/th&gt;&lt;th&gt;Duration&lt;/th&gt;&lt;/tr&gt;&lt;tr&gt;&lt;td&gt;50 or less&lt;/td&gt;&lt;td&gt;Permanent&lt;/td&gt;&lt;/tr&gt;&lt;tr&gt;&lt;td&gt;51-100&lt;/td&gt;&lt;td&gt;1d4+1 minutes&lt;/td&gt;&lt;/tr&gt;&lt;tr&gt;&lt;td&gt;101-200&lt;/td&gt;&lt;td&gt;1d4+1 rounds&lt;/td&gt;&lt;/tr&gt;&lt;/table&gt; &lt;/p&gt;</t>
  </si>
  <si>
    <t>&lt;link rel="stylesheet"href="PF.css"&gt;&lt;div class="heading"&gt;&lt;p class="alignleft"&gt;Power Word Blind&lt;/p&gt;&lt;div style="clear: both;"&gt;&lt;/div&gt;&lt;/div&gt;&lt;div&gt;&lt;h5&gt;&lt;b&gt;School &lt;/b&gt;enchantment (compulsion) [mind-affecting]; &lt;b&gt;Level &lt;/b&gt;sorcerer/wizard 7, witch 7&lt;/h5&gt;&lt;/div&gt;&lt;hr/&gt;&lt;div&gt;&lt;h5&gt;&lt;b&gt;CASTING&lt;/b&gt;&lt;/h5&gt;&lt;/div&gt;&lt;hr/&gt;&lt;div&gt;&lt;h5&gt;&lt;b&gt;Casting Time &lt;/b&gt;1 standard action&lt;/h5&gt;&lt;h5&gt;&lt;b&gt;Components &lt;/b&gt;V&lt;/h5&gt;&lt;/div&gt;&lt;hr/&gt;&lt;div&gt;&lt;h5&gt;&lt;b&gt;EFFECT&lt;/b&gt;&lt;/h5&gt;&lt;/div&gt;&lt;hr/&gt;&lt;div&gt;&lt;h5&gt;&lt;b&gt;Range &lt;/b&gt;close (25 ft. + 5 ft./2 levels)&lt;/h5&gt;&lt;h5&gt;&lt;b&gt;Targets &lt;/b&gt;one creature with 200 hp or less&lt;/h5&gt;&lt;h5&gt;&lt;b&gt;Duration &lt;/b&gt;see text&lt;/h5&gt;&lt;h5&gt;&lt;b&gt;Saving Throw &lt;/b&gt;none; &lt;b&gt;Spell Resistance &lt;/b&gt;yes&lt;/h5&gt;&lt;/div&gt;&lt;hr/&gt;&lt;div&gt;&lt;h5&gt;&lt;b&gt;DESCRIPTION&lt;/b&gt;&lt;/h5&gt;&lt;/div&gt;&lt;hr/&gt;&lt;div&gt;&lt;h4&gt;&lt;p&gt;You utter a single word of power that causes a creature to become blinded, whether the creature can hear the word or not. The duration of the spell depends on the target's current hit point total.&lt;/p&gt;&lt;p&gt;Any creature that currently has 201 or more hit points is unaffected.&lt;/p&gt;&lt;p&gt; &lt;table&gt;&lt;tr&gt;&lt;th&gt;Hit points&lt;/th&gt;&lt;th&gt;Duration&lt;/th&gt;&lt;/tr&gt;&lt;tr&gt;&lt;td&gt;50 or less&lt;/td&gt;&lt;td&gt;Permanent&lt;/td&gt;&lt;/tr&gt;&lt;tr&gt;&lt;td&gt;51-100&lt;/td&gt;&lt;td&gt;1d4+1 minutes&lt;/td&gt;&lt;/tr&gt;&lt;tr&gt;&lt;td&gt;101-200&lt;/td&gt;&lt;td&gt;1d4+1 rounds&lt;/td&gt;&lt;/tr&gt;&lt;/table&gt; &lt;/p&gt;&lt;/h4&gt;&lt;/div&gt;</t>
  </si>
  <si>
    <t>Darkness, War</t>
  </si>
  <si>
    <t> Blinds creature with 200 hp or less.</t>
  </si>
  <si>
    <t>Maestro, Shadow</t>
  </si>
  <si>
    <t>Power Word Kill</t>
  </si>
  <si>
    <t>death, mind-affecting</t>
  </si>
  <si>
    <t>one living creature with 100 hp or less</t>
  </si>
  <si>
    <t>You utter a single word of power that instantly kills one creature of your choice, whether the creature can hear the word or not. Any creature that currently has 101 or more hit points is unaffected by power word kill.</t>
  </si>
  <si>
    <t>&lt;p&gt;You utter a single word of power that instantly kills one creature of your choice, whether the creature can hear the word or not. Any creature that currently has 101 or more hit points is unaffected by &lt;i&gt;power word kill&lt;/i&gt;.&lt;/p&gt;</t>
  </si>
  <si>
    <t>&lt;link rel="stylesheet"href="PF.css"&gt;&lt;div class="heading"&gt;&lt;p class="alignleft"&gt;Power Word Kill&lt;/p&gt;&lt;div style="clear: both;"&gt;&lt;/div&gt;&lt;/div&gt;&lt;div&gt;&lt;h5&gt;&lt;b&gt;School &lt;/b&gt;enchantment (compulsion) [death, mind-affecting]; &lt;b&gt;Level &lt;/b&gt;sorcerer/wizard 9, witch 9&lt;/h5&gt;&lt;/div&gt;&lt;hr/&gt;&lt;div&gt;&lt;h5&gt;&lt;b&gt;CASTING&lt;/b&gt;&lt;/h5&gt;&lt;/div&gt;&lt;hr/&gt;&lt;div&gt;&lt;h5&gt;&lt;b&gt;Casting Time &lt;/b&gt;1 standard action&lt;/h5&gt;&lt;h5&gt;&lt;b&gt;Components &lt;/b&gt;V&lt;/h5&gt;&lt;/div&gt;&lt;hr/&gt;&lt;div&gt;&lt;h5&gt;&lt;b&gt;EFFECT&lt;/b&gt;&lt;/h5&gt;&lt;/div&gt;&lt;hr/&gt;&lt;div&gt;&lt;h5&gt;&lt;b&gt;Range &lt;/b&gt;close (25 ft. + 5 ft./2 levels)&lt;/h5&gt;&lt;h5&gt;&lt;b&gt;Targets &lt;/b&gt;one living creature with 100 hp or less&lt;/h5&gt;&lt;h5&gt;&lt;b&gt;Duration &lt;/b&gt;instantaneous&lt;/h5&gt;&lt;h5&gt;&lt;b&gt;Saving Throw &lt;/b&gt;none; &lt;b&gt;Spell Resistance &lt;/b&gt;yes&lt;/h5&gt;&lt;/div&gt;&lt;hr/&gt;&lt;div&gt;&lt;h5&gt;&lt;b&gt;DESCRIPTION&lt;/b&gt;&lt;/h5&gt;&lt;/div&gt;&lt;hr/&gt;&lt;div&gt;&lt;h4&gt;&lt;p&gt;You utter a single word of power that instantly kills one creature of your choice, whether the creature can hear the word or not. Any creature that currently has 101 or more hit points is unaffected by &lt;i&gt;power word kill&lt;/i&gt;.&lt;/p&gt;&lt;/h4&gt;&lt;h5&gt;&lt;b&gt;Mythic: &lt;/b&gt;Treat the target's current hit point total as though it were lowered by 5 times your tier. For example, a 3rd-tier archmage casting mythic power word kill would instantly kill a creature with 85 hit points or fewer. You can target a creature with more hit points than this spell could normally affect, causing it to become exhausted.&lt;/h5&gt;&lt;h5&gt;&lt;b&gt;Augmented (6th)&lt;/b&gt;: If you expend four uses of mythic power, the magic of the word lingers around the target. Until the beginning of your next turn, if the target's hit point total drops to the point that this spell would have killed it upon casting, it's instantly slain.&lt;/h5&gt;&lt;/div&gt;</t>
  </si>
  <si>
    <t> Kills one creature with 100 hp or less.</t>
  </si>
  <si>
    <t>Treat the target's current hit point total as though it were lowered by 5 times your tier. For example, a 3rd-tier archmage casting mythic power word kill would instantly kill a creature with 85 hit points or fewer. You can target a creature with more hit points than this spell could normally affect, causing it to become exhausted.</t>
  </si>
  <si>
    <t>Augmented (6th): If you expend four uses of mythic power, the magic of the word lingers around the target. Until the beginning of your next turn, if the target's hit point total drops to the point that this spell would have killed it upon casting, it's instantly slain.</t>
  </si>
  <si>
    <t>Power Word Stun</t>
  </si>
  <si>
    <t>one creature with 150 hp or less</t>
  </si>
  <si>
    <t>See text</t>
  </si>
  <si>
    <t>You utter a single word of power that instantly causes one creature of your choice to become stunned, whether the creature can hear the word or not. The duration of the spell depends on the target's current hit point total. Any creature that currently has 151 or more hit points is unaffected by power word stun. Hit Points D uration 50 or less 4d4 rounds 51-100 2d4 rounds 101-150 1d4 rounds</t>
  </si>
  <si>
    <t>&lt;p&gt;You utter a single word of power that instantly causes one creature of your choice to become stunned, whether the creature can hear the word or not. The duration of the spell depends on the target's current hit point total. Any creature that currently has 151 or more hit points is unaffected by &lt;i&gt;power word stun&lt;/i&gt;.&lt;/p&gt;&lt;p&gt; &lt;table&gt;&lt;tr&gt;&lt;th&gt;Hit Points&lt;/th&gt;&lt;th&gt;Duration&lt;/th&gt;&lt;/tr&gt;&lt;tr&gt;&lt;td&gt;50 or less&lt;/td&gt;&lt;td&gt;4d4 rounds&lt;/td&gt;&lt;/tr&gt;&lt;tr&gt;&lt;td&gt;51-100&lt;/td&gt;&lt;td&gt;2d4 rounds&lt;/td&gt;&lt;/tr&gt;&lt;tr&gt;&lt;td&gt;101-150&lt;/td&gt;&lt;td&gt;1d4 rounds&lt;/td&gt;&lt;/tr&gt;&lt;/table&gt; &lt;/p&gt;</t>
  </si>
  <si>
    <t>&lt;link rel="stylesheet"href="PF.css"&gt;&lt;div class="heading"&gt;&lt;p class="alignleft"&gt;Power Word Stun&lt;/p&gt;&lt;div style="clear: both;"&gt;&lt;/div&gt;&lt;/div&gt;&lt;div&gt;&lt;h5&gt;&lt;b&gt;School &lt;/b&gt;enchantment (compulsion) [mind-affecting]; &lt;b&gt;Level &lt;/b&gt;sorcerer/wizard 8, witch 8&lt;/h5&gt;&lt;/div&gt;&lt;hr/&gt;&lt;div&gt;&lt;h5&gt;&lt;b&gt;CASTING&lt;/b&gt;&lt;/h5&gt;&lt;/div&gt;&lt;hr/&gt;&lt;div&gt;&lt;h5&gt;&lt;b&gt;Casting Time &lt;/b&gt;1 standard action&lt;/h5&gt;&lt;h5&gt;&lt;b&gt;Components &lt;/b&gt;V&lt;/h5&gt;&lt;/div&gt;&lt;hr/&gt;&lt;div&gt;&lt;h5&gt;&lt;b&gt;EFFECT&lt;/b&gt;&lt;/h5&gt;&lt;/div&gt;&lt;hr/&gt;&lt;div&gt;&lt;h5&gt;&lt;b&gt;Range &lt;/b&gt;close (25 ft. + 5 ft./2 levels)&lt;/h5&gt;&lt;h5&gt;&lt;b&gt;Targets &lt;/b&gt;one creature with 150 hp or less&lt;/h5&gt;&lt;h5&gt;&lt;b&gt;Duration &lt;/b&gt;See text&lt;/h5&gt;&lt;h5&gt;&lt;b&gt;Saving Throw &lt;/b&gt;none; &lt;b&gt;Spell Resistance &lt;/b&gt;yes&lt;/h5&gt;&lt;/div&gt;&lt;hr/&gt;&lt;div&gt;&lt;h5&gt;&lt;b&gt;DESCRIPTION&lt;/b&gt;&lt;/h5&gt;&lt;/div&gt;&lt;hr/&gt;&lt;div&gt;&lt;h4&gt;&lt;p&gt;You utter a single word of power that instantly causes one creature of your choice to become stunned, whether the creature can hear the word or not. The duration of the spell depends on the target's current hit point total. Any creature that currently has 151 or more hit points is unaffected by &lt;i&gt;power word stun&lt;/i&gt;.&lt;/p&gt;&lt;p&gt; &lt;table&gt;&lt;tr&gt;&lt;th&gt;Hit Points&lt;/th&gt;&lt;th&gt;Duration&lt;/th&gt;&lt;/tr&gt;&lt;tr&gt;&lt;td&gt;50 or less&lt;/td&gt;&lt;td&gt;4d4 rounds&lt;/td&gt;&lt;/tr&gt;&lt;tr&gt;&lt;td&gt;51-100&lt;/td&gt;&lt;td&gt;2d4 rounds&lt;/td&gt;&lt;/tr&gt;&lt;tr&gt;&lt;td&gt;101-150&lt;/td&gt;&lt;td&gt;1d4 rounds&lt;/td&gt;&lt;/tr&gt;&lt;/table&gt; &lt;/p&gt;&lt;/h4&gt;&lt;/div&gt;</t>
  </si>
  <si>
    <t> Stuns creature with 150 hp or less.</t>
  </si>
  <si>
    <t>Arcane, Infernal</t>
  </si>
  <si>
    <t>Prayer</t>
  </si>
  <si>
    <t>cleric/oracle 3, paladin 3, inquisitor 3</t>
  </si>
  <si>
    <t>all allies and foes within a 40-ft.-radius burst centered on you</t>
  </si>
  <si>
    <t>You bring special favor upon yourself and your allies while bringing disfavor to your enemies. You and each of your allies gain a +1 luck bonus on attack rolls, weapon damage rolls, saves, and skill checks, while each of your foes takes a -1 penalty on such rolls.</t>
  </si>
  <si>
    <t>&lt;p&gt;You bring special favor upon yourself and your allies while bringing disfavor to your enemies. You and each of your allies gain a +1 luck bonus on attack rolls, weapon damage rolls, saves, and skill checks, while each of your foes takes a -1 penalty on such rolls.&lt;/p&gt;</t>
  </si>
  <si>
    <t>&lt;link rel="stylesheet"href="PF.css"&gt;&lt;div class="heading"&gt;&lt;p class="alignleft"&gt;Prayer&lt;/p&gt;&lt;div style="clear: both;"&gt;&lt;/div&gt;&lt;/div&gt;&lt;div&gt;&lt;h5&gt;&lt;b&gt;School &lt;/b&gt;enchantment (compulsion) [mind-affecting]; &lt;b&gt;Level &lt;/b&gt;cleric/oracle 3, paladin 3, inquisitor 3&lt;/h5&gt;&lt;/div&gt;&lt;hr/&gt;&lt;div&gt;&lt;h5&gt;&lt;b&gt;CASTING&lt;/b&gt;&lt;/h5&gt;&lt;/div&gt;&lt;hr/&gt;&lt;div&gt;&lt;h5&gt;&lt;b&gt;Casting Time &lt;/b&gt;1 standard action&lt;/h5&gt;&lt;h5&gt;&lt;b&gt;Components &lt;/b&gt;V, S, DF&lt;/h5&gt;&lt;/div&gt;&lt;hr/&gt;&lt;div&gt;&lt;h5&gt;&lt;b&gt;EFFECT&lt;/b&gt;&lt;/h5&gt;&lt;/div&gt;&lt;hr/&gt;&lt;div&gt;&lt;h5&gt;&lt;b&gt;Range &lt;/b&gt;40 ft.&lt;/h5&gt;&lt;h5&gt;&lt;b&gt;Area &lt;/b&gt;all allies and foes within a 40-ft.-radius burst centered on you&lt;/h5&gt;&lt;h5&gt;&lt;b&gt;Duration &lt;/b&gt;1 round/level&lt;/h5&gt;&lt;h5&gt;&lt;b&gt;Saving Throw &lt;/b&gt;none; &lt;b&gt;Spell Resistance &lt;/b&gt;yes&lt;/h5&gt;&lt;/div&gt;&lt;hr/&gt;&lt;div&gt;&lt;h5&gt;&lt;b&gt;DESCRIPTION&lt;/b&gt;&lt;/h5&gt;&lt;/div&gt;&lt;hr/&gt;&lt;div&gt;&lt;h4&gt;&lt;p&gt;You bring special favor upon yourself and your allies while bringing disfavor to your enemies. You and each of your allies gain a +1 luck bonus on attack rolls, weapon damage rolls, saves, and skill checks, while each of your foes takes a -1 penalty on such rolls.&lt;/p&gt;&lt;/h4&gt;&lt;h5&gt;&lt;b&gt;Mythic: &lt;/b&gt;The spell's luck bonus increases to +2, and the penalty for enemies changes to -2. When you cast the spell, your affected allies heal an amount of hit point damage equal to double your tier, and affected enemies take an amount of damage equal to double your tier.&lt;/h5&gt;&lt;/div&gt;</t>
  </si>
  <si>
    <t>Archon, Community, Leadership</t>
  </si>
  <si>
    <t>Allies get +1 bonus on most rolls, enemies –1 penalty.</t>
  </si>
  <si>
    <t>The spell's luck bonus increases to +2, and the penalty for enemies changes to -2. When you cast the spell, your affected allies heal an amount of hit point damage equal to double your tier, and affected enemies take an amount of damage equal to double your tier.</t>
  </si>
  <si>
    <t>Prestidigitation</t>
  </si>
  <si>
    <t>bard 0, sorcerer/wizard 0</t>
  </si>
  <si>
    <t>Prestidigitations are minor tricks that novice spellcasters use for practice. Once cast, a prestidigitation spell enables you to perform simple magical effects for 1 hour. The effects are minor and have severe limitations. A prestidigitation can slowly lift 1 pound of material. It can color, clean, or soil items in a 1-foot cube each round. It can chill, warm, or flavor 1 pound of nonliving material. It cannot deal damage or affect the concentration of spellcasters. Prestidigitation can create small objects, but they look crude and artificial. The materials created by a prestidigitation spell are extremely fragile, and they cannot be used as tools, weapons, or spell components. Finally, prestidigitation lacks the power to duplicate any other spell effects. Any actual change to an object (beyond just moving, cleaning, or soiling it) persists only 1 hour.</t>
  </si>
  <si>
    <t>&lt;p&gt;&lt;i&gt;Prestidigitation&lt;/i&gt;s are minor tricks that novice spellcasters use for practice. Once cast, a &lt;i&gt;prestidigitation&lt;/i&gt; spell enables you to perform simple magical effects for 1 hour. The effects are minor and have severe limitations. A &lt;i&gt;prestidigitation&lt;/i&gt; can slowly lift 1 pound of material. It can color, clean, or soil items in a 1-foot cube each round. It can chill, warm, or flavor 1 pound of nonliving material.&lt;/p&gt;&lt;p&gt;It cannot deal damage or affect the concentration of spellcasters.&lt;/p&gt;&lt;p&gt;&lt;i&gt;Prestidigitation&lt;/i&gt; can create small objects, but they look crude and artificial. The materials created by a &lt;i&gt;prestidigitation&lt;/i&gt; spell are extremely fragile, and they cannot be used as tools, weapons, or spell components. Finally, &lt;i&gt;prestidigitation&lt;/i&gt; lacks the power to duplicate any other spell effects. Any actual change to an object (beyond just moving, cleaning, or soiling it) persists only 1 hour.&lt;/p&gt;</t>
  </si>
  <si>
    <t>&lt;link rel="stylesheet"href="PF.css"&gt;&lt;div class="heading"&gt;&lt;p class="alignleft"&gt;Prestidigitation&lt;/p&gt;&lt;div style="clear: both;"&gt;&lt;/div&gt;&lt;/div&gt;&lt;div&gt;&lt;h5&gt;&lt;b&gt;School &lt;/b&gt;universal; &lt;b&gt;Level &lt;/b&gt;bard 0, sorcerer/wizard 0&lt;/h5&gt;&lt;/div&gt;&lt;hr/&gt;&lt;div&gt;&lt;h5&gt;&lt;b&gt;CASTING&lt;/b&gt;&lt;/h5&gt;&lt;/div&gt;&lt;hr/&gt;&lt;div&gt;&lt;h5&gt;&lt;b&gt;Casting Time &lt;/b&gt;1 standard action&lt;/h5&gt;&lt;h5&gt;&lt;b&gt;Components &lt;/b&gt;V, S&lt;/h5&gt;&lt;/div&gt;&lt;hr/&gt;&lt;div&gt;&lt;h5&gt;&lt;b&gt;EFFECT&lt;/b&gt;&lt;/h5&gt;&lt;/div&gt;&lt;hr/&gt;&lt;div&gt;&lt;h5&gt;&lt;b&gt;Range &lt;/b&gt;10 ft.&lt;/h5&gt;&lt;h5&gt;&lt;b&gt;Target, Effect, or Area &lt;/b&gt;see text&lt;h5&gt;&lt;b&gt;Duration &lt;/b&gt;1 hour&lt;/h5&gt;&lt;h5&gt;&lt;b&gt;Saving Throw &lt;/b&gt;see text; &lt;b&gt;Spell Resistance &lt;/b&gt;no&lt;/h5&gt;&lt;/div&gt;&lt;hr/&gt;&lt;div&gt;&lt;h5&gt;&lt;b&gt;DESCRIPTION&lt;/b&gt;&lt;/h5&gt;&lt;/div&gt;&lt;hr/&gt;&lt;div&gt;&lt;h4&gt;&lt;p&gt;&lt;i&gt;Prestidigitation&lt;/i&gt;s are minor tricks that novice spellcasters use for practice. Once cast, a &lt;i&gt;prestidigitation&lt;/i&gt; spell enables you to perform simple magical effects for 1 hour. The effects are minor and have severe limitations. A &lt;i&gt;prestidigitation&lt;/i&gt; can slowly lift 1 pound of material. It can color, clean, or soil items in a 1-foot cube each round. It can chill, warm, or flavor 1 pound of nonliving material.&lt;/p&gt;&lt;p&gt;It cannot deal damage or affect the concentration of spellcasters.&lt;/p&gt;&lt;p&gt;&lt;i&gt;Prestidigitation&lt;/i&gt; can create small objects, but they look crude and artificial. The materials created by a &lt;i&gt;prestidigitation&lt;/i&gt; spell are extremely fragile, and they cannot be used as tools, weapons, or spell components. Finally, &lt;i&gt;prestidigitation&lt;/i&gt; lacks the power to duplicate any other spell effects. Any actual change to an object (beyond just moving, cleaning, or soiling it) persists only 1 hour.&lt;/p&gt;&lt;/h4&gt;&lt;/div&gt;</t>
  </si>
  <si>
    <t>Performs minor tricks.</t>
  </si>
  <si>
    <t>Prismatic Sphere</t>
  </si>
  <si>
    <t>10-ft.-radius sphere centered on you</t>
  </si>
  <si>
    <t>This spell functions like prismatic wall, except you conjure up an immobile, opaque globe of shimmering, multicolored light that surrounds you and protects you from all forms of attack. The sphere flashes in all colors of the visible spectrum. The sphere's blindness effect on creatures with less than 8 HD lasts 2d4 x 10 minutes. You can pass into and out of the prismatic sphere and remain near it without harm. When you're inside it, however, the sphere blocks any attempt to project something through the sphere (including spells). Other creatures that attempt to attack you or pass through suffer the effects of each color, one at a time. Typically, only the upper hemisphere of the globe exists, since you are at the center of the sphere, so the lower half is usually occluded by the floor surface you are standing on. The colors of the sphere have the same effects as the colors of a prismatic wall. Prismatic sphere can be made permanent with a permanency spell.</t>
  </si>
  <si>
    <t>&lt;p&gt;This spell functions like &lt;i&gt;prismatic wall&lt;/i&gt;, except you conjure up an immobile, opaque globe of shimmering, multicolored light that surrounds you and protects you from all forms of attack. The sphere flashes in all colors of the visible spectrum.&lt;/p&gt;&lt;p&gt;The sphere's &lt;i&gt;blindness&lt;/i&gt; effect on creatures with less than 8 HD lasts 2d4 x 10 minutes.&lt;/p&gt;&lt;p&gt;You can pass into and out of the &lt;i&gt;prismatic sphere&lt;/i&gt; and remain near it without harm. When you're inside it, however, the sphere blocks any attempt to project something through the sphere (including spells). Other creatures that attempt to attack you or pass through suffer the effects of each color, one at a time.&lt;/p&gt;&lt;p&gt;Typically, only the upper hemisphere of the globe exists, since you are at the center of the sphere, so the lower half is usually occluded by the floor surface you are standing on.&lt;/p&gt;&lt;p&gt;The colors of the sphere have the same effects as the colors of a &lt;i&gt;prismatic wall&lt;/i&gt;.&lt;/p&gt;&lt;p&gt;&lt;i&gt;Prismatic sphere&lt;/i&gt; can be made permanent with a &lt;i&gt;permanency&lt;/i&gt; spell.&lt;/p&gt;</t>
  </si>
  <si>
    <t>&lt;link rel="stylesheet"href="PF.css"&gt;&lt;div class="heading"&gt;&lt;p class="alignleft"&gt;Prismatic Sphere&lt;/p&gt;&lt;div style="clear: both;"&gt;&lt;/div&gt;&lt;/div&gt;&lt;div&gt;&lt;h5&gt;&lt;b&gt;School &lt;/b&gt;abjuration; &lt;b&gt;Level &lt;/b&gt;sorcerer/wizard 9&lt;/h5&gt;&lt;/div&gt;&lt;hr/&gt;&lt;div&gt;&lt;h5&gt;&lt;b&gt;CASTING&lt;/b&gt;&lt;/h5&gt;&lt;/div&gt;&lt;hr/&gt;&lt;div&gt;&lt;h5&gt;&lt;b&gt;Casting Time &lt;/b&gt;1 standard action&lt;/h5&gt;&lt;h5&gt;&lt;b&gt;Components &lt;/b&gt;V&lt;/h5&gt;&lt;/div&gt;&lt;hr/&gt;&lt;div&gt;&lt;h5&gt;&lt;b&gt;EFFECT&lt;/b&gt;&lt;/h5&gt;&lt;/div&gt;&lt;hr/&gt;&lt;div&gt;&lt;h5&gt;&lt;b&gt;Range &lt;/b&gt;10 ft.&lt;/h5&gt;&lt;h5&gt;&lt;b&gt;Effect &lt;/b&gt;10-ft.-radius sphere centered on you&lt;/h5&gt;&lt;h5&gt;&lt;b&gt;Duration &lt;/b&gt;10 min./level (D)&lt;/h5&gt;&lt;h5&gt;&lt;b&gt;Saving Throw &lt;/b&gt;see text; &lt;b&gt;Spell Resistance &lt;/b&gt;see text&lt;/h5&gt;&lt;/div&gt;&lt;hr/&gt;&lt;div&gt;&lt;h5&gt;&lt;b&gt;DESCRIPTION&lt;/b&gt;&lt;/h5&gt;&lt;/div&gt;&lt;hr/&gt;&lt;div&gt;&lt;h4&gt;&lt;p&gt;This spell functions like &lt;i&gt;prismatic wall&lt;/i&gt;, except you conjure up an immobile, opaque globe of shimmering, multicolored light that surrounds you and protects you from all forms of attack. The sphere flashes in all colors of the visible spectrum.&lt;/p&gt;&lt;p&gt;The sphere's &lt;i&gt;blindness&lt;/i&gt; effect on creatures with less than 8 HD lasts 2d4 x 10 minutes.&lt;/p&gt;&lt;p&gt;You can pass into and out of the &lt;i&gt;prismatic sphere&lt;/i&gt; and remain near it without harm. When you're inside it, however, the sphere blocks any attempt to project something through the sphere (including spells). Other creatures that attempt to attack you or pass through suffer the effects of each color, one at a time.&lt;/p&gt;&lt;p&gt;Typically, only the upper hemisphere of the globe exists, since you are at the center of the sphere, so the lower half is usually occluded by the floor surface you are standing on.&lt;/p&gt;&lt;p&gt;The colors of the sphere have the same effects as the colors of a &lt;i&gt;prismatic wall&lt;/i&gt;.&lt;/p&gt;&lt;p&gt;&lt;i&gt;Prismatic sphere&lt;/i&gt; can be made permanent with a &lt;i&gt;permanency&lt;/i&gt; spell.&lt;/p&gt;&lt;/h4&gt;&lt;h5&gt;&lt;b&gt;Mythic: &lt;/b&gt;When you cast the spell, you simultaneously create a prismatic spray that originates from one point on the sphere and radiates directly away from you. The save DC of this prismatic spray is the same as that of your mythic prismatic sphere.&lt;/h5&gt;&lt;/div&gt;</t>
  </si>
  <si>
    <t>Artifice, Protection, Sun</t>
  </si>
  <si>
    <t> As prismatic wall, but surrounds on all sides.</t>
  </si>
  <si>
    <t>When you cast the spell, you simultaneously create a prismatic spray that originates from one point on the sphere and radiates directly away from you. The save DC of this prismatic spray is the same as that of your mythic prismatic sphere.</t>
  </si>
  <si>
    <t>Prismatic Spray</t>
  </si>
  <si>
    <t>This spell causes seven shimmering, multicolored beams of light to spray from your hand. Each beam has a different power. Creatures in the area of the spell with 8 HD or less are automatically blinded for 2d4 rounds. Every creature in the area is randomly struck by one or more beams, which have additional effects. Color 1d8 of Beam 1 Red 20 points fire damage (Reflex half ) 2 Orange 40 points acid damage (Reflex half ) 3 Yellow 80 points electricity damage (Reflex half) 4 Green Poison (Frequency 1/rd. for 6 rd.; Init. effect death; Sec. effect 1 Con/rd.; Cure 2 consecutive Fort saves)* 5 Blue Flesh to stone (Fortitude negates) 6 Indigo Insane, as insanity spell (Will negates) 7 Violet Sent to another plane (Will negates) 8 Struck by Roll twice more, ignoring any "8" two rays results * See poisons on page 557.</t>
  </si>
  <si>
    <t>&lt;p&gt;This spell causes seven shimmering, multicolored beams of light to spray from your hand. Each beam has a different power. Creatures in the area of the spell with 8 HD or less are automatically blinded for 2d4 rounds. Every creature in the area is randomly struck by one or more beams, which have additional effects.&lt;/p&gt; &lt;table border ='1'&gt;&lt;tr&gt;&lt;th&gt;&lt;table&gt;&lt;tr&gt;&lt;th&gt;1d8&lt;/th&gt;&lt;th&gt;Color of Beam&lt;/th&gt;&lt;th&gt;Effect&lt;/th&gt;&lt;/tr&gt;&lt;tr&gt;&lt;td&gt;1&lt;/td&gt;&lt;td&gt;Red&lt;/td&gt;&lt;td&gt;20 points fire damage (Reflex half)&lt;/td&gt;&lt;/tr&gt;&lt;tr&gt;&lt;td&gt;2&lt;/td&gt;&lt;td&gt;Orange&lt;/td&gt;&lt;td&gt;40 points acid damage (Reflex half&lt;/td&gt;&lt;/tr&gt;&lt;tr&gt;&lt;td&gt;3&lt;/td&gt;&lt;td&gt;Yellow&lt;/td&gt;&lt;td&gt;80 points electricity damage (Reflex half )&lt;/td&gt;&lt;/tr&gt;&lt;tr&gt;&lt;td&gt;4&lt;/td&gt;&lt;td&gt;Green&lt;/td&gt;&lt;td&gt;Poison (Frequency 1/rd. for 6 rd.; Init. effect death; Sec. effect 1 Con/rd.; Cure 2 consecutive Fort saves)*&lt;/td&gt;&lt;/tr&gt;&lt;tr&gt;&lt;td&gt;5&lt;/td&gt;&lt;td&gt;Blue&lt;/td&gt;&lt;td&gt;&lt;i&gt;Flesh to stone&lt;/i&gt; (Fortitude negates)&lt;/td&gt;&lt;/tr&gt;&lt;tr&gt;&lt;td&gt;6&lt;/td&gt;&lt;td&gt;Indigo&lt;/td&gt;&lt;td&gt;Insane, as &lt;i&gt;insanity&lt;/i&gt; spell (Will negates)&lt;/td&gt;&lt;/tr&gt;&lt;tr&gt;&lt;td&gt;7&lt;/td&gt;&lt;td&gt;Violet&lt;/td&gt;&lt;td&gt;Sent to another plane (Will negates)&lt;/td&gt;&lt;/tr&gt;&lt;tr&gt;&lt;td&gt;8&lt;/td&gt;&lt;td&gt;Struck by two rays&lt;/td&gt;&lt;td&gt;Roll twice more, ignoring any "8"results&lt;/td&gt;&lt;/tr&gt;&lt;tr&gt;&lt;td colspan="3"&gt;* See poisons on page 557.&lt;/td&gt;&lt;/tr&gt;&lt;/table&gt;&lt;/td&gt;&lt;/tr&gt;&lt;/table&gt; </t>
  </si>
  <si>
    <t>&lt;link rel="stylesheet"href="PF.css"&gt;&lt;div class="heading"&gt;&lt;p class="alignleft"&gt;Prismatic Spray&lt;/p&gt;&lt;div style="clear: both;"&gt;&lt;/div&gt;&lt;/div&gt;&lt;div&gt;&lt;h5&gt;&lt;b&gt;School &lt;/b&gt;evocation; &lt;b&gt;Level &lt;/b&gt;sorcerer/wizard 7&lt;/h5&gt;&lt;/div&gt;&lt;hr/&gt;&lt;div&gt;&lt;h5&gt;&lt;b&gt;CASTING&lt;/b&gt;&lt;/h5&gt;&lt;/div&gt;&lt;hr/&gt;&lt;div&gt;&lt;h5&gt;&lt;b&gt;Casting Time &lt;/b&gt;1 standard action&lt;/h5&gt;&lt;h5&gt;&lt;b&gt;Components &lt;/b&gt;V, S&lt;/h5&gt;&lt;/div&gt;&lt;hr/&gt;&lt;div&gt;&lt;h5&gt;&lt;b&gt;EFFECT&lt;/b&gt;&lt;/h5&gt;&lt;/div&gt;&lt;hr/&gt;&lt;div&gt;&lt;h5&gt;&lt;b&gt;Range &lt;/b&gt;60 ft.&lt;/h5&gt;&lt;h5&gt;&lt;b&gt;Area &lt;/b&gt;cone-shaped burst&lt;/h5&gt;&lt;h5&gt;&lt;b&gt;Duration &lt;/b&gt;instantaneous&lt;/h5&gt;&lt;h5&gt;&lt;b&gt;Saving Throw &lt;/b&gt;see text; &lt;b&gt;Spell Resistance &lt;/b&gt;yes&lt;/h5&gt;&lt;/div&gt;&lt;hr/&gt;&lt;div&gt;&lt;h5&gt;&lt;b&gt;DESCRIPTION&lt;/b&gt;&lt;/h5&gt;&lt;/div&gt;&lt;hr/&gt;&lt;div&gt;&lt;h4&gt;&lt;p&gt;This spell causes seven shimmering, multicolored beams of light to spray from your hand. Each beam has a different power. Creatures in the area of the spell with 8 HD or less are automatically blinded for 2d4 rounds. Every creature in the area is randomly struck by one or more beams, which have additional effects.&lt;/p&gt; &lt;table border ='1'&gt;&lt;tr&gt;&lt;th&gt;&lt;table&gt;&lt;tr&gt;&lt;th&gt;1d8&lt;/th&gt;&lt;th&gt;Color of Beam&lt;/th&gt;&lt;th&gt;Effect&lt;/th&gt;&lt;/tr&gt;&lt;tr&gt;&lt;td&gt;1&lt;/td&gt;&lt;td&gt;Red&lt;/td&gt;&lt;td&gt;20 points fire damage (Reflex half)&lt;/td&gt;&lt;/tr&gt;&lt;tr&gt;&lt;td&gt;2&lt;/td&gt;&lt;td&gt;Orange&lt;/td&gt;&lt;td&gt;40 points acid damage (Reflex half&lt;/td&gt;&lt;/tr&gt;&lt;tr&gt;&lt;td&gt;3&lt;/td&gt;&lt;td&gt;Yellow&lt;/td&gt;&lt;td&gt;80 points electricity damage (Reflex half )&lt;/td&gt;&lt;/tr&gt;&lt;tr&gt;&lt;td&gt;4&lt;/td&gt;&lt;td&gt;Green&lt;/td&gt;&lt;td&gt;Poison (Frequency 1/rd. for 6 rd.; Init. effect death; Sec. effect 1 Con/rd.; Cure 2 consecutive Fort saves)*&lt;/td&gt;&lt;/tr&gt;&lt;tr&gt;&lt;td&gt;5&lt;/td&gt;&lt;td&gt;Blue&lt;/td&gt;&lt;td&gt;&lt;i&gt;Flesh to stone&lt;/i&gt; (Fortitude negates)&lt;/td&gt;&lt;/tr&gt;&lt;tr&gt;&lt;td&gt;6&lt;/td&gt;&lt;td&gt;Indigo&lt;/td&gt;&lt;td&gt;Insane, as &lt;i&gt;insanity&lt;/i&gt; spell (Will negates)&lt;/td&gt;&lt;/tr&gt;&lt;tr&gt;&lt;td&gt;7&lt;/td&gt;&lt;td&gt;Violet&lt;/td&gt;&lt;td&gt;Sent to another plane (Will negates)&lt;/td&gt;&lt;/tr&gt;&lt;tr&gt;&lt;td&gt;8&lt;/td&gt;&lt;td&gt;Struck by two rays&lt;/td&gt;&lt;td&gt;Roll twice more, ignoring any "8"results&lt;/td&gt;&lt;/tr&gt;&lt;tr&gt;&lt;td colspan="3"&gt;* See poisons on page 557.&lt;/td&gt;&lt;/tr&gt;&lt;/table&gt;&lt;/td&gt;&lt;/tr&gt;&lt;/table&gt; &lt;/h4&gt;&lt;h5&gt;&lt;b&gt;Mythic: &lt;/b&gt;The spell automatically blinds creatures with up to 12 Hit Dice instead of 8 Hit Dice. Attempt one bull rush combat maneuver and apply its results to each creature in the area. Your CMB for this bull rush is equal to your caster level plus your Intelligence, Wisdom, or Charisma modifier, whichever is highest. This bull rush doesn't provoke an attack of opportunity.&lt;/h5&gt;&lt;h5&gt;&lt;b&gt;Augmented (6th)&lt;/b&gt;: If you expend two uses of mythic power, the area changes from a cone into a line. Creatures in the line are struck by two beams (or three, if the creature rolls an 8 on the table). The spell bypasses energy resistance and immunity.&lt;/h5&gt;&lt;/div&gt;</t>
  </si>
  <si>
    <t> Rays hit subjects with variety of effects.</t>
  </si>
  <si>
    <t>The spell automatically blinds creatures with up to 12 Hit Dice instead of 8 Hit Dice. Attempt one bull rush combat maneuver and apply its results to each creature in the area. Your CMB for this bull rush is equal to your caster level plus your Intelligence, Wisdom, or Charisma modifier, whichever is highest. This bull rush doesn't provoke an attack of opportunity.</t>
  </si>
  <si>
    <t>Augmented (6th): If you expend two uses of mythic power, the area changes from a cone into a line. Creatures in the line are struck by two beams (or three, if the creature rolls an 8 on the table). The spell bypasses energy resistance and immunity.</t>
  </si>
  <si>
    <t>Prismatic Wall</t>
  </si>
  <si>
    <t>wall 4 ft./level wide, 2 ft./level high</t>
  </si>
  <si>
    <t>Prismatic wall creates a vertical, opaque wall-a shimmering, multicolored plane of light that protects you from all forms of attack. The wall flashes with seven colors, each of which has a distinct power and purpose. The wall is immobile, and you can pass through and remain near the wall without harm. Any other creature with less than 8 HD that is within 20 feet of the wall is blinded by the colors for 2d4 rounds if it looks at the wall. The wall's maximum proportions are 4 feet wide per caster level and 2 feet high per caster level. A prismatic wall spell cast to materialize in a space occupied by a creature is disrupted, and the spell is wasted. Each color in the wall has a special effect. The accompanying table shows the seven colors of the wall, the order in which they appear, their effects on creatures trying to attack you or pass through the wall, and the magic needed to negate each color. The wall can be destroyed, color by color, in consecutive order, by casting the specified spells on the wall; however, the first color must be brought down before the second can be affected, and so on. A rod of cancellation or a mage's disjunction spell destroys a prismatic wall, but an antimagic field fails to penetrate it. Dispel magic and greater dispel magic can only be used on the wall once all the other colors have been destroyed. Spell resistance is effective against a prismatic wall, but the caster level check must be repeated for each color present. Prismatic wall can be made permanent with a permanency spell. Order C olor Effect of Color N egated by 1st Red Stops nonmagical ranged weapons. Cone of cold Deals 20 points of fire damage (Reflex half ). 2nd Orange Stops magical ranged weapons. Gust of wind Deals 40 points of acid damage (Reflex half ). 3rd Yellow Stops poisons, gases, and petrification. Disintegrate Deals 80 points of electricity damage (Reflex half ). 4th Green Stops breath weapons. Passwall Poison (frequency: 1/rd. for 6 rd.; init. effect: death, sec. effect: 1 Con/rd.; cure 2 consecutive Fort saves). 5th Blue Stops divination and mental attacks. Magic missile Turned to stone (Fortitude negates). 6th Indigo Stops all spells. Daylight Will save or become insane (as insanity spell). 7th Violet Energy field destroys all objects and effects.* Dispel magic or Creatures sent to another plane (Will negates). greater dispel magic * The violet effect makes the special effects of the other six colors redundant, but these six effects are included here because certain magic items can create prismatic effects one color at a time, and spell resistance might render some colors ineffective (see above).</t>
  </si>
  <si>
    <t>&lt;p&gt;&lt;i&gt;Prismatic wall&lt;/i&gt; creates a vertical, opaque wall-a shimmering, multicolored plane of light that protects you from all forms of attack. The wall flashes with seven colors, each of which has a distinct power and purpose. The wall is immobile, and you can pass through and remain near the wall without harm. Any other creature with less than 8 HD that is within 20 feet of the wall is blinded by the colors for 2d4 rounds if it looks at the wall.&lt;/p&gt;&lt;p&gt;The wall's maximum proportions are 4 feet wide per caster level and 2 feet high per caster level. A &lt;i&gt;prismatic wall&lt;/i&gt; spell cast to materialize in a space occupied by a creature is disrupted, and the spell is wasted.&lt;/p&gt;&lt;p&gt;Each color in the wall has a special effect. The accompanying table shows the seven colors of the wall, the order in which they appear, their effects on creatures trying to attack you or pass through the wall, and the magic needed to negate each color.&lt;/p&gt;&lt;p&gt;The wall can be destroyed, color by color, in consecutive order, by casting the specified spells on the wall; however, the first color must be brought down before the second can be affected, and so on. A &lt;i&gt;rod of cancellation&lt;/i&gt; or a mage's disjunction spell destroys a &lt;i&gt;prismatic wall&lt;/i&gt;, but an &lt;i&gt;antimagic field&lt;/i&gt; fails to penetrate it. &lt;i&gt;Dispel magic&lt;/i&gt; and &lt;i&gt;greater dispel magic&lt;/i&gt; can only be used on the wall once all the other colors have been destroyed. Spell resistance is effective against a &lt;i&gt;prismatic wall&lt;/i&gt;, but the caster level check must be repeated for each color present.&lt;/p&gt;&lt;p&gt;&lt;i&gt;Prismatic wall&lt;/i&gt; can be made permanent with a &lt;i&gt;permanency&lt;/i&gt; spell.&lt;/p&gt;&lt;p&gt; &lt;table&gt;&lt;tr&gt;&lt;th&gt;Order&lt;/th&gt;&lt;th&gt;Color&lt;/th&gt;&lt;th&gt;Effect of Color&lt;/th&gt;&lt;th&gt;Negated by&lt;/th&gt;&lt;/tr&gt;&lt;tr&gt;&lt;td&gt;1st&lt;/td&gt;&lt;td&gt;Red&lt;/td&gt;&lt;td&gt;Stops nonmagical ranged weapons. Deals 20 points of fire damage (Reflex half ).&lt;/td&gt;&lt;td&gt;&lt;i&gt;Cone of cold&lt;/i&gt;&lt;/td&gt;&lt;/tr&gt;&lt;tr&gt;&lt;td&gt;2nd&lt;/td&gt;&lt;td&gt;Orange&lt;/td&gt;&lt;td&gt;Stops magical ranged weapons. Deals 40 points of acid damage (Reflex half).&lt;/td&gt;&lt;td&gt;&lt;i&gt;Gust of wind&lt;/i&gt;&lt;/td&gt;&lt;/tr&gt;&lt;tr&gt;&lt;td&gt;3rd&lt;/td&gt;&lt;td&gt;Yellow&lt;/td&gt;&lt;td&gt;Stops poisons, gases, and petrification. Deals 80 points of electricity damage (Reflex half).&lt;/td&gt;&lt;td&gt;&lt;i&gt;Disintegrate&lt;/i&gt;&lt;/td&gt;&lt;/tr&gt;&lt;tr&gt;&lt;td&gt;4th&lt;/td&gt;&lt;td&gt;Green&lt;/td&gt;&lt;td&gt;Stops breath weapons. Poison (frequency: 1/rd. for 6 rd.; init. effect: death, sec. effect: 1 Con/rd.; cure 2 consecutive Fort saves).&lt;/td&gt;&lt;td&gt;&lt;i&gt;Passwall&lt;/i&gt;&lt;/td&gt;&lt;/tr&gt;&lt;tr&gt;&lt;td&gt;5th&lt;/td&gt;&lt;td&gt;Blue&lt;/td&gt;&lt;td&gt;Stops divination and mental attacks. Turned to stone (Fortitude negates).&lt;/td&gt;&lt;td&gt;&lt;i&gt;Magic missile&lt;/i&gt;&lt;/td&gt;&lt;/tr&gt;&lt;tr&gt;&lt;td&gt;6th&lt;/td&gt;&lt;td&gt;Indigo&lt;/td&gt;&lt;td&gt;Stops all spells. Will save or become insane (as insanity spell).&lt;/td&gt;&lt;td&gt;&lt;i&gt;Daylight&lt;/i&gt;&lt;/td&gt;&lt;/tr&gt;&lt;tr&gt;&lt;td&gt;7th&lt;/td&gt;&lt;td&gt;Violet&lt;/td&gt;&lt;td&gt;Energy field destroys all objects and effects.* Creatures sent to another plane (Will negates).&lt;/td&gt;&lt;td&gt;&lt;i&gt;Dispel magic&lt;/i&gt; or &lt;i&gt;greater dispel magic&lt;/i&gt;&lt;/td&gt;&lt;/tr&gt;&lt;tr&gt;&lt;td colspan="4"&gt;*The violet effect makes the special effects of the other six colors redundant, but these six effects are included here because certain magic items can create prismatic effects one color at a time, and spell resistance might render some colors ineffective (see above).&lt;/td&gt;&lt;/tr&gt;&lt;/table&gt; &lt;/p&gt;</t>
  </si>
  <si>
    <t>&lt;link rel="stylesheet"href="PF.css"&gt;&lt;div class="heading"&gt;&lt;p class="alignleft"&gt;Prismatic Wall&lt;/p&gt;&lt;div style="clear: both;"&gt;&lt;/div&gt;&lt;/div&gt;&lt;div&gt;&lt;h5&gt;&lt;b&gt;School &lt;/b&gt;abjuration; &lt;b&gt;Level &lt;/b&gt;sorcerer/wizard 8&lt;/h5&gt;&lt;/div&gt;&lt;hr/&gt;&lt;div&gt;&lt;h5&gt;&lt;b&gt;CASTING&lt;/b&gt;&lt;/h5&gt;&lt;/div&gt;&lt;hr/&gt;&lt;div&gt;&lt;h5&gt;&lt;b&gt;Casting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levels)&lt;/h5&gt;&lt;h5&gt;&lt;b&gt;Effect &lt;/b&gt;wall 4 ft./level wide, 2 ft./level high&lt;/h5&gt;&lt;h5&gt;&lt;b&gt;Duration &lt;/b&gt;10 min./level (D)&lt;/h5&gt;&lt;h5&gt;&lt;b&gt;Saving Throw &lt;/b&gt;see text; &lt;b&gt;Spell Resistance &lt;/b&gt;see text&lt;/h5&gt;&lt;/div&gt;&lt;hr/&gt;&lt;div&gt;&lt;h5&gt;&lt;b&gt;DESCRIPTION&lt;/b&gt;&lt;/h5&gt;&lt;/div&gt;&lt;hr/&gt;&lt;div&gt;&lt;h4&gt;&lt;p&gt;&lt;i&gt;Prismatic wall&lt;/i&gt; creates a vertical, opaque wall-a shimmering, multicolored plane of light that protects you from all forms of attack. The wall flashes with seven colors, each of which has a distinct power and purpose. The wall is immobile, and you can pass through and remain near the wall without harm. Any other creature with less than 8 HD that is within 20 feet of the wall is blinded by the colors for 2d4 rounds if it looks at the wall.&lt;/p&gt;&lt;p&gt;The wall's maximum proportions are 4 feet wide per caster level and 2 feet high per caster level. A &lt;i&gt;prismatic wall&lt;/i&gt; spell cast to materialize in a space occupied by a creature is disrupted, and the spell is wasted.&lt;/p&gt;&lt;p&gt;Each color in the wall has a special effect. The accompanying table shows the seven colors of the wall, the order in which they appear, their effects on creatures trying to attack you or pass through the wall, and the magic needed to negate each color.&lt;/p&gt;&lt;p&gt;The wall can be destroyed, color by color, in consecutive order, by casting the specified spells on the wall; however, the first color must be brought down before the second can be affected, and so on. A &lt;i&gt;rod of cancellation&lt;/i&gt; or a mage's disjunction spell destroys a &lt;i&gt;prismatic wall&lt;/i&gt;, but an &lt;i&gt;antimagic field&lt;/i&gt; fails to penetrate it. &lt;i&gt;Dispel magic&lt;/i&gt; and &lt;i&gt;greater dispel magic&lt;/i&gt; can only be used on the wall once all the other colors have been destroyed. Spell resistance is effective against a &lt;i&gt;prismatic wall&lt;/i&gt;, but the caster level check must be repeated for each color present.&lt;/p&gt;&lt;p&gt;&lt;i&gt;Prismatic wall&lt;/i&gt; can be made permanent with a &lt;i&gt;permanency&lt;/i&gt; spell.&lt;/p&gt;&lt;p&gt; &lt;table&gt;&lt;tr&gt;&lt;th&gt;Order&lt;/th&gt;&lt;th&gt;Color&lt;/th&gt;&lt;th&gt;Effect of Color&lt;/th&gt;&lt;th&gt;Negated by&lt;/th&gt;&lt;/tr&gt;&lt;tr&gt;&lt;td&gt;1st&lt;/td&gt;&lt;td&gt;Red&lt;/td&gt;&lt;td&gt;Stops nonmagical ranged weapons. Deals 20 points of fire damage (Reflex half ).&lt;/td&gt;&lt;td&gt;&lt;i&gt;Cone of cold&lt;/i&gt;&lt;/td&gt;&lt;/tr&gt;&lt;tr&gt;&lt;td&gt;2nd&lt;/td&gt;&lt;td&gt;Orange&lt;/td&gt;&lt;td&gt;Stops magical ranged weapons. Deals 40 points of acid damage (Reflex half).&lt;/td&gt;&lt;td&gt;&lt;i&gt;Gust of wind&lt;/i&gt;&lt;/td&gt;&lt;/tr&gt;&lt;tr&gt;&lt;td&gt;3rd&lt;/td&gt;&lt;td&gt;Yellow&lt;/td&gt;&lt;td&gt;Stops poisons, gases, and petrification. Deals 80 points of electricity damage (Reflex half).&lt;/td&gt;&lt;td&gt;&lt;i&gt;Disintegrate&lt;/i&gt;&lt;/td&gt;&lt;/tr&gt;&lt;tr&gt;&lt;td&gt;4th&lt;/td&gt;&lt;td&gt;Green&lt;/td&gt;&lt;td&gt;Stops breath weapons. Poison (frequency: 1/rd. for 6 rd.; init. effect: death, sec. effect: 1 Con/rd.; cure 2 consecutive Fort saves).&lt;/td&gt;&lt;td&gt;&lt;i&gt;Passwall&lt;/i&gt;&lt;/td&gt;&lt;/tr&gt;&lt;tr&gt;&lt;td&gt;5th&lt;/td&gt;&lt;td&gt;Blue&lt;/td&gt;&lt;td&gt;Stops divination and mental attacks. Turned to stone (Fortitude negates).&lt;/td&gt;&lt;td&gt;&lt;i&gt;Magic missile&lt;/i&gt;&lt;/td&gt;&lt;/tr&gt;&lt;tr&gt;&lt;td&gt;6th&lt;/td&gt;&lt;td&gt;Indigo&lt;/td&gt;&lt;td&gt;Stops all spells. Will save or become insane (as insanity spell).&lt;/td&gt;&lt;td&gt;&lt;i&gt;Daylight&lt;/i&gt;&lt;/td&gt;&lt;/tr&gt;&lt;tr&gt;&lt;td&gt;7th&lt;/td&gt;&lt;td&gt;Violet&lt;/td&gt;&lt;td&gt;Energy field destroys all objects and effects.* Creatures sent to another plane (Will negates).&lt;/td&gt;&lt;td&gt;&lt;i&gt;Dispel magic&lt;/i&gt; or &lt;i&gt;greater dispel magic&lt;/i&gt;&lt;/td&gt;&lt;/tr&gt;&lt;tr&gt;&lt;td colspan="4"&gt;*The violet effect makes the special effects of the other six colors redundant, but these six effects are included here because certain magic items can create prismatic effects one color at a time, and spell resistance might render some colors ineffective (see above).&lt;/td&gt;&lt;/tr&gt;&lt;/table&gt; &lt;/p&gt;&lt;/h4&gt;&lt;/div&gt;</t>
  </si>
  <si>
    <t> Wall's colors have array of effects.</t>
  </si>
  <si>
    <t>Prying Eyes, Greater</t>
  </si>
  <si>
    <t>V, S, M (a handful of crystal marbles)</t>
  </si>
  <si>
    <t>1 mile</t>
  </si>
  <si>
    <t>10 or more levitating eyes</t>
  </si>
  <si>
    <t>1 hour/level; see text</t>
  </si>
  <si>
    <t>This spell functions like prying eyes, except that the eyes can see all things as they actually are, just as if they had true seeing with a range of 120 feet. Thus, they can navigate darkened areas at normal speed. Also, a greater prying eye's maximum Perception modifier is +25 instead of +15.</t>
  </si>
  <si>
    <t>&lt;p&gt;This spell functions like &lt;i&gt;prying eyes,&lt;/i&gt; except that the eyes can see all things as they actually are, just as if they had &lt;i&gt;true seeing&lt;/i&gt; with a range of 120 feet. Thus, they can navigate darkened areas at normal speed. Also, a &lt;i&gt;greater prying eye&lt;/i&gt;'s maximum Perception modifier is +25 instead of +15.&lt;/p&gt;</t>
  </si>
  <si>
    <t>&lt;link rel="stylesheet"href="PF.css"&gt;&lt;div class="heading"&gt;&lt;p class="alignleft"&gt;Prying Eyes, Greater&lt;/p&gt;&lt;div style="clear: both;"&gt;&lt;/div&gt;&lt;/div&gt;&lt;div&gt;&lt;h5&gt;&lt;b&gt;School &lt;/b&gt;divination; &lt;b&gt;Level &lt;/b&gt;sorcerer/wizard 8, witch 8&lt;/h5&gt;&lt;/div&gt;&lt;hr/&gt;&lt;div&gt;&lt;h5&gt;&lt;b&gt;CASTING&lt;/b&gt;&lt;/h5&gt;&lt;/div&gt;&lt;hr/&gt;&lt;div&gt;&lt;h5&gt;&lt;b&gt;Casting Time &lt;/b&gt;1 minute&lt;/h5&gt;&lt;h5&gt;&lt;b&gt;Components &lt;/b&gt;V, S, M (a handful of crystal marbles)&lt;/h5&gt;&lt;/div&gt;&lt;hr/&gt;&lt;div&gt;&lt;h5&gt;&lt;b&gt;EFFECT&lt;/b&gt;&lt;/h5&gt;&lt;/div&gt;&lt;hr/&gt;&lt;div&gt;&lt;h5&gt;&lt;b&gt;Range &lt;/b&gt;1 mile&lt;/h5&gt;&lt;h5&gt;&lt;b&gt;Effect &lt;/b&gt;10 or more levitating eyes&lt;/h5&gt;&lt;h5&gt;&lt;b&gt;Duration &lt;/b&gt;1 hour/level; see text (D)&lt;/h5&gt;&lt;h5&gt;&lt;b&gt;Saving Throw &lt;/b&gt;none; &lt;b&gt;Spell Resistance &lt;/b&gt;no&lt;/h5&gt;&lt;/div&gt;&lt;hr/&gt;&lt;div&gt;&lt;h5&gt;&lt;b&gt;DESCRIPTION&lt;/b&gt;&lt;/h5&gt;&lt;/div&gt;&lt;hr/&gt;&lt;div&gt;&lt;h4&gt;&lt;p&gt;This spell functions like &lt;i&gt;prying eyes,&lt;/i&gt; except that the eyes can see all things as they actually are, just as if they had &lt;i&gt;true seeing&lt;/i&gt; with a range of 120 feet. Thus, they can navigate darkened areas at normal speed. Also, a &lt;i&gt;greater prying eye&lt;/i&gt;'s maximum Perception modifier is +25 instead of +15.&lt;/p&gt;&lt;/h4&gt;&lt;/div&gt;</t>
  </si>
  <si>
    <t> As prying eyes, but eyes have true seeing.</t>
  </si>
  <si>
    <t>Produce Flame</t>
  </si>
  <si>
    <t>flame in your palm</t>
  </si>
  <si>
    <t>Flames as bright as a torch appear in your open hand. The flames harm neither you nor your equipment. In addition to providing illumination, the flames can be hurled or used to touch enemies. You can strike an opponent with a melee touch attack, dealing fire damage equal to 1d6 + 1 point per caster level (maximum +5). Alternatively, you can hurl the flames up to 120 feet as a thrown weapon. When doing so, you attack with a ranged touch attack (with no range penalty) and deal the same damage as with the melee attack. No sooner do you hurl the flames than a new set appears in your hand. Each attack you make reduces the remaining duration by 1 minute. If an attack reduces the remaining duration to 0 minutes or less, the spell ends after the attack resolves. This spell does not function underwater.</t>
  </si>
  <si>
    <t>&lt;p&gt;Flames as bright as a torch appear in your open hand. The flames harm neither you nor your equipment.&lt;/p&gt;&lt;p&gt;In addition to providing illumination, the flames can be hurled or used to touch enemies. You can strike an opponent with a melee touch attack, dealing fire damage equal to 1d6 + 1 point per caster level (maximum +5). Alternatively, you can hurl the flames up to 120 feet as a thrown weapon. When doing so, you attack with a ranged touch attack (with no range penalty) and deal the same damage as with the melee attack. No sooner do you hurl the flames than a new set appears in your hand. Each attack you make reduces the remaining duration by 1 minute. If an attack reduces the remaining duration to 0 minutes or less, the spell ends after the attack resolves.&lt;/p&gt;&lt;p&gt;This spell does not function underwater.&lt;/p&gt;</t>
  </si>
  <si>
    <t>&lt;link rel="stylesheet"href="PF.css"&gt;&lt;div class="heading"&gt;&lt;p class="alignleft"&gt;Produce Flame&lt;/p&gt;&lt;div style="clear: both;"&gt;&lt;/div&gt;&lt;/div&gt;&lt;div&gt;&lt;h5&gt;&lt;b&gt;School &lt;/b&gt;evocation [fire]; &lt;b&gt;Level &lt;/b&gt;druid 1&lt;/h5&gt;&lt;/div&gt;&lt;hr/&gt;&lt;div&gt;&lt;h5&gt;&lt;b&gt;CASTING&lt;/b&gt;&lt;/h5&gt;&lt;/div&gt;&lt;hr/&gt;&lt;div&gt;&lt;h5&gt;&lt;b&gt;Casting Time &lt;/b&gt;1 standard action&lt;/h5&gt;&lt;h5&gt;&lt;b&gt;Components &lt;/b&gt;V, S&lt;/h5&gt;&lt;/div&gt;&lt;hr/&gt;&lt;div&gt;&lt;h5&gt;&lt;b&gt;EFFECT&lt;/b&gt;&lt;/h5&gt;&lt;/div&gt;&lt;hr/&gt;&lt;div&gt;&lt;h5&gt;&lt;b&gt;Range &lt;/b&gt;0 ft.&lt;/h5&gt;&lt;h5&gt;&lt;b&gt;Effect &lt;/b&gt;flame in your palm&lt;/h5&gt;&lt;h5&gt;&lt;b&gt;Duration &lt;/b&gt;1 min./level (D)&lt;/h5&gt;&lt;h5&gt;&lt;b&gt;Saving Throw &lt;/b&gt;none; &lt;b&gt;Spell Resistance &lt;/b&gt;yes&lt;/h5&gt;&lt;/div&gt;&lt;hr/&gt;&lt;div&gt;&lt;h5&gt;&lt;b&gt;DESCRIPTION&lt;/b&gt;&lt;/h5&gt;&lt;/div&gt;&lt;hr/&gt;&lt;div&gt;&lt;h4&gt;&lt;p&gt;Flames as bright as a torch appear in your open hand. The flames harm neither you nor your equipment.&lt;/p&gt;&lt;p&gt;In addition to providing illumination, the flames can be hurled or used to touch enemies. You can strike an opponent with a melee touch attack, dealing fire damage equal to 1d6 + 1 point per caster level (maximum +5). Alternatively, you can hurl the flames up to 120 feet as a thrown weapon. When doing so, you attack with a ranged touch attack (with no range penalty) and deal the same damage as with the melee attack. No sooner do you hurl the flames than a new set appears in your hand. Each attack you make reduces the remaining duration by 1 minute. If an attack reduces the remaining duration to 0 minutes or less, the spell ends after the attack resolves.&lt;/p&gt;&lt;p&gt;This spell does not function underwater.&lt;/p&gt;&lt;/h4&gt;&lt;/div&gt;</t>
  </si>
  <si>
    <t> 1d6 damage + 1/level, touch or thrown.</t>
  </si>
  <si>
    <t>Programmed Image</t>
  </si>
  <si>
    <t>V, S, M (fleece and jade dust worth 25 gp)</t>
  </si>
  <si>
    <t>visual figment that cannot extend beyond a 20-ft. cube + one 10-ft. cube/level (S)</t>
  </si>
  <si>
    <t>permanent until triggered, then 1 round/level</t>
  </si>
  <si>
    <t>This spell functions like silent image, except that this spell's figment activates when a specific condition occurs. The figment includes visual, auditory, olfactory, and thermal elements, including intelligible speech. You set the triggering condition (which may be a special word) when casting the spell. The event that triggers the illusion can be as general or as specific and detailed as desired but must be based on an audible, tactile, olfactory, or visual trigger. The trigger cannot be based on some quality not normally obvious to the senses, such as alignment. See magic mouth for more details about such triggers.</t>
  </si>
  <si>
    <t>&lt;p&gt;This spell functions like &lt;i&gt;silent image,&lt;/i&gt; except that this spell's figment activates when a specific condition occurs. The figment includes visual, auditory, olfactory, and thermal elements, including intelligible speech.&lt;/p&gt;&lt;p&gt;You set the triggering condition (which may be a special word) when casting the spell. The event that triggers the illusion can be as general or as specific and detailed as desired but must be based on an audible, tactile, olfactory, or visual trigger. The trigger cannot be based on some quality not normally obvious to the senses, such as alignment. See &lt;i&gt;magic mouth&lt;/i&gt; for more details about such triggers.&lt;/p&gt;</t>
  </si>
  <si>
    <t>&lt;link rel="stylesheet"href="PF.css"&gt;&lt;div class="heading"&gt;&lt;p class="alignleft"&gt;Programmed Image&lt;/p&gt;&lt;div style="clear: both;"&gt;&lt;/div&gt;&lt;/div&gt;&lt;div&gt;&lt;h5&gt;&lt;b&gt;School &lt;/b&gt;illusion (figment); &lt;b&gt;Level &lt;/b&gt;bard 6, sorcerer/wizard 6&lt;/h5&gt;&lt;/div&gt;&lt;hr/&gt;&lt;div&gt;&lt;h5&gt;&lt;b&gt;CASTING&lt;/b&gt;&lt;/h5&gt;&lt;/div&gt;&lt;hr/&gt;&lt;div&gt;&lt;h5&gt;&lt;b&gt;Casting Time &lt;/b&gt;1 standard action&lt;/h5&gt;&lt;h5&gt;&lt;b&gt;Components &lt;/b&gt;V, S, M (fleece and jade dust worth 25 gp)&lt;/h5&gt;&lt;/div&gt;&lt;hr/&gt;&lt;div&gt;&lt;h5&gt;&lt;b&gt;EFFECT&lt;/b&gt;&lt;/h5&gt;&lt;/div&gt;&lt;hr/&gt;&lt;div&gt;&lt;h5&gt;&lt;b&gt;Range &lt;/b&gt;long (400 ft. + 40 ft./level)&lt;/h5&gt;&lt;h5&gt;&lt;b&gt;Effect &lt;/b&gt;visual figment that cannot extend beyond a 20-ft. cube + one 10-ft. cube/level (S)&lt;/h5&gt;&lt;h5&gt;&lt;b&gt;Duration &lt;/b&gt;permanent until triggered, then 1 round/level&lt;/h5&gt;&lt;h5&gt;&lt;b&gt;Saving Throw &lt;/b&gt;Will disbelief (if interacted with); &lt;b&gt;Spell Resistance &lt;/b&gt;no&lt;/h5&gt;&lt;/div&gt;&lt;hr/&gt;&lt;div&gt;&lt;h5&gt;&lt;b&gt;DESCRIPTION&lt;/b&gt;&lt;/h5&gt;&lt;/div&gt;&lt;hr/&gt;&lt;div&gt;&lt;h4&gt;&lt;p&gt;This spell functions like &lt;i&gt;silent image,&lt;/i&gt; except that this spell's figment activates when a specific condition occurs. The figment includes visual, auditory, olfactory, and thermal elements, including intelligible speech.&lt;/p&gt;&lt;p&gt;You set the triggering condition (which may be a special word) when casting the spell. The event that triggers the illusion can be as general or as specific and detailed as desired but must be based on an audible, tactile, olfactory, or visual trigger. The trigger cannot be based on some quality not normally obvious to the senses, such as alignment. See &lt;i&gt;magic mouth&lt;/i&gt; for more details about such triggers.&lt;/p&gt;&lt;/h4&gt;&lt;/div&gt;</t>
  </si>
  <si>
    <t>As major image, plus triggered by event.</t>
  </si>
  <si>
    <t>Project Image</t>
  </si>
  <si>
    <t>bard 6, sorcerer/wizard 7</t>
  </si>
  <si>
    <t>V, S, M (a small replica of you worth 5 gp)</t>
  </si>
  <si>
    <t>one shadow duplicate</t>
  </si>
  <si>
    <t>You tap energy from the Plane of Shadow to create a quasi-real, illusory version of yourself. The projected image looks, sounds, and smells like you but is intangible. The projected image mimics your actions (including speech) unless you direct it to act differently (which is a move action). You can see through its eyes and hear through its ears as if you were standing where it is, and during your turn you can switch from using its senses to using your own, or back again, as a free action. While you are using its senses, your body is considered blinded and deafened. If you desire, any spell you cast whose range is touch or greater can originate from the projected image instead of from you. The projected image can't cast any spells on itself except for illusion spells. The spells affect other targets normally, despite originating from the projected image. Objects are affected by the projected image as if they had succeeded on their Will save. You must maintain line of effect to the projected image at all times. If your line of effect is obstructed, the spell ends. If you use dimension door, teleport, plane shift, or a similar spell that breaks your line of effect, even momentarily, the spell ends.</t>
  </si>
  <si>
    <t>&lt;p&gt;You tap energy from the Plane of Shadow to create a quasi-real, illusory version of yourself. The projected image looks, sounds, and smells like you but is intangible. The projected image mimics your actions (including speech) unless you direct it to act differently (which is a move action).&lt;/p&gt;&lt;p&gt;You can see through its eyes and hear through its ears as if you were standing where it is, and during your turn you can switch from using its senses to using your own, or back again, as a free action. While you are using its senses, your body is considered blinded and deafened.&lt;/p&gt;&lt;p&gt;If you desire, any spell you cast whose range is touch or greater can originate from the projected image instead of from you. The projected image can't cast any spells on itself except for illusion spells. The spells affect other targets normally, despite originating from the projected image.&lt;/p&gt;&lt;p&gt;Objects are affected by the projected image as if they had succeeded on their Will save. You must maintain line of effect to the projected image at all times. If your line of effect is obstructed, the spell ends. If you use &lt;i&gt;dimension door, teleport, plane shift,&lt;/i&gt; or a similar spell that breaks your line of effect, even momentarily, the spell ends.&lt;/p&gt;</t>
  </si>
  <si>
    <t>&lt;link rel="stylesheet"href="PF.css"&gt;&lt;div class="heading"&gt;&lt;p class="alignleft"&gt;Project Image&lt;/p&gt;&lt;div style="clear: both;"&gt;&lt;/div&gt;&lt;/div&gt;&lt;div&gt;&lt;h5&gt;&lt;b&gt;School &lt;/b&gt;illusion (shadow) [shadow]; &lt;b&gt;Level &lt;/b&gt;bard 6, sorcerer/wizard 7&lt;/h5&gt;&lt;/div&gt;&lt;hr/&gt;&lt;div&gt;&lt;h5&gt;&lt;b&gt;CASTING&lt;/b&gt;&lt;/h5&gt;&lt;/div&gt;&lt;hr/&gt;&lt;div&gt;&lt;h5&gt;&lt;b&gt;Casting Time &lt;/b&gt;1 standard action&lt;/h5&gt;&lt;h5&gt;&lt;b&gt;Components &lt;/b&gt;V, S, M (a small replica of you worth 5 gp)&lt;/h5&gt;&lt;/div&gt;&lt;hr/&gt;&lt;div&gt;&lt;h5&gt;&lt;b&gt;EFFECT&lt;/b&gt;&lt;/h5&gt;&lt;/div&gt;&lt;hr/&gt;&lt;div&gt;&lt;h5&gt;&lt;b&gt;Range &lt;/b&gt;medium (100 ft. + 10 ft./level)&lt;/h5&gt;&lt;h5&gt;&lt;b&gt;Effect &lt;/b&gt;one shadow duplicate&lt;/h5&gt;&lt;h5&gt;&lt;b&gt;Duration &lt;/b&gt;1 round/level (D)&lt;/h5&gt;&lt;h5&gt;&lt;b&gt;Saving Throw &lt;/b&gt;Will disbelief (if interacted with); &lt;b&gt;Spell Resistance &lt;/b&gt;no&lt;/h5&gt;&lt;/div&gt;&lt;hr/&gt;&lt;div&gt;&lt;h5&gt;&lt;b&gt;DESCRIPTION&lt;/b&gt;&lt;/h5&gt;&lt;/div&gt;&lt;hr/&gt;&lt;div&gt;&lt;h4&gt;&lt;p&gt;You tap energy from the Plane of Shadow to create a quasi-real, illusory version of yourself. The projected image looks, sounds, and smells like you but is intangible. The projected image mimics your actions (including speech) unless you direct it to act differently (which is a move action).&lt;/p&gt;&lt;p&gt;You can see through its eyes and hear through its ears as if you were standing where it is, and during your turn you can switch from using its senses to using your own, or back again, as a free action. While you are using its senses, your body is considered blinded and deafened.&lt;/p&gt;&lt;p&gt;If you desire, any spell you cast whose range is touch or greater can originate from the projected image instead of from you. The projected image can't cast any spells on itself except for illusion spells. The spells affect other targets normally, despite originating from the projected image.&lt;/p&gt;&lt;p&gt;Objects are affected by the projected image as if they had succeeded on their Will save. You must maintain line of effect to the projected image at all times. If your line of effect is obstructed, the spell ends. If you use &lt;i&gt;dimension door, teleport, plane shift,&lt;/i&gt; or a similar spell that breaks your line of effect, even momentarily, the spell ends.&lt;/p&gt;&lt;/h4&gt;&lt;/div&gt;</t>
  </si>
  <si>
    <t>Illusory double can talk and cast spells.</t>
  </si>
  <si>
    <t>Protection From Arrows</t>
  </si>
  <si>
    <t>sorcerer/wizard 2, alchemist 2, summoner 2</t>
  </si>
  <si>
    <t>V, S, F (a piece of tortoiseshell or turtle shell)</t>
  </si>
  <si>
    <t>The warded creature gains resistance to ranged weapons. The subject gains damage reduction 10/magic against ranged weapons. This spell doesn't grant you the ability to damage creatures with similar damage reduction. Once the spell has prevented a total of 10 points of damage per caster level (maximum 100 points), it is discharged.</t>
  </si>
  <si>
    <t>&lt;p&gt;The warded creature gains resistance to ranged weapons.&lt;/p&gt;&lt;p&gt;The subject gains damage reduction 10/magic against ranged weapons. This spell doesn't grant you the ability to damage creatures with similar damage reduction. Once the spell has prevented a total of 10 points of damage per caster level (maximum 100 points), it is discharged.&lt;/p&gt;</t>
  </si>
  <si>
    <t>&lt;link rel="stylesheet"href="PF.css"&gt;&lt;div class="heading"&gt;&lt;p class="alignleft"&gt;Protection From Arrows&lt;/p&gt;&lt;div style="clear: both;"&gt;&lt;/div&gt;&lt;/div&gt;&lt;div&gt;&lt;h5&gt;&lt;b&gt;School &lt;/b&gt;abjuration; &lt;b&gt;Level &lt;/b&gt;sorcerer/wizard 2, alchemist 2, summoner 2&lt;/h5&gt;&lt;/div&gt;&lt;hr/&gt;&lt;div&gt;&lt;h5&gt;&lt;b&gt;CASTING&lt;/b&gt;&lt;/h5&gt;&lt;/div&gt;&lt;hr/&gt;&lt;div&gt;&lt;h5&gt;&lt;b&gt;Casting Time &lt;/b&gt;1 standard action&lt;/h5&gt;&lt;h5&gt;&lt;b&gt;Components &lt;/b&gt;V, S, F (a piece of tortoiseshell or turtle shell)&lt;/h5&gt;&lt;/div&gt;&lt;hr/&gt;&lt;div&gt;&lt;h5&gt;&lt;b&gt;EFFECT&lt;/b&gt;&lt;/h5&gt;&lt;/div&gt;&lt;hr/&gt;&lt;div&gt;&lt;h5&gt;&lt;b&gt;Range &lt;/b&gt;touch&lt;/h5&gt;&lt;h5&gt;&lt;b&gt;Targets &lt;/b&gt;creature touched&lt;/h5&gt;&lt;h5&gt;&lt;b&gt;Duration &lt;/b&gt;1 hour/level or until discharged&lt;/h5&gt;&lt;h5&gt;&lt;b&gt;Saving Throw &lt;/b&gt;Will negates (harmless); &lt;b&gt;Spell Resistance &lt;/b&gt;yes (harmless)&lt;/h5&gt;&lt;/div&gt;&lt;hr/&gt;&lt;div&gt;&lt;h5&gt;&lt;b&gt;DESCRIPTION&lt;/b&gt;&lt;/h5&gt;&lt;/div&gt;&lt;hr/&gt;&lt;div&gt;&lt;h4&gt;&lt;p&gt;The warded creature gains resistance to ranged weapons.&lt;/p&gt;&lt;p&gt;The subject gains damage reduction 10/magic against ranged weapons. This spell doesn't grant you the ability to damage creatures with similar damage reduction. Once the spell has prevented a total of 10 points of damage per caster level (maximum 100 points), it is discharged.&lt;/p&gt;&lt;/h4&gt;&lt;h5&gt;&lt;b&gt;Mythic: &lt;/b&gt;The damage reduction increases to 15/magic. The maximum damage prevented by the spell increases to 15 points per caster level (maximum 150 points). If the spell prevents all damage from a ranged weapon attack, it turns the projectile or weapon back on the attacker, using the same attack roll result. If the attacker is also protected by mythic protection from arrows and its spell completely prevents the damage from the rebounded attack, the weapon or projectile is destroyed.&lt;/h5&gt;&lt;/div&gt;</t>
  </si>
  <si>
    <t> Subject gains DR 10/magic against ranged attacks.</t>
  </si>
  <si>
    <t>The damage reduction increases to 15/magic. The maximum damage prevented by the spell increases to 15 points per caster level (maximum 150 points). If the spell prevents all damage from a ranged weapon attack, it turns the projectile or weapon back on the attacker, using the same attack roll result. If the attacker is also protected by mythic protection from arrows and its spell completely prevents the damage from the rebounded attack, the weapon or projectile is destroyed.</t>
  </si>
  <si>
    <t>Protection From Chaos</t>
  </si>
  <si>
    <t>cleric/oracle 1, paladin 1, sorcerer/wizard 1, inquisitor 1, summoner 1</t>
  </si>
  <si>
    <t>V, S, M/DF</t>
  </si>
  <si>
    <t>This spell functions like protection from evil, except that the deflection and resistance bonuses apply to attacks made by chaotic creatures. The target receives a new saving throw against control by chaotic creatures and chaotic summoned creatures cannot touch the target.</t>
  </si>
  <si>
    <t>&lt;p&gt;This spell functions like &lt;i&gt;protection from evil&lt;/i&gt;, except that the deflection and resistance bonuses apply to attacks made by chaotic creatures. The target receives a new saving throw against control by chaotic creatures and chaotic summoned creatures cannot touch the target.&lt;/p&gt;</t>
  </si>
  <si>
    <t>&lt;link rel="stylesheet"href="PF.css"&gt;&lt;div class="heading"&gt;&lt;p class="alignleft"&gt;Protection From Chaos&lt;/p&gt;&lt;div style="clear: both;"&gt;&lt;/div&gt;&lt;/div&gt;&lt;div&gt;&lt;h5&gt;&lt;b&gt;School &lt;/b&gt;abjuration [lawful]; &lt;b&gt;Level &lt;/b&gt;cleric/oracle 1, paladin 1, sorcerer/wizard 1, inquisitor 1, summoner 1&lt;/h5&gt;&lt;/div&gt;&lt;hr/&gt;&lt;div&gt;&lt;h5&gt;&lt;b&gt;CASTING&lt;/b&gt;&lt;/h5&gt;&lt;/div&gt;&lt;hr/&gt;&lt;div&gt;&lt;h5&gt;&lt;b&gt;Casting Time &lt;/b&gt;1 standard action&lt;/h5&gt;&lt;h5&gt;&lt;b&gt;Components &lt;/b&gt;V, S, M/DF&lt;/h5&gt;&lt;/div&gt;&lt;hr/&gt;&lt;div&gt;&lt;h5&gt;&lt;b&gt;EFFECT&lt;/b&gt;&lt;/h5&gt;&lt;/div&gt;&lt;hr/&gt;&lt;div&gt;&lt;h5&gt;&lt;b&gt;Range &lt;/b&gt;touch&lt;/h5&gt;&lt;h5&gt;&lt;b&gt;Targets &lt;/b&gt;creature touched&lt;/h5&gt;&lt;h5&gt;&lt;b&gt;Duration &lt;/b&gt;1 min./level (D)&lt;/h5&gt;&lt;h5&gt;&lt;b&gt;Saving Throw &lt;/b&gt;Will negates (harmless); &lt;b&gt;Spell Resistance &lt;/b&gt;no; see text&lt;/h5&gt;&lt;/div&gt;&lt;hr/&gt;&lt;div&gt;&lt;h5&gt;&lt;b&gt;DESCRIPTION&lt;/b&gt;&lt;/h5&gt;&lt;/div&gt;&lt;hr/&gt;&lt;div&gt;&lt;h4&gt;&lt;p&gt;This spell functions like &lt;i&gt;protection from evil&lt;/i&gt;, except that the deflection and resistance bonuses apply to attacks made by chaotic creatures. The target receives a new saving throw against control by chaotic creatures and chaotic summoned creatures cannot touch the target.&lt;/p&gt;&lt;/h4&gt;&lt;h5&gt;&lt;b&gt;Mythic: &lt;/b&gt;The bonuses to AC and on saves increase to +4. Any chaotic creature attempting to possess or exercise mental control over the target must attempt a Will save against this spell. If it fails, the creature takes 1d6 points of damage per 2 caster levels (maximum 5d6) from mental feedback. A chaotic creature that uses spell resistance to bypass the spell's protection against contact must successfully save or take this damage once each round it attacks the protected target.&lt;/h5&gt;&lt;/div&gt;</t>
  </si>
  <si>
    <t>Law, Purity</t>
  </si>
  <si>
    <t>+2 to AC and saves, plus additional protection against selected alignment.</t>
  </si>
  <si>
    <t>The bonuses to AC and on saves increase to +4. Any chaotic creature attempting to possess or exercise mental control over the target must attempt a Will save against this spell. If it fails, the creature takes 1d6 points of damage per 2 caster levels (maximum 5d6) from mental feedback. A chaotic creature that uses spell resistance to bypass the spell's protection against contact must successfully save or take this damage once each round it attacks the protected target.</t>
  </si>
  <si>
    <t>Protection From Evil</t>
  </si>
  <si>
    <t>cleric/oracle 1, inquisitor 1, paladin 1, sorcerer/wizard 1, summoner 1</t>
  </si>
  <si>
    <t>This spell wards a creature from attacks by evil creatures, from mental control, and from summoned creatures. It creates a magical barrier around the subject at a distance of 1 foot. The barrier moves with the subject and has three major effects. First, the subject gains a +2 deflection bonus to AC and a +2 resistance bonus on saves. Both these bonuses apply against attacks made or effects created by evil creatures. Second, the subject immediately receives another saving throw (if one was allowed to begin with) against any spells or effects that possess or exercise mental control over the creature (including enchantment [charm] effects and enchantment [compulsion] effects such as charm person, command, and dominate person). This saving throw is made with a +2 morale bonus, using the same DC as the original effect. If successful, such effects are suppressed for the duration of this spell. The effects resume when the duration of this spell expires. While under the effects of this spell, the target is immune to any new attempts to possess or exercise mental control over the target. This spell does not expel a controlling life force (such as a ghost or spellcaster using magic jar), but it does prevent them from controlling the target. This second effect only functions against spells and effects created by evil creatures or objects, subject to GM discretion. Third, the spell prevents bodily contact by evil summoned creatures. This causes the natural weapon attacks of such creatures to fail and the creatures to recoil if such attacks require touching the warded creature. Summoned creatures that are not evil are immune to this effect. The protection against contact by summoned creatures ends if the warded creature makes an attack against or tries to force the barrier against the blocked creature. Spell resistance can allow a creature to overcome this protection and touch the warded creature.</t>
  </si>
  <si>
    <t>&lt;p&gt;This spell wards a creature from attacks by evil creatures, from mental control, and from summoned creatures. It creates a &lt;i&gt;magic&lt;/i&gt;al barrier around the subject at a distance of 1 foot. The barrier moves with the subject and has three major effects.&lt;/p&gt;&lt;p&gt;First, the subject gains a +2 deflection bonus to AC and a +2 resistance bonus on saves. Both these bonuses apply against attacks made or effects created by evil creatures.&lt;/p&gt;&lt;p&gt;Second, the subject immediately receives another saving throw (if one was allowed to begin with) against any spells or effects that possess or exercise mental control over the creature (including enchantment [charm] effects and enchantment [compulsion] effects such as &lt;i&gt;charm person&lt;/i&gt;, &lt;i&gt;command&lt;/i&gt;, and &lt;i&gt;dominate&lt;/i&gt; person). This saving throw is made with a +2 morale bonus, using the same DC as the original effect.&lt;/p&gt;&lt;p&gt;If successful, such effects are suppressed for the duration of this spell. The effects resume when the duration of this spell expires.&lt;/p&gt;&lt;p&gt;While under the effects of this spell, the target is immune to any new attempts to possess or exercise mental control over the target.&lt;/p&gt;&lt;p&gt;This spell does not expel a controlling life force (such as a ghost or spellcaster using &lt;i&gt;magic&lt;/i&gt; jar), but it does prevent them from controlling the target. This second effect only functions against spells and effects created by evil creatures or objects, subject to GM discretion.&lt;/p&gt;&lt;p&gt;Third, the spell prevents bodily contact by evil summoned creatures. This causes the natural weapon attacks of such creatures to fail and the creatures to recoil if such attacks require touching the warded creature. Summoned creatures that are not evil are immune to this effect. The protection against contact by summoned creatures ends if the warded creature makes an attack against or tries to force the barrier against the blocked creature. Spell resistance can allow a creature to overcome this protection and touch the warded creature.&lt;/p&gt;</t>
  </si>
  <si>
    <t>&lt;link rel="stylesheet"href="PF.css"&gt;&lt;div class="heading"&gt;&lt;p class="alignleft"&gt;Protection From Evil&lt;/p&gt;&lt;div style="clear: both;"&gt;&lt;/div&gt;&lt;/div&gt;&lt;div&gt;&lt;h5&gt;&lt;b&gt;School &lt;/b&gt;abjuration [good]; &lt;b&gt;Level &lt;/b&gt;cleric/oracle 1, inquisitor 1, paladin 1, sorcerer/wizard 1, summoner 1&lt;/h5&gt;&lt;/div&gt;&lt;hr/&gt;&lt;div&gt;&lt;h5&gt;&lt;b&gt;CASTING&lt;/b&gt;&lt;/h5&gt;&lt;/div&gt;&lt;hr/&gt;&lt;div&gt;&lt;h5&gt;&lt;b&gt;Casting Time &lt;/b&gt;1 standard action&lt;/h5&gt;&lt;h5&gt;&lt;b&gt;Components &lt;/b&gt;V, S, M/DF&lt;/h5&gt;&lt;/div&gt;&lt;hr/&gt;&lt;div&gt;&lt;h5&gt;&lt;b&gt;EFFECT&lt;/b&gt;&lt;/h5&gt;&lt;/div&gt;&lt;hr/&gt;&lt;div&gt;&lt;h5&gt;&lt;b&gt;Range &lt;/b&gt;touch&lt;/h5&gt;&lt;h5&gt;&lt;b&gt;Targets &lt;/b&gt;creature touched&lt;/h5&gt;&lt;h5&gt;&lt;b&gt;Duration &lt;/b&gt;1 min./level (D)&lt;/h5&gt;&lt;h5&gt;&lt;b&gt;Saving Throw &lt;/b&gt;Will negates (harmless); &lt;b&gt;Spell Resistance &lt;/b&gt;no; see text&lt;/h5&gt;&lt;/div&gt;&lt;hr/&gt;&lt;div&gt;&lt;h5&gt;&lt;b&gt;DESCRIPTION&lt;/b&gt;&lt;/h5&gt;&lt;/div&gt;&lt;hr/&gt;&lt;div&gt;&lt;h4&gt;&lt;p&gt;This spell wards a creature from attacks by evil creatures, from mental control, and from summoned creatures. It creates a &lt;i&gt;magic&lt;/i&gt;al barrier around the subject at a distance of 1 foot. The barrier moves with the subject and has three major effects.&lt;/p&gt;&lt;p&gt;First, the subject gains a +2 deflection bonus to AC and a +2 resistance bonus on saves. Both these bonuses apply against attacks made or effects created by evil creatures.&lt;/p&gt;&lt;p&gt;Second, the subject immediately receives another saving throw (if one was allowed to begin with) against any spells or effects that possess or exercise mental control over the creature (including enchantment [charm] effects and enchantment [compulsion] effects such as &lt;i&gt;charm person&lt;/i&gt;, &lt;i&gt;command&lt;/i&gt;, and &lt;i&gt;dominate&lt;/i&gt; person). This saving throw is made with a +2 morale bonus, using the same DC as the original effect.&lt;/p&gt;&lt;p&gt;If successful, such effects are suppressed for the duration of this spell. The effects resume when the duration of this spell expires.&lt;/p&gt;&lt;p&gt;While under the effects of this spell, the target is immune to any new attempts to possess or exercise mental control over the target.&lt;/p&gt;&lt;p&gt;This spell does not expel a controlling life force (such as a ghost or spellcaster using &lt;i&gt;magic&lt;/i&gt; jar), but it does prevent them from controlling the target. This second effect only functions against spells and effects created by evil creatures or objects, subject to GM discretion.&lt;/p&gt;&lt;p&gt;Third, the spell prevents bodily contact by evil summoned creatures. This causes the natural weapon attacks of such creatures to fail and the creatures to recoil if such attacks require touching the warded creature. Summoned creatures that are not evil are immune to this effect. The protection against contact by summoned creatures ends if the warded creature makes an attack against or tries to force the barrier against the blocked creature. Spell resistance can allow a creature to overcome this protection and touch the warded creature.&lt;/p&gt;&lt;/h4&gt;&lt;h5&gt;&lt;b&gt;Mythic: &lt;/b&gt;The bonuses to AC and on saves increase to +4. Any evil creature attempting to possess or exercise mental control over the target must attempt a Will save against this spell. If it fails, the creature takes 1d6 points of damage per 2 caster levels (maximum 5d6) from mental feedback. An evil creature that uses spell resistance to bypass the spell's protection against contact must successfully save or take this damage once each round it attacks the protected target.&lt;/h5&gt;&lt;/div&gt;</t>
  </si>
  <si>
    <t>Good, Purity</t>
  </si>
  <si>
    <t>The bonuses to AC and on saves increase to +4. Any evil creature attempting to possess or exercise mental control over the target must attempt a Will save against this spell. If it fails, the creature takes 1d6 points of damage per 2 caster levels (maximum 5d6) from mental feedback. An evil creature that uses spell resistance to bypass the spell's protection against contact must successfully save or take this damage once each round it attacks the protected target.</t>
  </si>
  <si>
    <t>Protection From Good</t>
  </si>
  <si>
    <t>cleric/oracle 1, sorcerer/wizard 1, inquisitor 1, summoner 1, antipaladin 1</t>
  </si>
  <si>
    <t>This spell functions like protection from evil, except that the deflection and resistance bonuses apply to attacks made by good creatures. The target receives a new saving throw against control by good creatures and good summoned creatures cannot touch the target.</t>
  </si>
  <si>
    <t>&lt;p&gt;This spell functions like &lt;i&gt;protection from evil&lt;/i&gt;, except that the deflection and resistance bonuses apply to attacks made by good creatures. The target receives a new saving throw against control by good creatures and good summoned creatures cannot touch the target.&lt;/p&gt;</t>
  </si>
  <si>
    <t>&lt;link rel="stylesheet"href="PF.css"&gt;&lt;div class="heading"&gt;&lt;p class="alignleft"&gt;Protection From Good&lt;/p&gt;&lt;div style="clear: both;"&gt;&lt;/div&gt;&lt;/div&gt;&lt;div&gt;&lt;h5&gt;&lt;b&gt;School &lt;/b&gt;abjuration [evil]; &lt;b&gt;Level &lt;/b&gt;cleric/oracle 1, sorcerer/wizard 1, inquisitor 1, summoner 1, antipaladin 1&lt;/h5&gt;&lt;/div&gt;&lt;hr/&gt;&lt;div&gt;&lt;h5&gt;&lt;b&gt;CASTING&lt;/b&gt;&lt;/h5&gt;&lt;/div&gt;&lt;hr/&gt;&lt;div&gt;&lt;h5&gt;&lt;b&gt;Casting Time &lt;/b&gt;1 standard action&lt;/h5&gt;&lt;h5&gt;&lt;b&gt;Components &lt;/b&gt;V, S, M/DF&lt;/h5&gt;&lt;/div&gt;&lt;hr/&gt;&lt;div&gt;&lt;h5&gt;&lt;b&gt;EFFECT&lt;/b&gt;&lt;/h5&gt;&lt;/div&gt;&lt;hr/&gt;&lt;div&gt;&lt;h5&gt;&lt;b&gt;Range &lt;/b&gt;touch&lt;/h5&gt;&lt;h5&gt;&lt;b&gt;Targets &lt;/b&gt;creature touched&lt;/h5&gt;&lt;h5&gt;&lt;b&gt;Duration &lt;/b&gt;1 min./level (D)&lt;/h5&gt;&lt;h5&gt;&lt;b&gt;Saving Throw &lt;/b&gt;Will negates (harmless); &lt;b&gt;Spell Resistance &lt;/b&gt;no; see text&lt;/h5&gt;&lt;/div&gt;&lt;hr/&gt;&lt;div&gt;&lt;h5&gt;&lt;b&gt;DESCRIPTION&lt;/b&gt;&lt;/h5&gt;&lt;/div&gt;&lt;hr/&gt;&lt;div&gt;&lt;h4&gt;&lt;p&gt;This spell functions like &lt;i&gt;protection from evil&lt;/i&gt;, except that the deflection and resistance bonuses apply to attacks made by good creatures. The target receives a new saving throw against control by good creatures and good summoned creatures cannot touch the target.&lt;/p&gt;&lt;/h4&gt;&lt;h5&gt;&lt;b&gt;Mythic: &lt;/b&gt;The bonuses to AC and on saves increase to +4. Any good creature attempting to possess or exercise mental control over the target must attempt a Will save against this spell. If it fails, the creature takes 1d6 points of damage per 2 caster levels (maximum 5d6) from mental feedback. A good creature that uses spell resistance to bypass the spell's protection against contact must successfully save or take this damage once each round it attacks the protected target.&lt;/h5&gt;&lt;/div&gt;</t>
  </si>
  <si>
    <t>Evil, Purity</t>
  </si>
  <si>
    <t>Infernal</t>
  </si>
  <si>
    <t>The bonuses to AC and on saves increase to +4. Any good creature attempting to possess or exercise mental control over the target must attempt a Will save against this spell. If it fails, the creature takes 1d6 points of damage per 2 caster levels (maximum 5d6) from mental feedback. A good creature that uses spell resistance to bypass the spell's protection against contact must successfully save or take this damage once each round it attacks the protected target.</t>
  </si>
  <si>
    <t>Protection From Law</t>
  </si>
  <si>
    <t>This spell functions like protection from evil, except that the deflection and resistance bonuses apply to attacks made by lawful creatures. The target receives a new saving throw against control by lawful creatures and lawful summoned creatures cannot touch the target.</t>
  </si>
  <si>
    <t>&lt;p&gt;This spell functions like &lt;i&gt;protection from evil&lt;/i&gt;, except that the deflection and resistance bonuses apply to attacks made by lawful creatures.&lt;/p&gt;&lt;p&gt;The target receives a new saving throw against control by lawful creatures and lawful summoned creatures cannot touch the target.&lt;/p&gt;</t>
  </si>
  <si>
    <t>&lt;link rel="stylesheet"href="PF.css"&gt;&lt;div class="heading"&gt;&lt;p class="alignleft"&gt;Protection From Law&lt;/p&gt;&lt;div style="clear: both;"&gt;&lt;/div&gt;&lt;/div&gt;&lt;div&gt;&lt;h5&gt;&lt;b&gt;School &lt;/b&gt;abjuration [chaotic]; &lt;b&gt;Level &lt;/b&gt;cleric/oracle 1, sorcerer/wizard 1, inquisitor 1, summoner 1, antipaladin 1&lt;/h5&gt;&lt;/div&gt;&lt;hr/&gt;&lt;div&gt;&lt;h5&gt;&lt;b&gt;CASTING&lt;/b&gt;&lt;/h5&gt;&lt;/div&gt;&lt;hr/&gt;&lt;div&gt;&lt;h5&gt;&lt;b&gt;Casting Time &lt;/b&gt;1 standard action&lt;/h5&gt;&lt;h5&gt;&lt;b&gt;Components &lt;/b&gt;V, S, M/DF&lt;/h5&gt;&lt;/div&gt;&lt;hr/&gt;&lt;div&gt;&lt;h5&gt;&lt;b&gt;EFFECT&lt;/b&gt;&lt;/h5&gt;&lt;/div&gt;&lt;hr/&gt;&lt;div&gt;&lt;h5&gt;&lt;b&gt;Range &lt;/b&gt;touch&lt;/h5&gt;&lt;h5&gt;&lt;b&gt;Targets &lt;/b&gt;creature touched&lt;/h5&gt;&lt;h5&gt;&lt;b&gt;Duration &lt;/b&gt;1 min./level (D)&lt;/h5&gt;&lt;h5&gt;&lt;b&gt;Saving Throw &lt;/b&gt;Will negates (harmless); &lt;b&gt;Spell Resistance &lt;/b&gt;no; see text&lt;/h5&gt;&lt;/div&gt;&lt;hr/&gt;&lt;div&gt;&lt;h5&gt;&lt;b&gt;DESCRIPTION&lt;/b&gt;&lt;/h5&gt;&lt;/div&gt;&lt;hr/&gt;&lt;div&gt;&lt;h4&gt;&lt;p&gt;This spell functions like &lt;i&gt;protection from evil&lt;/i&gt;, except that the deflection and resistance bonuses apply to attacks made by lawful creatures.&lt;/p&gt;&lt;p&gt;The target receives a new saving throw against control by lawful creatures and lawful summoned creatures cannot touch the target.&lt;/p&gt;&lt;/h4&gt;&lt;h5&gt;&lt;b&gt;Mythic: &lt;/b&gt;The bonuses to AC and on saves increase to +4. Any lawful creature attempting to possess or exercise mental control over the target must attempt a Will save against this spell. If it fails, the creature takes 1d6 points of damage per 2 caster levels (maximum 5d6) from mental feedback. A lawful creature that uses spell resistance to bypass the spell's protection against contact must successfully save or take this damage once each round it attacks the protected target.&lt;/h5&gt;&lt;/div&gt;</t>
  </si>
  <si>
    <t>Chaos, Purity</t>
  </si>
  <si>
    <t>The bonuses to AC and on saves increase to +4. Any lawful creature attempting to possess or exercise mental control over the target must attempt a Will save against this spell. If it fails, the creature takes 1d6 points of damage per 2 caster levels (maximum 5d6) from mental feedback. A lawful creature that uses spell resistance to bypass the spell's protection against contact must successfully save or take this damage once each round it attacks the protected target.</t>
  </si>
  <si>
    <t>Protection from Spells</t>
  </si>
  <si>
    <t>V, S, M (diamond worth 500 gp), F (One 1,000 gp diamond per target. Each subject must carry the gem for the duration of the spell. If a subject loses the gem, the spell ceases to affect him.)</t>
  </si>
  <si>
    <t>up to one creature touched per four levels</t>
  </si>
  <si>
    <t>The subject gains a +8 resistance bonus on saving throws against spells and spell-like abilities (but not against supernatural and extraordinary abilities).</t>
  </si>
  <si>
    <t>&lt;p&gt;The subject gains a +8 resistance bonus on saving throws against spells and spell-like abilities (but not against supernatural and extraordinary abilities).&lt;/p&gt;</t>
  </si>
  <si>
    <t>&lt;link rel="stylesheet"href="PF.css"&gt;&lt;div class="heading"&gt;&lt;p class="alignleft"&gt;Protection from Spells&lt;/p&gt;&lt;div style="clear: both;"&gt;&lt;/div&gt;&lt;/div&gt;&lt;div&gt;&lt;h5&gt;&lt;b&gt;School &lt;/b&gt;abjuration; &lt;b&gt;Level &lt;/b&gt;sorcerer/wizard 8, summoner 6&lt;/h5&gt;&lt;/div&gt;&lt;hr/&gt;&lt;div&gt;&lt;h5&gt;&lt;b&gt;CASTING&lt;/b&gt;&lt;/h5&gt;&lt;/div&gt;&lt;hr/&gt;&lt;div&gt;&lt;h5&gt;&lt;b&gt;Casting Time &lt;/b&gt;1 standard action&lt;/h5&gt;&lt;h5&gt;&lt;b&gt;Components &lt;/b&gt;V, S, M (diamond worth 500 gp), F (One 1,000 gp diamond per target. Each subject must carry the gem for the duration of the spell. If a subject loses the gem, the spell ceases to affect him.)&lt;/h5&gt;&lt;/div&gt;&lt;hr/&gt;&lt;div&gt;&lt;h5&gt;&lt;b&gt;EFFECT&lt;/b&gt;&lt;/h5&gt;&lt;/div&gt;&lt;hr/&gt;&lt;div&gt;&lt;h5&gt;&lt;b&gt;Range &lt;/b&gt;touch&lt;/h5&gt;&lt;h5&gt;&lt;b&gt;Targets &lt;/b&gt;up to one creature touched per four levels&lt;/h5&gt;&lt;h5&gt;&lt;b&gt;Duration &lt;/b&gt;10 min./level&lt;/h5&gt;&lt;h5&gt;&lt;b&gt;Saving Throw &lt;/b&gt;Will negates (harmless); &lt;b&gt;Spell Resistance &lt;/b&gt;yes (harmless)&lt;/h5&gt;&lt;/div&gt;&lt;hr/&gt;&lt;div&gt;&lt;h5&gt;&lt;b&gt;DESCRIPTION&lt;/b&gt;&lt;/h5&gt;&lt;/div&gt;&lt;hr/&gt;&lt;div&gt;&lt;h4&gt;&lt;p&gt;The subject gains a +8 resistance bonus on saving throws against spells and spell-like abilities (but not against supernatural and extraordinary abilities).&lt;/p&gt;&lt;/h4&gt;&lt;/div&gt;</t>
  </si>
  <si>
    <t> Confers +8 resistance bonus.</t>
  </si>
  <si>
    <t>Purify Food and Drink</t>
  </si>
  <si>
    <t>cleric 0/oracle 0, druid 0</t>
  </si>
  <si>
    <t>1 cu. ft./level of contaminated food and water</t>
  </si>
  <si>
    <t>This spell makes spoiled, rotten, diseased, poisonous, or otherwise contaminated food and water pure and suitable for eating and drinking. This spell does not prevent subsequent natural decay or spoilage. Unholy water and similar food and drink of significance is spoiled by purify food and drink, but the spell has no effect on creatures of any type nor upon magic potions. Water weighs about 8 pounds per gallon. One cubic foot of water contains roughly 8 gallons and weighs about 60 pounds.</t>
  </si>
  <si>
    <t>&lt;p&gt;This spell makes spoiled, rotten, diseased, poisonous, or otherwise contaminated food and water pure and suitable for eating and drinking. This spell does not prevent subsequent natural decay or spoilage. Unholy water and similar food and drink of significance is spoiled by &lt;i&gt;purify food and drink,&lt;/i&gt; but the spell has no effect on creatures of any type nor upon magic potions. Water weighs about 8 pounds per gallon. One cubic foot of water contains roughly 8 gallons and weighs about 60 pounds.&lt;/p&gt;</t>
  </si>
  <si>
    <t>&lt;link rel="stylesheet"href="PF.css"&gt;&lt;div class="heading"&gt;&lt;p class="alignleft"&gt;Purify Food and Drink&lt;/p&gt;&lt;div style="clear: both;"&gt;&lt;/div&gt;&lt;/div&gt;&lt;div&gt;&lt;h5&gt;&lt;b&gt;School &lt;/b&gt;transmutation; &lt;b&gt;Level &lt;/b&gt;cleric 0/oracle 0, druid 0&lt;/h5&gt;&lt;/div&gt;&lt;hr/&gt;&lt;div&gt;&lt;h5&gt;&lt;b&gt;CASTING&lt;/b&gt;&lt;/h5&gt;&lt;/div&gt;&lt;hr/&gt;&lt;div&gt;&lt;h5&gt;&lt;b&gt;Casting Time &lt;/b&gt;1 standard action&lt;/h5&gt;&lt;h5&gt;&lt;b&gt;Components &lt;/b&gt;V, S&lt;/h5&gt;&lt;/div&gt;&lt;hr/&gt;&lt;div&gt;&lt;h5&gt;&lt;b&gt;EFFECT&lt;/b&gt;&lt;/h5&gt;&lt;/div&gt;&lt;hr/&gt;&lt;div&gt;&lt;h5&gt;&lt;b&gt;Range &lt;/b&gt;10 ft.&lt;/h5&gt;&lt;h5&gt;&lt;b&gt;Targets &lt;/b&gt;1 cu. ft./level of contaminated food and water&lt;/h5&gt;&lt;h5&gt;&lt;b&gt;Duration &lt;/b&gt;instantaneous&lt;/h5&gt;&lt;h5&gt;&lt;b&gt;Saving Throw &lt;/b&gt;Will negates (object); &lt;b&gt;Spell Resistance &lt;/b&gt;yes (object)&lt;/h5&gt;&lt;/div&gt;&lt;hr/&gt;&lt;div&gt;&lt;h5&gt;&lt;b&gt;DESCRIPTION&lt;/b&gt;&lt;/h5&gt;&lt;/div&gt;&lt;hr/&gt;&lt;div&gt;&lt;h4&gt;&lt;p&gt;This spell makes spoiled, rotten, diseased, poisonous, or otherwise contaminated food and water pure and suitable for eating and drinking. This spell does not prevent subsequent natural decay or spoilage. Unholy water and similar food and drink of significance is spoiled by &lt;i&gt;purify food and drink,&lt;/i&gt; but the spell has no effect on creatures of any type nor upon magic potions. Water weighs about 8 pounds per gallon. One cubic foot of water contains roughly 8 gallons and weighs about 60 pounds.&lt;/p&gt;&lt;/h4&gt;&lt;/div&gt;</t>
  </si>
  <si>
    <t>Purifies 1 cu. ft./level of food or water.</t>
  </si>
  <si>
    <t>Pyrotechnics</t>
  </si>
  <si>
    <t>V, S, M (one fire source)</t>
  </si>
  <si>
    <t>one fire source, up to a 20-ft. cube</t>
  </si>
  <si>
    <t>1d4+1 rounds, or 1d4+1 rounds after creatures leave the smoke cloud; see text</t>
  </si>
  <si>
    <t>Will negates or Fortitude negates; see text</t>
  </si>
  <si>
    <t>yes or no; see text</t>
  </si>
  <si>
    <t>Pyrotechnics turns a fire into a burst of blinding fireworks or a thick cloud of choking smoke, depending on your choice. The spell uses one fire source, which is immediately extinguished. A fire so large that it exceeds a 20-foot cube is only partly extinguished. Magical fires are not extinguished, although a fire-based creature used as a source takes 1 point of damage per caster level. Fireworks: The fireworks are a flashing, fiery, momentary burst of glowing, colored aerial lights. This effect causes creatures within 120 feet of the fire source to become blinded for 1d4+1 rounds (Will negates). These creatures must have line of sight to the fire to be affected. Spell resistance can prevent blindness. Smoke Cloud: A stream of smoke billows out from the fire, forming a choking cloud that spreads 20 feet in all directions and lasts for 1 round per caster level. All sight, even darkvision, is ineffective in or through the cloud. All within the cloud take -4 penalties to Strength and Dexterity (Fortitude negates). These effects last for 1d4+1 rounds after the cloud dissipates or after the creature leaves the area of the cloud. Spell resistance does not apply.</t>
  </si>
  <si>
    <t>&lt;p&gt;&lt;i&gt;Pyrotechnics&lt;/i&gt; turns a fire into a burst of blinding fireworks or a thick cloud of choking smoke, depending on your choice. The spell uses one fire source, which is immediately extinguished. A fire so large that it exceeds a 20-foot cube is only partly extinguished. Magical fires are not extinguished, although a fire-based creature used as a source takes 1 point of damage per caster level.&lt;/p&gt;&lt;p&gt;&lt;i&gt;Fireworks:&lt;/i&gt; The fireworks are a flashing, fiery, momentary burst of glowing, colored aerial lights. This effect causes creatures within 120 feet of the fire source to become blinded for 1d4+1 rounds (Will negates). These creatures must have line of sight to the fire to be affected. Spell resistance can prevent blindness.&lt;/p&gt;&lt;p&gt;&lt;i&gt;Smoke Cloud&lt;/i&gt;: A stream of smoke billows out from the fire, forming a choking cloud that spreads 20 feet in all directions and lasts for 1 round per caster level. All sight, even darkvision, is ineffective in or through the cloud. All within the cloud take -4 penalties to Strength and Dexterity (Fortitude negates). These effects last for 1d4+1 rounds after the cloud dissipates or after the creature leaves the area of the cloud. Spell resistance does not apply.&lt;/p&gt;</t>
  </si>
  <si>
    <t>&lt;link rel="stylesheet"href="PF.css"&gt;&lt;div class="heading"&gt;&lt;p class="alignleft"&gt;Pyrotechnics&lt;/p&gt;&lt;div style="clear: both;"&gt;&lt;/div&gt;&lt;/div&gt;&lt;div&gt;&lt;h5&gt;&lt;b&gt;School &lt;/b&gt;transmutation; &lt;b&gt;Level &lt;/b&gt;bard 2, sorcerer/wizard 2, magus 2&lt;/h5&gt;&lt;/div&gt;&lt;hr/&gt;&lt;div&gt;&lt;h5&gt;&lt;b&gt;CASTING&lt;/b&gt;&lt;/h5&gt;&lt;/div&gt;&lt;hr/&gt;&lt;div&gt;&lt;h5&gt;&lt;b&gt;Casting Time &lt;/b&gt;1 standard action&lt;/h5&gt;&lt;h5&gt;&lt;b&gt;Components &lt;/b&gt;V, S, M (one fire source)&lt;/h5&gt;&lt;/div&gt;&lt;hr/&gt;&lt;div&gt;&lt;h5&gt;&lt;b&gt;EFFECT&lt;/b&gt;&lt;/h5&gt;&lt;/div&gt;&lt;hr/&gt;&lt;div&gt;&lt;h5&gt;&lt;b&gt;Range &lt;/b&gt;long (400 ft. + 40 ft./level)&lt;/h5&gt;&lt;h5&gt;&lt;b&gt;Targets &lt;/b&gt;one fire source, up to a 20-ft. cube&lt;/h5&gt;&lt;h5&gt;&lt;b&gt;Duration &lt;/b&gt;1d4+1 rounds, or 1d4+1 rounds after creatures leave the smoke cloud; see text&lt;/h5&gt;&lt;h5&gt;&lt;b&gt;Saving Throw &lt;/b&gt;Will negates or Fortitude negates; see text; &lt;b&gt;Spell Resistance &lt;/b&gt;yes or no; see text&lt;/h5&gt;&lt;/div&gt;&lt;hr/&gt;&lt;div&gt;&lt;h5&gt;&lt;b&gt;DESCRIPTION&lt;/b&gt;&lt;/h5&gt;&lt;/div&gt;&lt;hr/&gt;&lt;div&gt;&lt;h4&gt;&lt;p&gt;&lt;i&gt;Pyrotechnics&lt;/i&gt; turns a fire into a burst of blinding fireworks or a thick cloud of choking smoke, depending on your choice. The spell uses one fire source, which is immediately extinguished. A fire so large that it exceeds a 20-foot cube is only partly extinguished. Magical fires are not extinguished, although a fire-based creature used as a source takes 1 point of damage per caster level.&lt;/p&gt;&lt;p&gt;&lt;i&gt;Fireworks:&lt;/i&gt; The fireworks are a flashing, fiery, momentary burst of glowing, colored aerial lights. This effect causes creatures within 120 feet of the fire source to become blinded for 1d4+1 rounds (Will negates). These creatures must have line of sight to the fire to be affected. Spell resistance can prevent blindness.&lt;/p&gt;&lt;p&gt;&lt;i&gt;Smoke Cloud&lt;/i&gt;: A stream of smoke billows out from the fire, forming a choking cloud that spreads 20 feet in all directions and lasts for 1 round per caster level. All sight, even darkvision, is ineffective in or through the cloud. All within the cloud take -4 penalties to Strength and Dexterity (Fortitude negates). These effects last for 1d4+1 rounds after the cloud dissipates or after the creature leaves the area of the cloud. Spell resistance does not apply.&lt;/p&gt;&lt;/h4&gt;&lt;/div&gt;</t>
  </si>
  <si>
    <t>Smoke</t>
  </si>
  <si>
    <t>Turns fire into blinding light or choking smoke.</t>
  </si>
  <si>
    <t>Quench</t>
  </si>
  <si>
    <t>one 20-ft. cube/level (S)</t>
  </si>
  <si>
    <t>one fire-based magic item</t>
  </si>
  <si>
    <t>none or Will negates (object)</t>
  </si>
  <si>
    <t>no or yes (object)</t>
  </si>
  <si>
    <t>Quench is often used to put out forest fires and other conflagrations. It extinguishes all nonmagical fires in its area. The spell also dispels any fire spells in its area, though you must succeed on a dispel check (1d20 +1 per caster level, maximum +15) against each spell to dispel it. The DC to dispel such spells is 11 + the caster level of the fire spell. Each creature with the fire subtype within the area of a quench spell takes 1d6 points of damage per caster level (maximum 10d6, no save allowed). Alternatively, you can target the spell on a single magic item that creates or controls flame. The item loses all its fire-based magical abilities for 1d4 hours unless it succeeds on a Will save. Artifacts are immune to this effect.</t>
  </si>
  <si>
    <t>&lt;p&gt;&lt;i&gt;Quench&lt;/i&gt; is often used to put out forest fires and other conflagrations. It extinguishes all nonmagical fires in its area.&lt;/p&gt;&lt;p&gt;The spell also dispels any fire spells in its area, though you must succeed on a dispel check (1d20 +1 per caster level, maximum +15) against each spell to dispel it. The DC to dispel such spells is 11 + the caster level of the fire spell.&lt;/p&gt;&lt;p&gt;Each creature with the fire subtype within the area of a &lt;i&gt;quench&lt;/i&gt; spell takes 1d6 points of damage per caster level (maximum 10d6, no save allowed).&lt;/p&gt;&lt;p&gt;Alternatively, you can target the spell on a single magic item that creates or controls flame. The item loses all its fire-based magical abilities for 1d4 hours unless it succeeds on a Will save. Artifacts are immune to this effect.&lt;/p&gt;</t>
  </si>
  <si>
    <t>&lt;link rel="stylesheet"href="PF.css"&gt;&lt;div class="heading"&gt;&lt;p class="alignleft"&gt;Quench&lt;/p&gt;&lt;div style="clear: both;"&gt;&lt;/div&gt;&lt;/div&gt;&lt;div&gt;&lt;h5&gt;&lt;b&gt;School &lt;/b&gt;transmutation; &lt;b&gt;Level &lt;/b&gt;druid 3&lt;/h5&gt;&lt;/div&gt;&lt;hr/&gt;&lt;div&gt;&lt;h5&gt;&lt;b&gt;CASTING&lt;/b&gt;&lt;/h5&gt;&lt;/div&gt;&lt;hr/&gt;&lt;div&gt;&lt;h5&gt;&lt;b&gt;Casting Time &lt;/b&gt;1 standard action&lt;/h5&gt;&lt;h5&gt;&lt;b&gt;Components &lt;/b&gt;V, S, DF&lt;/h5&gt;&lt;/div&gt;&lt;hr/&gt;&lt;div&gt;&lt;h5&gt;&lt;b&gt;EFFECT&lt;/b&gt;&lt;/h5&gt;&lt;/div&gt;&lt;hr/&gt;&lt;div&gt;&lt;h5&gt;&lt;b&gt;Range &lt;/b&gt;medium (100 ft. + 10 ft./level)&lt;/h5&gt;&lt;h5&gt;&lt;b&gt;Area &lt;/b&gt;one 20-ft. cube/level (S)&lt;/h5&gt;&lt;h5&gt;&lt;b&gt;Targets &lt;/b&gt;one fire-based magic item&lt;/h5&gt;&lt;h5&gt;&lt;b&gt;Duration &lt;/b&gt;instantaneous&lt;/h5&gt;&lt;h5&gt;&lt;b&gt;Saving Throw &lt;/b&gt;none or Will negates (object); &lt;b&gt;Spell Resistance &lt;/b&gt;no or yes (object)&lt;/h5&gt;&lt;/div&gt;&lt;hr/&gt;&lt;div&gt;&lt;h5&gt;&lt;b&gt;DESCRIPTION&lt;/b&gt;&lt;/h5&gt;&lt;/div&gt;&lt;hr/&gt;&lt;div&gt;&lt;h4&gt;&lt;p&gt;&lt;i&gt;Quench&lt;/i&gt; is often used to put out forest fires and other conflagrations. It extinguishes all nonmagical fires in its area.&lt;/p&gt;&lt;p&gt;The spell also dispels any fire spells in its area, though you must succeed on a dispel check (1d20 +1 per caster level, maximum +15) against each spell to dispel it. The DC to dispel such spells is 11 + the caster level of the fire spell.&lt;/p&gt;&lt;p&gt;Each creature with the fire subtype within the area of a &lt;i&gt;quench&lt;/i&gt; spell takes 1d6 points of damage per caster level (maximum 10d6, no save allowed).&lt;/p&gt;&lt;p&gt;Alternatively, you can target the spell on a single magic item that creates or controls flame. The item loses all its fire-based magical abilities for 1d4 hours unless it succeeds on a Will save. Artifacts are immune to this effect.&lt;/p&gt;&lt;/h4&gt;&lt;/div&gt;</t>
  </si>
  <si>
    <t> Extinguishes fires.</t>
  </si>
  <si>
    <t>Rage</t>
  </si>
  <si>
    <t>bard 2, sorcerer/wizard 3, alchemist 3, summoner 3, witch 3, alchemist 3, summoner 3, witch 3</t>
  </si>
  <si>
    <t>one willing living creature per three levels, no two of which may be more than 30 ft. apart</t>
  </si>
  <si>
    <t>Each affected creature gains a +2 morale bonus to Strength and Constitution, a +1 morale bonus on Will saves, and a -2 penalty to AC. The effect is otherwise identical with a barbarian's rage except that the subjects aren't fatigued at the end of the rage.</t>
  </si>
  <si>
    <t>&lt;p&gt;Each affected creature gains a +2 morale bonus to Strength and Constitution, a +1 morale bonus on Will saves, and a -2 penalty to AC. The effect is otherwise identical with a barbarian's rage except that the subjects aren't fatigued at the end of the rage.&lt;/p&gt;</t>
  </si>
  <si>
    <t>&lt;link rel="stylesheet"href="PF.css"&gt;&lt;div class="heading"&gt;&lt;p class="alignleft"&gt;Rage&lt;/p&gt;&lt;div style="clear: both;"&gt;&lt;/div&gt;&lt;/div&gt;&lt;div&gt;&lt;h5&gt;&lt;b&gt;School &lt;/b&gt;enchantment (compulsion) [mind-affecting, emotion]; &lt;b&gt;Level &lt;/b&gt;bard 2, sorcerer/wizard 3, alchemist 3, summoner 3, witch 3, alchemist 3, summoner 3, witch 3&lt;/h5&gt;&lt;/div&gt;&lt;hr/&gt;&lt;div&gt;&lt;h5&gt;&lt;b&gt;CASTING&lt;/b&gt;&lt;/h5&gt;&lt;/div&gt;&lt;hr/&gt;&lt;div&gt;&lt;h5&gt;&lt;b&gt;Casting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ft./level)&lt;/h5&gt;&lt;h5&gt;&lt;b&gt;Targets &lt;/b&gt;one willing living creature per three levels, no two of which may be more than 30 ft. apart&lt;/h5&gt;&lt;h5&gt;&lt;b&gt;Duration &lt;/b&gt;concentration + 1 round/level (D)&lt;/h5&gt;&lt;h5&gt;&lt;b&gt;Saving Throw &lt;/b&gt;none; &lt;b&gt;Spell Resistance &lt;/b&gt;yes&lt;/h5&gt;&lt;/div&gt;&lt;hr/&gt;&lt;div&gt;&lt;h5&gt;&lt;b&gt;DESCRIPTION&lt;/b&gt;&lt;/h5&gt;&lt;/div&gt;&lt;hr/&gt;&lt;div&gt;&lt;h4&gt;&lt;p&gt;Each affected creature gains a +2 morale bonus to Strength and Constitution, a +1 morale bonus on Will saves, and a -2 penalty to AC. The effect is otherwise identical with a barbarian's rage except that the subjects aren't fatigued at the end of the rage.&lt;/p&gt;&lt;/h4&gt;&lt;/div&gt;</t>
  </si>
  <si>
    <t>Demon, Destruction, Ferocity, Madness</t>
  </si>
  <si>
    <t>Gives +2 to Str and Con, +1 on Will saves, –2 to AC.</t>
  </si>
  <si>
    <t>Abyssal, Boreal, Orc</t>
  </si>
  <si>
    <t>Rainbow Pattern</t>
  </si>
  <si>
    <t>V (bard only), S, M (a piece of phosphor), F (a crystal prism); see text</t>
  </si>
  <si>
    <t>colorful lights with a 20-ft.-radius spread</t>
  </si>
  <si>
    <t>Concentration +1 round/level</t>
  </si>
  <si>
    <t>A glowing, rainbow-hued pattern of interweaving colors fascinates those within it. Rainbow pattern fascinates a maximum of 24 HD of creatures. Creatures with the fewest HD are affected first. Among creatures with equal HD, those who are closest to the spell's point of origin are affected first. An affected creature that fails its saves is fascinated by the pattern. With a simple gesture (a free action), you can make the rainbow pattern move up to 30 feet per round (moving its effective point of origin). All fascinated creatures follow the moving rainbow of light, trying to remain within the effect. Fascinated creatures who are restrained and removed from the pattern still try to follow it. If the pattern leads its subjects into a dangerous area, each fascinated creature gets a second save. If the view of the lights is completely blocked, creatures who can't see them are no longer affected. The spell does not affect sightless creatures.</t>
  </si>
  <si>
    <t>&lt;p&gt;A glowing, rainbow-hued pattern of interweaving colors fascinates those within it. &lt;i&gt;Rainbow pattern&lt;/i&gt; fascinates a maximum of 24 HD of creatures. Creatures with the fewest HD are affected first. Among creatures with equal HD, those who are closest to the spell's point of origin are affected first. An affected creature that fails its saves is fascinated by the pattern.&lt;/p&gt;&lt;p&gt;With a simple gesture (a free action), you can make the &lt;i&gt;rainbow pattern&lt;/i&gt; move up to 30 feet per round (moving its effective point of origin). All fascinated creatures follow the moving rainbow of light, trying to remain within the effect. Fascinated creatures who are restrained and removed from the pattern still try to follow it. If the pattern leads its subjects into a dangerous area, each fascinated creature gets a second save. If the view of the lights is completely blocked, creatures who can't see them are no longer affected.&lt;/p&gt;&lt;p&gt;The spell does not affect sightless creatures.&lt;/p&gt;</t>
  </si>
  <si>
    <t>&lt;link rel="stylesheet"href="PF.css"&gt;&lt;div class="heading"&gt;&lt;p class="alignleft"&gt;Rainbow Pattern&lt;/p&gt;&lt;div style="clear: both;"&gt;&lt;/div&gt;&lt;/div&gt;&lt;div&gt;&lt;h5&gt;&lt;b&gt;School &lt;/b&gt;illusion (pattern) [mind-affecting]; &lt;b&gt;Level &lt;/b&gt;bard 4, sorcerer/wizard 4&lt;/h5&gt;&lt;/div&gt;&lt;hr/&gt;&lt;div&gt;&lt;h5&gt;&lt;b&gt;CASTING&lt;/b&gt;&lt;/h5&gt;&lt;/div&gt;&lt;hr/&gt;&lt;div&gt;&lt;h5&gt;&lt;b&gt;Casting Time &lt;/b&gt;1 standard action&lt;/h5&gt;&lt;h5&gt;&lt;b&gt;Components &lt;/b&gt;V (bard only), S, M (a piece of phosphor), F (a crystal prism); see text&lt;/h5&gt;&lt;/div&gt;&lt;hr/&gt;&lt;div&gt;&lt;h5&gt;&lt;b&gt;EFFECT&lt;/b&gt;&lt;/h5&gt;&lt;/div&gt;&lt;hr/&gt;&lt;div&gt;&lt;h5&gt;&lt;b&gt;Range &lt;/b&gt;medium (100 ft. + 10 ft./level)&lt;/h5&gt;&lt;h5&gt;&lt;b&gt;Effect &lt;/b&gt;colorful lights with a 20-ft.-radius spread&lt;/h5&gt;&lt;h5&gt;&lt;b&gt;Duration &lt;/b&gt;Concentration +1 round/level (D)&lt;/h5&gt;&lt;h5&gt;&lt;b&gt;Saving Throw &lt;/b&gt;Will negates; &lt;b&gt;Spell Resistance &lt;/b&gt;yes&lt;/h5&gt;&lt;/div&gt;&lt;hr/&gt;&lt;div&gt;&lt;h5&gt;&lt;b&gt;DESCRIPTION&lt;/b&gt;&lt;/h5&gt;&lt;/div&gt;&lt;hr/&gt;&lt;div&gt;&lt;h4&gt;&lt;p&gt;A glowing, rainbow-hued pattern of interweaving colors fascinates those within it. &lt;i&gt;Rainbow pattern&lt;/i&gt; fascinates a maximum of 24 HD of creatures. Creatures with the fewest HD are affected first. Among creatures with equal HD, those who are closest to the spell's point of origin are affected first. An affected creature that fails its saves is fascinated by the pattern.&lt;/p&gt;&lt;p&gt;With a simple gesture (a free action), you can make the &lt;i&gt;rainbow pattern&lt;/i&gt; move up to 30 feet per round (moving its effective point of origin). All fascinated creatures follow the moving rainbow of light, trying to remain within the effect. Fascinated creatures who are restrained and removed from the pattern still try to follow it. If the pattern leads its subjects into a dangerous area, each fascinated creature gets a second save. If the view of the lights is completely blocked, creatures who can't see them are no longer affected.&lt;/p&gt;&lt;p&gt;The spell does not affect sightless creatures.&lt;/p&gt;&lt;/h4&gt;&lt;/div&gt;</t>
  </si>
  <si>
    <t>Lights fascinate 24 HD of creatures.</t>
  </si>
  <si>
    <t>Raise Dead</t>
  </si>
  <si>
    <t>cleric 5/oracle 5, witch 6</t>
  </si>
  <si>
    <t>V, S, M (diamond worth 5,000 gp), DF</t>
  </si>
  <si>
    <t>dead creature touched</t>
  </si>
  <si>
    <t>You restore life to a deceased creature. You can raise a creature that has been dead for no longer than 1 day per caster level. In addition, the subject's soul must be free and willing to return. If the subject's soul is not willing to return, the spell does not work; therefore, a subject that wants to return receives no saving throw. Coming back from the dead is an ordeal. The subject of the spell gains two permanent negative levels when it is raised, just as if it had been hit by an energy-draining creature. If the subject is 1st level, it takes 2 points of Constitution drain instead (if this would reduce its Con to 0 or less, it can't be raised). A character who died with spells prepared has a 50% chance of losing any given spell upon being raised. A spellcasting creature that doesn't prepare spells (such as a sorcerer) has a 50% chance of losing any given unused spell slot as if it had been used to cast a spell. A raised creature has a number of hit points equal to its current HD. Any ability scores damaged to 0 are raised to 1. Normal poison and normal disease are cured in the process of raising the subject, but magical diseases and curses are not undone. While the spell closes mortal wounds and repairs lethal damage of most kinds, the body of the creature to be raised must be whole. Otherwise, missing parts are still missing when the creature is brought back to life. None of the dead creature's equipment or possessions are affected in any way by this spell. A creature who has been turned into an undead creature or killed by a death effect can't be raised by this spell. Constructs, elementals, outsiders, and undead creatures can't be raised. The spell cannot bring back a creature that has died of old age.</t>
  </si>
  <si>
    <t>&lt;p&gt;You restore life to a deceased creature. You can raise a creature that has been dead for no longer than 1 day per caster level. In addition, the subject's soul must be free and willing to return.&lt;/p&gt;&lt;p&gt;If the subject's soul is not willing to return, the spell does not work; therefore, a subject that wants to return receives no saving throw.&lt;/p&gt;&lt;p&gt;Coming back from the dead is an ordeal. The subject of the spell gains two permanent negative levels when it is raised, just as if it had been hit by an energy-draining creature. If the subject is 1st level, it takes 2 points of Constitution drain instead (if this would reduce its Con to 0 or less, it can't be raised). A character who died with spells prepared has a 50% chance of losing any given spell upon being raised. A spellcasting creature that doesn't prepare spells (such as a sorcerer) has a 50% chance of losing any given unused spell slot as if it had been used to cast a spell.&lt;/p&gt;&lt;p&gt;A raised creature has a number of hit points equal to its current HD. Any ability scores damaged to 0 are raised to 1. Normal poison and normal disease are cured in the process of raising the subject, but magical diseases and curses are not undone. While the spell closes mortal wounds and repairs lethal damage of most kinds, the body of the creature to be raised must be whole.&lt;/p&gt;&lt;p&gt;Otherwise, missing parts are still missing when the creature is brought back to life. None of the dead creature's equipment or possessions are affected in any way by this spell.&lt;/p&gt;&lt;p&gt;A creature who has been turned into an undead creature or killed by a death effect can't be raised by this spell. Constructs, elementals, outsiders, and undead creatures can't be raised. The spell cannot bring back a creature that has died of old age.&lt;/p&gt;</t>
  </si>
  <si>
    <t>&lt;link rel="stylesheet"href="PF.css"&gt;&lt;div class="heading"&gt;&lt;p class="alignleft"&gt;Raise Dead&lt;/p&gt;&lt;div style="clear: both;"&gt;&lt;/div&gt;&lt;/div&gt;&lt;div&gt;&lt;h5&gt;&lt;b&gt;School &lt;/b&gt;conjuration (healing); &lt;b&gt;Level &lt;/b&gt;cleric 5/oracle 5, witch 6&lt;/h5&gt;&lt;/div&gt;&lt;hr/&gt;&lt;div&gt;&lt;h5&gt;&lt;b&gt;CASTING&lt;/b&gt;&lt;/h5&gt;&lt;/div&gt;&lt;hr/&gt;&lt;div&gt;&lt;h5&gt;&lt;b&gt;Casting Time &lt;/b&gt;1 minute&lt;/h5&gt;&lt;h5&gt;&lt;b&gt;Components &lt;/b&gt;V, S, M (diamond worth 5,000 gp), DF&lt;/h5&gt;&lt;/div&gt;&lt;hr/&gt;&lt;div&gt;&lt;h5&gt;&lt;b&gt;EFFECT&lt;/b&gt;&lt;/h5&gt;&lt;/div&gt;&lt;hr/&gt;&lt;div&gt;&lt;h5&gt;&lt;b&gt;Range &lt;/b&gt;touch&lt;/h5&gt;&lt;h5&gt;&lt;b&gt;Targets &lt;/b&gt;dead creature touched&lt;/h5&gt;&lt;h5&gt;&lt;b&gt;Duration &lt;/b&gt;instantaneous&lt;/h5&gt;&lt;h5&gt;&lt;b&gt;Saving Throw &lt;/b&gt;none; see text; &lt;b&gt;Spell Resistance &lt;/b&gt;yes (harmless)&lt;/h5&gt;&lt;/div&gt;&lt;hr/&gt;&lt;div&gt;&lt;h5&gt;&lt;b&gt;DESCRIPTION&lt;/b&gt;&lt;/h5&gt;&lt;/div&gt;&lt;hr/&gt;&lt;div&gt;&lt;h4&gt;&lt;p&gt;You restore life to a deceased creature. You can raise a creature that has been dead for no longer than 1 day per caster level. In addition, the subject's soul must be free and willing to return.&lt;/p&gt;&lt;p&gt;If the subject's soul is not willing to return, the spell does not work; therefore, a subject that wants to return receives no saving throw.&lt;/p&gt;&lt;p&gt;Coming back from the dead is an ordeal. The subject of the spell gains two permanent negative levels when it is raised, just as if it had been hit by an energy-draining creature. If the subject is 1st level, it takes 2 points of Constitution drain instead (if this would reduce its Con to 0 or less, it can't be raised). A character who died with spells prepared has a 50% chance of losing any given spell upon being raised. A spellcasting creature that doesn't prepare spells (such as a sorcerer) has a 50% chance of losing any given unused spell slot as if it had been used to cast a spell.&lt;/p&gt;&lt;p&gt;A raised creature has a number of hit points equal to its current HD. Any ability scores damaged to 0 are raised to 1. Normal poison and normal disease are cured in the process of raising the subject, but magical diseases and curses are not undone. While the spell closes mortal wounds and repairs lethal damage of most kinds, the body of the creature to be raised must be whole.&lt;/p&gt;&lt;p&gt;Otherwise, missing parts are still missing when the creature is brought back to life. None of the dead creature's equipment or possessions are affected in any way by this spell.&lt;/p&gt;&lt;p&gt;A creature who has been turned into an undead creature or killed by a death effect can't be raised by this spell. Constructs, elementals, outsiders, and undead creatures can't be raised. The spell cannot bring back a creature that has died of old age.&lt;/p&gt;&lt;/h4&gt;&lt;/div&gt;</t>
  </si>
  <si>
    <t>Resurrection</t>
  </si>
  <si>
    <t> Restores life to subject who died as long as one day/level ago.</t>
  </si>
  <si>
    <t>Ray Of Enfeeblement</t>
  </si>
  <si>
    <t>A coruscating ray springs from your hand. You must succeed on a ranged touch attack to strike a target. The subject takes a penalty to Strength equal to 1d6+1 per two caster levels (maximum 1d6+5). The subject's Strength score cannot drop below 1. A successful Fortitude save reduces this penalty by half. This penalty does not stack with itself. Apply the highest penalty instead.</t>
  </si>
  <si>
    <t>&lt;p&gt;A coruscating ray springs from your hand. You must succeed on a ranged touch attack to strike a target. The subject takes a penalty to Strength equal to 1d6+1 per two caster levels (maximum 1d6+5).&lt;/p&gt;&lt;p&gt;The subject's Strength score cannot drop below 1. A successful Fortitude save reduces this penalty by half. This penalty does not stack with itself. Apply the highest penalty instead.&lt;/p&gt;</t>
  </si>
  <si>
    <t>&lt;link rel="stylesheet"href="PF.css"&gt;&lt;div class="heading"&gt;&lt;p class="alignleft"&gt;Ray Of Enfeeblement&lt;/p&gt;&lt;div style="clear: both;"&gt;&lt;/div&gt;&lt;/div&gt;&lt;div&gt;&lt;h5&gt;&lt;b&gt;School &lt;/b&gt;necromancy; &lt;b&gt;Level &lt;/b&gt;sorcerer/wizard 1, witch 1, magus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levels)&lt;/h5&gt;&lt;h5&gt;&lt;b&gt;Effect &lt;/b&gt;ray&lt;/h5&gt;&lt;h5&gt;&lt;b&gt;Duration &lt;/b&gt;1 round/level&lt;/h5&gt;&lt;h5&gt;&lt;b&gt;Saving Throw &lt;/b&gt;Fortitude half; &lt;b&gt;Spell Resistance &lt;/b&gt;yes&lt;/h5&gt;&lt;/div&gt;&lt;hr/&gt;&lt;div&gt;&lt;h5&gt;&lt;b&gt;DESCRIPTION&lt;/b&gt;&lt;/h5&gt;&lt;/div&gt;&lt;hr/&gt;&lt;div&gt;&lt;h4&gt;&lt;p&gt;A coruscating ray springs from your hand. You must succeed on a ranged touch attack to strike a target. The subject takes a penalty to Strength equal to 1d6+1 per two caster levels (maximum 1d6+5).&lt;/p&gt;&lt;p&gt;The subject's Strength score cannot drop below 1. A successful Fortitude save reduces this penalty by half. This penalty does not stack with itself. Apply the highest penalty instead.&lt;/p&gt;&lt;/h4&gt;&lt;h5&gt;&lt;b&gt;Mythic: &lt;/b&gt;The Strength penalty increases to 1d8 + 1 per 2 caster levels (maximum +10). If the target fails its save, it's fatigued.&lt;/h5&gt;&lt;/div&gt;</t>
  </si>
  <si>
    <t> Ray causes 1d6 Str penalty + 1 per 2 levels.</t>
  </si>
  <si>
    <t>Accursed, Oni, Shadow</t>
  </si>
  <si>
    <t>The Strength penalty increases to 1d8 + 1 per 2 caster levels (maximum +10). If the target fails its save, it's fatigued.</t>
  </si>
  <si>
    <t>Ray of Exhaustion</t>
  </si>
  <si>
    <t>V, S, M (a drop of sweat)</t>
  </si>
  <si>
    <t>A black ray projects from your pointing finger. You must succeed on a ranged touch attack with the ray to strike a target. The subject is immediately exhausted for the spell's duration. A successful Fortitude save means the creature is only fatigued. A character that is already fatigued instead becomes exhausted. This spell has no effect on a creature that is already exhausted. Unlike normal exhaustion or fatigue, the effect ends as soon as the spell's duration expires.</t>
  </si>
  <si>
    <t>&lt;p&gt;A black ray projects from your pointing finger. You must succeed on a ranged touch attack with the ray to strike a target.&lt;/p&gt;&lt;p&gt;The subject is immediately exhausted for the spell's duration. A successful Fortitude save means the creature is only fatigued.&lt;/p&gt;&lt;p&gt;A character that is already fatigued instead becomes exhausted.&lt;/p&gt;&lt;p&gt;This spell has no effect on a creature that is already exhausted.&lt;/p&gt;&lt;p&gt;Unlike normal exhaustion or fatigue, the effect ends as soon as the spell's duration expires.&lt;/p&gt;</t>
  </si>
  <si>
    <t>&lt;link rel="stylesheet"href="PF.css"&gt;&lt;div class="heading"&gt;&lt;p class="alignleft"&gt;Ray of Exhaustion&lt;/p&gt;&lt;div style="clear: both;"&gt;&lt;/div&gt;&lt;/div&gt;&lt;div&gt;&lt;h5&gt;&lt;b&gt;School &lt;/b&gt;necromancy; &lt;b&gt;Level &lt;/b&gt;sorcerer/wizard 3, witch 3, magus 3&lt;/h5&gt;&lt;/div&gt;&lt;hr/&gt;&lt;div&gt;&lt;h5&gt;&lt;b&gt;CASTING&lt;/b&gt;&lt;/h5&gt;&lt;/div&gt;&lt;hr/&gt;&lt;div&gt;&lt;h5&gt;&lt;b&gt;Casting Time &lt;/b&gt;1 standard action&lt;/h5&gt;&lt;h5&gt;&lt;b&gt;Components &lt;/b&gt;V, S, M (a drop of sweat)&lt;/h5&gt;&lt;/div&gt;&lt;hr/&gt;&lt;div&gt;&lt;h5&gt;&lt;b&gt;EFFECT&lt;/b&gt;&lt;/h5&gt;&lt;/div&gt;&lt;hr/&gt;&lt;div&gt;&lt;h5&gt;&lt;b&gt;Range &lt;/b&gt;close (25 ft. + 5 ft./2 levels)&lt;/h5&gt;&lt;h5&gt;&lt;b&gt;Effect &lt;/b&gt;ray&lt;/h5&gt;&lt;h5&gt;&lt;b&gt;Duration &lt;/b&gt;1 min./level&lt;/h5&gt;&lt;h5&gt;&lt;b&gt;Saving Throw &lt;/b&gt;Fortitude partial; see text; &lt;b&gt;Spell Resistance &lt;/b&gt;yes&lt;/h5&gt;&lt;/div&gt;&lt;hr/&gt;&lt;div&gt;&lt;h5&gt;&lt;b&gt;DESCRIPTION&lt;/b&gt;&lt;/h5&gt;&lt;/div&gt;&lt;hr/&gt;&lt;div&gt;&lt;h4&gt;&lt;p&gt;A black ray projects from your pointing finger. You must succeed on a ranged touch attack with the ray to strike a target.&lt;/p&gt;&lt;p&gt;The subject is immediately exhausted for the spell's duration. A successful Fortitude save means the creature is only fatigued.&lt;/p&gt;&lt;p&gt;A character that is already fatigued instead becomes exhausted.&lt;/p&gt;&lt;p&gt;This spell has no effect on a creature that is already exhausted.&lt;/p&gt;&lt;p&gt;Unlike normal exhaustion or fatigue, the effect ends as soon as the spell's duration expires.&lt;/p&gt;&lt;/h4&gt;&lt;/div&gt;</t>
  </si>
  <si>
    <t> Ray makes subject exhausted.</t>
  </si>
  <si>
    <t>Ray of Frost</t>
  </si>
  <si>
    <t>sorcerer/wizard 0, magus 0</t>
  </si>
  <si>
    <t>A ray of freezing air and ice projects from your pointing finger. You must succeed on a ranged touch attack with the ray to deal damage to a target. The ray deals 1d3 points of cold damage.</t>
  </si>
  <si>
    <t>&lt;p&gt;A ray of freezing air and ice projects from your pointing finger.&lt;/p&gt;&lt;p&gt;You must succeed on a ranged touch attack with the ray to deal damage to a target. The ray deals 1d3 points of cold damage.&lt;/p&gt;</t>
  </si>
  <si>
    <t>&lt;link rel="stylesheet"href="PF.css"&gt;&lt;div class="heading"&gt;&lt;p class="alignleft"&gt;Ray of Frost&lt;/p&gt;&lt;div style="clear: both;"&gt;&lt;/div&gt;&lt;/div&gt;&lt;div&gt;&lt;h5&gt;&lt;b&gt;School &lt;/b&gt;evocation [cold]; &lt;b&gt;Level &lt;/b&gt;sorcerer/wizard 0, magus 0&lt;/h5&gt;&lt;/div&gt;&lt;hr/&gt;&lt;div&gt;&lt;h5&gt;&lt;b&gt;CASTING&lt;/b&gt;&lt;/h5&gt;&lt;/div&gt;&lt;hr/&gt;&lt;div&gt;&lt;h5&gt;&lt;b&gt;Casting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levels)&lt;/h5&gt;&lt;h5&gt;&lt;b&gt;Effect &lt;/b&gt;ray&lt;/h5&gt;&lt;h5&gt;&lt;b&gt;Duration &lt;/b&gt;instantaneous&lt;/h5&gt;&lt;h5&gt;&lt;b&gt;Saving Throw &lt;/b&gt;none; &lt;b&gt;Spell Resistance &lt;/b&gt;yes&lt;/h5&gt;&lt;/div&gt;&lt;hr/&gt;&lt;div&gt;&lt;h5&gt;&lt;b&gt;DESCRIPTION&lt;/b&gt;&lt;/h5&gt;&lt;/div&gt;&lt;hr/&gt;&lt;div&gt;&lt;h4&gt;&lt;p&gt;A ray of freezing air and ice projects from your pointing finger.&lt;/p&gt;&lt;p&gt;You must succeed on a ranged touch attack with the ray to deal damage to a target. The ray deals 1d3 points of cold damage.&lt;/p&gt;&lt;/h4&gt;&lt;/div&gt;</t>
  </si>
  <si>
    <t> Ray deals 1d3 cold damage.</t>
  </si>
  <si>
    <t>Read Magic</t>
  </si>
  <si>
    <t>bard 0, cleric 0/oracle 0, druid 0, paladin 1, ranger 1, sorcerer/wizard 0, summoner 0, witch 0, inquisitor 0, magus 0</t>
  </si>
  <si>
    <t>V, S, F (a clear crystal or mineral prism)</t>
  </si>
  <si>
    <t>You can decipher magical inscriptions on objects-books, scrolls, weapons, and the like-that would otherwise be unintelligible. This deciphering does not normally invoke the magic contained in the writing, although it may do so in the case of a cursed or trapped scroll. Furthermore, once the spell is cast and you have read the magical inscription, you are thereafter able to read that particular writing without recourse to the use of read magic. You can read at the rate of one page (250 words) per minute. The spell allows you to identify a glyph of warding with a DC 13 Spellcraft check, a greater glyph of warding with a DC 16 Spellcraft check, or any symbol spell with a Spellcraft check (DC 10 + spell level). Read magic can be made permanent with a permanency spell.</t>
  </si>
  <si>
    <t>&lt;p&gt;You can decipher magical inscriptions on objects-books, scrolls, weapons, and the like-that would otherwise be unintelligible. This deciphering does not normally invoke the magic contained in the writing, although it may do so in the case of a cursed or trapped scroll. Furthermore, once the spell is cast and you have read the magical inscription, you are thereafter able to read that particular writing without recourse to the use of &lt;i&gt;read magic.&lt;/i&gt; You can read at the rate of one page (250 words) per minute. The spell allows you to identify a &lt;i&gt;glyph of warding&lt;/i&gt; with a DC 13 Spellcraft check, a greater &lt;i&gt;glyph of warding&lt;/i&gt; with a DC 16 Spellcraft check, or any &lt;i&gt;symbol&lt;/i&gt; spell with a Spellcraft check (DC 10 + spell level).&lt;/p&gt;&lt;p&gt;&lt;i&gt;Read magic&lt;/i&gt; can be made permanent with a &lt;i&gt;permanency&lt;/i&gt; spell.&lt;/p&gt;</t>
  </si>
  <si>
    <t>&lt;link rel="stylesheet"href="PF.css"&gt;&lt;div class="heading"&gt;&lt;p class="alignleft"&gt;Read Magic&lt;/p&gt;&lt;div style="clear: both;"&gt;&lt;/div&gt;&lt;/div&gt;&lt;div&gt;&lt;h5&gt;&lt;b&gt;School &lt;/b&gt;divination; &lt;b&gt;Level &lt;/b&gt;bard 0, cleric 0/oracle 0, druid 0, paladin 1, ranger 1, sorcerer/wizard 0, summoner 0, witch 0, inquisitor 0, magus 0, antipaladin 1&lt;/h5&gt;&lt;/div&gt;&lt;hr/&gt;&lt;div&gt;&lt;h5&gt;&lt;b&gt;CASTING&lt;/b&gt;&lt;/h5&gt;&lt;/div&gt;&lt;hr/&gt;&lt;div&gt;&lt;h5&gt;&lt;b&gt;Casting Time &lt;/b&gt;1 standard action&lt;/h5&gt;&lt;h5&gt;&lt;b&gt;Components &lt;/b&gt;V, S, F (a clear crystal or mineral prism)&lt;/h5&gt;&lt;/div&gt;&lt;hr/&gt;&lt;div&gt;&lt;h5&gt;&lt;b&gt;EFFECT&lt;/b&gt;&lt;/h5&gt;&lt;/div&gt;&lt;hr/&gt;&lt;div&gt;&lt;h5&gt;&lt;b&gt;Range &lt;/b&gt;personal&lt;/h5&gt;&lt;h5&gt;&lt;b&gt;Targets &lt;/b&gt;you&lt;/h5&gt;&lt;h5&gt;&lt;b&gt;Duration &lt;/b&gt;10 min./level&lt;/h5&gt;&lt;/div&gt;&lt;hr/&gt;&lt;div&gt;&lt;h5&gt;&lt;b&gt;DESCRIPTION&lt;/b&gt;&lt;/h5&gt;&lt;/div&gt;&lt;hr/&gt;&lt;div&gt;&lt;h4&gt;&lt;p&gt;You can decipher magical inscriptions on objects-books, scrolls, weapons, and the like-that would otherwise be unintelligible. This deciphering does not normally invoke the magic contained in the writing, although it may do so in the case of a cursed or trapped scroll. Furthermore, once the spell is cast and you have read the magical inscription, you are thereafter able to read that particular writing without recourse to the use of &lt;i&gt;read magic.&lt;/i&gt; You can read at the rate of one page (250 words) per minute. The spell allows you to identify a &lt;i&gt;glyph of warding&lt;/i&gt; with a DC 13 Spellcraft check, a greater &lt;i&gt;glyph of warding&lt;/i&gt; with a DC 16 Spellcraft check, or any &lt;i&gt;symbol&lt;/i&gt; spell with a Spellcraft check (DC 10 + spell level).&lt;/p&gt;&lt;p&gt;&lt;i&gt;Read magic&lt;/i&gt; can be made permanent with a &lt;i&gt;permanency&lt;/i&gt; spell.&lt;/p&gt;&lt;/h4&gt;&lt;/div&gt;</t>
  </si>
  <si>
    <t>Read scrolls and spellbooks.</t>
  </si>
  <si>
    <t>Reduce Person</t>
  </si>
  <si>
    <t>V, S, M (a pinch of powdered iron)</t>
  </si>
  <si>
    <t>This spell causes instant diminution of a humanoid creature, halving its height, length, and width and dividing its weight by 8. This decrease changes the creature's size category to the next smaller one. The target gains a +2 size bonus to Dexterity, a -2 size penalty to Strength (to a minimum of 1), and a +1 bonus on attack rolls and AC due to its reduced size. A Small humanoid creature whose size decreases to Tiny has a space of 2-1/2 feet and a natural reach of 0 feet (meaning that it must enter an opponent's square to attack). A Large humanoid creature whose size decreases to Medium has a space of 5 feet and a natural reach of 5 feet. This spell doesn't change the target's speed. All equipment worn or carried by a creature is similarly reduced by the spell. Melee and projectile weapons deal less damage. Other magical properties are not affected by this spell. Any reduced item that leaves the reduced creature's possession (including a projectile or thrown weapon) instantly returns to its normal size. This means that thrown weapons deal their normal damage (projectiles deal damage based on the size of the weapon that fired them). Multiple magical effects that reduce size do not stack. Reduce person counters and dispels enlarge person. Reduce person can be made permanent with a permanency spell.</t>
  </si>
  <si>
    <t>&lt;p&gt;This spell causes instant diminution of a humanoid creature, halving its height, length, and width and dividing its weight by 8. This decrease changes the creature's size category to the next smaller one. The target gains a +2 size bonus to Dexterity, a -2 size penalty to Strength (to a minimum of 1), and a +1 bonus on attack rolls and AC due to its &lt;i&gt;reduced&lt;/i&gt; size.&lt;/p&gt;&lt;p&gt;A Small humanoid creature whose size decreases to Tiny has a space of 2-1/2 feet and a natural reach of 0 feet (meaning that it must enter an opponent's square to attack). A Large humanoid creature whose size decreases to Medium has a space of 5 feet and a natural reach of 5 feet. This spell doesn't change the target's speed.&lt;/p&gt;&lt;p&gt;All equipment worn or carried by a creature is similarly &lt;i&gt;reduced&lt;/i&gt; by the spell.&lt;/p&gt;&lt;p&gt;Melee and projectile weapons deal less damage. Other magical properties are not affected by this spell. Any &lt;i&gt;reduced&lt;/i&gt; item that leaves the &lt;i&gt;reduced&lt;/i&gt; creature's possession (including a projectile or thrown weapon) instantly returns to its normal size. This means that thrown weapons deal their normal damage (projectiles deal damage based on the size of the weapon that fired them).&lt;/p&gt;&lt;p&gt;Multiple magical effects that reduce size do not stack. &lt;i&gt;Reduce person&lt;/i&gt; counters and dispels &lt;i&gt;enlarge person&lt;/i&gt;.&lt;/p&gt;&lt;p&gt;&lt;i&gt;Reduce person&lt;/i&gt; can be made permanent with a &lt;i&gt;permanency&lt;/i&gt; spell.&lt;/p&gt;</t>
  </si>
  <si>
    <t>&lt;link rel="stylesheet"href="PF.css"&gt;&lt;div class="heading"&gt;&lt;p class="alignleft"&gt;Reduce Person&lt;/p&gt;&lt;div style="clear: both;"&gt;&lt;/div&gt;&lt;/div&gt;&lt;div&gt;&lt;h5&gt;&lt;b&gt;School &lt;/b&gt;transmutation; &lt;b&gt;Level &lt;/b&gt;sorcerer/wizard 1, alchemist 1, summoner 1, witch 1, magus 1&lt;/h5&gt;&lt;/div&gt;&lt;hr/&gt;&lt;div&gt;&lt;h5&gt;&lt;b&gt;CASTING&lt;/b&gt;&lt;/h5&gt;&lt;/div&gt;&lt;hr/&gt;&lt;div&gt;&lt;h5&gt;&lt;b&gt;Casting Time &lt;/b&gt;1 round&lt;/h5&gt;&lt;h5&gt;&lt;b&gt;Components &lt;/b&gt;V, S, M (a pinch of powdered iron)&lt;/h5&gt;&lt;/div&gt;&lt;hr/&gt;&lt;div&gt;&lt;h5&gt;&lt;b&gt;EFFECT&lt;/b&gt;&lt;/h5&gt;&lt;/div&gt;&lt;hr/&gt;&lt;div&gt;&lt;h5&gt;&lt;b&gt;Range &lt;/b&gt;close (25 ft. + 5 ft./2 levels)&lt;/h5&gt;&lt;h5&gt;&lt;b&gt;Targets &lt;/b&gt;one humanoid creature&lt;/h5&gt;&lt;h5&gt;&lt;b&gt;Duration &lt;/b&gt;1 min./level (D)&lt;/h5&gt;&lt;h5&gt;&lt;b&gt;Saving Throw &lt;/b&gt;Fortitude negates; &lt;b&gt;Spell Resistance &lt;/b&gt;yes&lt;/h5&gt;&lt;/div&gt;&lt;hr/&gt;&lt;div&gt;&lt;h5&gt;&lt;b&gt;DESCRIPTION&lt;/b&gt;&lt;/h5&gt;&lt;/div&gt;&lt;hr/&gt;&lt;div&gt;&lt;h4&gt;&lt;p&gt;This spell causes instant diminution of a humanoid creature, halving its height, length, and width and dividing its weight by 8. This decrease changes the creature's size category to the next smaller one. The target gains a +2 size bonus to Dexterity, a -2 size penalty to Strength (to a minimum of 1), and a +1 bonus on attack rolls and AC due to its &lt;i&gt;reduced&lt;/i&gt; size.&lt;/p&gt;&lt;p&gt;A Small humanoid creature whose size decreases to Tiny has a space of 2-1/2 feet and a natural reach of 0 feet (meaning that it must enter an opponent's square to attack). A Large humanoid creature whose size decreases to Medium has a space of 5 feet and a natural reach of 5 feet. This spell doesn't change the target's speed.&lt;/p&gt;&lt;p&gt;All equipment worn or carried by a creature is similarly &lt;i&gt;reduced&lt;/i&gt; by the spell.&lt;/p&gt;&lt;p&gt;Melee and projectile weapons deal less damage. Other magical properties are not affected by this spell. Any &lt;i&gt;reduced&lt;/i&gt; item that leaves the &lt;i&gt;reduced&lt;/i&gt; creature's possession (including a projectile or thrown weapon) instantly returns to its normal size. This means that thrown weapons deal their normal damage (projectiles deal damage based on the size of the weapon that fired them).&lt;/p&gt;&lt;p&gt;Multiple magical effects that reduce size do not stack. &lt;i&gt;Reduce person&lt;/i&gt; counters and dispels &lt;i&gt;enlarge person&lt;/i&gt;.&lt;/p&gt;&lt;p&gt;&lt;i&gt;Reduce person&lt;/i&gt; can be made permanent with a &lt;i&gt;permanency&lt;/i&gt; spell.&lt;/p&gt;&lt;/h4&gt;&lt;h5&gt;&lt;b&gt;Mythic: &lt;/b&gt;You can decrease the target's size by up to two categories, to a minimum of Tiny. If the target shrinks two sizes, its weight decreases by a factor of 16 and it gains a +4 size bonus to Dexterity, a -4 size penalty to Strength, and a +2 bonus on attack rolls and to AC because of its decreased size. A Medium or Small humanoid creature whose size decreases to Tiny has a space of 2-1/2 feet and a natural reach of 0 feet. Mythic reduce person counters and dispels mythic enlarge person.&lt;/h5&gt;&lt;/div&gt;</t>
  </si>
  <si>
    <t> Humanoid creature halves in size.</t>
  </si>
  <si>
    <t>You can decrease the target's size by up to two categories, to a minimum of Tiny. If the target shrinks two sizes, its weight decreases by a factor of 16 and it gains a +4 size bonus to Dexterity, a -4 size penalty to Strength, and a +2 bonus on attack rolls and to AC because of its decreased size. A Medium or Small humanoid creature whose size decreases to Tiny has a space of 2-1/2 feet and a natural reach of 0 feet. Mythic reduce person counters and dispels mythic enlarge person.</t>
  </si>
  <si>
    <t>Reduce Animal</t>
  </si>
  <si>
    <t>druid 2, ranger 3</t>
  </si>
  <si>
    <t>one willing animal of Small, Medium, Large, or Huge size</t>
  </si>
  <si>
    <t>This spell functions like reduce person, except that it affects a single willing animal. Reduce the damage dealt by the animal's natural attacks as appropriate for its new size (see Chapter 6 how to adjust damage for size).</t>
  </si>
  <si>
    <t>&lt;p&gt;This spell functions like &lt;i&gt;reduce person,&lt;/i&gt; except that it affects a single willing animal. Reduce the damage dealt by the animal's natural attacks as appropriate for its new size (see Chapter 6 how to adjust damage for size).&lt;/p&gt;</t>
  </si>
  <si>
    <t>&lt;link rel="stylesheet"href="PF.css"&gt;&lt;div class="heading"&gt;&lt;p class="alignleft"&gt;Reduce Animal&lt;/p&gt;&lt;div style="clear: both;"&gt;&lt;/div&gt;&lt;/div&gt;&lt;div&gt;&lt;h5&gt;&lt;b&gt;School &lt;/b&gt;transmutation; &lt;b&gt;Level &lt;/b&gt;druid 2, ranger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&lt;/b&gt;one willing animal of Small, Medium, Large, or Huge size&lt;/h5&gt;&lt;h5&gt;&lt;b&gt;Duration &lt;/b&gt;1 hour/level (D)&lt;/h5&gt;&lt;h5&gt;&lt;b&gt;Saving Throw &lt;/b&gt;none; &lt;b&gt;Spell Resistance &lt;/b&gt;no&lt;/h5&gt;&lt;/div&gt;&lt;hr/&gt;&lt;div&gt;&lt;h5&gt;&lt;b&gt;DESCRIPTION&lt;/b&gt;&lt;/h5&gt;&lt;/div&gt;&lt;hr/&gt;&lt;div&gt;&lt;h4&gt;&lt;p&gt;This spell functions like &lt;i&gt;reduce person,&lt;/i&gt; except that it affects a single willing animal. Reduce the damage dealt by the animal's natural attacks as appropriate for its new size (see Chapter 6 how to adjust damage for size).&lt;/p&gt;&lt;/h4&gt;&lt;/div&gt;</t>
  </si>
  <si>
    <t>Shrinks one willing animal.</t>
  </si>
  <si>
    <t>Reduce Person, Mass</t>
  </si>
  <si>
    <t>one humanoid creature/level, no two of which can be more than 30 ft. apart</t>
  </si>
  <si>
    <t>This spell functions like reduce person, except that it affects multiple creatures.</t>
  </si>
  <si>
    <t>&lt;p&gt;This spell functions like &lt;i&gt;reduce person&lt;/i&gt;, except that it affects multiple creatures.&lt;/p&gt;</t>
  </si>
  <si>
    <t>&lt;link rel="stylesheet"href="PF.css"&gt;&lt;div class="heading"&gt;&lt;p class="alignleft"&gt;Reduce Person, Mass&lt;/p&gt;&lt;div style="clear: both;"&gt;&lt;/div&gt;&lt;/div&gt;&lt;div&gt;&lt;h5&gt;&lt;b&gt;School &lt;/b&gt;transmutation; &lt;b&gt;Level &lt;/b&gt;sorcerer/wizard 4, summoner 3&lt;/h5&gt;&lt;/div&gt;&lt;hr/&gt;&lt;div&gt;&lt;h5&gt;&lt;b&gt;CASTING&lt;/b&gt;&lt;/h5&gt;&lt;/div&gt;&lt;hr/&gt;&lt;div&gt;&lt;h5&gt;&lt;b&gt;Casting Time &lt;/b&gt;1 round&lt;/h5&gt;&lt;h5&gt;&lt;b&gt;Components &lt;/b&gt;V, S, M (a pinch of powdered iron)&lt;/h5&gt;&lt;/div&gt;&lt;hr/&gt;&lt;div&gt;&lt;h5&gt;&lt;b&gt;EFFECT&lt;/b&gt;&lt;/h5&gt;&lt;/div&gt;&lt;hr/&gt;&lt;div&gt;&lt;h5&gt;&lt;b&gt;Range &lt;/b&gt;close (25 ft. + 5 ft./2 levels)&lt;/h5&gt;&lt;h5&gt;&lt;b&gt;Targets &lt;/b&gt;one humanoid creature/level, no two of which can be more than 30 ft. apart&lt;/h5&gt;&lt;h5&gt;&lt;b&gt;Duration &lt;/b&gt;1 min./level (D)&lt;/h5&gt;&lt;h5&gt;&lt;b&gt;Saving Throw &lt;/b&gt;Fortitude negates; &lt;b&gt;Spell Resistance &lt;/b&gt;yes&lt;/h5&gt;&lt;/div&gt;&lt;hr/&gt;&lt;div&gt;&lt;h5&gt;&lt;b&gt;DESCRIPTION&lt;/b&gt;&lt;/h5&gt;&lt;/div&gt;&lt;hr/&gt;&lt;div&gt;&lt;h4&gt;&lt;p&gt;This spell functions like &lt;i&gt;reduce person&lt;/i&gt;, except that it affects multiple creatures.&lt;/p&gt;&lt;/h4&gt;&lt;/div&gt;</t>
  </si>
  <si>
    <t> As reduce person, but affects 1 humanoid creature/level.</t>
  </si>
  <si>
    <t>Refuge</t>
  </si>
  <si>
    <t>cleric 7/oracle 7, sorcerer/wizard 9, witch 9</t>
  </si>
  <si>
    <t>V, S, M (a prepared object worth 1,500 gp)</t>
  </si>
  <si>
    <t>When you cast this spell, you create powerful magic in a specially prepared object. This object contains the power to instantly transport its possessor across any distance within the same plane to your abode. Once the item is so enhanced, you must give it willingly to a creature and at the same time inform it of a command word to be spoken when the item is used. To make use of the item, the subject speaks the command word at the same time that it rends or breaks the item (a standard action). When this is done, the individual and all objects it is wearing and carrying (to a maximum of the character's heavy load) are instantly transported to your abode. No other creatures are affected (aside from a familiar or animal companion that is touching the subject). You can alter the spell when casting it so that it transports you to within 10 feet of the possessor of the item when it is broken and the command word spoken. You will have a general idea of the location and situation of the item possessor at the time the refuge spell is discharged, but once you decide to alter the spell in this fashion, you have no choice whether or not to be transported.</t>
  </si>
  <si>
    <t>&lt;p&gt;When you cast this spell, you create powerful magic in a specially prepared object. This object contains the power to instantly transport its possessor across any distance within the same plane to your abode. Once the item is so enhanced, you must give it willingly to a creature and at the same time inform it of a command word to be spoken when the item is used. To make use of the item, the subject speaks the command word at the same time that it rends or breaks the item (a standard action). When this is done, the individual and all objects it is wearing and carrying (to a maximum of the character's heavy load) are instantly transported to your abode. No other creatures are affected (aside from a familiar or animal companion that is touching the subject).&lt;/p&gt;&lt;p&gt;You can alter the spell when casting it so that it transports you to within 10 feet of the possessor of the item when it is broken and the command word spoken. You will have a general idea of the location and situation of the item possessor at the time the &lt;i&gt;refuge&lt;/i&gt; spell is discharged, but once you decide to alter the spell in this fashion, you have no choice whether or not to be transported.&lt;/p&gt;</t>
  </si>
  <si>
    <t>&lt;link rel="stylesheet"href="PF.css"&gt;&lt;div class="heading"&gt;&lt;p class="alignleft"&gt;Refuge&lt;/p&gt;&lt;div style="clear: both;"&gt;&lt;/div&gt;&lt;/div&gt;&lt;div&gt;&lt;h5&gt;&lt;b&gt;School &lt;/b&gt;conjuration (teleportation); &lt;b&gt;Level &lt;/b&gt;cleric 7/oracle 7, sorcerer/wizard 9, witch 9&lt;/h5&gt;&lt;/div&gt;&lt;hr/&gt;&lt;div&gt;&lt;h5&gt;&lt;b&gt;CASTING&lt;/b&gt;&lt;/h5&gt;&lt;/div&gt;&lt;hr/&gt;&lt;div&gt;&lt;h5&gt;&lt;b&gt;Casting Time &lt;/b&gt;1 standard action&lt;/h5&gt;&lt;h5&gt;&lt;b&gt;Components &lt;/b&gt;V, S, M (a prepared object worth 1,500 gp)&lt;/h5&gt;&lt;/div&gt;&lt;hr/&gt;&lt;div&gt;&lt;h5&gt;&lt;b&gt;EFFECT&lt;/b&gt;&lt;/h5&gt;&lt;/div&gt;&lt;hr/&gt;&lt;div&gt;&lt;h5&gt;&lt;b&gt;Range &lt;/b&gt;touch&lt;/h5&gt;&lt;h5&gt;&lt;b&gt;Targets &lt;/b&gt;object touched&lt;/h5&gt;&lt;h5&gt;&lt;b&gt;Duration &lt;/b&gt;permanent until discharged&lt;/h5&gt;&lt;h5&gt;&lt;b&gt;Saving Throw &lt;/b&gt;none; &lt;b&gt;Spell Resistance &lt;/b&gt;no&lt;/h5&gt;&lt;/div&gt;&lt;hr/&gt;&lt;div&gt;&lt;h5&gt;&lt;b&gt;DESCRIPTION&lt;/b&gt;&lt;/h5&gt;&lt;/div&gt;&lt;hr/&gt;&lt;div&gt;&lt;h4&gt;&lt;p&gt;When you cast this spell, you create powerful magic in a specially prepared object. This object contains the power to instantly transport its possessor across any distance within the same plane to your abode. Once the item is so enhanced, you must give it willingly to a creature and at the same time inform it of a command word to be spoken when the item is used. To make use of the item, the subject speaks the command word at the same time that it rends or breaks the item (a standard action). When this is done, the individual and all objects it is wearing and carrying (to a maximum of the character's heavy load) are instantly transported to your abode. No other creatures are affected (aside from a familiar or animal companion that is touching the subject).&lt;/p&gt;&lt;p&gt;You can alter the spell when casting it so that it transports you to within 10 feet of the possessor of the item when it is broken and the command word spoken. You will have a general idea of the location and situation of the item possessor at the time the &lt;i&gt;refuge&lt;/i&gt; spell is discharged, but once you decide to alter the spell in this fashion, you have no choice whether or not to be transported.&lt;/p&gt;&lt;/h4&gt;&lt;/div&gt;</t>
  </si>
  <si>
    <t>Community, Liberation</t>
  </si>
  <si>
    <t>Alters item to transport its possessor to you.</t>
  </si>
  <si>
    <t>Regenerate</t>
  </si>
  <si>
    <t>cleric/oracle 7, druid 9, witch 7</t>
  </si>
  <si>
    <t>3 full rounds</t>
  </si>
  <si>
    <t>The subject's severed body members (fingers, toes, hands, feet, arms, legs, tails, or even heads of multiheaded creatures), broken bones, and ruined organs grow back. After the spell is cast, the physical regeneration is complete in 1 round if the severed members are present and touching the creature. It takes 2d10 rounds otherwise. Regenerate also cures 4d8 points of damage + 1 point per caster level (maximum +35), rids the subject of exhaustion and fatigue, and eliminates all nonlethal damage the subject has taken. It has no effect on nonliving creatures (including undead).</t>
  </si>
  <si>
    <t>&lt;p&gt;The subject's severed body members (fingers, toes, hands, feet, arms, legs, tails, or even heads of multiheaded creatures), broken bones, and ruined organs grow back. After the spell is cast, the physical regeneration is complete in 1 round if the severed members are present and touching the creature. It takes 2d10 rounds otherwise.&lt;/p&gt;&lt;p&gt;&lt;i&gt;Regenerate&lt;/i&gt; also cures 4d8 points of damage + 1 point per caster level (maximum +35), rids the subject of exhaustion and fatigue, and eliminates all nonlethal damage the subject has taken. It has no effect on nonliving creatures (including undead).&lt;/p&gt;</t>
  </si>
  <si>
    <t>&lt;link rel="stylesheet"href="PF.css"&gt;&lt;div class="heading"&gt;&lt;p class="alignleft"&gt;Regenerate&lt;/p&gt;&lt;div style="clear: both;"&gt;&lt;/div&gt;&lt;/div&gt;&lt;div&gt;&lt;h5&gt;&lt;b&gt;School &lt;/b&gt;conjuration (healing); &lt;b&gt;Level &lt;/b&gt;cleric/oracle 7, druid 9, witch 7&lt;/h5&gt;&lt;/div&gt;&lt;hr/&gt;&lt;div&gt;&lt;h5&gt;&lt;b&gt;CASTING&lt;/b&gt;&lt;/h5&gt;&lt;/div&gt;&lt;hr/&gt;&lt;div&gt;&lt;h5&gt;&lt;b&gt;Casting Time &lt;/b&gt;3 full rounds&lt;/h5&gt;&lt;h5&gt;&lt;b&gt;Components &lt;/b&gt;V, S, DF&lt;/h5&gt;&lt;/div&gt;&lt;hr/&gt;&lt;div&gt;&lt;h5&gt;&lt;b&gt;EFFECT&lt;/b&gt;&lt;/h5&gt;&lt;/div&gt;&lt;hr/&gt;&lt;div&gt;&lt;h5&gt;&lt;b&gt;Range &lt;/b&gt;touch&lt;/h5&gt;&lt;h5&gt;&lt;b&gt;Targets &lt;/b&gt;living creature touched&lt;/h5&gt;&lt;h5&gt;&lt;b&gt;Duration &lt;/b&gt;instantaneous&lt;/h5&gt;&lt;h5&gt;&lt;b&gt;Saving Throw &lt;/b&gt;Fortitude negates (harmless); &lt;b&gt;Spell Resistance &lt;/b&gt;yes (harmless)&lt;/h5&gt;&lt;/div&gt;&lt;hr/&gt;&lt;div&gt;&lt;h5&gt;&lt;b&gt;DESCRIPTION&lt;/b&gt;&lt;/h5&gt;&lt;/div&gt;&lt;hr/&gt;&lt;div&gt;&lt;h4&gt;&lt;p&gt;The subject's severed body members (fingers, toes, hands, feet, arms, legs, tails, or even heads of multiheaded creatures), broken bones, and ruined organs grow back. After the spell is cast, the physical regeneration is complete in 1 round if the severed members are present and touching the creature. It takes 2d10 rounds otherwise.&lt;/p&gt;&lt;p&gt;&lt;i&gt;Regenerate&lt;/i&gt; also cures 4d8 points of damage + 1 point per caster level (maximum +35), rids the subject of exhaustion and fatigue, and eliminates all nonlethal damage the subject has taken. It has no effect on nonliving creatures (including undead).&lt;/p&gt;&lt;/h4&gt;&lt;h5&gt;&lt;b&gt;Mythic: &lt;/b&gt;The casting time changes to 1 standard action and the target changes to 1 living creature or corpse touched. The spell removes the blinded, dazzled, and deafened conditions. The target gains regeneration equal to your tier (overcome by acid and fire) for 1 round per caster level. If the target was killed by amputation or decapitation (such as from a vorpal weapon) within the past 1 round, the spell regenerates lost body parts and brings the creature back to life (as breath of life), treating it as if it had negative hp equal to its Constitution score.&lt;/h5&gt;&lt;/div&gt;</t>
  </si>
  <si>
    <t>Subject’s severed limbs grow back, cures 4d8 damage +1/level (max +35).</t>
  </si>
  <si>
    <t>The casting time changes to 1 standard action and the target changes to 1 living creature or corpse touched. The spell removes the blinded, dazzled, and deafened conditions. The target gains regeneration equal to your tier (overcome by acid and fire) for 1 round per caster level. If the target was killed by amputation or decapitation (such as from a vorpal weapon) within the past 1 round, the spell regenerates lost body parts and brings the creature back to life (as breath of life), treating it as if it had negative hp equal to its Constitution score.</t>
  </si>
  <si>
    <t>Reincarnate</t>
  </si>
  <si>
    <t>druid 4, witch 5</t>
  </si>
  <si>
    <t>V, S, M, DF (oils worth 1,000 gp)</t>
  </si>
  <si>
    <t>With this spell, you bring back a dead creature in another body, provided that its death occurred no more than 1 week before the casting of the spell and the subject's soul is free and willing to return. If the subject's soul is not willing to return, the spell does not work; therefore, a subject that wants to return receives no saving throw. Since the dead creature is returning in a new body, all physical ills and afflictions are repaired. The condition of the remains is not a factor. So long as some small portion of the creature's body still exists, it can be reincarnated, but the portion receiving the spell must have been part of the creature's body at the time of death. The magic of the spell creates an entirely new young adult body for the soul to inhabit from the natural elements at hand. This process takes 1 hour to complete. When the body is ready, the subject is reincarnated. A reincarnated creature recalls the majority of its former life and form. It retains any class abilities, feats, or skill ranks it formerly possessed. Its class, base attack bonus, base save bonuses, and hit points are unchanged. Strength, Dexterity, and Constitution scores depend partly on the new body. First eliminate the subject's racial adjustments (since it is no longer necessarily of his previous race) and then apply the adjustments found below to its remaining ability scores. The subject of the spell gains two permanent negative levels when it is reincarnated. If the subject is 1st level, it takes 2 points of Constitution drain instead (if this would reduce its Con to 0 or less, it can't be reincarnated). A character who died with spells prepared has a 50% chance of losing any given spell upon being reincarnated. A spellcreature that doesn't prepare spells (such as a sorcerer) has a 50% chance of losing any given unused spell slot as if it had been used to cast a spell. It's possible for the change in the subject's ability scores to make it difficult for it to pursue its previous character class. If this is the case, the subject is advised to become a multiclass character. For a humanoid creature, the new incarnation is determined using the table on the next page. For nonhumanoid creatures, a similar table of creatures of the same type should be created. A creature that has been turned into an undead creature or killed by a death effect can't be returned to life by this spell. Constructs, elementals, outsiders, and undead creatures can't be reincarnated. The spell can bring back a creature that has died of old age. d% I ncarnation Str Dex Con 01 Bugbear +4 +2 +2 02-13 Dwarf +0 +0 +2 14-25 Elf +0 +2 -2 26 Gnoll +4 +0 +2 27-38 Gnome -2 +0 +2 39-42 Goblin -2 +2 +0 43-52 Half-elf +0 +2 +0 53-62 Half-orc +2 +0 +0 63-74 Halfling -2 +2 +0 75-89 Human +0 +0 +2 90-93 Kobold -4 +2 -2 94 Lizardfolk +2 +0 +2 95-98 Orc +4 +0 +0 99 Troglodyte +0 -2 +4 100 Other (GM's choice) ? ? ? The reincarnated creature gains all abilities associated with its new form, including forms of movement and speeds, natural armor, natural attacks, extraordinary abilities, and the like, but it doesn't automatically speak the language of the new form. A wish or a miracle spell can restore a reincarnated character to his or her original form.</t>
  </si>
  <si>
    <t>&lt;p&gt;With this spell, you bring back a dead creature in another body, provided that its death occurred no more than 1 week before the casting of the spell and the subject's soul is free and willing to return. If the subject's soul is not willing to return, the spell does not work; therefore, a subject that wants to return receives no saving throw.&lt;/p&gt;&lt;p&gt;Since the dead creature is returning in a new body, all physical ills and afflictions are repaired. The condition of the remains is not a factor. So long as some small portion of the creature's body still exists, it can be reincarnated, but the portion receiving the spell must have been part of the creature's body at the time of death.&lt;/p&gt;&lt;p&gt;The magic of the spell creates an entirely new young adult body for the soul to inhabit from the natural elements at hand. This process takes 1 hour to complete. When the body is ready, the subject is reincarnated.&lt;/p&gt;&lt;p&gt;A reincarnated creature recalls the majority of its former life and form. It retains any class abilities, feats, or skill ranks it formerly possessed. Its class, base attack bonus, base save bonuses, and hit points are unchanged. Strength, Dexterity, and Constitution scores depend partly on the new body. First eliminate the subject's racial adjustments (since it is no longer necessarily of his previous race) and then apply the adjustments found below to its remaining ability scores. The subject of the spell gains two permanent negative levels when it is reincarnated. If the subject is 1st level, it takes 2 points of Constitution drain instead (if this would reduce its Con to 0 or less, it can't be reincarnated). A character who died with spells prepared has a 50% chance of losing any given spell upon being reincarnated. A spellcreature that doesn't prepare spells (such as a sorcerer) has a 50% chance of losing any given unused spell slot as if it had been used to cast a spell.&lt;/p&gt;&lt;p&gt;It's possible for the change in the subject's ability scores to make it difficult for it to pursue its previous character class. If this is the case, the subject is advised to become a multiclass character.&lt;/p&gt;&lt;p&gt;For a humanoid creature, the new incarnation is determined using the table on the next page. For nonhumanoid creatures, a similar table of creatures of the same type should be created.&lt;/p&gt;&lt;p&gt;A creature that has been turned into an undead creature or killed by a death effect can't be returned to life by this spell.&lt;/p&gt;&lt;p&gt;Constructs, elementals, outsiders, and undead creatures can't be reincarnated. The spell can bring back a creature that has died of old age.&lt;/p&gt;&lt;p&gt; &lt;table&gt;&lt;tr&gt;&lt;th&gt;d%&lt;/th&gt;&lt;th&gt;Incarnation&lt;/th&gt;&lt;th&gt;Str&lt;/th&gt;&lt;th&gt;Dex&lt;/th&gt;&lt;th&gt;Con&lt;/th&gt;&lt;/tr&gt;&lt;tr&gt;&lt;td&gt;01&lt;/td&gt;&lt;td&gt;Bugbear&lt;/td&gt;&lt;td&gt;+4&lt;/td&gt;&lt;td&gt;+2&lt;/td&gt;&lt;td&gt;+2&lt;/td&gt;&lt;/tr&gt;&lt;tr&gt;&lt;td&gt;02-13&lt;/td&gt;&lt;td&gt;Dwarf&lt;/td&gt;&lt;td&gt;+0&lt;/td&gt;&lt;td&gt;+0&lt;/td&gt;&lt;td&gt;+2&lt;/td&gt;&lt;/tr&gt;&lt;tr&gt;&lt;td&gt;14-25&lt;/td&gt;&lt;td&gt;Elf&lt;/td&gt;&lt;td&gt;+0&lt;/td&gt;&lt;td&gt;+2&lt;/td&gt;&lt;td&gt;-2&lt;/td&gt;&lt;/tr&gt;&lt;tr&gt;&lt;td&gt;26&lt;/td&gt;&lt;td&gt;Gnoll&lt;/td&gt;&lt;td&gt;+4&lt;/td&gt;&lt;td&gt;+0&lt;/td&gt;&lt;td&gt;+2&lt;/td&gt;&lt;/tr&gt;&lt;tr&gt;&lt;td&gt;27-38&lt;/td&gt;&lt;td&gt;Gnome&lt;/td&gt;&lt;td&gt;-2&lt;/td&gt;&lt;td&gt;+0&lt;/td&gt;&lt;td&gt;+2&lt;/td&gt;&lt;/tr&gt;&lt;tr&gt;&lt;td&gt;39-42&lt;/td&gt;&lt;td&gt;Goblin&lt;/td&gt;&lt;td&gt;-2&lt;/td&gt;&lt;td&gt;+2&lt;/td&gt;&lt;td&gt;+0&lt;/td&gt;&lt;/tr&gt;&lt;tr&gt;&lt;td&gt;43-52&lt;/td&gt;&lt;td&gt;Half-elf&lt;/td&gt;&lt;td&gt;+0&lt;/td&gt;&lt;td&gt;+2&lt;/td&gt;&lt;td&gt;+0&lt;/td&gt;&lt;/tr&gt;&lt;tr&gt;&lt;td&gt;53-62&lt;/td&gt;&lt;td&gt;Half-orc&lt;/td&gt;&lt;td&gt;+2&lt;/td&gt;&lt;td&gt;+0&lt;/td&gt;&lt;td&gt;+0&lt;/td&gt;&lt;/tr&gt;&lt;tr&gt;&lt;td&gt;63-74&lt;/td&gt;&lt;td&gt;Halfling&lt;/td&gt;&lt;td&gt;-2&lt;/td&gt;&lt;td&gt;+2&lt;/td&gt;&lt;td&gt;+0&lt;/td&gt;&lt;/tr&gt;&lt;tr&gt;&lt;td&gt;75-89&lt;/td&gt;&lt;td&gt;Human&lt;/td&gt;&lt;td&gt;+0&lt;/td&gt;&lt;td&gt;+0&lt;/td&gt;&lt;td&gt;+2&lt;/td&gt;&lt;/tr&gt;&lt;tr&gt;&lt;td&gt;90-93&lt;/td&gt;&lt;td&gt;Kobold&lt;/td&gt;&lt;td&gt;-4&lt;/td&gt;&lt;td&gt;+2&lt;/td&gt;&lt;td&gt;-2&lt;/td&gt;&lt;/tr&gt;&lt;tr&gt;&lt;td&gt;94&lt;/td&gt;&lt;td&gt;Lizardfolk&lt;/td&gt;&lt;td&gt;+2&lt;/td&gt;&lt;td&gt;+0&lt;/td&gt;&lt;td&gt;+2&lt;/td&gt;&lt;/tr&gt;&lt;tr&gt;&lt;td&gt;95-98&lt;/td&gt;&lt;td&gt;Orc&lt;/td&gt;&lt;td&gt;+4&lt;/td&gt;&lt;td&gt;+0&lt;/td&gt;&lt;td&gt;+0&lt;/td&gt;&lt;/tr&gt;&lt;tr&gt;&lt;td&gt;99&lt;/td&gt;&lt;td&gt;Troglodyte&lt;/td&gt;&lt;td&gt;+0&lt;/td&gt;&lt;td&gt;-2&lt;/td&gt;&lt;td&gt;+4&lt;/td&gt;&lt;/tr&gt;&lt;tr&gt;&lt;td&gt;100&lt;/td&gt;&lt;td&gt;Other (GM's choice)&lt;/td&gt;&lt;td&gt;?&lt;/td&gt;&lt;td&gt;?&lt;/td&gt;&lt;td&gt;?&lt;/td&gt;&lt;/tr&gt;&lt;/table&gt; The reincarnated creature gains all abilities associated with its new form, including forms of movement and speeds, natural armor, natural attacks, extraordinary abilities, and the like, but it doesn't automatically speak the language of the new form.&lt;/p&gt;&lt;p&gt;A &lt;i&gt;wish&lt;/i&gt; or a &lt;i&gt;miracle&lt;/i&gt; spell can restore a reincarnated character to his or her original form.&lt;/p&gt;</t>
  </si>
  <si>
    <t>&lt;link rel="stylesheet"href="PF.css"&gt;&lt;div class="heading"&gt;&lt;p class="alignleft"&gt;Reincarnate&lt;/p&gt;&lt;div style="clear: both;"&gt;&lt;/div&gt;&lt;/div&gt;&lt;div&gt;&lt;h5&gt;&lt;b&gt;School &lt;/b&gt;transmutation; &lt;b&gt;Level &lt;/b&gt;druid 4, witch 5&lt;/h5&gt;&lt;/div&gt;&lt;hr/&gt;&lt;div&gt;&lt;h5&gt;&lt;b&gt;CASTING&lt;/b&gt;&lt;/h5&gt;&lt;/div&gt;&lt;hr/&gt;&lt;div&gt;&lt;h5&gt;&lt;b&gt;Casting Time &lt;/b&gt;10 minutes&lt;/h5&gt;&lt;h5&gt;&lt;b&gt;Components &lt;/b&gt;V, S, M, DF (oils worth 1,000 gp)&lt;/h5&gt;&lt;/div&gt;&lt;hr/&gt;&lt;div&gt;&lt;h5&gt;&lt;b&gt;EFFECT&lt;/b&gt;&lt;/h5&gt;&lt;/div&gt;&lt;hr/&gt;&lt;div&gt;&lt;h5&gt;&lt;b&gt;Range &lt;/b&gt;touch&lt;/h5&gt;&lt;h5&gt;&lt;b&gt;Targets &lt;/b&gt;dead creature touched&lt;/h5&gt;&lt;h5&gt;&lt;b&gt;Duration &lt;/b&gt;instantaneous&lt;/h5&gt;&lt;h5&gt;&lt;b&gt;Saving Throw &lt;/b&gt;none; see text; &lt;b&gt;Spell Resistance &lt;/b&gt;yes (harmless)&lt;/h5&gt;&lt;/div&gt;&lt;hr/&gt;&lt;div&gt;&lt;h5&gt;&lt;b&gt;DESCRIPTION&lt;/b&gt;&lt;/h5&gt;&lt;/div&gt;&lt;hr/&gt;&lt;div&gt;&lt;h4&gt;&lt;p&gt;With this spell, you bring back a dead creature in another body, provided that its death occurred no more than 1 week before the casting of the spell and the subject's soul is free and willing to return. If the subject's soul is not willing to return, the spell does not work; therefore, a subject that wants to return receives no saving throw.&lt;/p&gt;&lt;p&gt;Since the dead creature is returning in a new body, all physical ills and afflictions are repaired. The condition of the remains is not a factor. So long as some small portion of the creature's body still exists, it can be reincarnated, but the portion receiving the spell must have been part of the creature's body at the time of death.&lt;/p&gt;&lt;p&gt;The magic of the spell creates an entirely new young adult body for the soul to inhabit from the natural elements at hand. This process takes 1 hour to complete. When the body is ready, the subject is reincarnated.&lt;/p&gt;&lt;p&gt;A reincarnated creature recalls the majority of its former life and form. It retains any class abilities, feats, or skill ranks it formerly possessed. Its class, base attack bonus, base save bonuses, and hit points are unchanged. Strength, Dexterity, and Constitution scores depend partly on the new body. First eliminate the subject's racial adjustments (since it is no longer necessarily of his previous race) and then apply the adjustments found below to its remaining ability scores. The subject of the spell gains two permanent negative levels when it is reincarnated. If the subject is 1st level, it takes 2 points of Constitution drain instead (if this would reduce its Con to 0 or less, it can't be reincarnated). A character who died with spells prepared has a 50% chance of losing any given spell upon being reincarnated. A spellcreature that doesn't prepare spells (such as a sorcerer) has a 50% chance of losing any given unused spell slot as if it had been used to cast a spell.&lt;/p&gt;&lt;p&gt;It's possible for the change in the subject's ability scores to make it difficult for it to pursue its previous character class. If this is the case, the subject is advised to become a multiclass character.&lt;/p&gt;&lt;p&gt;For a humanoid creature, the new incarnation is determined using the table on the next page. For nonhumanoid creatures, a similar table of creatures of the same type should be created.&lt;/p&gt;&lt;p&gt;A creature that has been turned into an undead creature or killed by a death effect can't be returned to life by this spell.&lt;/p&gt;&lt;p&gt;Constructs, elementals, outsiders, and undead creatures can't be reincarnated. The spell can bring back a creature that has died of old age.&lt;/p&gt;&lt;p&gt; &lt;table&gt;&lt;tr&gt;&lt;th&gt;d%&lt;/th&gt;&lt;th&gt;Incarnation&lt;/th&gt;&lt;th&gt;Str&lt;/th&gt;&lt;th&gt;Dex&lt;/th&gt;&lt;th&gt;Con&lt;/th&gt;&lt;/tr&gt;&lt;tr&gt;&lt;td&gt;01&lt;/td&gt;&lt;td&gt;Bugbear&lt;/td&gt;&lt;td&gt;+4&lt;/td&gt;&lt;td&gt;+2&lt;/td&gt;&lt;td&gt;+2&lt;/td&gt;&lt;/tr&gt;&lt;tr&gt;&lt;td&gt;02-13&lt;/td&gt;&lt;td&gt;Dwarf&lt;/td&gt;&lt;td&gt;+0&lt;/td&gt;&lt;td&gt;+0&lt;/td&gt;&lt;td&gt;+2&lt;/td&gt;&lt;/tr&gt;&lt;tr&gt;&lt;td&gt;14-25&lt;/td&gt;&lt;td&gt;Elf&lt;/td&gt;&lt;td&gt;+0&lt;/td&gt;&lt;td&gt;+2&lt;/td&gt;&lt;td&gt;-2&lt;/td&gt;&lt;/tr&gt;&lt;tr&gt;&lt;td&gt;26&lt;/td&gt;&lt;td&gt;Gnoll&lt;/td&gt;&lt;td&gt;+4&lt;/td&gt;&lt;td&gt;+0&lt;/td&gt;&lt;td&gt;+2&lt;/td&gt;&lt;/tr&gt;&lt;tr&gt;&lt;td&gt;27-38&lt;/td&gt;&lt;td&gt;Gnome&lt;/td&gt;&lt;td&gt;-2&lt;/td&gt;&lt;td&gt;+0&lt;/td&gt;&lt;td&gt;+2&lt;/td&gt;&lt;/tr&gt;&lt;tr&gt;&lt;td&gt;39-42&lt;/td&gt;&lt;td&gt;Goblin&lt;/td&gt;&lt;td&gt;-2&lt;/td&gt;&lt;td&gt;+2&lt;/td&gt;&lt;td&gt;+0&lt;/td&gt;&lt;/tr&gt;&lt;tr&gt;&lt;td&gt;43-52&lt;/td&gt;&lt;td&gt;Half-elf&lt;/td&gt;&lt;td&gt;+0&lt;/td&gt;&lt;td&gt;+2&lt;/td&gt;&lt;td&gt;+0&lt;/td&gt;&lt;/tr&gt;&lt;tr&gt;&lt;td&gt;53-62&lt;/td&gt;&lt;td&gt;Half-orc&lt;/td&gt;&lt;td&gt;+2&lt;/td&gt;&lt;td&gt;+0&lt;/td&gt;&lt;td&gt;+0&lt;/td&gt;&lt;/tr&gt;&lt;tr&gt;&lt;td&gt;63-74&lt;/td&gt;&lt;td&gt;Halfling&lt;/td&gt;&lt;td&gt;-2&lt;/td&gt;&lt;td&gt;+2&lt;/td&gt;&lt;td&gt;+0&lt;/td&gt;&lt;/tr&gt;&lt;tr&gt;&lt;td&gt;75-89&lt;/td&gt;&lt;td&gt;Human&lt;/td&gt;&lt;td&gt;+0&lt;/td&gt;&lt;td&gt;+0&lt;/td&gt;&lt;td&gt;+2&lt;/td&gt;&lt;/tr&gt;&lt;tr&gt;&lt;td&gt;90-93&lt;/td&gt;&lt;td&gt;Kobold&lt;/td&gt;&lt;td&gt;-4&lt;/td&gt;&lt;td&gt;+2&lt;/td&gt;&lt;td&gt;-2&lt;/td&gt;&lt;/tr&gt;&lt;tr&gt;&lt;td&gt;94&lt;/td&gt;&lt;td&gt;Lizardfolk&lt;/td&gt;&lt;td&gt;+2&lt;/td&gt;&lt;td&gt;+0&lt;/td&gt;&lt;td&gt;+2&lt;/td&gt;&lt;/tr&gt;&lt;tr&gt;&lt;td&gt;95-98&lt;/td&gt;&lt;td&gt;Orc&lt;/td&gt;&lt;td&gt;+4&lt;/td&gt;&lt;td&gt;+0&lt;/td&gt;&lt;td&gt;+0&lt;/td&gt;&lt;/tr&gt;&lt;tr&gt;&lt;td&gt;99&lt;/td&gt;&lt;td&gt;Troglodyte&lt;/td&gt;&lt;td&gt;+0&lt;/td&gt;&lt;td&gt;-2&lt;/td&gt;&lt;td&gt;+4&lt;/td&gt;&lt;/tr&gt;&lt;tr&gt;&lt;td&gt;100&lt;/td&gt;&lt;td&gt;Other (GM's choice)&lt;/td&gt;&lt;td&gt;?&lt;/td&gt;&lt;td&gt;?&lt;/td&gt;&lt;td&gt;?&lt;/td&gt;&lt;/tr&gt;&lt;/table&gt; The reincarnated creature gains all abilities associated with its new form, including forms of movement and speeds, natural armor, natural attacks, extraordinary abilities, and the like, but it doesn't automatically speak the language of the new form.&lt;/p&gt;&lt;p&gt;A &lt;i&gt;wish&lt;/i&gt; or a &lt;i&gt;miracle&lt;/i&gt; spell can restore a reincarnated character to his or her original form.&lt;/p&gt;&lt;/h4&gt;&lt;/div&gt;</t>
  </si>
  <si>
    <t> Brings dead subject back in a random body.</t>
  </si>
  <si>
    <t>Remove Blindness/Deafness</t>
  </si>
  <si>
    <t>cleric 3/oracle 3, paladin 3, alchemist 3, witch 3</t>
  </si>
  <si>
    <t>Remove blindness/deafness cures blindness or deafness (your choice), whether the effect is normal or magical in nature. The spell does not restore ears or eyes that have been lost, but it repairs them if they are damaged. Remove blindness/deafness counters and dispels blindness/deafness.</t>
  </si>
  <si>
    <t>&lt;p&gt;&lt;i&gt;Remove blindness/deafness&lt;/i&gt; cures blindness or deafness (your choice), whether the effect is normal or magical in nature. The spell does not restore ears or eyes that have been lost, but it repairs them if they are damaged.&lt;/p&gt;&lt;p&gt;&lt;i&gt;Remove blindness/deafness&lt;/i&gt; counters and dispels blindness/deafness.&lt;/p&gt;</t>
  </si>
  <si>
    <t>&lt;link rel="stylesheet"href="PF.css"&gt;&lt;div class="heading"&gt;&lt;p class="alignleft"&gt;Remove Blindness/Deafness&lt;/p&gt;&lt;div style="clear: both;"&gt;&lt;/div&gt;&lt;/div&gt;&lt;div&gt;&lt;h5&gt;&lt;b&gt;School &lt;/b&gt;conjuration (healing); &lt;b&gt;Level &lt;/b&gt;cleric 3/oracle 3, paladin 3, alchemist 3, witch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&lt;/b&gt;instantaneous&lt;/h5&gt;&lt;h5&gt;&lt;b&gt;Saving Throw &lt;/b&gt;Fortitude negates (harmless); &lt;b&gt;Spell Resistance &lt;/b&gt;yes (harmless)&lt;/h5&gt;&lt;/div&gt;&lt;hr/&gt;&lt;div&gt;&lt;h5&gt;&lt;b&gt;DESCRIPTION&lt;/b&gt;&lt;/h5&gt;&lt;/div&gt;&lt;hr/&gt;&lt;div&gt;&lt;h4&gt;&lt;p&gt;&lt;i&gt;Remove blindness/deafness&lt;/i&gt; cures blindness or deafness (your choice), whether the effect is normal or magical in nature. The spell does not restore ears or eyes that have been lost, but it repairs them if they are damaged.&lt;/p&gt;&lt;p&gt;&lt;i&gt;Remove blindness/deafness&lt;/i&gt; counters and dispels blindness/deafness.&lt;/p&gt;&lt;/h4&gt;&lt;/div&gt;</t>
  </si>
  <si>
    <t>Cures normal or magical blindness or deafness.</t>
  </si>
  <si>
    <t>Remove Curse</t>
  </si>
  <si>
    <t>bard 3, cleric 3/oracle 3, paladin 3, sorcerer/wizard 4, alchemist 3, witch 3, inquisitor 3</t>
  </si>
  <si>
    <t>Remove curse can remove all curses on an object or a creature. If the target is a creature, you must make a caster level check (1d20 + caster level) against the DC of each curse affecting the target. Success means that the curse is removed. Remove curse does not remove the curse from a cursed shield, weapon, or suit of armor, although a successful caster level check enables the creature afflicted with any such cursed item to remove and get rid of it. Remove curse counters and dispels bestow curse.</t>
  </si>
  <si>
    <t>&lt;p&gt;&lt;i&gt;Remove &lt;i&gt;curse&lt;/i&gt;&lt;/i&gt; can remove all &lt;i&gt;curse&lt;/i&gt;s on an object or a creature. If the target is a creature, you must make a caster level check (1d20 + caster level) against the DC of each &lt;i&gt;curse&lt;/i&gt; affecting the target.&lt;/p&gt;&lt;p&gt;Success means that the &lt;i&gt;curse&lt;/i&gt; is removed. &lt;i&gt;Remove &lt;i&gt;curse&lt;/i&gt;&lt;/i&gt; does not remove the &lt;i&gt;curse&lt;/i&gt; from a &lt;i&gt;curse&lt;/i&gt;d shield, weapon, or suit of armor, although a successful caster level check enables the creature afflicted with any such &lt;i&gt;curse&lt;/i&gt;d item to remove and get rid of it.&lt;/p&gt;&lt;p&gt;&lt;i&gt;Remove &lt;i&gt;curse&lt;/i&gt;&lt;/i&gt; counters and dispels bestow &lt;i&gt;curse&lt;/i&gt;.&lt;/p&gt;</t>
  </si>
  <si>
    <t>&lt;link rel="stylesheet"href="PF.css"&gt;&lt;div class="heading"&gt;&lt;p class="alignleft"&gt;Remove Curse&lt;/p&gt;&lt;div style="clear: both;"&gt;&lt;/div&gt;&lt;/div&gt;&lt;div&gt;&lt;h5&gt;&lt;b&gt;School &lt;/b&gt;abjuration; &lt;b&gt;Level &lt;/b&gt;bard 3, cleric 3/oracle 3, paladin 3, sorcerer/wizard 4, alchemist 3, witch 3, inquisitor 3, alchemist 3, witch 3, inquisitor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or object touched&lt;/h5&gt;&lt;h5&gt;&lt;b&gt;Duration &lt;/b&gt;instantaneous&lt;/h5&gt;&lt;h5&gt;&lt;b&gt;Saving Throw &lt;/b&gt;Will negates (harmless); &lt;b&gt;Spell Resistance &lt;/b&gt;yes (harmless)&lt;/h5&gt;&lt;/div&gt;&lt;hr/&gt;&lt;div&gt;&lt;h5&gt;&lt;b&gt;DESCRIPTION&lt;/b&gt;&lt;/h5&gt;&lt;/div&gt;&lt;hr/&gt;&lt;div&gt;&lt;h4&gt;&lt;p&gt;&lt;i&gt;Remove &lt;i&gt;curse&lt;/i&gt;&lt;/i&gt; can remove all &lt;i&gt;curse&lt;/i&gt;s on an object or a creature. If the target is a creature, you must make a caster level check (1d20 + caster level) against the DC of each &lt;i&gt;curse&lt;/i&gt; affecting the target.&lt;/p&gt;&lt;p&gt;Success means that the &lt;i&gt;curse&lt;/i&gt; is removed. &lt;i&gt;Remove &lt;i&gt;curse&lt;/i&gt;&lt;/i&gt; does not remove the &lt;i&gt;curse&lt;/i&gt; from a &lt;i&gt;curse&lt;/i&gt;d shield, weapon, or suit of armor, although a successful caster level check enables the creature afflicted with any such &lt;i&gt;curse&lt;/i&gt;d item to remove and get rid of it.&lt;/p&gt;&lt;p&gt;&lt;i&gt;Remove &lt;i&gt;curse&lt;/i&gt;&lt;/i&gt; counters and dispels bestow &lt;i&gt;curse&lt;/i&gt;.&lt;/p&gt;&lt;/h4&gt;&lt;/div&gt;</t>
  </si>
  <si>
    <t>Frees object or person from curse.</t>
  </si>
  <si>
    <t>Remove Disease</t>
  </si>
  <si>
    <t>cleric 3/oracle 3, druid 3, ranger 3, alchemist 3, witch 3, inquisitor 3, alchemist 3, witch 3, inquisitor 3</t>
  </si>
  <si>
    <t>Remove disease can cure all diseases from which the subject is suffering. You must make a caster level check (1d20 + caster level) against the DC of each disease affecting the target. Success means that the disease is cured. The spell also kills some hazards and parasites, including green slime and others. Since the spell's duration is instantaneous, it does not prevent reinfection after a new exposure to the same disease at a later date.</t>
  </si>
  <si>
    <t>&lt;p&gt;&lt;i&gt;Remove disease&lt;/i&gt; can cure all diseases from which the subject is suffering. You must make a caster level check (1d20 + caster level) against the DC of each disease affecting the target. Success means that the disease is cured. The spell also kills some hazards and parasites, including green slime and others.&lt;/p&gt;&lt;p&gt;Since the spell's duration is instantaneous, it does not prevent reinfection after a new exposure to the same disease at a later date.&lt;/p&gt;</t>
  </si>
  <si>
    <t>&lt;link rel="stylesheet"href="PF.css"&gt;&lt;div class="heading"&gt;&lt;p class="alignleft"&gt;Remove Disease&lt;/p&gt;&lt;div style="clear: both;"&gt;&lt;/div&gt;&lt;/div&gt;&lt;div&gt;&lt;h5&gt;&lt;b&gt;School &lt;/b&gt;conjuration (healing); &lt;b&gt;Level &lt;/b&gt;cleric 3/oracle 3, druid 3, ranger 3, alchemist 3, witch 3, inquisitor 3, alchemist 3, witch 3, inquisitor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&lt;/b&gt;instantaneous&lt;/h5&gt;&lt;h5&gt;&lt;b&gt;Saving Throw &lt;/b&gt;Fortitude negates (harmless); &lt;b&gt;Spell Resistance &lt;/b&gt;yes (harmless)&lt;/h5&gt;&lt;/div&gt;&lt;hr/&gt;&lt;div&gt;&lt;h5&gt;&lt;b&gt;DESCRIPTION&lt;/b&gt;&lt;/h5&gt;&lt;/div&gt;&lt;hr/&gt;&lt;div&gt;&lt;h4&gt;&lt;p&gt;&lt;i&gt;Remove disease&lt;/i&gt; can cure all diseases from which the subject is suffering. You must make a caster level check (1d20 + caster level) against the DC of each disease affecting the target. Success means that the disease is cured. The spell also kills some hazards and parasites, including green slime and others.&lt;/p&gt;&lt;p&gt;Since the spell's duration is instantaneous, it does not prevent reinfection after a new exposure to the same disease at a later date.&lt;/p&gt;&lt;/h4&gt;&lt;/div&gt;</t>
  </si>
  <si>
    <t>Cures all diseases affecting subject.</t>
  </si>
  <si>
    <t>Remove Fear</t>
  </si>
  <si>
    <t>bard 1, cleric 1/oracle 1, inquisitor 1</t>
  </si>
  <si>
    <t>one creature plus one additional creature per four levels, no two of which can be more than 30 ft. apart</t>
  </si>
  <si>
    <t>You instill courage in the subject, granting it a +4 morale bonus against fear effects for 10 minutes. If the subject is under the influence of a fear effect when receiving the spell, that effect is suppressed for the duration of the spell. Remove fear counters and dispels cause fear.</t>
  </si>
  <si>
    <t>&lt;p&gt;You instill courage in the subject, granting it a +4 morale bonus against fear effects for 10 minutes. If the subject is under the influence of a fear effect when receiving the spell, that effect is suppressed for the duration of the spell.&lt;/p&gt;&lt;p&gt;&lt;i&gt;Remove fear&lt;/i&gt; counters and dispels cause fear.&lt;/p&gt;</t>
  </si>
  <si>
    <t>&lt;link rel="stylesheet"href="PF.css"&gt;&lt;div class="heading"&gt;&lt;p class="alignleft"&gt;Remove Fear&lt;/p&gt;&lt;div style="clear: both;"&gt;&lt;/div&gt;&lt;/div&gt;&lt;div&gt;&lt;h5&gt;&lt;b&gt;School &lt;/b&gt;abjuration; &lt;b&gt;Level &lt;/b&gt;bard 1, cleric 1/oracle 1, inquisitor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 plus one additional creature per four levels, no two of which can be more than 30 ft. apart&lt;/h5&gt;&lt;h5&gt;&lt;b&gt;Duration &lt;/b&gt;10 minutes; see text&lt;/h5&gt;&lt;h5&gt;&lt;b&gt;Saving Throw &lt;/b&gt;Will negates (harmless); &lt;b&gt;Spell Resistance &lt;/b&gt;yes (harmless)&lt;/h5&gt;&lt;/div&gt;&lt;hr/&gt;&lt;div&gt;&lt;h5&gt;&lt;b&gt;DESCRIPTION&lt;/b&gt;&lt;/h5&gt;&lt;/div&gt;&lt;hr/&gt;&lt;div&gt;&lt;h4&gt;&lt;p&gt;You instill courage in the subject, granting it a +4 morale bonus against fear effects for 10 minutes. If the subject is under the influence of a fear effect when receiving the spell, that effect is suppressed for the duration of the spell.&lt;/p&gt;&lt;p&gt;&lt;i&gt;Remove fear&lt;/i&gt; counters and dispels cause fear.&lt;/p&gt;&lt;/h4&gt;&lt;/div&gt;</t>
  </si>
  <si>
    <t>Suppresses fear or gives +4 on saves against fear for one subject + one per four levels.</t>
  </si>
  <si>
    <t>Remove Paralysis</t>
  </si>
  <si>
    <t>cleric 2/oracle 2, paladin 2, inquisitor 2</t>
  </si>
  <si>
    <t>up to four creatures, no two of which can be more than 30 ft. apart</t>
  </si>
  <si>
    <t>You can free one or more creatures from the effects of temporary paralysis or related magic, including spells and effects that cause a creature to gain the staggered condition. If the spell is cast on one creature, the paralysis is negated. If cast on two creatures, each receives another save with a +4 resistance bonus against the effect that afflicts it. If cast on three or four creatures, each receives another save with a +2 resistance bonus. The spell does not restore ability scores reduced by penalties, damage, or drain.</t>
  </si>
  <si>
    <t>&lt;p&gt;You can free one or more creatures from the effects of temporary paralysis or related magic, including spells and effects that cause a creature to gain the staggered condition. If the spell is cast on one creature, the paralysis is negated. If cast on two creatures, each receives another save with a +4 resistance bonus against the effect that afflicts it. If cast on three or four creatures, each receives another save with a +2 resistance bonus.&lt;/p&gt;&lt;p&gt;The spell does not restore ability scores reduced by penalties, damage, or drain.&lt;/p&gt;</t>
  </si>
  <si>
    <t>&lt;link rel="stylesheet"href="PF.css"&gt;&lt;div class="heading"&gt;&lt;p class="alignleft"&gt;Remove Paralysis&lt;/p&gt;&lt;div style="clear: both;"&gt;&lt;/div&gt;&lt;/div&gt;&lt;div&gt;&lt;h5&gt;&lt;b&gt;School &lt;/b&gt;conjuration (healing); &lt;b&gt;Level &lt;/b&gt;cleric 2/oracle 2, paladin 2, inquisitor 2&lt;/h5&gt;&lt;/div&gt;&lt;hr/&gt;&lt;div&gt;&lt;h5&gt;&lt;b&gt;CASTING&lt;/b&gt;&lt;/h5&gt;&lt;/div&gt;&lt;hr/&gt;&lt;div&gt;&lt;h5&gt;&lt;b&gt;Casting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&lt;/b&gt;up to four creatures, no two of which can be more than 30 ft. apart&lt;/h5&gt;&lt;h5&gt;&lt;b&gt;Duration &lt;/b&gt;instantaneous&lt;/h5&gt;&lt;h5&gt;&lt;b&gt;Saving Throw &lt;/b&gt;Will negates (harmless); &lt;b&gt;Spell Resistance &lt;/b&gt;yes (harmless)&lt;/h5&gt;&lt;/div&gt;&lt;hr/&gt;&lt;div&gt;&lt;h5&gt;&lt;b&gt;DESCRIPTION&lt;/b&gt;&lt;/h5&gt;&lt;/div&gt;&lt;hr/&gt;&lt;div&gt;&lt;h4&gt;&lt;p&gt;You can free one or more creatures from the effects of temporary paralysis or related magic, including spells and effects that cause a creature to gain the staggered condition. If the spell is cast on one creature, the paralysis is negated. If cast on two creatures, each receives another save with a +4 resistance bonus against the effect that afflicts it. If cast on three or four creatures, each receives another save with a +2 resistance bonus.&lt;/p&gt;&lt;p&gt;The spell does not restore ability scores reduced by penalties, damage, or drain.&lt;/p&gt;&lt;/h4&gt;&lt;/div&gt;</t>
  </si>
  <si>
    <t>Frees creatures from paralysis or slow effect.</t>
  </si>
  <si>
    <t>Repel Metal or Stone</t>
  </si>
  <si>
    <t>60-ft. line from you</t>
  </si>
  <si>
    <t>This spell creates waves of invisible energy that roll forth from you. All metal or stone objects in the path of the spell are pushed away from you to the limit of the range. Fixed metal or stone objects larger than 3 inches in diameter and loose objects weighing more than 500 pounds are not affected. Anything else, including animated objects, small boulders, and creatures in metal armor, moves back. Fixed objects 3 inches in diameter or smaller bend or break, and the pieces move with the wave of energy. Objects affected by the spell are repelled at the rate of 40 feet per round. Objects such as metal armor, swords, and the like are pushed back, dragging their bearers with them. Even magic items with metal components are repelled, although an antimagic field blocks the effects. A creature being dragged by an item it is carrying can let go. A creature being dragged by a shield can loose it as a move action and drop it as a free action. The waves of energy continue to sweep down the set path for the spell's duration. After you cast the spell, the path is set, and you can then do other things or go elsewhere without affecting the spell's power.</t>
  </si>
  <si>
    <t>&lt;p&gt;This spell creates waves of invisible energy that roll forth from you. All metal or stone objects in the path of the spell are pushed away from you to the limit of the range. Fixed metal or stone objects larger than 3 inches in diameter and loose objects weighing more than 500 pounds are not affected. Anything else, including animated objects, small boulders, and creatures in metal armor, moves back. Fixed objects 3 inches in diameter or smaller bend or break, and the pieces move with the wave of energy. Objects affected by the spell are repelled at the rate of 40 feet per round.&lt;/p&gt;&lt;p&gt;Objects such as metal armor, swords, and the like are pushed back, dragging their bearers with them. Even magic items with metal components are repelled, although an &lt;i&gt;antimagic field&lt;/i&gt; blocks the effects. A creature being dragged by an item it is carrying can let go. A creature being dragged by a shield can loose it as a move action and drop it as a free action.&lt;/p&gt;&lt;p&gt;The waves of energy continue to sweep down the set path for the spell's duration. After you cast the spell, the path is set, and you can then do other things or go elsewhere without affecting the spell's power.&lt;/p&gt;</t>
  </si>
  <si>
    <t>&lt;link rel="stylesheet"href="PF.css"&gt;&lt;div class="heading"&gt;&lt;p class="alignleft"&gt;Repel Metal or Stone&lt;/p&gt;&lt;div style="clear: both;"&gt;&lt;/div&gt;&lt;/div&gt;&lt;div&gt;&lt;h5&gt;&lt;b&gt;School &lt;/b&gt;abjuration [earth]; &lt;b&gt;Level &lt;/b&gt;druid 8&lt;/h5&gt;&lt;/div&gt;&lt;hr/&gt;&lt;div&gt;&lt;h5&gt;&lt;b&gt;CASTING&lt;/b&gt;&lt;/h5&gt;&lt;/div&gt;&lt;hr/&gt;&lt;div&gt;&lt;h5&gt;&lt;b&gt;Casting Time &lt;/b&gt;1 standard action&lt;/h5&gt;&lt;h5&gt;&lt;b&gt;Components &lt;/b&gt;V, S&lt;/h5&gt;&lt;/div&gt;&lt;hr/&gt;&lt;div&gt;&lt;h5&gt;&lt;b&gt;EFFECT&lt;/b&gt;&lt;/h5&gt;&lt;/div&gt;&lt;hr/&gt;&lt;div&gt;&lt;h5&gt;&lt;b&gt;Range &lt;/b&gt;60 ft.&lt;/h5&gt;&lt;h5&gt;&lt;b&gt;Area &lt;/b&gt;60-ft. line from you&lt;/h5&gt;&lt;h5&gt;&lt;b&gt;Duration &lt;/b&gt;1 round/level (D)&lt;/h5&gt;&lt;h5&gt;&lt;b&gt;Saving Throw &lt;/b&gt;none; &lt;b&gt;Spell Resistance &lt;/b&gt;no&lt;/h5&gt;&lt;/div&gt;&lt;hr/&gt;&lt;div&gt;&lt;h5&gt;&lt;b&gt;DESCRIPTION&lt;/b&gt;&lt;/h5&gt;&lt;/div&gt;&lt;hr/&gt;&lt;div&gt;&lt;h4&gt;&lt;p&gt;This spell creates waves of invisible energy that roll forth from you. All metal or stone objects in the path of the spell are pushed away from you to the limit of the range. Fixed metal or stone objects larger than 3 inches in diameter and loose objects weighing more than 500 pounds are not affected. Anything else, including animated objects, small boulders, and creatures in metal armor, moves back. Fixed objects 3 inches in diameter or smaller bend or break, and the pieces move with the wave of energy. Objects affected by the spell are repelled at the rate of 40 feet per round.&lt;/p&gt;&lt;p&gt;Objects such as metal armor, swords, and the like are pushed back, dragging their bearers with them. Even magic items with metal components are repelled, although an &lt;i&gt;antimagic field&lt;/i&gt; blocks the effects. A creature being dragged by an item it is carrying can let go. A creature being dragged by a shield can loose it as a move action and drop it as a free action.&lt;/p&gt;&lt;p&gt;The waves of energy continue to sweep down the set path for the spell's duration. After you cast the spell, the path is set, and you can then do other things or go elsewhere without affecting the spell's power.&lt;/p&gt;&lt;/h4&gt;&lt;/div&gt;</t>
  </si>
  <si>
    <t> Pushes away metal and stone.</t>
  </si>
  <si>
    <t>Repel Vermin</t>
  </si>
  <si>
    <t>bard 4, cleric 4/oracle 4, druid 4, ranger 3</t>
  </si>
  <si>
    <t>10-ft.-radius emanation centered on you</t>
  </si>
  <si>
    <t>An invisible barrier holds back vermin. A vermin with HD of less than one-third your level cannot penetrate the barrier. A vermin with HD of one-third your level or more can penetrate the barrier if it succeeds on a Will save. Even so, crossing the barrier deals the vermin 2d6 points of damage, and pressing against the barrier causes pain, which deters most vermin.</t>
  </si>
  <si>
    <t>&lt;p&gt;An invisible barrier holds back vermin. A vermin with HD of less than one-third your level cannot penetrate the barrier.&lt;/p&gt;&lt;p&gt;A vermin with HD of one-third your level or more can penetrate the barrier if it succeeds on a Will save. Even so, crossing the barrier deals the vermin 2d6 points of damage, and pressing against the barrier causes pain, which deters most vermin.&lt;/p&gt;</t>
  </si>
  <si>
    <t>&lt;link rel="stylesheet"href="PF.css"&gt;&lt;div class="heading"&gt;&lt;p class="alignleft"&gt;Repel Vermin&lt;/p&gt;&lt;div style="clear: both;"&gt;&lt;/div&gt;&lt;/div&gt;&lt;div&gt;&lt;h5&gt;&lt;b&gt;School &lt;/b&gt;abjuration [pain]; &lt;b&gt;Level &lt;/b&gt;bard 4, cleric 4/oracle 4, druid 4, ranger 3&lt;/h5&gt;&lt;/div&gt;&lt;hr/&gt;&lt;div&gt;&lt;h5&gt;&lt;b&gt;CASTING&lt;/b&gt;&lt;/h5&gt;&lt;/div&gt;&lt;hr/&gt;&lt;div&gt;&lt;h5&gt;&lt;b&gt;Casting Time &lt;/b&gt;1 standard action&lt;/h5&gt;&lt;h5&gt;&lt;b&gt;Components &lt;/b&gt;V, S, DF&lt;/h5&gt;&lt;/div&gt;&lt;hr/&gt;&lt;div&gt;&lt;h5&gt;&lt;b&gt;EFFECT&lt;/b&gt;&lt;/h5&gt;&lt;/div&gt;&lt;hr/&gt;&lt;div&gt;&lt;h5&gt;&lt;b&gt;Range &lt;/b&gt;10 ft.&lt;/h5&gt;&lt;h5&gt;&lt;b&gt;Area &lt;/b&gt;10-ft.-radius emanation centered on you&lt;/h5&gt;&lt;h5&gt;&lt;b&gt;Duration &lt;/b&gt;10 min./level (D)&lt;/h5&gt;&lt;h5&gt;&lt;b&gt;Saving Throw &lt;/b&gt;none or Will negates; see text; &lt;b&gt;Spell Resistance &lt;/b&gt;yes&lt;/h5&gt;&lt;/div&gt;&lt;hr/&gt;&lt;div&gt;&lt;h5&gt;&lt;b&gt;DESCRIPTION&lt;/b&gt;&lt;/h5&gt;&lt;/div&gt;&lt;hr/&gt;&lt;div&gt;&lt;h4&gt;&lt;p&gt;An invisible barrier holds back vermin. A vermin with HD of less than one-third your level cannot penetrate the barrier.&lt;/p&gt;&lt;p&gt;A vermin with HD of one-third your level or more can penetrate the barrier if it succeeds on a Will save. Even so, crossing the barrier deals the vermin 2d6 points of damage, and pressing against the barrier causes pain, which deters most vermin.&lt;/p&gt;&lt;/h4&gt;&lt;/div&gt;</t>
  </si>
  <si>
    <t>Insects, spiders, and other vermin stay 10 ft. away.</t>
  </si>
  <si>
    <t>Repel Wood</t>
  </si>
  <si>
    <t>60-ft. line-shaped emanation from you</t>
  </si>
  <si>
    <t>Waves of energy roll forth from you, moving in the direction that you determine, causing all wooden objects in the path of the spell to be pushed away from you to the limit of the range. Wooden objects larger than 3 inches in diameter that are fixed firmly are not affected, but loose objects are. Objects 3 inches in diameter or smaller that are fixed in place splinter and break, and the pieces move with the wave of energy. Objects affected by the spell are repelled at the rate of 40 feet per round. Objects such as wooden shields, spears, wooden weapon shafts and hafts, and arrows and bolts are pushed back, dragging those carrying them along. A creature being dragged by an item it is carrying can let go. A creature being dragged by a shield can loose it as a move action and drop it as a free action. If a spear is planted (set) in a way that prevents this forced movement, it splinters. Even magic items with wooden sections are repelled, although an antimagic field blocks the effects. The waves of energy continue to sweep down the set path for the spell's duration. After you cast the spell, the path is set, and you can then do other things or go elsewhere without affecting the spell's power.</t>
  </si>
  <si>
    <t>&lt;p&gt;Waves of energy roll forth from you, moving in the direction that you determine, causing all wooden objects in the path of the spell to be pushed away from you to the limit of the range. Wooden objects larger than 3 inches in diameter that are fixed firmly are not affected, but loose objects are. Objects 3 inches in diameter or smaller that are fixed in place splinter and break, and the pieces move with the wave of energy. Objects affected by the spell are repelled at the rate of 40 feet per round.&lt;/p&gt;&lt;p&gt;Objects such as wooden shields, spears, wooden weapon shafts and hafts, and arrows and bolts are pushed back, dragging those carrying them along. A creature being dragged by an item it is carrying can let go. A creature being dragged by a shield can loose it as a move action and drop it as a free action. If a spear is planted (set) in a way that prevents this forced movement, it splinters.&lt;/p&gt;&lt;p&gt;Even magic items with wooden sections are repelled, although an &lt;i&gt;antimagic field&lt;/i&gt; blocks the effects.&lt;/p&gt;&lt;p&gt;The waves of energy continue to sweep down the set path for the spell's duration. After you cast the spell, the path is set, and you can then do other things or go elsewhere without affecting the spell's power.&lt;/p&gt;</t>
  </si>
  <si>
    <t>&lt;link rel="stylesheet"href="PF.css"&gt;&lt;div class="heading"&gt;&lt;p class="alignleft"&gt;Repel Wood&lt;/p&gt;&lt;div style="clear: both;"&gt;&lt;/div&gt;&lt;/div&gt;&lt;div&gt;&lt;h5&gt;&lt;b&gt;School &lt;/b&gt;transmutation; &lt;b&gt;Level &lt;/b&gt;druid 6&lt;/h5&gt;&lt;/div&gt;&lt;hr/&gt;&lt;div&gt;&lt;h5&gt;&lt;b&gt;CASTING&lt;/b&gt;&lt;/h5&gt;&lt;/div&gt;&lt;hr/&gt;&lt;div&gt;&lt;h5&gt;&lt;b&gt;Casting Time &lt;/b&gt;1 standard action&lt;/h5&gt;&lt;h5&gt;&lt;b&gt;Components &lt;/b&gt;V, S&lt;/h5&gt;&lt;/div&gt;&lt;hr/&gt;&lt;div&gt;&lt;h5&gt;&lt;b&gt;EFFECT&lt;/b&gt;&lt;/h5&gt;&lt;/div&gt;&lt;hr/&gt;&lt;div&gt;&lt;h5&gt;&lt;b&gt;Range &lt;/b&gt;60 ft.&lt;/h5&gt;&lt;h5&gt;&lt;b&gt;Area &lt;/b&gt;60-ft. line-shaped emanation from you&lt;/h5&gt;&lt;h5&gt;&lt;b&gt;Duration &lt;/b&gt;1 min./level (D)&lt;/h5&gt;&lt;h5&gt;&lt;b&gt;Saving Throw &lt;/b&gt;none; &lt;b&gt;Spell Resistance &lt;/b&gt;no&lt;/h5&gt;&lt;/div&gt;&lt;hr/&gt;&lt;div&gt;&lt;h5&gt;&lt;b&gt;DESCRIPTION&lt;/b&gt;&lt;/h5&gt;&lt;/div&gt;&lt;hr/&gt;&lt;div&gt;&lt;h4&gt;&lt;p&gt;Waves of energy roll forth from you, moving in the direction that you determine, causing all wooden objects in the path of the spell to be pushed away from you to the limit of the range. Wooden objects larger than 3 inches in diameter that are fixed firmly are not affected, but loose objects are. Objects 3 inches in diameter or smaller that are fixed in place splinter and break, and the pieces move with the wave of energy. Objects affected by the spell are repelled at the rate of 40 feet per round.&lt;/p&gt;&lt;p&gt;Objects such as wooden shields, spears, wooden weapon shafts and hafts, and arrows and bolts are pushed back, dragging those carrying them along. A creature being dragged by an item it is carrying can let go. A creature being dragged by a shield can loose it as a move action and drop it as a free action. If a spear is planted (set) in a way that prevents this forced movement, it splinters.&lt;/p&gt;&lt;p&gt;Even magic items with wooden sections are repelled, although an &lt;i&gt;antimagic field&lt;/i&gt; blocks the effects.&lt;/p&gt;&lt;p&gt;The waves of energy continue to sweep down the set path for the spell's duration. After you cast the spell, the path is set, and you can then do other things or go elsewhere without affecting the spell's power.&lt;/p&gt;&lt;/h4&gt;&lt;h5&gt;&lt;b&gt;Mythic: &lt;/b&gt;The casting time changes to 1 immediate action. You may cause one affected wooden object up to 5 inches in diameter to splinter and break.&lt;/h5&gt;&lt;h5&gt;&lt;b&gt;Augmented (3rd)&lt;/b&gt;: If you expend two uses of mythic power, the area changes to a 60-foot, cone-shaped emanation from you.&lt;/h5&gt;&lt;/div&gt;</t>
  </si>
  <si>
    <t> Pushes away wooden objects.</t>
  </si>
  <si>
    <t>The casting time changes to 1 immediate action. You may cause one affected wooden object up to 5 inches in diameter to splinter and break.</t>
  </si>
  <si>
    <t>Augmented (3rd): If you expend two uses of mythic power, the area changes to a 60-foot, cone-shaped emanation from you.</t>
  </si>
  <si>
    <t>Repulsion</t>
  </si>
  <si>
    <t>cleric 7/oracle 7, sorcerer/wizard 6, summoner 5, inquisitor 6</t>
  </si>
  <si>
    <t>V, S, F/DF (a pair of canine statuettes worth 50 gp)</t>
  </si>
  <si>
    <t>up to 10 ft./level</t>
  </si>
  <si>
    <t>up to 10-ft.-radius/level emanation centered on you</t>
  </si>
  <si>
    <t>An invisible, mobile field surrounds you and prevents creatures from approaching you. You decide how big the field is at the time of casting (to the limit your level allows). Any creature within or entering the field must attempt a save. If it fails, it becomes unable to move toward you for the duration of the spell. Repelled creatures' actions are not otherwise restricted. They can fight other creatures and can cast spells and attack you with ranged weapons. If you move closer to an affected creature, nothing happens. The creature is not forced back. The creature is free to make melee attacks against you if you come within reach. If a repelled creature moves away from you and then tries to turn back toward you, it cannot move any closer if it is still within the spell's area.</t>
  </si>
  <si>
    <t>&lt;p&gt;An invisible, mobile field surrounds you and prevents creatures from approaching you. You decide how big the field is at the time of casting (to the limit your level allows). Any creature within or entering the field must attempt a save. If it fails, it becomes unable to move toward you for the duration of the spell. Repelled creatures' actions are not otherwise restricted. They can fight other creatures and can cast spells and attack you with ranged weapons.&lt;/p&gt;&lt;p&gt;If you move closer to an affected creature, nothing happens. The creature is not forced back. The creature is free to make melee attacks against you if you come within reach. If a repelled creature moves away from you and then tries to turn back toward you, it cannot move any closer if it is still within the spell's area.&lt;/p&gt;</t>
  </si>
  <si>
    <t>&lt;link rel="stylesheet"href="PF.css"&gt;&lt;div class="heading"&gt;&lt;p class="alignleft"&gt;Repulsion&lt;/p&gt;&lt;div style="clear: both;"&gt;&lt;/div&gt;&lt;/div&gt;&lt;div&gt;&lt;h5&gt;&lt;b&gt;School &lt;/b&gt;abjuration; &lt;b&gt;Level &lt;/b&gt;cleric 7/oracle 7, sorcerer/wizard 6, summoner 5, inquisitor 6&lt;/h5&gt;&lt;/div&gt;&lt;hr/&gt;&lt;div&gt;&lt;h5&gt;&lt;b&gt;CASTING&lt;/b&gt;&lt;/h5&gt;&lt;/div&gt;&lt;hr/&gt;&lt;div&gt;&lt;h5&gt;&lt;b&gt;Casting Time &lt;/b&gt;1 standard action&lt;/h5&gt;&lt;h5&gt;&lt;b&gt;Components &lt;/b&gt;V, S, F/DF (a pair of canine statuettes worth 50 gp)&lt;/h5&gt;&lt;/div&gt;&lt;hr/&gt;&lt;div&gt;&lt;h5&gt;&lt;b&gt;EFFECT&lt;/b&gt;&lt;/h5&gt;&lt;/div&gt;&lt;hr/&gt;&lt;div&gt;&lt;h5&gt;&lt;b&gt;Range &lt;/b&gt;up to 10 ft./level&lt;/h5&gt;&lt;h5&gt;&lt;b&gt;Area &lt;/b&gt;up to 10-ft.-radius/level emanation centered on you&lt;/h5&gt;&lt;h5&gt;&lt;b&gt;Duration &lt;/b&gt;1 round/level (D)&lt;/h5&gt;&lt;h5&gt;&lt;b&gt;Saving Throw &lt;/b&gt;Will negates; &lt;b&gt;Spell Resistance &lt;/b&gt;yes&lt;/h5&gt;&lt;/div&gt;&lt;hr/&gt;&lt;div&gt;&lt;h5&gt;&lt;b&gt;DESCRIPTION&lt;/b&gt;&lt;/h5&gt;&lt;/div&gt;&lt;hr/&gt;&lt;div&gt;&lt;h4&gt;&lt;p&gt;An invisible, mobile field surrounds you and prevents creatures from approaching you. You decide how big the field is at the time of casting (to the limit your level allows). Any creature within or entering the field must attempt a save. If it fails, it becomes unable to move toward you for the duration of the spell. Repelled creatures' actions are not otherwise restricted. They can fight other creatures and can cast spells and attack you with ranged weapons.&lt;/p&gt;&lt;p&gt;If you move closer to an affected creature, nothing happens. The creature is not forced back. The creature is free to make melee attacks against you if you come within reach. If a repelled creature moves away from you and then tries to turn back toward you, it cannot move any closer if it is still within the spell's area.&lt;/p&gt;&lt;/h4&gt;&lt;/div&gt;</t>
  </si>
  <si>
    <t>Nobility, Protection</t>
  </si>
  <si>
    <t>Creatures can’t approach you.</t>
  </si>
  <si>
    <t>Imperious, Starsoul</t>
  </si>
  <si>
    <t>Resilient Sphere</t>
  </si>
  <si>
    <t>V, S, F (a crystal sphere)</t>
  </si>
  <si>
    <t>1-ft.-diameter/level sphere, centered around a creature</t>
  </si>
  <si>
    <t>A globe of shimmering force encloses a creature, provided the creature is small enough to fit within the diameter of the sphere. The sphere contains its subject for the spell's duration. The sphere functions as a wall of force, except that it can be negated by dispel magic. A subject inside the sphere can breathe normally. The sphere cannot be physically moved either by people outside it or by the struggles of those within.</t>
  </si>
  <si>
    <t>&lt;p&gt;A globe of shimmering force encloses a creature, provided the creature is small enough to fit within the diameter of the sphere.&lt;/p&gt;&lt;p&gt;The sphere contains its subject for the spell's duration. The sphere functions as a &lt;i&gt;wall of force&lt;/i&gt;, except that it can be negated by dispel magic. A subject inside the sphere can breathe normally.&lt;/p&gt;&lt;p&gt;The sphere cannot be physically moved either by people outside it or by the struggles of those within.&lt;/p&gt;</t>
  </si>
  <si>
    <t>&lt;link rel="stylesheet"href="PF.css"&gt;&lt;div class="heading"&gt;&lt;p class="alignleft"&gt;Resilient Sphere&lt;/p&gt;&lt;div style="clear: both;"&gt;&lt;/div&gt;&lt;/div&gt;&lt;div&gt;&lt;h5&gt;&lt;b&gt;School &lt;/b&gt;evocation [force]; &lt;b&gt;Level &lt;/b&gt;sorcerer/wizard 4&lt;/h5&gt;&lt;/div&gt;&lt;hr/&gt;&lt;div&gt;&lt;h5&gt;&lt;b&gt;CASTING&lt;/b&gt;&lt;/h5&gt;&lt;/div&gt;&lt;hr/&gt;&lt;div&gt;&lt;h5&gt;&lt;b&gt;Casting Time &lt;/b&gt;1 standard action&lt;/h5&gt;&lt;h5&gt;&lt;b&gt;Components &lt;/b&gt;V, S, F (a crystal sphere)&lt;/h5&gt;&lt;/div&gt;&lt;hr/&gt;&lt;div&gt;&lt;h5&gt;&lt;b&gt;EFFECT&lt;/b&gt;&lt;/h5&gt;&lt;/div&gt;&lt;hr/&gt;&lt;div&gt;&lt;h5&gt;&lt;b&gt;Range &lt;/b&gt;close (25 ft. + 5 ft./2 levels)&lt;/h5&gt;&lt;h5&gt;&lt;b&gt;Effect &lt;/b&gt;1-ft.-diameter/level sphere, centered around a creature&lt;/h5&gt;&lt;h5&gt;&lt;b&gt;Duration &lt;/b&gt;1 min./level (D)&lt;/h5&gt;&lt;h5&gt;&lt;b&gt;Saving Throw &lt;/b&gt;Reflex negates; &lt;b&gt;Spell Resistance &lt;/b&gt;yes&lt;/h5&gt;&lt;/div&gt;&lt;hr/&gt;&lt;div&gt;&lt;h5&gt;&lt;b&gt;DESCRIPTION&lt;/b&gt;&lt;/h5&gt;&lt;/div&gt;&lt;hr/&gt;&lt;div&gt;&lt;h4&gt;&lt;p&gt;A globe of shimmering force encloses a creature, provided the creature is small enough to fit within the diameter of the sphere.&lt;/p&gt;&lt;p&gt;The sphere contains its subject for the spell's duration. The sphere functions as a &lt;i&gt;wall of force&lt;/i&gt;, except that it can be negated by dispel magic. A subject inside the sphere can breathe normally.&lt;/p&gt;&lt;p&gt;The sphere cannot be physically moved either by people outside it or by the struggles of those within.&lt;/p&gt;&lt;/h4&gt;&lt;/div&gt;</t>
  </si>
  <si>
    <t> Force globe protects but traps one subject.</t>
  </si>
  <si>
    <t>Resistance</t>
  </si>
  <si>
    <t>bard 0, cleric 0/oracle 0, druid 0, paladin 1, sorcerer/wizard 0, summoner 0, witch 0, inquisitor 0</t>
  </si>
  <si>
    <t>V, S, M/DF (a miniature cloak)</t>
  </si>
  <si>
    <t>You imbue the subject with magical energy that protects it from harm, granting it a +1 resistance bonus on saves. Resistance can be made permanent with a permanency spell.</t>
  </si>
  <si>
    <t>&lt;p&gt;You imbue the subject with magical energy that protects it from harm, granting it a +1 resistance bonus on saves.&lt;/p&gt;&lt;p&gt;&lt;i&gt;Resistance&lt;/i&gt; can be made permanent with a &lt;i&gt;permanency&lt;/i&gt; spell.&lt;/p&gt;</t>
  </si>
  <si>
    <t>&lt;link rel="stylesheet"href="PF.css"&gt;&lt;div class="heading"&gt;&lt;p class="alignleft"&gt;Resistance&lt;/p&gt;&lt;div style="clear: both;"&gt;&lt;/div&gt;&lt;/div&gt;&lt;div&gt;&lt;h5&gt;&lt;b&gt;School &lt;/b&gt;abjuration; &lt;b&gt;Level &lt;/b&gt;bard 0, cleric 0/oracle 0, druid 0, paladin 1, sorcerer/wizard 0, summoner 0, witch 0, inquisitor 0&lt;/h5&gt;&lt;/div&gt;&lt;hr/&gt;&lt;div&gt;&lt;h5&gt;&lt;b&gt;CASTING&lt;/b&gt;&lt;/h5&gt;&lt;/div&gt;&lt;hr/&gt;&lt;div&gt;&lt;h5&gt;&lt;b&gt;Casting Time &lt;/b&gt;1 standard action&lt;/h5&gt;&lt;h5&gt;&lt;b&gt;Components &lt;/b&gt;V, S, M/DF (a miniature cloak)&lt;/h5&gt;&lt;/div&gt;&lt;hr/&gt;&lt;div&gt;&lt;h5&gt;&lt;b&gt;EFFECT&lt;/b&gt;&lt;/h5&gt;&lt;/div&gt;&lt;hr/&gt;&lt;div&gt;&lt;h5&gt;&lt;b&gt;Range &lt;/b&gt;touch&lt;/h5&gt;&lt;h5&gt;&lt;b&gt;Targets &lt;/b&gt;creature touched&lt;/h5&gt;&lt;h5&gt;&lt;b&gt;Duration &lt;/b&gt;1 minute&lt;/h5&gt;&lt;h5&gt;&lt;b&gt;Saving Throw &lt;/b&gt;Will negates (harmless); &lt;b&gt;Spell Resistance &lt;/b&gt;yes (harmless)&lt;/h5&gt;&lt;/div&gt;&lt;hr/&gt;&lt;div&gt;&lt;h5&gt;&lt;b&gt;DESCRIPTION&lt;/b&gt;&lt;/h5&gt;&lt;/div&gt;&lt;hr/&gt;&lt;div&gt;&lt;h4&gt;&lt;p&gt;You imbue the subject with magical energy that protects it from harm, granting it a +1 resistance bonus on saves.&lt;/p&gt;&lt;p&gt;&lt;i&gt;Resistance&lt;/i&gt; can be made permanent with a &lt;i&gt;permanency&lt;/i&gt; spell.&lt;/p&gt;&lt;/h4&gt;&lt;/div&gt;</t>
  </si>
  <si>
    <t>Subject gains +1 on saving throws.</t>
  </si>
  <si>
    <t>Resist Energy</t>
  </si>
  <si>
    <t>alchemist 2, cleric/oracle 2, druid 2, inquisitor 2, paladin 2, ranger 1, sorcerer/wizard 2, summoner 2</t>
  </si>
  <si>
    <t>This abjuration grants a creature limited protection from damage of whichever one of five energy types you select: acid, cold, electricity, fire, or sonic. The subject gains resist energy 10 against the energy type chosen, meaning that each time the creature is subjected to such damage (whether from a natural or magical source), that damage is reduced by 10 points before being applied to the creature's hit points. The value of the energy resistance granted increases to 20 points at 7th level and to a maximum of 30 points at 11th level. The spell protects the recipient's equipment as well. Resist energy absorbs only damage. The subject could still suffer unfortunate side effects. Resist energy overlaps (and does not stack with) protection from energy. If a character is warded by protection from energy and resist energy, the protection spell absorbs damage until its power is exhausted.</t>
  </si>
  <si>
    <t>&lt;p&gt;This abjuration grants a creature limited &lt;i&gt;protection&lt;/i&gt; from damage of whichever one of five energy types you select: acid, cold, electricity, fire, or sonic. The subject gains &lt;i&gt;resist energy&lt;/i&gt; 10 against the energy type chosen, meaning that each time the creature is subjected to such damage (whether from a natural or magical source), that damage is reduced by 10 points before being applied to the creature's hit points. The value of the energy resistance granted increases to 20 points at 7th level and to a maximum of 30 points at 11th level. The spell protects the recipient's equipment as well.&lt;/p&gt;&lt;p&gt;&lt;i&gt;Resist energy&lt;/i&gt; absorbs only damage. The subject could still suffer unfortunate side effects.&lt;/p&gt;&lt;p&gt;&lt;i&gt;Resist energy&lt;/i&gt; overlaps (and does not stack with) &lt;i&gt;&lt;i&gt;protection&lt;/i&gt; from energy&lt;/i&gt;. If a character is warded by &lt;i&gt;&lt;i&gt;protection&lt;/i&gt; from energy&lt;/i&gt; and &lt;i&gt;resist energy&lt;/i&gt;, the &lt;i&gt;protection&lt;/i&gt; spell absorbs damage until its power is exhausted.&lt;/p&gt;</t>
  </si>
  <si>
    <t>&lt;link rel="stylesheet"href="PF.css"&gt;&lt;div class="heading"&gt;&lt;p class="alignleft"&gt;Resist Energy&lt;/p&gt;&lt;div style="clear: both;"&gt;&lt;/div&gt;&lt;/div&gt;&lt;div&gt;&lt;h5&gt;&lt;b&gt;School &lt;/b&gt;abjuration; &lt;b&gt;Level &lt;/b&gt;alchemist 2, cleric/oracle 2, druid 2, inquisitor 2, paladin 2, ranger 1, sorcerer/wizard 2, summoner 2&lt;/h5&gt;&lt;/div&gt;&lt;hr/&gt;&lt;div&gt;&lt;h5&gt;&lt;b&gt;CASTING&lt;/b&gt;&lt;/h5&gt;&lt;/div&gt;&lt;hr/&gt;&lt;div&gt;&lt;h5&gt;&lt;b&gt;Casting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 touched&lt;/h5&gt;&lt;h5&gt;&lt;b&gt;Duration &lt;/b&gt;10 min./level&lt;/h5&gt;&lt;h5&gt;&lt;b&gt;Saving Throw &lt;/b&gt;Fortitude negates (harmless); &lt;b&gt;Spell Resistance &lt;/b&gt;yes (harmless)&lt;/h5&gt;&lt;/div&gt;&lt;hr/&gt;&lt;div&gt;&lt;h5&gt;&lt;b&gt;DESCRIPTION&lt;/b&gt;&lt;/h5&gt;&lt;/div&gt;&lt;hr/&gt;&lt;div&gt;&lt;h4&gt;&lt;p&gt;This abjuration grants a creature limited &lt;i&gt;protection&lt;/i&gt; from damage of whichever one of five energy types you select: acid, cold, electricity, fire, or sonic. The subject gains &lt;i&gt;resist energy&lt;/i&gt; 10 against the energy type chosen, meaning that each time the creature is subjected to such damage (whether from a natural or magical source), that damage is reduced by 10 points before being applied to the creature's hit points. The value of the energy resistance granted increases to 20 points at 7th level and to a maximum of 30 points at 11th level. The spell protects the recipient's equipment as well.&lt;/p&gt;&lt;p&gt;&lt;i&gt;Resist energy&lt;/i&gt; absorbs only damage. The subject could still suffer unfortunate side effects.&lt;/p&gt;&lt;p&gt;&lt;i&gt;Resist energy&lt;/i&gt; overlaps (and does not stack with) &lt;i&gt;&lt;i&gt;protection&lt;/i&gt; from energy&lt;/i&gt;. If a character is warded by &lt;i&gt;&lt;i&gt;protection&lt;/i&gt; from energy&lt;/i&gt; and &lt;i&gt;resist energy&lt;/i&gt;, the &lt;i&gt;protection&lt;/i&gt; spell absorbs damage until its power is exhausted.&lt;/p&gt;&lt;/h4&gt;&lt;h5&gt;&lt;b&gt;Mythic: &lt;/b&gt;The target gains a +4 bonus on saves against effects that deal damage of the selected energy type. Once each round as a free action, the target can choose one adjacent ally to gain energy resistance 5 against the chosen energy type for 1 round. This increases to energy resistance 10 at caster level 7 and energy resistance 15 at caster level 11.&lt;/h5&gt;&lt;/div&gt;</t>
  </si>
  <si>
    <t>Ignores 10 (or more) points of damage/attack from specified energy type.</t>
  </si>
  <si>
    <t>Celestial, Draconic</t>
  </si>
  <si>
    <t>The target gains a +4 bonus on saves against effects that deal damage of the selected energy type. Once each round as a free action, the target can choose one adjacent ally to gain energy resistance 5 against the chosen energy type for 1 round. This increases to energy resistance 10 at caster level 7 and energy resistance 15 at caster level 11.</t>
  </si>
  <si>
    <t>cleric/oracle 4, paladin 4</t>
  </si>
  <si>
    <t>V, S, M (diamond dust worth 100 gp or 1,000 gp, see text)</t>
  </si>
  <si>
    <t>This spell functions like lesser restoration, except that it also dispels temporary negative levels or one permanent negative level. If this spell is used to dispel a permanent negative level, it has a material component of diamond dust worth 1,000 gp. This spell cannot be used to dispel more than one permanent negative level possessed by a target in a 1-week period. Restoration cures all temporary ability damage, and it restores all points permanently drained from a single ability score (your choice if more than one is drained). It also eliminates any fatigue or exhaustion suffered by the target.</t>
  </si>
  <si>
    <t>&lt;p&gt;This spell functions like &lt;i&gt;lesser restoration&lt;/i&gt;, except that it also dispels temporary negative levels or one permanent negative level. If this spell is used to dispel a permanent negative level, it has a material component of diamond dust worth 1,000 gp. This spell cannot be used to dispel more than one permanent negative level possessed by a target in a 1-week period.&lt;/p&gt;&lt;p&gt;&lt;i&gt;Restoration&lt;/i&gt; cures all temporary ability damage, and it restores all points permanently drained from a single ability score (your choice if more than one is drained). It also eliminates any fatigue or exhaustion suffered by the target.&lt;/p&gt;</t>
  </si>
  <si>
    <t>&lt;link rel="stylesheet"href="PF.css"&gt;&lt;div class="heading"&gt;&lt;p class="alignleft"&gt;Restoration&lt;/p&gt;&lt;div style="clear: both;"&gt;&lt;/div&gt;&lt;/div&gt;&lt;div&gt;&lt;h5&gt;&lt;b&gt;School &lt;/b&gt;conjuration (healing); &lt;b&gt;Level &lt;/b&gt;cleric/oracle 4, paladin 4&lt;/h5&gt;&lt;/div&gt;&lt;hr/&gt;&lt;div&gt;&lt;h5&gt;&lt;b&gt;CASTING&lt;/b&gt;&lt;/h5&gt;&lt;/div&gt;&lt;hr/&gt;&lt;div&gt;&lt;h5&gt;&lt;b&gt;Casting Time &lt;/b&gt;3 rounds&lt;/h5&gt;&lt;h5&gt;&lt;b&gt;Components &lt;/b&gt;V, S, M (diamond dust worth 100 gp or 1,000 gp, see text)&lt;/h5&gt;&lt;/div&gt;&lt;hr/&gt;&lt;div&gt;&lt;h5&gt;&lt;b&gt;EFFECT&lt;/b&gt;&lt;/h5&gt;&lt;/div&gt;&lt;hr/&gt;&lt;div&gt;&lt;h5&gt;&lt;b&gt;Range &lt;/b&gt;touch&lt;/h5&gt;&lt;h5&gt;&lt;b&gt;Targets &lt;/b&gt;creature touched&lt;/h5&gt;&lt;h5&gt;&lt;b&gt;Duration &lt;/b&gt;instantaneous&lt;/h5&gt;&lt;h5&gt;&lt;b&gt;Saving Throw &lt;/b&gt;Will negates (harmless); &lt;b&gt;Spell Resistance &lt;/b&gt;yes (harmless)&lt;/h5&gt;&lt;/div&gt;&lt;hr/&gt;&lt;div&gt;&lt;h5&gt;&lt;b&gt;DESCRIPTION&lt;/b&gt;&lt;/h5&gt;&lt;/div&gt;&lt;hr/&gt;&lt;div&gt;&lt;h4&gt;&lt;p&gt;This spell functions like &lt;i&gt;lesser restoration&lt;/i&gt;, except that it also dispels temporary negative levels or one permanent negative level. If this spell is used to dispel a permanent negative level, it has a material component of diamond dust worth 1,000 gp. This spell cannot be used to dispel more than one permanent negative level possessed by a target in a 1-week period.&lt;/p&gt;&lt;p&gt;&lt;i&gt;Restoration&lt;/i&gt; cures all temporary ability damage, and it restores all points permanently drained from a single ability score (your choice if more than one is drained). It also eliminates any fatigue or exhaustion suffered by the target.&lt;/p&gt;&lt;/h4&gt;&lt;/div&gt;</t>
  </si>
  <si>
    <t>Restores level and ability score drains.</t>
  </si>
  <si>
    <t>Restoration, Greater</t>
  </si>
  <si>
    <t>cleric 7/oracle 7</t>
  </si>
  <si>
    <t>V, S, M (diamond dust 5,000 gp)</t>
  </si>
  <si>
    <t>This spell functions like lesser restoration, except that it dispels all permanent and temporary negative levels afflicting the healed creature. Greater restoration also dispels all magical effects penalizing the creature's abilities, cures all temporary ability damage, and restores all points permanently drained from all ability scores. It also eliminates fatigue and exhaustion, and removes all forms of insanity, confusion, and similar mental effects.</t>
  </si>
  <si>
    <t>&lt;p&gt;This spell functions like &lt;i&gt;lesser restoration,&lt;/i&gt; except that it dispels all permanent and temporary negative levels afflicting the healed creature. &lt;i&gt;Greater restoration&lt;/i&gt; also dispels all magical effects penalizing the creature's abilities, cures all temporary ability damage, and restores all points permanently drained from all ability scores. It also eliminates fatigue and exhaustion, and removes all forms of insanity, confusion, and similar mental effects.&lt;/p&gt;</t>
  </si>
  <si>
    <t>&lt;link rel="stylesheet"href="PF.css"&gt;&lt;div class="heading"&gt;&lt;p class="alignleft"&gt;Restoration, Greater&lt;/p&gt;&lt;div style="clear: both;"&gt;&lt;/div&gt;&lt;/div&gt;&lt;div&gt;&lt;h5&gt;&lt;b&gt;School &lt;/b&gt;conjuration (healing); &lt;b&gt;Level &lt;/b&gt;cleric 7/oracle 7&lt;/h5&gt;&lt;/div&gt;&lt;hr/&gt;&lt;div&gt;&lt;h5&gt;&lt;b&gt;CASTING&lt;/b&gt;&lt;/h5&gt;&lt;/div&gt;&lt;hr/&gt;&lt;div&gt;&lt;h5&gt;&lt;b&gt;Casting Time &lt;/b&gt;1 minute&lt;/h5&gt;&lt;h5&gt;&lt;b&gt;Components &lt;/b&gt;V, S, M (diamond dust 5,000 gp)&lt;/h5&gt;&lt;/div&gt;&lt;hr/&gt;&lt;div&gt;&lt;h5&gt;&lt;b&gt;EFFECT&lt;/b&gt;&lt;/h5&gt;&lt;/div&gt;&lt;hr/&gt;&lt;div&gt;&lt;h5&gt;&lt;b&gt;Range &lt;/b&gt;touch&lt;/h5&gt;&lt;h5&gt;&lt;b&gt;Targets &lt;/b&gt;creature touched&lt;/h5&gt;&lt;h5&gt;&lt;b&gt;Duration &lt;/b&gt;instantaneous&lt;/h5&gt;&lt;h5&gt;&lt;b&gt;Saving Throw &lt;/b&gt;Will negates (harmless); &lt;b&gt;Spell Resistance &lt;/b&gt;yes (harmless)&lt;/h5&gt;&lt;/div&gt;&lt;hr/&gt;&lt;div&gt;&lt;h5&gt;&lt;b&gt;DESCRIPTION&lt;/b&gt;&lt;/h5&gt;&lt;/div&gt;&lt;hr/&gt;&lt;div&gt;&lt;h4&gt;&lt;p&gt;This spell functions like &lt;i&gt;lesser restoration,&lt;/i&gt; except that it dispels all permanent and temporary negative levels afflicting the healed creature. &lt;i&gt;Greater restoration&lt;/i&gt; also dispels all magical effects penalizing the creature's abilities, cures all temporary ability damage, and restores all points permanently drained from all ability scores. It also eliminates fatigue and exhaustion, and removes all forms of insanity, confusion, and similar mental effects.&lt;/p&gt;&lt;/h4&gt;&lt;/div&gt;</t>
  </si>
  <si>
    <t> As restoration, plus restores all levels and ability scores.</t>
  </si>
  <si>
    <t>Endurance, Healing</t>
  </si>
  <si>
    <t>Restoration, Lesser</t>
  </si>
  <si>
    <t>cleric 2/oracle 2, druid 2, paladin 1, inquisitor 2, alchemist 2</t>
  </si>
  <si>
    <t>Lesser restoration dispels any magical effects reducing one of the subject's ability scores or cures 1d4 points of temporary ability damage to one of the subject's ability scores. It also eliminates any fatigue suffered by the character, and improves an exhausted condition to fatigued. It does not restore permanent ability drain.</t>
  </si>
  <si>
    <t>&lt;p&gt;&lt;i&gt;Lesser restoration&lt;/i&gt; dispels any magical effects reducing one of the subject's ability scores or cures 1d4 points of temporary ability damage to one of the subject's ability scores. It also eliminates any fatigue suffered by the character, and improves an exhausted condition to fatigued. It does not restore permanent ability drain.&lt;/p&gt;</t>
  </si>
  <si>
    <t>&lt;link rel="stylesheet"href="PF.css"&gt;&lt;div class="heading"&gt;&lt;p class="alignleft"&gt;Restoration, Lesser&lt;/p&gt;&lt;div style="clear: both;"&gt;&lt;/div&gt;&lt;/div&gt;&lt;div&gt;&lt;h5&gt;&lt;b&gt;School &lt;/b&gt;conjuration (healing); &lt;b&gt;Level &lt;/b&gt;cleric 2/oracle 2, druid 2, paladin 1, inquisitor 2, alchemist 2&lt;/h5&gt;&lt;/div&gt;&lt;hr/&gt;&lt;div&gt;&lt;h5&gt;&lt;b&gt;CASTING&lt;/b&gt;&lt;/h5&gt;&lt;/div&gt;&lt;hr/&gt;&lt;div&gt;&lt;h5&gt;&lt;b&gt;Casting Time &lt;/b&gt;3 rounds&lt;/h5&gt;&lt;h5&gt;&lt;b&gt;Components &lt;/b&gt;V, S&lt;/h5&gt;&lt;/div&gt;&lt;hr/&gt;&lt;div&gt;&lt;h5&gt;&lt;b&gt;EFFECT&lt;/b&gt;&lt;/h5&gt;&lt;/div&gt;&lt;hr/&gt;&lt;div&gt;&lt;h5&gt;&lt;b&gt;Range &lt;/b&gt;touch&lt;/h5&gt;&lt;h5&gt;&lt;b&gt;Targets &lt;/b&gt;creature touched&lt;/h5&gt;&lt;h5&gt;&lt;b&gt;Duration &lt;/b&gt;instantaneous&lt;/h5&gt;&lt;h5&gt;&lt;b&gt;Saving Throw &lt;/b&gt;Will negates (harmless); &lt;b&gt;Spell Resistance &lt;/b&gt;yes (harmless)&lt;/h5&gt;&lt;/div&gt;&lt;hr/&gt;&lt;div&gt;&lt;h5&gt;&lt;b&gt;DESCRIPTION&lt;/b&gt;&lt;/h5&gt;&lt;/div&gt;&lt;hr/&gt;&lt;div&gt;&lt;h4&gt;&lt;p&gt;&lt;i&gt;Lesser restoration&lt;/i&gt; dispels any magical effects reducing one of the subject's ability scores or cures 1d4 points of temporary ability damage to one of the subject's ability scores. It also eliminates any fatigue suffered by the character, and improves an exhausted condition to fatigued. It does not restore permanent ability drain.&lt;/p&gt;&lt;/h4&gt;&lt;/div&gt;</t>
  </si>
  <si>
    <t>Dispels magical ability penalty or repairs 1d4 ability damage.</t>
  </si>
  <si>
    <t>V, S, M (diamond worth 10,000 gp), DF</t>
  </si>
  <si>
    <t>This spell functions like raise dead, except that you are able to restore life and complete strength to any deceased creature. The condition of the remains is not a factor. So long as some small portion of the creature's body still exists, it can be resurrected, but the portion receiving the spell must have been part of the creature's body at the time of death. (The remains of a creature hit by a disintegrate spell count as a small portion of its body.) The creature can have been dead no longer than 10 years per caster level. Upon completion of the spell, the creature is immediately restored to full hit points, vigor, and health, with no loss of prepared spells. The subject of the spell gains one permanent negative level when it is raised, just as if it had been hit by an energy-draining creature. If the subject is 1st level, it takes 2 points of Constitution drain instead (if this would reduce its Con to 0 or less, it can't be resurrected). You can resurrect someone killed by a death effect or someone who has been turned into an undead creature and then destroyed. You cannot resurrect someone who has died of old age. Constructs, elementals, outsiders, and undead creatures can't be resurrected.</t>
  </si>
  <si>
    <t>&lt;p&gt;This spell functions like &lt;i&gt;raise dead,&lt;/i&gt; except that you are able to restore life and complete strength to any deceased creature.&lt;/p&gt;&lt;p&gt;The condition of the remains is not a factor. So long as some small portion of the creature's body still exists, it can be resurrected, but the portion receiving the spell must have been part of the creature's body at the time of death. (The remains of a creature hit by a &lt;i&gt;disintegrate&lt;/i&gt; spell count as a small portion of its body.) The creature can have been dead no longer than 10 years per caster level.&lt;/p&gt;&lt;p&gt;Upon completion of the spell, the creature is immediately restored to full hit points, vigor, and health, with no loss of prepared spells.&lt;/p&gt;&lt;p&gt;The subject of the spell gains one permanent negative level when it is raised, just as if it had been hit by an energy-draining creature. If the subject is 1st level, it takes 2 points of Constitution drain instead (if this would reduce its Con to 0 or less, it can't be resurrected).&lt;/p&gt;&lt;p&gt;You can resurrect someone killed by a death effect or someone who has been turned into an undead creature and then destroyed.&lt;/p&gt;&lt;p&gt;You cannot resurrect someone who has died of old age. Constructs, elementals, outsiders, and undead creatures can't be resurrected.&lt;/p&gt;</t>
  </si>
  <si>
    <t>&lt;link rel="stylesheet"href="PF.css"&gt;&lt;div class="heading"&gt;&lt;p class="alignleft"&gt;Resurrection&lt;/p&gt;&lt;div style="clear: both;"&gt;&lt;/div&gt;&lt;/div&gt;&lt;div&gt;&lt;h5&gt;&lt;b&gt;School &lt;/b&gt;conjuration (healing); &lt;b&gt;Level &lt;/b&gt;cleric 7/oracle 7, witch 8&lt;/h5&gt;&lt;/div&gt;&lt;hr/&gt;&lt;div&gt;&lt;h5&gt;&lt;b&gt;CASTING&lt;/b&gt;&lt;/h5&gt;&lt;/div&gt;&lt;hr/&gt;&lt;div&gt;&lt;h5&gt;&lt;b&gt;Casting Time &lt;/b&gt;1 minute&lt;/h5&gt;&lt;h5&gt;&lt;b&gt;Components &lt;/b&gt;V, S, M (diamond worth 10,000 gp), DF&lt;/h5&gt;&lt;/div&gt;&lt;hr/&gt;&lt;div&gt;&lt;h5&gt;&lt;b&gt;EFFECT&lt;/b&gt;&lt;/h5&gt;&lt;/div&gt;&lt;hr/&gt;&lt;div&gt;&lt;h5&gt;&lt;b&gt;Range &lt;/b&gt;touch&lt;/h5&gt;&lt;h5&gt;&lt;b&gt;Targets &lt;/b&gt;dead creature touched&lt;/h5&gt;&lt;h5&gt;&lt;b&gt;Duration &lt;/b&gt;instantaneous&lt;/h5&gt;&lt;h5&gt;&lt;b&gt;Saving Throw &lt;/b&gt;none; see text; &lt;b&gt;Spell Resistance &lt;/b&gt;yes (harmless)&lt;/h5&gt;&lt;/div&gt;&lt;hr/&gt;&lt;div&gt;&lt;h5&gt;&lt;b&gt;DESCRIPTION&lt;/b&gt;&lt;/h5&gt;&lt;/div&gt;&lt;hr/&gt;&lt;div&gt;&lt;h4&gt;&lt;p&gt;This spell functions like &lt;i&gt;raise dead,&lt;/i&gt; except that you are able to restore life and complete strength to any deceased creature.&lt;/p&gt;&lt;p&gt;The condition of the remains is not a factor. So long as some small portion of the creature's body still exists, it can be resurrected, but the portion receiving the spell must have been part of the creature's body at the time of death. (The remains of a creature hit by a &lt;i&gt;disintegrate&lt;/i&gt; spell count as a small portion of its body.) The creature can have been dead no longer than 10 years per caster level.&lt;/p&gt;&lt;p&gt;Upon completion of the spell, the creature is immediately restored to full hit points, vigor, and health, with no loss of prepared spells.&lt;/p&gt;&lt;p&gt;The subject of the spell gains one permanent negative level when it is raised, just as if it had been hit by an energy-draining creature. If the subject is 1st level, it takes 2 points of Constitution drain instead (if this would reduce its Con to 0 or less, it can't be resurrected).&lt;/p&gt;&lt;p&gt;You can resurrect someone killed by a death effect or someone who has been turned into an undead creature and then destroyed.&lt;/p&gt;&lt;p&gt;You cannot resurrect someone who has died of old age. Constructs, elementals, outsiders, and undead creatures can't be resurrected.&lt;/p&gt;&lt;/h4&gt;&lt;/div&gt;</t>
  </si>
  <si>
    <t>Divine, Resurrection</t>
  </si>
  <si>
    <t> Fully restore dead subject.</t>
  </si>
  <si>
    <t>Reverse Gravity</t>
  </si>
  <si>
    <t>V, S, M/DF (lodestone and iron filings)</t>
  </si>
  <si>
    <t>up to one 10-ft. cube/level (S)</t>
  </si>
  <si>
    <t>This spell reverses gravity in an area, causing unattached objects and creatures in the area to fall upward and reach the top of the area in 1 round. If a solid object (such as a ceiling) is encountered in this fall, falling objects and creatures strike it in the same manner as they would during a normal downward fall. If an object or creature reaches the top of the area without striking anything, it remains there, oscillating slightly, until the spell ends. At the end of the spell duration, affected objects and creatures fall downward. Provided it has something to hold onto, a creature caught in the area can attempt a Reflex save to secure itself when the spell strikes. Creatures who can fly or levitate can keep themselves from falling.</t>
  </si>
  <si>
    <t>&lt;p&gt;This spell reverses gravity in an area, causing unattached objects and creatures in the area to fall upward and reach the top of the area in 1 round. If a solid object (such as a ceiling) is encountered in this fall, falling objects and creatures strike it in the same manner as they would during a normal downward fall. If an object or creature reaches the top of the area without striking anything, it remains there, oscillating slightly, until the spell ends. At the end of the spell duration, affected objects and creatures fall downward.&lt;/p&gt;&lt;p&gt;Provided it has something to hold onto, a creature caught in the area can attempt a Reflex save to secure itself when the spell strikes.&lt;/p&gt;&lt;p&gt;Creatures who can fly or levitate can keep themselves from falling.&lt;/p&gt;</t>
  </si>
  <si>
    <t>&lt;link rel="stylesheet"href="PF.css"&gt;&lt;div class="heading"&gt;&lt;p class="alignleft"&gt;Reverse Gravity&lt;/p&gt;&lt;div style="clear: both;"&gt;&lt;/div&gt;&lt;/div&gt;&lt;div&gt;&lt;h5&gt;&lt;b&gt;School &lt;/b&gt;transmutation; &lt;b&gt;Level &lt;/b&gt;druid 8, sorcerer/wizard 7&lt;/h5&gt;&lt;/div&gt;&lt;hr/&gt;&lt;div&gt;&lt;h5&gt;&lt;b&gt;CASTING&lt;/b&gt;&lt;/h5&gt;&lt;/div&gt;&lt;hr/&gt;&lt;div&gt;&lt;h5&gt;&lt;b&gt;Casting Time &lt;/b&gt;1 standard action&lt;/h5&gt;&lt;h5&gt;&lt;b&gt;Components &lt;/b&gt;V, S, M/DF (lodestone and iron filings)&lt;/h5&gt;&lt;/div&gt;&lt;hr/&gt;&lt;div&gt;&lt;h5&gt;&lt;b&gt;EFFECT&lt;/b&gt;&lt;/h5&gt;&lt;/div&gt;&lt;hr/&gt;&lt;div&gt;&lt;h5&gt;&lt;b&gt;Range &lt;/b&gt;medium (100 ft. + 10 ft./level)&lt;/h5&gt;&lt;h5&gt;&lt;b&gt;Area &lt;/b&gt;up to one 10-ft. cube/level (S)&lt;/h5&gt;&lt;h5&gt;&lt;b&gt;Duration &lt;/b&gt;1 round/level (D)&lt;/h5&gt;&lt;h5&gt;&lt;b&gt;Saving Throw &lt;/b&gt;none; see text; &lt;b&gt;Spell Resistance &lt;/b&gt;no&lt;/h5&gt;&lt;/div&gt;&lt;hr/&gt;&lt;div&gt;&lt;h5&gt;&lt;b&gt;DESCRIPTION&lt;/b&gt;&lt;/h5&gt;&lt;/div&gt;&lt;hr/&gt;&lt;div&gt;&lt;h4&gt;&lt;p&gt;This spell reverses gravity in an area, causing unattached objects and creatures in the area to fall upward and reach the top of the area in 1 round. If a solid object (such as a ceiling) is encountered in this fall, falling objects and creatures strike it in the same manner as they would during a normal downward fall. If an object or creature reaches the top of the area without striking anything, it remains there, oscillating slightly, until the spell ends. At the end of the spell duration, affected objects and creatures fall downward.&lt;/p&gt;&lt;p&gt;Provided it has something to hold onto, a creature caught in the area can attempt a Reflex save to secure itself when the spell strikes.&lt;/p&gt;&lt;p&gt;Creatures who can fly or levitate can keep themselves from falling.&lt;/p&gt;&lt;/h4&gt;&lt;h5&gt;&lt;b&gt;Mythic: &lt;/b&gt;Creatures in the area or that enter the area must succeed at a Fortitude save or be nauseated.&lt;/h5&gt;&lt;h5&gt;&lt;b&gt;Augmented (8th)&lt;/b&gt;: If you expend three uses of mythic power, once per round as a move action you may select one secured creature (one that succeeded at its Reflex save) or attached object (such as a tree or cottage) and force it to attempt a Fortitude save against the spell. The selected creature or object can weigh no more than 100 pounds per caster level. If it fails the save, it's pulled free and falls upward.&lt;/h5&gt;&lt;/div&gt;</t>
  </si>
  <si>
    <t>Objects and creatures fall upward.</t>
  </si>
  <si>
    <t>Creatures in the area or that enter the area must succeed at a Fortitude save or be nauseated.</t>
  </si>
  <si>
    <t>Augmented (8th): If you expend three uses of mythic power, once per round as a move action you may select one secured creature (one that succeeded at its Reflex save) or attached object (such as a tree or cottage) and force it to attempt a Fortitude save against the spell. The selected creature or object can weigh no more than 100 pounds per caster level. If it fails the save, it's pulled free and falls upward.</t>
  </si>
  <si>
    <t>Righteous Might</t>
  </si>
  <si>
    <t>Your height immediately doubles, and your weight increases by a factor of eight. This increase changes your size category to the next larger one. You gain a +4 size bonus to Strength and Constitution and take a -2 penalty to your Dexterity. You gain a +2 enhancement bonus to your natural armor. You gain DR 5/ evil (if you normally channel positive energy) or DR 5/good (if you normally channel negative energy). At 15th level, this DR becomes 10/evil or 10/good (the maximum). Your size modifier for AC and attacks changes as appropriate to your new size category. This spell doesn't change your speed. Determine space and reach as appropriate to your new size. If insufficient room is available for the desired growth, you attain the maximum possible size and may make a Strength check (using your increased Strength) to burst any enclosures in the process (see Chapter 7 for rules on breaking objects). If you fail, you are constrained without harm by the materials enclosing you-the spell cannot crush you by increasing your size. All equipment you wear or carry is similarly enlarged by the spell. Melee weapons deal more damage. Other magical properties are not affected by this spell. Any enlarged item that leaves your possession (including a projectile or thrown weapon) instantly returns to its normal size. This means that thrown and projectile weapons deal their normal damage. Magical effects that increase size do not stack.</t>
  </si>
  <si>
    <t>&lt;p&gt;Your height immediately doubles, and your weight increases by a factor of eight. This increase changes your size category to the next larger one. You gain a +4 size bonus to Strength and Constitution and take a -2 penalty to your Dexterity. You gain a +2 enhancement bonus to your natural armor. You gain DR 5/ evil (if you normally channel positive energy) or DR 5/good (if you normally channel negative energy). At 15th level, this DR becomes 10/evil or 10/good (the maximum). Your size modifier for AC and attacks changes as appropriate to your new size category. This spell doesn't change your speed. Determine space and reach as appropriate to your new size.&lt;/p&gt;&lt;p&gt;If insufficient room is available for the desired growth, you attain the maximum possible size and may make a Strength check (using your increased Strength) to burst any enclosures in the process (see Chapter 7 for rules on breaking objects). If you fail, you are constrained without harm by the materials enclosing you-the spell cannot crush you by increasing your size.&lt;/p&gt;&lt;p&gt;All equipment you wear or carry is similarly enlarged by the spell.&lt;/p&gt;&lt;p&gt;Melee weapons deal more damage. Other magical properties are not affected by this spell. Any enlarged item that leaves your possession (including a projectile or thrown weapon) instantly returns to its normal size. This means that thrown and projectile weapons deal their normal damage. Magical effects that increase size do not stack.&lt;/p&gt;</t>
  </si>
  <si>
    <t>&lt;link rel="stylesheet"href="PF.css"&gt;&lt;div class="heading"&gt;&lt;p class="alignleft"&gt;Righteous Might&lt;/p&gt;&lt;div style="clear: both;"&gt;&lt;/div&gt;&lt;/div&gt;&lt;div&gt;&lt;h5&gt;&lt;b&gt;School &lt;/b&gt;transmutation; &lt;b&gt;Level &lt;/b&gt;cleric 5/oracle 5, inquisitor 5&lt;/h5&gt;&lt;/div&gt;&lt;hr/&gt;&lt;div&gt;&lt;h5&gt;&lt;b&gt;CASTING&lt;/b&gt;&lt;/h5&gt;&lt;/div&gt;&lt;hr/&gt;&lt;div&gt;&lt;h5&gt;&lt;b&gt;Casting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&lt;/b&gt;you&lt;/h5&gt;&lt;h5&gt;&lt;b&gt;Duration &lt;/b&gt;1 round/level (D)&lt;/h5&gt;&lt;/div&gt;&lt;hr/&gt;&lt;div&gt;&lt;h5&gt;&lt;b&gt;DESCRIPTION&lt;/b&gt;&lt;/h5&gt;&lt;/div&gt;&lt;hr/&gt;&lt;div&gt;&lt;h4&gt;&lt;p&gt;Your height immediately doubles, and your weight increases by a factor of eight. This increase changes your size category to the next larger one. You gain a +4 size bonus to Strength and Constitution and take a -2 penalty to your Dexterity. You gain a +2 enhancement bonus to your natural armor. You gain DR 5/ evil (if you normally channel positive energy) or DR 5/good (if you normally channel negative energy). At 15th level, this DR becomes 10/evil or 10/good (the maximum). Your size modifier for AC and attacks changes as appropriate to your new size category. This spell doesn't change your speed. Determine space and reach as appropriate to your new size.&lt;/p&gt;&lt;p&gt;If insufficient room is available for the desired growth, you attain the maximum possible size and may make a Strength check (using your increased Strength) to burst any enclosures in the process (see Chapter 7 for rules on breaking objects). If you fail, you are constrained without harm by the materials enclosing you-the spell cannot crush you by increasing your size.&lt;/p&gt;&lt;p&gt;All equipment you wear or carry is similarly enlarged by the spell.&lt;/p&gt;&lt;p&gt;Melee weapons deal more damage. Other magical properties are not affected by this spell. Any enlarged item that leaves your possession (including a projectile or thrown weapon) instantly returns to its normal size. This means that thrown and projectile weapons deal their normal damage. Magical effects that increase size do not stack.&lt;/p&gt;&lt;/h4&gt;&lt;/div&gt;</t>
  </si>
  <si>
    <t>Glory, Growth, Strength</t>
  </si>
  <si>
    <t> Your size increases, and you gain bonuses in combat.</t>
  </si>
  <si>
    <t>Rope Trick</t>
  </si>
  <si>
    <t>V, S, M (powdered corn and a twisted loop of parchment)</t>
  </si>
  <si>
    <t>one touched piece of rope from 5 ft. to 30 ft. long</t>
  </si>
  <si>
    <t>When this spell is cast upon a piece of rope from 5 to 30 feet long, one end of the rope rises into the air until the whole rope hangs perpendicular to the ground, as if affixed at the upper end. The upper end is, in fact, fastened to an extradimensional space that is outside the usual multiverse of extradimensional spaces. Creatures in the extradimensional space are hidden, beyond the reach of spells (including divinations), unless those spells work across planes. The space holds as many as eight creatures (of any size). The rope cannot be removed or hidden. The rope can support up to 16,000 pounds. A weight greater than that can pull the rope free. Spells cannot be cast across the extradimensional interface, nor can area effects cross it. Those in the extradimensional space can see out of it as if a 3-foot-by-5-foot window were centered on the rope. The window is invisible, and even creatures that can see the window can't see through it. Anything inside the extradimensional space drops out when the spell ends. The rope can be climbed by only one person at a time. The rope trick spell enables climbers to reach a normal place if they do not climb all the way to the extradimensional space.</t>
  </si>
  <si>
    <t>&lt;p&gt;When this spell is cast upon a piece of rope from 5 to 30 feet long, one end of the rope rises into the air until the whole rope hangs perpendicular to the ground, as if affixed at the upper end.&lt;/p&gt;&lt;p&gt;The upper end is, in fact, fastened to an extradimensional space that is outside the usual multiverse of extradimensional spaces.&lt;/p&gt;&lt;p&gt;Creatures in the extradimensional space are hidden, beyond the reach of spells (including divinations), unless those spells work across planes. The space holds as many as eight creatures (of any size). The rope cannot be removed or hidden. The rope can support up to 16,000 pounds. A weight greater than that can pull the rope free.&lt;/p&gt;&lt;p&gt;Spells cannot be cast across the extradimensional interface, nor can area effects cross it. Those in the extradimensional space can see out of it as if a 3-foot-by-5-foot window were centered on the rope. The window is invisible, and even creatures that can see the window can't see through it. Anything inside the extradimensional space drops out when the spell ends. The rope can be climbed by only one person at a time. The &lt;i&gt;rope trick&lt;/i&gt; spell enables climbers to reach a normal place if they do not climb all the way to the extradimensional space.&lt;/p&gt;</t>
  </si>
  <si>
    <t>&lt;link rel="stylesheet"href="PF.css"&gt;&lt;div class="heading"&gt;&lt;p class="alignleft"&gt;Rope Trick&lt;/p&gt;&lt;div style="clear: both;"&gt;&lt;/div&gt;&lt;/div&gt;&lt;div&gt;&lt;h5&gt;&lt;b&gt;School &lt;/b&gt;transmutation; &lt;b&gt;Level &lt;/b&gt;sorcerer/wizard 2&lt;/h5&gt;&lt;/div&gt;&lt;hr/&gt;&lt;div&gt;&lt;h5&gt;&lt;b&gt;CASTING&lt;/b&gt;&lt;/h5&gt;&lt;/div&gt;&lt;hr/&gt;&lt;div&gt;&lt;h5&gt;&lt;b&gt;Casting Time &lt;/b&gt;1 standard action&lt;/h5&gt;&lt;h5&gt;&lt;b&gt;Components &lt;/b&gt;V, S, M (powdered corn and a twisted loop of parchment)&lt;/h5&gt;&lt;/div&gt;&lt;hr/&gt;&lt;div&gt;&lt;h5&gt;&lt;b&gt;EFFECT&lt;/b&gt;&lt;/h5&gt;&lt;/div&gt;&lt;hr/&gt;&lt;div&gt;&lt;h5&gt;&lt;b&gt;Range &lt;/b&gt;touch&lt;/h5&gt;&lt;h5&gt;&lt;b&gt;Targets &lt;/b&gt;one touched piece of rope from 5 ft. to 30 ft. long&lt;/h5&gt;&lt;h5&gt;&lt;b&gt;Duration &lt;/b&gt;1 hour/level (D)&lt;/h5&gt;&lt;h5&gt;&lt;b&gt;Saving Throw &lt;/b&gt;none; &lt;b&gt;Spell Resistance &lt;/b&gt;no&lt;/h5&gt;&lt;/div&gt;&lt;hr/&gt;&lt;div&gt;&lt;h5&gt;&lt;b&gt;DESCRIPTION&lt;/b&gt;&lt;/h5&gt;&lt;/div&gt;&lt;hr/&gt;&lt;div&gt;&lt;h4&gt;&lt;p&gt;When this spell is cast upon a piece of rope from 5 to 30 feet long, one end of the rope rises into the air until the whole rope hangs perpendicular to the ground, as if affixed at the upper end.&lt;/p&gt;&lt;p&gt;The upper end is, in fact, fastened to an extradimensional space that is outside the usual multiverse of extradimensional spaces.&lt;/p&gt;&lt;p&gt;Creatures in the extradimensional space are hidden, beyond the reach of spells (including divinations), unless those spells work across planes. The space holds as many as eight creatures (of any size). The rope cannot be removed or hidden. The rope can support up to 16,000 pounds. A weight greater than that can pull the rope free.&lt;/p&gt;&lt;p&gt;Spells cannot be cast across the extradimensional interface, nor can area effects cross it. Those in the extradimensional space can see out of it as if a 3-foot-by-5-foot window were centered on the rope. The window is invisible, and even creatures that can see the window can't see through it. Anything inside the extradimensional space drops out when the spell ends. The rope can be climbed by only one person at a time. The &lt;i&gt;rope trick&lt;/i&gt; spell enables climbers to reach a normal place if they do not climb all the way to the extradimensional space.&lt;/p&gt;&lt;/h4&gt;&lt;/div&gt;</t>
  </si>
  <si>
    <t> As many as eight creatures hide in extradimensional space.</t>
  </si>
  <si>
    <t>Rusting Grasp</t>
  </si>
  <si>
    <t>one nonmagical ferrous object (or the volume of the object within 3 ft. of the touched point) or one ferrous creature</t>
  </si>
  <si>
    <t>Any iron or iron alloy item you touch crumbles into rust. If the item is so large that it cannot fit within a 3-foot radius, a 3-footradius volume of the metal is rusted and destroyed. Magic items made of metal are immune to this spell. You may employ rusting grasp in combat with a successful melee touch attack. Rusting grasp used in this way instantaneously destroys 1d6 points of AC gained from metal armor (to the maximum amount of protection the armor offers) through corrosion. Weapons in use by an opponent targeted by the spell are more difficult to grasp. You must succeed on a melee touch attack against the weapon. A metal weapon that is hit is destroyed. Striking at an opponent's weapon provokes an attack of opportunity. Also, you must touch the weapon and not the other way around. Against a ferrous creature, rusting grasp instantaneously deals 3d6 points of damage + 1 per caster level (maximum +15) per successful attack. The spell lasts for 1 round per level, and you can make one melee touch attack per round.</t>
  </si>
  <si>
    <t>&lt;p&gt;Any iron or iron alloy item you touch crumbles into rust. If the item is so large that it cannot fit within a 3-foot radius, a 3-footradius volume of the metal is rusted and destroyed. Magic items made of metal are immune to this spell.&lt;/p&gt;&lt;p&gt;You may employ &lt;i&gt;rusting grasp&lt;/i&gt; in combat with a successful melee touch attack. &lt;i&gt;Rusting grasp&lt;/i&gt; used in this way instantaneously destroys 1d6 points of AC gained from metal armor (to the maximum amount of protection the armor offers) through corrosion.&lt;/p&gt;&lt;p&gt;Weapons in use by an opponent targeted by the spell are more difficult to grasp. You must succeed on a melee touch attack against the weapon. A metal weapon that is hit is destroyed. Striking at an opponent's weapon provokes an attack of opportunity. Also, you must touch the weapon and not the other way around.&lt;/p&gt;&lt;p&gt;Against a ferrous creature, &lt;i&gt;rusting grasp&lt;/i&gt; instantaneously deals 3d6 points of damage + 1 per caster level (maximum +15) per successful attack. The spell lasts for 1 round per level, and you can make one melee touch attack per round.&lt;/p&gt;</t>
  </si>
  <si>
    <t>&lt;link rel="stylesheet"href="PF.css"&gt;&lt;div class="heading"&gt;&lt;p class="alignleft"&gt;Rusting Grasp&lt;/p&gt;&lt;div style="clear: both;"&gt;&lt;/div&gt;&lt;/div&gt;&lt;div&gt;&lt;h5&gt;&lt;b&gt;School &lt;/b&gt;transmutation; &lt;b&gt;Level &lt;/b&gt;druid 4&lt;/h5&gt;&lt;/div&gt;&lt;hr/&gt;&lt;div&gt;&lt;h5&gt;&lt;b&gt;CASTING&lt;/b&gt;&lt;/h5&gt;&lt;/div&gt;&lt;hr/&gt;&lt;div&gt;&lt;h5&gt;&lt;b&gt;Casting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&lt;/b&gt;one nonmagical ferrous object (or the volume of the object within 3 ft. of the touched point) or one ferrous creature&lt;/h5&gt;&lt;h5&gt;&lt;b&gt;Duration &lt;/b&gt;see text&lt;/h5&gt;&lt;h5&gt;&lt;b&gt;Saving Throw &lt;/b&gt;none; &lt;b&gt;Spell Resistance &lt;/b&gt;no&lt;/h5&gt;&lt;/div&gt;&lt;hr/&gt;&lt;div&gt;&lt;h5&gt;&lt;b&gt;DESCRIPTION&lt;/b&gt;&lt;/h5&gt;&lt;/div&gt;&lt;hr/&gt;&lt;div&gt;&lt;h4&gt;&lt;p&gt;Any iron or iron alloy item you touch crumbles into rust. If the item is so large that it cannot fit within a 3-foot radius, a 3-footradius volume of the metal is rusted and destroyed. Magic items made of metal are immune to this spell.&lt;/p&gt;&lt;p&gt;You may employ &lt;i&gt;rusting grasp&lt;/i&gt; in combat with a successful melee touch attack. &lt;i&gt;Rusting grasp&lt;/i&gt; used in this way instantaneously destroys 1d6 points of AC gained from metal armor (to the maximum amount of protection the armor offers) through corrosion.&lt;/p&gt;&lt;p&gt;Weapons in use by an opponent targeted by the spell are more difficult to grasp. You must succeed on a melee touch attack against the weapon. A metal weapon that is hit is destroyed. Striking at an opponent's weapon provokes an attack of opportunity. Also, you must touch the weapon and not the other way around.&lt;/p&gt;&lt;p&gt;Against a ferrous creature, &lt;i&gt;rusting grasp&lt;/i&gt; instantaneously deals 3d6 points of damage + 1 per caster level (maximum +15) per successful attack. The spell lasts for 1 round per level, and you can make one melee touch attack per round.&lt;/p&gt;&lt;/h4&gt;&lt;/div&gt;</t>
  </si>
  <si>
    <t> Your touch corrodes iron and alloys.</t>
  </si>
  <si>
    <t>Sanctuary</t>
  </si>
  <si>
    <t>cleric/oracle 1, inquisitor 1</t>
  </si>
  <si>
    <t>Any opponent attempting to directly attack the warded creature, even with a targeted spell, must attempt a Will save. If the save succeeds, the opponent can attack normally and is unaffected by that casting of the spell. If the save fails, the opponent can't follow through with the attack, that part of its action is lost, and it can't directly attack the warded creature for the duration of the spell. Those not attempting to attack the subject remain unaffected. This spell does not prevent the warded creature from being attacked or affected by area of effect spells. The subject cannot attack without breaking the spell but may use nonattack spells or otherwise act.</t>
  </si>
  <si>
    <t>&lt;p&gt;Any opponent attempting to directly attack the warded creature, even with a targeted spell, must attempt a Will save. If the save succeeds, the opponent can attack normally and is unaffected by that casting of the spell. If the save fails, the opponent can't follow through with the attack, that part of its action is lost, and it can't directly attack the warded creature for the duration of the spell.&lt;/p&gt;&lt;p&gt;Those not attempting to attack the subject remain unaffected. This spell does not prevent the warded creature from being attacked or affected by area of effect spells. The subject cannot attack without breaking the spell but may use nonattack spells or otherwise act.&lt;/p&gt;</t>
  </si>
  <si>
    <t>&lt;link rel="stylesheet"href="PF.css"&gt;&lt;div class="heading"&gt;&lt;p class="alignleft"&gt;Sanctuary&lt;/p&gt;&lt;div style="clear: both;"&gt;&lt;/div&gt;&lt;/div&gt;&lt;div&gt;&lt;h5&gt;&lt;b&gt;School &lt;/b&gt;abjuration; &lt;b&gt;Level &lt;/b&gt;cleric/oracle 1, inquisitor 1&lt;/h5&gt;&lt;/div&gt;&lt;hr/&gt;&lt;div&gt;&lt;h5&gt;&lt;b&gt;CASTING&lt;/b&gt;&lt;/h5&gt;&lt;/div&gt;&lt;hr/&gt;&lt;div&gt;&lt;h5&gt;&lt;b&gt;Casting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 touched&lt;/h5&gt;&lt;h5&gt;&lt;b&gt;Duration &lt;/b&gt;1 round/level&lt;/h5&gt;&lt;h5&gt;&lt;b&gt;Saving Throw &lt;/b&gt;Will negates; &lt;b&gt;Spell Resistance &lt;/b&gt;no&lt;/h5&gt;&lt;/div&gt;&lt;hr/&gt;&lt;div&gt;&lt;h5&gt;&lt;b&gt;DESCRIPTION&lt;/b&gt;&lt;/h5&gt;&lt;/div&gt;&lt;hr/&gt;&lt;div&gt;&lt;h4&gt;&lt;p&gt;Any opponent attempting to directly attack the warded creature, even with a targeted spell, must attempt a Will save. If the save succeeds, the opponent can attack normally and is unaffected by that casting of the spell. If the save fails, the opponent can't follow through with the attack, that part of its action is lost, and it can't directly attack the warded creature for the duration of the spell.&lt;/p&gt;&lt;p&gt;Those not attempting to attack the subject remain unaffected. This spell does not prevent the warded creature from being attacked or affected by area of effect spells. The subject cannot attack without breaking the spell but may use nonattack spells or otherwise act.&lt;/p&gt;&lt;/h4&gt;&lt;h5&gt;&lt;b&gt;Mythic: &lt;/b&gt;If an attacker succeeds at its Will save to attack the protected target, add your tier to the target's AC against the attack. If the target uses a healing spell or ability on another creature, that creature gains the benefit of non-mythic sanctuary for 1 round. If the creature breaks the non-mythic sanctuary by attacking, subsequent healing by the target doesn't create another non-mythic sanctuary effect on the creature.&lt;/h5&gt;&lt;h5&gt;&lt;b&gt;Augmented (2nd)&lt;/b&gt;: If you expend two uses of mythic power, select a number of additional creatures equal to half your tier that are within reach. These creatures gain the benefit of non-mythic sanctuary.&lt;/h5&gt;&lt;/div&gt;</t>
  </si>
  <si>
    <t>Freedom, Protection</t>
  </si>
  <si>
    <t> Opponents can't attack you, and you can't attack.</t>
  </si>
  <si>
    <t>If an attacker succeeds at its Will save to attack the protected target, add your tier to the target's AC against the attack. If the target uses a healing spell or ability on another creature, that creature gains the benefit of non-mythic sanctuary for 1 round. If the creature breaks the non-mythic sanctuary by attacking, subsequent healing by the target doesn't create another non-mythic sanctuary effect on the creature.</t>
  </si>
  <si>
    <t>Augmented (2nd): If you expend two uses of mythic power, select a number of additional creatures equal to half your tier that are within reach. These creatures gain the benefit of non-mythic sanctuary.</t>
  </si>
  <si>
    <t>Scare</t>
  </si>
  <si>
    <t>fear, mind-affecting, emotion</t>
  </si>
  <si>
    <t>bard 2, sorcerer/wizard 2, witch 2, antipaladin 2</t>
  </si>
  <si>
    <t>V, S, M (a bone from an undead creature)</t>
  </si>
  <si>
    <t>one living creature per three levels, no two of which can be more than 30 ft. apart</t>
  </si>
  <si>
    <t>1 round/level or 1 round; see text for cause fear</t>
  </si>
  <si>
    <t>This spell functions like cause fear, except that it causes all targeted creatures of less than 6 HD to become frightened.</t>
  </si>
  <si>
    <t>&lt;p&gt;This spell functions like &lt;i&gt;cause fear&lt;/i&gt;, except that it causes all targeted creatures of less than 6 HD to become frightened.&lt;/p&gt;</t>
  </si>
  <si>
    <t>&lt;link rel="stylesheet"href="PF.css"&gt;&lt;div class="heading"&gt;&lt;p class="alignleft"&gt;Scare&lt;/p&gt;&lt;div style="clear: both;"&gt;&lt;/div&gt;&lt;/div&gt;&lt;div&gt;&lt;h5&gt;&lt;b&gt;School &lt;/b&gt;necromancy [fear, mind-affecting, emotion]; &lt;b&gt;Level &lt;/b&gt;bard 2, sorcerer/wizard 2, witch 2, antipaladin 2&lt;/h5&gt;&lt;/div&gt;&lt;hr/&gt;&lt;div&gt;&lt;h5&gt;&lt;b&gt;CASTING&lt;/b&gt;&lt;/h5&gt;&lt;/div&gt;&lt;hr/&gt;&lt;div&gt;&lt;h5&gt;&lt;b&gt;Casting Time &lt;/b&gt;1 standard action&lt;/h5&gt;&lt;h5&gt;&lt;b&gt;Components &lt;/b&gt;V, S, M (a bone from an undead creature)&lt;/h5&gt;&lt;/div&gt;&lt;hr/&gt;&lt;div&gt;&lt;h5&gt;&lt;b&gt;EFFECT&lt;/b&gt;&lt;/h5&gt;&lt;/div&gt;&lt;hr/&gt;&lt;div&gt;&lt;h5&gt;&lt;b&gt;Range &lt;/b&gt;medium (100 ft. + 10 ft./level)&lt;/h5&gt;&lt;h5&gt;&lt;b&gt;Targets &lt;/b&gt;one living creature per three levels, no two of which can be more than 30 ft. apart&lt;/h5&gt;&lt;h5&gt;&lt;b&gt;Duration &lt;/b&gt;1 round/level or 1 round; see text for cause fear&lt;/h5&gt;&lt;h5&gt;&lt;b&gt;Saving Throw &lt;/b&gt;Will partial; &lt;b&gt;Spell Resistance &lt;/b&gt;yes&lt;/h5&gt;&lt;/div&gt;&lt;hr/&gt;&lt;div&gt;&lt;h5&gt;&lt;b&gt;DESCRIPTION&lt;/b&gt;&lt;/h5&gt;&lt;/div&gt;&lt;hr/&gt;&lt;div&gt;&lt;h4&gt;&lt;p&gt;This spell functions like &lt;i&gt;cause fear&lt;/i&gt;, except that it causes all targeted creatures of less than 6 HD to become frightened.&lt;/p&gt;&lt;/h4&gt;&lt;/div&gt;</t>
  </si>
  <si>
    <t>Panics creatures of less than 6 HD.</t>
  </si>
  <si>
    <t>Scintillating Pattern</t>
  </si>
  <si>
    <t>V, S, M (a crystal prism)</t>
  </si>
  <si>
    <t>colorful lights in a 20-ft.-radius spread</t>
  </si>
  <si>
    <t>A twisting pattern of coruscating colors weaves through the air, affecting creatures within. The spell affects a total number of HD of creatures equal to your caster level (maximum 20). Creatures with the fewest HD are affected first, and among creatures with equal HD, those who are closest to the spell's point of origin are affected first. HD that are not sufficient to affect a creature are wasted. The spell affects each subject according to its HD. 6 or less: Unconscious for 1d4 rounds, then stunned for 1d4 rounds, and then confused for 1d4 rounds. (Treat an unconscious result as stunned for nonliving creatures.) 7 to 12: Stunned for 1d4 rounds, then confused for an additional 1d4 rounds. 13 or more: Confused for 1d4 rounds. Sightless creatures are not affected by scintillating pattern.</t>
  </si>
  <si>
    <t>&lt;p&gt;A twisting pattern of coruscating colors weaves through the air, affecting creatures within. The spell affects a total number of HD of creatures equal to your caster level (maximum 20).&lt;/p&gt;&lt;p&gt;Creatures with the fewest HD are affected first, and among creatures with equal HD, those who are closest to the spell's point of origin are affected first. HD that are not sufficient to affect a creature are wasted. The spell affects each subject according to its HD.&lt;/p&gt;&lt;p&gt;&lt;i&gt;6 or less&lt;/i&gt;: Unconscious for 1d4 rounds, then stunned for 1d4 rounds, and then &lt;i&gt;confused&lt;/i&gt; for 1d4 rounds. (Treat an unconscious result as stunned for nonliving creatures.) &lt;i&gt;7 to 12&lt;/i&gt;: Stunned for 1d4 rounds, then &lt;i&gt;confused&lt;/i&gt; for an additional 1d4 rounds.&lt;/p&gt;&lt;p&gt;13 or more: Confused for 1d4 rounds.&lt;/p&gt;&lt;p&gt;Sightless creatures are not affected by scintillating pattern.&lt;/p&gt;</t>
  </si>
  <si>
    <t>&lt;link rel="stylesheet"href="PF.css"&gt;&lt;div class="heading"&gt;&lt;p class="alignleft"&gt;Scintillating Pattern&lt;/p&gt;&lt;div style="clear: both;"&gt;&lt;/div&gt;&lt;/div&gt;&lt;div&gt;&lt;h5&gt;&lt;b&gt;School &lt;/b&gt;illusion (pattern) [mind-affecting]; &lt;b&gt;Level &lt;/b&gt;sorcerer/wizard 8&lt;/h5&gt;&lt;/div&gt;&lt;hr/&gt;&lt;div&gt;&lt;h5&gt;&lt;b&gt;CASTING&lt;/b&gt;&lt;/h5&gt;&lt;/div&gt;&lt;hr/&gt;&lt;div&gt;&lt;h5&gt;&lt;b&gt;Casting Time &lt;/b&gt;1 standard action&lt;/h5&gt;&lt;h5&gt;&lt;b&gt;Components &lt;/b&gt;V, S, M (a crystal prism)&lt;/h5&gt;&lt;/div&gt;&lt;hr/&gt;&lt;div&gt;&lt;h5&gt;&lt;b&gt;EFFECT&lt;/b&gt;&lt;/h5&gt;&lt;/div&gt;&lt;hr/&gt;&lt;div&gt;&lt;h5&gt;&lt;b&gt;Range &lt;/b&gt;close (25 ft. + 5 ft./2 levels)&lt;/h5&gt;&lt;h5&gt;&lt;b&gt;Effect &lt;/b&gt;colorful lights in a 20-ft.-radius spread&lt;/h5&gt;&lt;h5&gt;&lt;b&gt;Duration &lt;/b&gt;concentration + 2 rounds&lt;/h5&gt;&lt;h5&gt;&lt;b&gt;Saving Throw &lt;/b&gt;none; &lt;b&gt;Spell Resistance &lt;/b&gt;yes&lt;/h5&gt;&lt;/div&gt;&lt;hr/&gt;&lt;div&gt;&lt;h5&gt;&lt;b&gt;DESCRIPTION&lt;/b&gt;&lt;/h5&gt;&lt;/div&gt;&lt;hr/&gt;&lt;div&gt;&lt;h4&gt;&lt;p&gt;A twisting pattern of coruscating colors weaves through the air, affecting creatures within. The spell affects a total number of HD of creatures equal to your caster level (maximum 20).&lt;/p&gt;&lt;p&gt;Creatures with the fewest HD are affected first, and among creatures with equal HD, those who are closest to the spell's point of origin are affected first. HD that are not sufficient to affect a creature are wasted. The spell affects each subject according to its HD.&lt;/p&gt;&lt;p&gt;&lt;i&gt;6 or less&lt;/i&gt;: Unconscious for 1d4 rounds, then stunned for 1d4 rounds, and then &lt;i&gt;confused&lt;/i&gt; for 1d4 rounds. (Treat an unconscious result as stunned for nonliving creatures.) &lt;i&gt;7 to 12&lt;/i&gt;: Stunned for 1d4 rounds, then &lt;i&gt;confused&lt;/i&gt; for an additional 1d4 rounds.&lt;/p&gt;&lt;p&gt;13 or more: Confused for 1d4 rounds.&lt;/p&gt;&lt;p&gt;Sightless creatures are not affected by scintillating pattern.&lt;/p&gt;&lt;/h4&gt;&lt;/div&gt;</t>
  </si>
  <si>
    <t>Madness</t>
  </si>
  <si>
    <t> Twisting colors confuse, stun, or render unconscious.</t>
  </si>
  <si>
    <t>Scorching Ray</t>
  </si>
  <si>
    <t>one or more rays</t>
  </si>
  <si>
    <t>You blast your enemies with a searing beam of fire. You may fire one ray, plus one additional ray for every four levels beyond 3rd (to a maximum of three rays at 11th level). Each ray requires a ranged touch attack to hit and deals 4d6 points of fire damage. The rays may be fired at the same or different targets, but all rays must be aimed at targets within 30 feet of each other and fired simultaneously.</t>
  </si>
  <si>
    <t>&lt;p&gt;You blast your enemies with a searing beam of fire. You may fire one ray, plus one additional ray for every four levels beyond 3rd (to a maximum of three rays at 11th level). Each ray requires a ranged touch attack to hit and deals 4d6 points of fire damage. The rays may be fired at the same or different targets, but all rays must be aimed at targets within 30 feet of each other and fired simultaneously.&lt;/p&gt;</t>
  </si>
  <si>
    <t>&lt;link rel="stylesheet"href="PF.css"&gt;&lt;div class="heading"&gt;&lt;p class="alignleft"&gt;Scorching Ray&lt;/p&gt;&lt;div style="clear: both;"&gt;&lt;/div&gt;&lt;/div&gt;&lt;div&gt;&lt;h5&gt;&lt;b&gt;School &lt;/b&gt;evocation [fire]; &lt;b&gt;Level &lt;/b&gt;sorcerer/wizard 2, magus 2&lt;/h5&gt;&lt;/div&gt;&lt;hr/&gt;&lt;div&gt;&lt;h5&gt;&lt;b&gt;CASTING&lt;/b&gt;&lt;/h5&gt;&lt;/div&gt;&lt;hr/&gt;&lt;div&gt;&lt;h5&gt;&lt;b&gt;Casting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levels)&lt;/h5&gt;&lt;h5&gt;&lt;b&gt;Effect &lt;/b&gt;one or more rays&lt;/h5&gt;&lt;h5&gt;&lt;b&gt;Duration &lt;/b&gt;instantaneous&lt;/h5&gt;&lt;h5&gt;&lt;b&gt;Saving Throw &lt;/b&gt;none; &lt;b&gt;Spell Resistance &lt;/b&gt;yes&lt;/h5&gt;&lt;/div&gt;&lt;hr/&gt;&lt;div&gt;&lt;h5&gt;&lt;b&gt;DESCRIPTION&lt;/b&gt;&lt;/h5&gt;&lt;/div&gt;&lt;hr/&gt;&lt;div&gt;&lt;h4&gt;&lt;p&gt;You blast your enemies with a searing beam of fire. You may fire one ray, plus one additional ray for every four levels beyond 3rd (to a maximum of three rays at 11th level). Each ray requires a ranged touch attack to hit and deals 4d6 points of fire damage. The rays may be fired at the same or different targets, but all rays must be aimed at targets within 30 feet of each other and fired simultaneously.&lt;/p&gt;&lt;/h4&gt;&lt;h5&gt;&lt;b&gt;Mythic: &lt;/b&gt;Each ray's damage increases to 6d6 points of fire damage. The first ray bypasses fire resistance and immunity.&lt;/h5&gt;&lt;/div&gt;</t>
  </si>
  <si>
    <t> Ranged touch attack deals 4d6 fire damage, + 1 ray/four levels (max 3).</t>
  </si>
  <si>
    <t>Efreeti, Elemental, Infernal</t>
  </si>
  <si>
    <t>Each ray's damage increases to 6d6 points of fire damage. The first ray bypasses fire resistance and immunity.</t>
  </si>
  <si>
    <t>Screen</t>
  </si>
  <si>
    <t>This spell creates a powerful protection from scrying and observation. When casting the spell, you dictate what will and will not be observed in the spell's area. The illusion created must be stated in general terms. Once the conditions are set, they cannot be changed. Attempts to scry the area automatically detect the image stated by you with no save allowed. Sight and sound are appropriate to the illusion created. Direct observation may allow a save (as per a normal illusion), if there is cause to disbelieve what is seen. Even entering the area does not cancel the illusion or necessarily allow a save, assuming that hidden beings take care to stay out of the way of those affected by the illusion.</t>
  </si>
  <si>
    <t>&lt;p&gt;This spell creates a powerful protection from scrying and observation. When casting the spell, you dictate what will and will not be observed in the spell's area. The illusion created must be stated in general terms. Once the conditions are set, they cannot be changed. Attempts to scry the area automatically detect the image stated by you with no save allowed. Sight and sound are appropriate to the illusion created. Direct observation may allow a save (as per a normal illusion), if there is cause to disbelieve what is seen. Even entering the area does not cancel the illusion or necessarily allow a save, assuming that hidden beings take care to stay out of the way of those affected by the illusion.&lt;/p&gt;</t>
  </si>
  <si>
    <t>&lt;link rel="stylesheet"href="PF.css"&gt;&lt;div class="heading"&gt;&lt;p class="alignleft"&gt;Screen&lt;/p&gt;&lt;div style="clear: both;"&gt;&lt;/div&gt;&lt;/div&gt;&lt;div&gt;&lt;h5&gt;&lt;b&gt;School &lt;/b&gt;illusion (glamer); &lt;b&gt;Level &lt;/b&gt;sorcerer/wizard 8&lt;/h5&gt;&lt;/div&gt;&lt;hr/&gt;&lt;div&gt;&lt;h5&gt;&lt;b&gt;CASTING&lt;/b&gt;&lt;/h5&gt;&lt;/div&gt;&lt;hr/&gt;&lt;div&gt;&lt;h5&gt;&lt;b&gt;Casting Time &lt;/b&gt;10 minutes&lt;/h5&gt;&lt;h5&gt;&lt;b&gt;Components &lt;/b&gt;V, S&lt;/h5&gt;&lt;/div&gt;&lt;hr/&gt;&lt;div&gt;&lt;h5&gt;&lt;b&gt;EFFECT&lt;/b&gt;&lt;/h5&gt;&lt;/div&gt;&lt;hr/&gt;&lt;div&gt;&lt;h5&gt;&lt;b&gt;Range &lt;/b&gt;close (25 ft. + 5 ft./2 levels)&lt;/h5&gt;&lt;h5&gt;&lt;b&gt;Area &lt;/b&gt;30-ft. cube/level (S)&lt;/h5&gt;&lt;h5&gt;&lt;b&gt;Duration &lt;/b&gt;24 hours&lt;/h5&gt;&lt;h5&gt;&lt;b&gt;Saving Throw &lt;/b&gt;none or Will disbelief (if interacted with); see text; &lt;b&gt;Spell Resistance &lt;/b&gt;no&lt;/h5&gt;&lt;/div&gt;&lt;hr/&gt;&lt;div&gt;&lt;h5&gt;&lt;b&gt;DESCRIPTION&lt;/b&gt;&lt;/h5&gt;&lt;/div&gt;&lt;hr/&gt;&lt;div&gt;&lt;h4&gt;&lt;p&gt;This spell creates a powerful protection from scrying and observation. When casting the spell, you dictate what will and will not be observed in the spell's area. The illusion created must be stated in general terms. Once the conditions are set, they cannot be changed. Attempts to scry the area automatically detect the image stated by you with no save allowed. Sight and sound are appropriate to the illusion created. Direct observation may allow a save (as per a normal illusion), if there is cause to disbelieve what is seen. Even entering the area does not cancel the illusion or necessarily allow a save, assuming that hidden beings take care to stay out of the way of those affected by the illusion.&lt;/p&gt;&lt;/h4&gt;&lt;/div&gt;</t>
  </si>
  <si>
    <t> Illusion hides area from vision and scrying.</t>
  </si>
  <si>
    <t>Scrying</t>
  </si>
  <si>
    <t>bard 3, cleric 5/oracle 5, druid 4, sorcerer/wizard 4, witch 4</t>
  </si>
  <si>
    <t>V, S, M/DF (a pool of water), F (a silver mirror worth 1,000 gp)</t>
  </si>
  <si>
    <t>You can observe a creature at any distance. If the subject succeeds on a Will save, the spell fails. The difficulty of the save depends on how well your knowledge of the subject and what sort of physical connection (if any) you have to that creature. Furthermore, if the subject is on another plane, it gets a +5 bonus on its Will save. Will Save Knowledge M odifier None* +10 Secondhand (you have heard of the subject) +5 Firsthand (you have met the subject) +0 Familiar (you know the subject well) -5 *You must have some sort of connection (see below) to a creature of which you have no knowledge. Will Save Connection M odifier Likeness or picture -2 Possession or garment -4 Body part, lock of hair, bit of nail, etc. -10 If the save fails, you can see and hear the subject and its surroundings (approximately 10 feet in all directions of the subject). If the subject moves, the sensor follows at a speed of up to 150 feet. As with all divination (scrying) spells, the sensor has your full visual acuity, including any magical effects. In addition, the following spells have a 5% chance per caster level of operating through the sensor: detect chaos, detect evil, detect good, detect law, detect magic, and message. If the save succeeds, you can't attempt to scry on that subject again for at least 24 hours.</t>
  </si>
  <si>
    <t>&lt;p&gt;You can observe a creature at any distance. If the subject succeeds on a Will save, the spell fails. The difficulty of the save depends on how well your knowledge of the subject and what sort of physical connection (if any) you have to that creature.&lt;/p&gt;&lt;p&gt;Furthermore, if the subject is on another plane, it gets a +5 bonus on its Will save.&lt;/p&gt;&lt;p&gt; &lt;table&gt;&lt;tr&gt;&lt;th&gt;Knowledge&lt;/th&gt;&lt;th&gt;Will Save Modifier&lt;/th&gt;&lt;/tr&gt;&lt;tr&gt;&lt;td&gt;None*&lt;/td&gt;&lt;td&gt;+10&lt;/td&gt;&lt;/tr&gt;&lt;tr&gt;&lt;td&gt;Secondhand (you have heard of the subject)&lt;/td&gt;&lt;td&gt;+5&lt;/td&gt;&lt;/tr&gt;&lt;tr&gt;&lt;td&gt;Firsthand (you have met the subject)&lt;/td&gt;&lt;td&gt;+0&lt;/td&gt;&lt;/tr&gt;&lt;tr&gt;&lt;td&gt;Familiar (you know the subject well)&lt;/td&gt;&lt;td&gt;-5&lt;/td&gt;&lt;/tr&gt;&lt;tr&gt;&lt;td colspan="2"&gt;*You must have some sort of connection (see below) to a creature of which you have no knowledge.&lt;/td&gt;&lt;/tr&gt;&lt;/table&gt; &lt;/p&gt;&lt;p&gt; &lt;table&gt;&lt;tr&gt;&lt;th&gt;Connection&lt;/th&gt;&lt;th&gt;Will Save Modifier&lt;/th&gt;&lt;/tr&gt;&lt;tr&gt;&lt;td&gt;Likeness or picture&lt;/td&gt;&lt;td&gt;-2&lt;/td&gt;&lt;/tr&gt;&lt;tr&gt;&lt;td&gt;Possession or garment&lt;/td&gt;&lt;td&gt;-4&lt;/td&gt;&lt;/tr&gt;&lt;tr&gt;&lt;td&gt;Body part, lock of hair, bit of nail, etc.&lt;/td&gt;&lt;td&gt;-10&lt;/td&gt;&lt;/tr&gt;&lt;/table&gt; If the save fails, you can see and hear the subject and its surroundings (approximately 10 feet in all directions of the subject).&lt;/p&gt;&lt;p&gt;If the subject moves, the sensor follows at a speed of up to 150 feet.&lt;/p&gt;&lt;p&gt;As with all divination (scrying) spells, the sensor has your full visual acuity, including any magical effects. In addition, the following spells have a 5% chance per caster level of operating through the sensor: &lt;i&gt;detect chaos&lt;/i&gt;, &lt;i&gt;detect evil&lt;/i&gt;, &lt;i&gt;detect good&lt;/i&gt;, &lt;i&gt;detect law&lt;/i&gt;, &lt;i&gt;detect magic&lt;/i&gt;, and &lt;i&gt;message.&lt;/i&gt;&lt;/p&gt;&lt;p&gt;If the save succeeds, you can't attempt to scry on that subject again for at least 24 hours.&lt;/p&gt;</t>
  </si>
  <si>
    <t>&lt;link rel="stylesheet"href="PF.css"&gt;&lt;div class="heading"&gt;&lt;p class="alignleft"&gt;Scrying&lt;/p&gt;&lt;div style="clear: both;"&gt;&lt;/div&gt;&lt;/div&gt;&lt;div&gt;&lt;h5&gt;&lt;b&gt;School &lt;/b&gt;divination (scrying); &lt;b&gt;Level &lt;/b&gt;bard 3, cleric 5/oracle 5, druid 4, sorcerer/wizard 4, witch 4&lt;/h5&gt;&lt;/div&gt;&lt;hr/&gt;&lt;div&gt;&lt;h5&gt;&lt;b&gt;CASTING&lt;/b&gt;&lt;/h5&gt;&lt;/div&gt;&lt;hr/&gt;&lt;div&gt;&lt;h5&gt;&lt;b&gt;Casting Time &lt;/b&gt;1 hour&lt;/h5&gt;&lt;h5&gt;&lt;b&gt;Components &lt;/b&gt;V, S, M/DF (a pool of water), F (a silver mirror worth 1,000 gp)&lt;/h5&gt;&lt;/div&gt;&lt;hr/&gt;&lt;div&gt;&lt;h5&gt;&lt;b&gt;EFFECT&lt;/b&gt;&lt;/h5&gt;&lt;/div&gt;&lt;hr/&gt;&lt;div&gt;&lt;h5&gt;&lt;b&gt;Range &lt;/b&gt;see text&lt;/h5&gt;&lt;h5&gt;&lt;b&gt;Effect &lt;/b&gt;magical sensor&lt;/h5&gt;&lt;h5&gt;&lt;b&gt;Duration &lt;/b&gt;1 min./level&lt;/h5&gt;&lt;h5&gt;&lt;b&gt;Saving Throw &lt;/b&gt;Will negates; &lt;b&gt;Spell Resistance &lt;/b&gt;yes&lt;/h5&gt;&lt;/div&gt;&lt;hr/&gt;&lt;div&gt;&lt;h5&gt;&lt;b&gt;DESCRIPTION&lt;/b&gt;&lt;/h5&gt;&lt;/div&gt;&lt;hr/&gt;&lt;div&gt;&lt;h4&gt;&lt;p&gt;You can observe a creature at any distance. If the subject succeeds on a Will save, the spell fails. The difficulty of the save depends on how well your knowledge of the subject and what sort of physical connection (if any) you have to that creature.&lt;/p&gt;&lt;p&gt;Furthermore, if the subject is on another plane, it gets a +5 bonus on its Will save.&lt;/p&gt;&lt;p&gt; &lt;table&gt;&lt;tr&gt;&lt;th&gt;Knowledge&lt;/th&gt;&lt;th&gt;Will Save Modifier&lt;/th&gt;&lt;/tr&gt;&lt;tr&gt;&lt;td&gt;None*&lt;/td&gt;&lt;td&gt;+10&lt;/td&gt;&lt;/tr&gt;&lt;tr&gt;&lt;td&gt;Secondhand (you have heard of the subject)&lt;/td&gt;&lt;td&gt;+5&lt;/td&gt;&lt;/tr&gt;&lt;tr&gt;&lt;td&gt;Firsthand (you have met the subject)&lt;/td&gt;&lt;td&gt;+0&lt;/td&gt;&lt;/tr&gt;&lt;tr&gt;&lt;td&gt;Familiar (you know the subject well)&lt;/td&gt;&lt;td&gt;-5&lt;/td&gt;&lt;/tr&gt;&lt;tr&gt;&lt;td colspan="2"&gt;*You must have some sort of connection (see below) to a creature of which you have no knowledge.&lt;/td&gt;&lt;/tr&gt;&lt;/table&gt; &lt;/p&gt;&lt;p&gt; &lt;table&gt;&lt;tr&gt;&lt;th&gt;Connection&lt;/th&gt;&lt;th&gt;Will Save Modifier&lt;/th&gt;&lt;/tr&gt;&lt;tr&gt;&lt;td&gt;Likeness or picture&lt;/td&gt;&lt;td&gt;-2&lt;/td&gt;&lt;/tr&gt;&lt;tr&gt;&lt;td&gt;Possession or garment&lt;/td&gt;&lt;td&gt;-4&lt;/td&gt;&lt;/tr&gt;&lt;tr&gt;&lt;td&gt;Body part, lock of hair, bit of nail, etc.&lt;/td&gt;&lt;td&gt;-10&lt;/td&gt;&lt;/tr&gt;&lt;/table&gt; If the save fails, you can see and hear the subject and its surroundings (approximately 10 feet in all directions of the subject).&lt;/p&gt;&lt;p&gt;If the subject moves, the sensor follows at a speed of up to 150 feet.&lt;/p&gt;&lt;p&gt;As with all divination (scrying) spells, the sensor has your full visual acuity, including any magical effects. In addition, the following spells have a 5% chance per caster level of operating through the sensor: &lt;i&gt;detect chaos&lt;/i&gt;, &lt;i&gt;detect evil&lt;/i&gt;, &lt;i&gt;detect good&lt;/i&gt;, &lt;i&gt;detect law&lt;/i&gt;, &lt;i&gt;detect magic&lt;/i&gt;, and &lt;i&gt;message.&lt;/i&gt;&lt;/p&gt;&lt;p&gt;If the save succeeds, you can't attempt to scry on that subject again for at least 24 hours.&lt;/p&gt;&lt;/h4&gt;&lt;/div&gt;</t>
  </si>
  <si>
    <t>Spies on subject from a distance.</t>
  </si>
  <si>
    <t>Scrying, Greater</t>
  </si>
  <si>
    <t>bard 6, cleric 7/oracle 7, druid 7, sorcerer/wizard 7, witch 7</t>
  </si>
  <si>
    <t>This spell functions like scrying, except as noted above. Additionally, all of the following spells function reliably through the sensor: detect chaos, detect evil, detect good, detect law, detect magic, message, read magic, and tongues.</t>
  </si>
  <si>
    <t>&lt;p&gt;This spell functions like &lt;i&gt;scrying,&lt;/i&gt; except as noted above.&lt;/p&gt;&lt;p&gt;Additionally, all of the following spells function reliably through the sensor: &lt;i&gt;detect chaos&lt;/i&gt;, &lt;i&gt;detect evil&lt;/i&gt;, &lt;i&gt;detect good&lt;/i&gt;, &lt;i&gt;detect law&lt;/i&gt;, &lt;i&gt;detect magic&lt;/i&gt;, &lt;i&gt;message&lt;/i&gt;, &lt;i&gt;read magic,&lt;/i&gt; and &lt;i&gt;tongues&lt;/i&gt;.&lt;/p&gt;</t>
  </si>
  <si>
    <t>&lt;link rel="stylesheet"href="PF.css"&gt;&lt;div class="heading"&gt;&lt;p class="alignleft"&gt;Scrying, Greater&lt;/p&gt;&lt;div style="clear: both;"&gt;&lt;/div&gt;&lt;/div&gt;&lt;div&gt;&lt;h5&gt;&lt;b&gt;School &lt;/b&gt;divination (scrying); &lt;b&gt;Level &lt;/b&gt;bard 6, cleric 7/oracle 7, druid 7, sorcerer/wizard 7, witch 7&lt;/h5&gt;&lt;/div&gt;&lt;hr/&gt;&lt;div&gt;&lt;h5&gt;&lt;b&gt;CASTING&lt;/b&gt;&lt;/h5&gt;&lt;/div&gt;&lt;hr/&gt;&lt;div&gt;&lt;h5&gt;&lt;b&gt;Casting Time &lt;/b&gt;1 standard action&lt;/h5&gt;&lt;h5&gt;&lt;b&gt;Components &lt;/b&gt;V, S&lt;/h5&gt;&lt;/div&gt;&lt;hr/&gt;&lt;div&gt;&lt;h5&gt;&lt;b&gt;EFFECT&lt;/b&gt;&lt;/h5&gt;&lt;/div&gt;&lt;hr/&gt;&lt;div&gt;&lt;h5&gt;&lt;b&gt;Range &lt;/b&gt;see text&lt;/h5&gt;&lt;h5&gt;&lt;b&gt;Effect &lt;/b&gt;magical sensor&lt;/h5&gt;&lt;h5&gt;&lt;b&gt;Duration &lt;/b&gt;1 hour/level&lt;/h5&gt;&lt;h5&gt;&lt;b&gt;Saving Throw &lt;/b&gt;Will negates; &lt;b&gt;Spell Resistance &lt;/b&gt;yes&lt;/h5&gt;&lt;/div&gt;&lt;hr/&gt;&lt;div&gt;&lt;h5&gt;&lt;b&gt;DESCRIPTION&lt;/b&gt;&lt;/h5&gt;&lt;/div&gt;&lt;hr/&gt;&lt;div&gt;&lt;h4&gt;&lt;p&gt;This spell functions like &lt;i&gt;scrying,&lt;/i&gt; except as noted above.&lt;/p&gt;&lt;p&gt;Additionally, all of the following spells function reliably through the sensor: &lt;i&gt;detect chaos&lt;/i&gt;, &lt;i&gt;detect evil&lt;/i&gt;, &lt;i&gt;detect good&lt;/i&gt;, &lt;i&gt;detect law&lt;/i&gt;, &lt;i&gt;detect magic&lt;/i&gt;, &lt;i&gt;message&lt;/i&gt;, &lt;i&gt;read magic,&lt;/i&gt; and &lt;i&gt;tongues&lt;/i&gt;.&lt;/p&gt;&lt;/h4&gt;&lt;/div&gt;</t>
  </si>
  <si>
    <t>As scrying, but faster and longer.</t>
  </si>
  <si>
    <t>Sculpt Sound</t>
  </si>
  <si>
    <t>one creature or object/level, no two of which can be more than 30 ft. apart</t>
  </si>
  <si>
    <t>You can change the sounds that creatures or objects make. You can create sounds where none exist, deaden sounds, or transform sounds into other sounds. All affected creatures or objects must be transmuted in the same way. Once the transmutation is made, you cannot change it. You can change the qualities of sounds but cannot create words with which you are unfamiliar yourself. A spellcaster whose voice is changed dramatically is unable to cast spells with verbal components.</t>
  </si>
  <si>
    <t>&lt;p&gt;You can change the sounds that creatures or objects make. You can create sounds where none exist, deaden sounds, or transform sounds into other sounds. All affected creatures or objects must be transmuted in the same way. Once the transmutation is made, you cannot change it. You can change the qualities of sounds but cannot create words with which you are unfamiliar yourself.&lt;/p&gt;&lt;p&gt;A spellcaster whose voice is changed dramatically is unable to cast spells with verbal components.&lt;/p&gt;</t>
  </si>
  <si>
    <t>&lt;link rel="stylesheet"href="PF.css"&gt;&lt;div class="heading"&gt;&lt;p class="alignleft"&gt;Sculpt Sound&lt;/p&gt;&lt;div style="clear: both;"&gt;&lt;/div&gt;&lt;/div&gt;&lt;div&gt;&lt;h5&gt;&lt;b&gt;School &lt;/b&gt;transmutation; &lt;b&gt;Level &lt;/b&gt;bard 3&lt;/h5&gt;&lt;/div&gt;&lt;hr/&gt;&lt;div&gt;&lt;h5&gt;&lt;b&gt;CASTING&lt;/b&gt;&lt;/h5&gt;&lt;/div&gt;&lt;hr/&gt;&lt;div&gt;&lt;h5&gt;&lt;b&gt;Casting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 or object/level, no two of which can be more than 30 ft. apart&lt;/h5&gt;&lt;h5&gt;&lt;b&gt;Duration &lt;/b&gt;1 hour/level (D)&lt;/h5&gt;&lt;h5&gt;&lt;b&gt;Saving Throw &lt;/b&gt;Will negates (object); &lt;b&gt;Spell Resistance &lt;/b&gt;yes (object)&lt;/h5&gt;&lt;/div&gt;&lt;hr/&gt;&lt;div&gt;&lt;h5&gt;&lt;b&gt;DESCRIPTION&lt;/b&gt;&lt;/h5&gt;&lt;/div&gt;&lt;hr/&gt;&lt;div&gt;&lt;h4&gt;&lt;p&gt;You can change the sounds that creatures or objects make. You can create sounds where none exist, deaden sounds, or transform sounds into other sounds. All affected creatures or objects must be transmuted in the same way. Once the transmutation is made, you cannot change it. You can change the qualities of sounds but cannot create words with which you are unfamiliar yourself.&lt;/p&gt;&lt;p&gt;A spellcaster whose voice is changed dramatically is unable to cast spells with verbal components.&lt;/p&gt;&lt;/h4&gt;&lt;/div&gt;</t>
  </si>
  <si>
    <t> Creates new sounds or changes existing ones into new sounds.</t>
  </si>
  <si>
    <t>Searing Light</t>
  </si>
  <si>
    <t>Focusing divine power like a ray of the sun, you project a blast of light from your open palm. You must succeed on a ranged touch attack to strike your target. A creature struck by this ray of light takes 1d8 points of damage per two caster levels (maximum 5d8). An undead creature takes 1d6 points of damage per caster level (maximum 10d6), and an undead creature particularly vulnerable to bright light takes 1d8 points of damage per caster level (maximum 10d8). A construct or inanimate object takes only 1d6 points of damage per two caster levels (maximum 5d6).</t>
  </si>
  <si>
    <t>&lt;p&gt;Focusing divine power like a ray of the sun, you project a blast of light from your open palm. You must succeed on a ranged touch attack to strike your target. A creature struck by this ray of light takes 1d8 points of damage per two caster levels (maximum 5d8). An undead creature takes 1d6 points of damage per caster level (maximum 10d6), and an undead creature particularly vulnerable to bright light takes 1d8 points of damage per caster level (maximum 10d8). A construct or inanimate object takes only 1d6 points of damage per two caster levels (maximum 5d6).&lt;/p&gt;</t>
  </si>
  <si>
    <t>&lt;link rel="stylesheet"href="PF.css"&gt;&lt;div class="heading"&gt;&lt;p class="alignleft"&gt;Searing Light&lt;/p&gt;&lt;div style="clear: both;"&gt;&lt;/div&gt;&lt;/div&gt;&lt;div&gt;&lt;h5&gt;&lt;b&gt;School &lt;/b&gt;evocation; &lt;b&gt;Level &lt;/b&gt;cleric/oracle 3, inquisitor 3&lt;/h5&gt;&lt;/div&gt;&lt;hr/&gt;&lt;div&gt;&lt;h5&gt;&lt;b&gt;CASTING&lt;/b&gt;&lt;/h5&gt;&lt;/div&gt;&lt;hr/&gt;&lt;div&gt;&lt;h5&gt;&lt;b&gt;Casting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ft./level)&lt;/h5&gt;&lt;h5&gt;&lt;b&gt;Effect &lt;/b&gt;ray&lt;/h5&gt;&lt;h5&gt;&lt;b&gt;Duration &lt;/b&gt;instantaneous&lt;/h5&gt;&lt;h5&gt;&lt;b&gt;Saving Throw &lt;/b&gt;none; &lt;b&gt;Spell Resistance &lt;/b&gt;yes&lt;/h5&gt;&lt;/div&gt;&lt;hr/&gt;&lt;div&gt;&lt;h5&gt;&lt;b&gt;DESCRIPTION&lt;/b&gt;&lt;/h5&gt;&lt;/div&gt;&lt;hr/&gt;&lt;div&gt;&lt;h4&gt;&lt;p&gt;Focusing divine power like a ray of the sun, you project a blast of light from your open palm. You must succeed on a ranged touch attack to strike your target. A creature struck by this ray of light takes 1d8 points of damage per two caster levels (maximum 5d8). An undead creature takes 1d6 points of damage per caster level (maximum 10d6), and an undead creature particularly vulnerable to bright light takes 1d8 points of damage per caster level (maximum 10d8). A construct or inanimate object takes only 1d6 points of damage per two caster levels (maximum 5d6).&lt;/p&gt;&lt;/h4&gt;&lt;h5&gt;&lt;b&gt;Mythic: &lt;/b&gt;The spell's damage increases to 1d6 per caster level (maximum 10d6). The damage dealt to an undead creature increases to 1d8 points of damage per caster level (maximum 10d8), or 2d6 per caster level (maximum 20d6) if the undead is vulnerable to bright light. The damage dealt to constructs increases to 1d8 points of damage per 2 caster levels (maximum 5d8). If a creature struck has light sensitivity or light blindness, it takes the penalty from that weakness for 1 round after being struck by the light.&lt;/h5&gt;&lt;/div&gt;</t>
  </si>
  <si>
    <t>Glory, Sun</t>
  </si>
  <si>
    <t> Ray deals 1d8/two levels damage (more against undead).</t>
  </si>
  <si>
    <t>The spell's damage increases to 1d6 per caster level (maximum 10d6). The damage dealt to an undead creature increases to 1d8 points of damage per caster level (maximum 10d8), or 2d6 per caster level (maximum 20d6) if the undead is vulnerable to bright light. The damage dealt to constructs increases to 1d8 points of damage per 2 caster levels (maximum 5d8). If a creature struck has light sensitivity or light blindness, it takes the penalty from that weakness for 1 round after being struck by the light.</t>
  </si>
  <si>
    <t>Secret Chest</t>
  </si>
  <si>
    <t>V, S, F (the chest and its replica)</t>
  </si>
  <si>
    <t>one chest and up to 1 cu. ft. of goods/caster level</t>
  </si>
  <si>
    <t>60 days or until discharged</t>
  </si>
  <si>
    <t>You hide a chest on the Ethereal Plane for as long as 60 days and can retrieve it at will. The chest can contain up to 1 cubic foot of material per caster level (regardless of the chest's actual size, which is about 3 feet by 2 feet by 2 feet). If any living creatures are in the chest, there is a 75% chance that the spell simply fails. Once the chest is hidden, you can retrieve it by concentrating (a standard action), and it appears next to you. The chest must be exceptionally well crafted and expensive, constructed for you by master crafters. The cost of such a chest is never less than 5,000 gp. Once it is constructed, you must make a tiny replica (of the same materials and perfect in every detail) so that the miniature of the chest appears to be a perfect copy. (The replica costs 50 gp.) The chests are nonmagical and can be fitted with locks, wards, and so on, just as any normal chest can be. To hide the chest, you cast the spell while touching both the chest and the replica. The chest vanishes into the Ethereal Plane. You need the replica to recall the chest. After 60 days, there is a cumulative chance of 5% per day that the chest is irretrievably lost. If the miniature of the chest is lost or destroyed, there is no way, even with a wish spell, that the large chest can be summoned back, although an extraplanar expedition might be mounted to find it. Living things in the chest eat, sleep, and age normally, and they die if they run out of food, air, water, or whatever they need to survive.</t>
  </si>
  <si>
    <t>&lt;p&gt;You hide a chest on the Ethereal Plane for as long as 60 days and can retrieve it at will. The chest can contain up to 1 cubic foot of material per caster level (regardless of the chest's actual size, which is about 3 feet by 2 feet by 2 feet). If any living creatures are in the chest, there is a 75% chance that the spell simply fails.&lt;/p&gt;&lt;p&gt;Once the chest is hidden, you can retrieve it by concentrating (a standard action), and it appears next to you.&lt;/p&gt;&lt;p&gt;The chest must be exceptionally well crafted and expensive, constructed for you by master crafters. The cost of such a chest is never less than 5,000 gp. Once it is constructed, you must make a tiny replica (of the same materials and perfect in every detail) so that the miniature of the chest appears to be a perfect copy. (The replica costs 50 gp.) The chests are nonmagical and can be fitted with locks, wards, and so on, just as any normal chest can be.&lt;/p&gt;&lt;p&gt;To hide the chest, you cast the spell while touching both the chest and the replica. The chest vanishes into the Ethereal Plane.&lt;/p&gt;&lt;p&gt;You need the replica to recall the chest. After 60 days, there is a cumulative chance of 5% per day that the chest is irretrievably lost.&lt;/p&gt;&lt;p&gt;If the miniature of the chest is lost or destroyed, there is no way, even with a &lt;i&gt;wish&lt;/i&gt; spell, that the large chest can be summoned back, although an extraplanar expedition might be mounted to find it.&lt;/p&gt;&lt;p&gt;Living things in the chest eat, sleep, and age normally, and they die if they run out of food, air, water, or whatever they need to survive.&lt;/p&gt;</t>
  </si>
  <si>
    <t>&lt;link rel="stylesheet"href="PF.css"&gt;&lt;div class="heading"&gt;&lt;p class="alignleft"&gt;Secret Chest&lt;/p&gt;&lt;div style="clear: both;"&gt;&lt;/div&gt;&lt;/div&gt;&lt;div&gt;&lt;h5&gt;&lt;b&gt;School &lt;/b&gt;conjuration (summoning); &lt;b&gt;Level &lt;/b&gt;sorcerer/wizard 5, witch 5&lt;/h5&gt;&lt;/div&gt;&lt;hr/&gt;&lt;div&gt;&lt;h5&gt;&lt;b&gt;CASTING&lt;/b&gt;&lt;/h5&gt;&lt;/div&gt;&lt;hr/&gt;&lt;div&gt;&lt;h5&gt;&lt;b&gt;Casting Time &lt;/b&gt;10 minutes&lt;/h5&gt;&lt;h5&gt;&lt;b&gt;Components &lt;/b&gt;V, S, F (the chest and its replica)&lt;/h5&gt;&lt;/div&gt;&lt;hr/&gt;&lt;div&gt;&lt;h5&gt;&lt;b&gt;EFFECT&lt;/b&gt;&lt;/h5&gt;&lt;/div&gt;&lt;hr/&gt;&lt;div&gt;&lt;h5&gt;&lt;b&gt;Range &lt;/b&gt;see text&lt;/h5&gt;&lt;h5&gt;&lt;b&gt;Targets &lt;/b&gt;one chest and up to 1 cu. ft. of goods/caster level&lt;/h5&gt;&lt;h5&gt;&lt;b&gt;Duration &lt;/b&gt;60 days or until discharged&lt;/h5&gt;&lt;h5&gt;&lt;b&gt;Saving Throw &lt;/b&gt;none; &lt;b&gt;Spell Resistance &lt;/b&gt;no&lt;/h5&gt;&lt;/div&gt;&lt;hr/&gt;&lt;div&gt;&lt;h5&gt;&lt;b&gt;DESCRIPTION&lt;/b&gt;&lt;/h5&gt;&lt;/div&gt;&lt;hr/&gt;&lt;div&gt;&lt;h4&gt;&lt;p&gt;You hide a chest on the Ethereal Plane for as long as 60 days and can retrieve it at will. The chest can contain up to 1 cubic foot of material per caster level (regardless of the chest's actual size, which is about 3 feet by 2 feet by 2 feet). If any living creatures are in the chest, there is a 75% chance that the spell simply fails.&lt;/p&gt;&lt;p&gt;Once the chest is hidden, you can retrieve it by concentrating (a standard action), and it appears next to you.&lt;/p&gt;&lt;p&gt;The chest must be exceptionally well crafted and expensive, constructed for you by master crafters. The cost of such a chest is never less than 5,000 gp. Once it is constructed, you must make a tiny replica (of the same materials and perfect in every detail) so that the miniature of the chest appears to be a perfect copy. (The replica costs 50 gp.) The chests are nonmagical and can be fitted with locks, wards, and so on, just as any normal chest can be.&lt;/p&gt;&lt;p&gt;To hide the chest, you cast the spell while touching both the chest and the replica. The chest vanishes into the Ethereal Plane.&lt;/p&gt;&lt;p&gt;You need the replica to recall the chest. After 60 days, there is a cumulative chance of 5% per day that the chest is irretrievably lost.&lt;/p&gt;&lt;p&gt;If the miniature of the chest is lost or destroyed, there is no way, even with a &lt;i&gt;wish&lt;/i&gt; spell, that the large chest can be summoned back, although an extraplanar expedition might be mounted to find it.&lt;/p&gt;&lt;p&gt;Living things in the chest eat, sleep, and age normally, and they die if they run out of food, air, water, or whatever they need to survive.&lt;/p&gt;&lt;/h4&gt;&lt;/div&gt;</t>
  </si>
  <si>
    <t> Hides expensive chest on Ethereal Plane; you retrieve it at will.</t>
  </si>
  <si>
    <t>Secret Page</t>
  </si>
  <si>
    <t>V, S, M (powdered herring scales and a vial of will-o'-wisp essence)</t>
  </si>
  <si>
    <t>page touched, up to 3 sq. ft. in size</t>
  </si>
  <si>
    <t>Secret page alters the contents of a page so that it appears to be something entirely different. The text of a spell can be changed to show another spell of equal or lower level known by the caster. This spell cannot be used to change a spell contained on a scroll, but it can be used to hide a scroll. Explosive runes or sepia snake sigil can be cast upon the secret page. A comprehend languages spell alone cannot reveal a secret page's contents. You are able to reveal the original contents by speaking a special word. You can then peruse the actual page and return it to its secret page form at will. You can also remove the spell by double repetition of the special word. A detect magic spell reveals dim magic on the page in question but does not reveal its true contents. True seeing reveals the presence of the hidden material but does not reveal the contents unless cast in combination with comprehend languages. A secret page spell can be dispelled, and the hidden writings can be destroyed by means of an erase spell.</t>
  </si>
  <si>
    <t>&lt;p&gt;&lt;i&gt;Secret page&lt;/i&gt; alters the contents of a &lt;i&gt;page&lt;/i&gt; so that it appears to be something entirely different. The text of a spell can be changed to show another spell of equal or lower level known by the caster.&lt;/p&gt;&lt;p&gt;This spell cannot be used to change a spell contained on a scroll, but it can be used to hide a scroll. &lt;i&gt;Explosive runes&lt;/i&gt; or &lt;i&gt;sepia snake sigil&lt;/i&gt; can be cast upon the &lt;i&gt;secret page&lt;/i&gt;.&lt;/p&gt;&lt;p&gt;A comprehend languages spell alone cannot reveal a &lt;i&gt;secret page&lt;/i&gt;'s contents. You are able to reveal the original contents by speaking a special word. You can then peruse the actual &lt;i&gt;page&lt;/i&gt; and return it to its &lt;i&gt;secret page&lt;/i&gt; form at will. You can also remove the spell by double repetition of the special word. A &lt;i&gt;detect magic&lt;/i&gt; spell reveals dim magic on the &lt;i&gt;page&lt;/i&gt; in question but does not reveal its true contents. &lt;i&gt;True seeing&lt;/i&gt; reveals the presence of the hidden material but does not reveal the contents unless cast in combination with &lt;i&gt;comprehend languages&lt;/i&gt;. A &lt;i&gt;secret page&lt;/i&gt; spell can be dispelled, and the hidden writings can be destroyed by means of an &lt;i&gt;erase&lt;/i&gt; spell.&lt;/p&gt;</t>
  </si>
  <si>
    <t>&lt;link rel="stylesheet"href="PF.css"&gt;&lt;div class="heading"&gt;&lt;p class="alignleft"&gt;Secret Page&lt;/p&gt;&lt;div style="clear: both;"&gt;&lt;/div&gt;&lt;/div&gt;&lt;div&gt;&lt;h5&gt;&lt;b&gt;School &lt;/b&gt;transmutation; &lt;b&gt;Level &lt;/b&gt;bard 3, sorcerer/wizard 3, witch 3, alchemist 2, witch 2, inquisitor 2, witch 8&lt;/h5&gt;&lt;/div&gt;&lt;hr/&gt;&lt;div&gt;&lt;h5&gt;&lt;b&gt;CASTING&lt;/b&gt;&lt;/h5&gt;&lt;/div&gt;&lt;hr/&gt;&lt;div&gt;&lt;h5&gt;&lt;b&gt;Casting Time &lt;/b&gt;10 minutes&lt;/h5&gt;&lt;h5&gt;&lt;b&gt;Components &lt;/b&gt;V, S, M (powdered herring scales and a vial of will-o'-wisp essence)&lt;/h5&gt;&lt;/div&gt;&lt;hr/&gt;&lt;div&gt;&lt;h5&gt;&lt;b&gt;EFFECT&lt;/b&gt;&lt;/h5&gt;&lt;/div&gt;&lt;hr/&gt;&lt;div&gt;&lt;h5&gt;&lt;b&gt;Range &lt;/b&gt;touch&lt;/h5&gt;&lt;h5&gt;&lt;b&gt;Targets &lt;/b&gt;page touched, up to 3 sq. ft. in size&lt;/h5&gt;&lt;h5&gt;&lt;b&gt;Duration &lt;/b&gt;permanent&lt;/h5&gt;&lt;h5&gt;&lt;b&gt;Saving Throw &lt;/b&gt;none; &lt;b&gt;Spell Resistance &lt;/b&gt;no&lt;/h5&gt;&lt;/div&gt;&lt;hr/&gt;&lt;div&gt;&lt;h5&gt;&lt;b&gt;DESCRIPTION&lt;/b&gt;&lt;/h5&gt;&lt;/div&gt;&lt;hr/&gt;&lt;div&gt;&lt;h4&gt;&lt;p&gt;&lt;i&gt;Secret page&lt;/i&gt; alters the contents of a &lt;i&gt;page&lt;/i&gt; so that it appears to be something entirely different. The text of a spell can be changed to show another spell of equal or lower level known by the caster.&lt;/p&gt;&lt;p&gt;This spell cannot be used to change a spell contained on a scroll, but it can be used to hide a scroll. &lt;i&gt;Explosive runes&lt;/i&gt; or &lt;i&gt;sepia snake sigil&lt;/i&gt; can be cast upon the &lt;i&gt;secret page&lt;/i&gt;.&lt;/p&gt;&lt;p&gt;A comprehend languages spell alone cannot reveal a &lt;i&gt;secret page&lt;/i&gt;'s contents. You are able to reveal the original contents by speaking a special word. You can then peruse the actual &lt;i&gt;page&lt;/i&gt; and return it to its &lt;i&gt;secret page&lt;/i&gt; form at will. You can also remove the spell by double repetition of the special word. A &lt;i&gt;detect magic&lt;/i&gt; spell reveals dim magic on the &lt;i&gt;page&lt;/i&gt; in question but does not reveal its true contents. &lt;i&gt;True seeing&lt;/i&gt; reveals the presence of the hidden material but does not reveal the contents unless cast in combination with &lt;i&gt;comprehend languages&lt;/i&gt;. A &lt;i&gt;secret page&lt;/i&gt; spell can be dispelled, and the hidden writings can be destroyed by means of an &lt;i&gt;erase&lt;/i&gt; spell.&lt;/p&gt;&lt;/h4&gt;&lt;/div&gt;</t>
  </si>
  <si>
    <t>Changes one page to hide its real content.</t>
  </si>
  <si>
    <t>Secure Shelter</t>
  </si>
  <si>
    <t>bard 4, sorcerer/wizard 4, witch 4</t>
  </si>
  <si>
    <t>V, S, M (a chip of stone, sand, a drop of water, and a wood splinter)</t>
  </si>
  <si>
    <t>20-ft.-square structure</t>
  </si>
  <si>
    <t>You conjure a sturdy cottage or lodge made of material that is common in the area where the spell is cast. The floor is level, clean, and dry. The lodging resembles a normal cottage, with a sturdy door, two shuttered windows, and a small fireplace. The shelter must be heated as a normal dwelling, and extreme heat adversely affects it and its occupants. The dwelling does, however, provide considerable security otherwise-it is as strong as a normal stone building, regardless of its material composition. The dwelling resists flames and fire as if it were stone. It is impervious to normal missiles (but not the sort cast by siege engines or giants). The door, shutters, and even chimney are secure against intrusion, the former two being secured with arcane lock and the latter by an iron grate at the top and a narrow flue. In addition, these three areas are protected by an alarm spell. Finally, an unseen servant is conjured to provide service to you for the duration of the shelter. The secure shelter contains crude furnishings-eight bunks, a trestle table, eight stools, and a writing desk.</t>
  </si>
  <si>
    <t>&lt;p&gt;You conjure a sturdy cottage or lodge made of material that is common in the area where the spell is cast. The floor is level, clean, and dry. The lodging resembles a normal cottage, with a sturdy door, two shuttered windows, and a small fireplace.&lt;/p&gt;&lt;p&gt;The shelter must be heated as a normal dwelling, and extreme heat adversely affects it and its occupants. The dwelling does, however, provide considerable security otherwise-it is as strong as a normal stone building, regardless of its material composition. The dwelling resists flames and fire as if it were stone. It is impervious to normal missiles (but not the sort cast by siege engines or giants).&lt;/p&gt;&lt;p&gt;The door, shutters, and even chimney are secure against intrusion, the former two being secured with &lt;i&gt;arcane lock&lt;/i&gt; and the latter by an iron grate at the top and a narrow flue. In addition, these three areas are protected by an &lt;i&gt;alarm&lt;/i&gt; spell. Finally, an &lt;i&gt;unseen servant&lt;/i&gt; is conjured to provide service to you for the duration of the shelter.&lt;/p&gt;&lt;p&gt;The &lt;i&gt;secure shelter&lt;/i&gt; contains crude furnishings-eight bunks, a trestle table, eight stools, and a writing desk.&lt;/p&gt;</t>
  </si>
  <si>
    <t>&lt;link rel="stylesheet"href="PF.css"&gt;&lt;div class="heading"&gt;&lt;p class="alignleft"&gt;Secure Shelter&lt;/p&gt;&lt;div style="clear: both;"&gt;&lt;/div&gt;&lt;/div&gt;&lt;div&gt;&lt;h5&gt;&lt;b&gt;School &lt;/b&gt;conjuration (creation); &lt;b&gt;Level &lt;/b&gt;bard 4, sorcerer/wizard 4, witch 4&lt;/h5&gt;&lt;/div&gt;&lt;hr/&gt;&lt;div&gt;&lt;h5&gt;&lt;b&gt;CASTING&lt;/b&gt;&lt;/h5&gt;&lt;/div&gt;&lt;hr/&gt;&lt;div&gt;&lt;h5&gt;&lt;b&gt;Casting Time &lt;/b&gt;10 minutes&lt;/h5&gt;&lt;h5&gt;&lt;b&gt;Components &lt;/b&gt;V, S, M (a chip of stone, sand, a drop of water, and a wood splinter)&lt;/h5&gt;&lt;/div&gt;&lt;hr/&gt;&lt;div&gt;&lt;h5&gt;&lt;b&gt;EFFECT&lt;/b&gt;&lt;/h5&gt;&lt;/div&gt;&lt;hr/&gt;&lt;div&gt;&lt;h5&gt;&lt;b&gt;Range &lt;/b&gt;close (25 ft. + 5 ft./2 levels)&lt;/h5&gt;&lt;h5&gt;&lt;b&gt;Effect &lt;/b&gt;20-ft.-square structure&lt;/h5&gt;&lt;h5&gt;&lt;b&gt;Duration &lt;/b&gt;2 hours/level (D)&lt;/h5&gt;&lt;h5&gt;&lt;b&gt;Saving Throw &lt;/b&gt;none; &lt;b&gt;Spell Resistance &lt;/b&gt;no&lt;/h5&gt;&lt;/div&gt;&lt;hr/&gt;&lt;div&gt;&lt;h5&gt;&lt;b&gt;DESCRIPTION&lt;/b&gt;&lt;/h5&gt;&lt;/div&gt;&lt;hr/&gt;&lt;div&gt;&lt;h4&gt;&lt;p&gt;You conjure a sturdy cottage or lodge made of material that is common in the area where the spell is cast. The floor is level, clean, and dry. The lodging resembles a normal cottage, with a sturdy door, two shuttered windows, and a small fireplace.&lt;/p&gt;&lt;p&gt;The shelter must be heated as a normal dwelling, and extreme heat adversely affects it and its occupants. The dwelling does, however, provide considerable security otherwise-it is as strong as a normal stone building, regardless of its material composition. The dwelling resists flames and fire as if it were stone. It is impervious to normal missiles (but not the sort cast by siege engines or giants).&lt;/p&gt;&lt;p&gt;The door, shutters, and even chimney are secure against intrusion, the former two being secured with &lt;i&gt;arcane lock&lt;/i&gt; and the latter by an iron grate at the top and a narrow flue. In addition, these three areas are protected by an &lt;i&gt;alarm&lt;/i&gt; spell. Finally, an &lt;i&gt;unseen servant&lt;/i&gt; is conjured to provide service to you for the duration of the shelter.&lt;/p&gt;&lt;p&gt;The &lt;i&gt;secure shelter&lt;/i&gt; contains crude furnishings-eight bunks, a trestle table, eight stools, and a writing desk.&lt;/p&gt;&lt;/h4&gt;&lt;/div&gt;</t>
  </si>
  <si>
    <t>Creates sturdy cottage.</t>
  </si>
  <si>
    <t>See Invisibility</t>
  </si>
  <si>
    <t>bard 3, sorcerer/wizard 2, alchemist 2, summoner 2, witch 2, inquisitor 2</t>
  </si>
  <si>
    <t>V, S, M (talc and powdered silver)</t>
  </si>
  <si>
    <t>You can see any objects or beings that are invisible within your range of vision, as well as any that are ethereal, as if they were normally visible. Such creatures are visible to you as translucent shapes, allowing you easily to discern the difference between visible, invisible, and ethereal creatures. The spell does not reveal the method used to obtain invisibility. It does not reveal illusions or enable you to see through opaque objects. It does not reveal creatures who are simply hiding, concealed, or otherwise hard to see. See invisibility can be made permanent with a permanency spell.</t>
  </si>
  <si>
    <t>&lt;p&gt;You can see any objects or beings that are invisible within your range of vision, as well as any that are ethereal, as if they were normally visible. Such creatures are visible to you as translucent shapes, allowing you easily to discern the difference between visible, invisible, and ethereal creatures.&lt;/p&gt;&lt;p&gt;The spell does not reveal the method used to obtain &lt;i&gt;invisibility&lt;/i&gt;.&lt;/p&gt;&lt;p&gt;It does not reveal illusions or enable you to see through opaque objects. It does not reveal creatures who are simply hiding, concealed, or otherwise hard to see.&lt;/p&gt;&lt;p&gt;See &lt;i&gt;invisibility&lt;/i&gt; can be made permanent with a &lt;i&gt;permanency&lt;/i&gt; spell.&lt;/p&gt;</t>
  </si>
  <si>
    <t>&lt;link rel="stylesheet"href="PF.css"&gt;&lt;div class="heading"&gt;&lt;p class="alignleft"&gt;See Invisibility&lt;/p&gt;&lt;div style="clear: both;"&gt;&lt;/div&gt;&lt;/div&gt;&lt;div&gt;&lt;h5&gt;&lt;b&gt;School &lt;/b&gt;divination; &lt;b&gt;Level &lt;/b&gt;bard 3, sorcerer/wizard 2, alchemist 2, summoner 2, witch 2, inquisitor 2&lt;/h5&gt;&lt;/div&gt;&lt;hr/&gt;&lt;div&gt;&lt;h5&gt;&lt;b&gt;CASTING&lt;/b&gt;&lt;/h5&gt;&lt;/div&gt;&lt;hr/&gt;&lt;div&gt;&lt;h5&gt;&lt;b&gt;Casting Time &lt;/b&gt;1 standard action&lt;/h5&gt;&lt;h5&gt;&lt;b&gt;Components &lt;/b&gt;V, S, M (talc and powdered silver)&lt;/h5&gt;&lt;/div&gt;&lt;hr/&gt;&lt;div&gt;&lt;h5&gt;&lt;b&gt;EFFECT&lt;/b&gt;&lt;/h5&gt;&lt;/div&gt;&lt;hr/&gt;&lt;div&gt;&lt;h5&gt;&lt;b&gt;Range &lt;/b&gt;personal&lt;/h5&gt;&lt;h5&gt;&lt;b&gt;Targets &lt;/b&gt;you&lt;/h5&gt;&lt;h5&gt;&lt;b&gt;Duration &lt;/b&gt;10 min./level (D)&lt;/h5&gt;&lt;/div&gt;&lt;hr/&gt;&lt;div&gt;&lt;h5&gt;&lt;b&gt;DESCRIPTION&lt;/b&gt;&lt;/h5&gt;&lt;/div&gt;&lt;hr/&gt;&lt;div&gt;&lt;h4&gt;&lt;p&gt;You can see any objects or beings that are invisible within your range of vision, as well as any that are ethereal, as if they were normally visible. Such creatures are visible to you as translucent shapes, allowing you easily to discern the difference between visible, invisible, and ethereal creatures.&lt;/p&gt;&lt;p&gt;The spell does not reveal the method used to obtain &lt;i&gt;invisibility&lt;/i&gt;.&lt;/p&gt;&lt;p&gt;It does not reveal illusions or enable you to see through opaque objects. It does not reveal creatures who are simply hiding, concealed, or otherwise hard to see.&lt;/p&gt;&lt;p&gt;See &lt;i&gt;invisibility&lt;/i&gt; can be made permanent with a &lt;i&gt;permanency&lt;/i&gt; spell.&lt;/p&gt;&lt;/h4&gt;&lt;/div&gt;</t>
  </si>
  <si>
    <t>Reveals invisible creatures or objects.</t>
  </si>
  <si>
    <t>Aberrant, Marid</t>
  </si>
  <si>
    <t>Seeming</t>
  </si>
  <si>
    <t>one creature per two levels, no two of which can be more than 30 ft. apart</t>
  </si>
  <si>
    <t>12 hours</t>
  </si>
  <si>
    <t>Will negates or Will disbelief (if interacted with)</t>
  </si>
  <si>
    <t>This spell functions like disguise self, except that you can change the appearance of other people as well. Affected creatures resume their normal appearances if slain. Unwilling targets can negate the spell's effect on them by making Will saves or with spell resistance.</t>
  </si>
  <si>
    <t>&lt;p&gt;This spell functions like &lt;i&gt;disguise self,&lt;/i&gt; except that you can change the appearance of other people as well. Affected creatures resume their normal appearances if slain. Unwilling targets can negate the spell's effect on them by making Will saves or with spell resistance.&lt;/p&gt;</t>
  </si>
  <si>
    <t>&lt;link rel="stylesheet"href="PF.css"&gt;&lt;div class="heading"&gt;&lt;p class="alignleft"&gt;Seeming&lt;/p&gt;&lt;div style="clear: both;"&gt;&lt;/div&gt;&lt;/div&gt;&lt;div&gt;&lt;h5&gt;&lt;b&gt;School &lt;/b&gt;illusion (glamer); &lt;b&gt;Level &lt;/b&gt;bard 5, sorcerer/wizard 5&lt;/h5&gt;&lt;/div&gt;&lt;hr/&gt;&lt;div&gt;&lt;h5&gt;&lt;b&gt;CASTING&lt;/b&gt;&lt;/h5&gt;&lt;/div&gt;&lt;hr/&gt;&lt;div&gt;&lt;h5&gt;&lt;b&gt;Casting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 per two levels, no two of which can be more than 30 ft. apart&lt;/h5&gt;&lt;h5&gt;&lt;b&gt;Duration &lt;/b&gt;12 hours (D)&lt;/h5&gt;&lt;h5&gt;&lt;b&gt;Saving Throw &lt;/b&gt;Will negates or Will disbelief (if interacted with); &lt;b&gt;Spell Resistance &lt;/b&gt;yes or no; see text&lt;/h5&gt;&lt;/div&gt;&lt;hr/&gt;&lt;div&gt;&lt;h5&gt;&lt;b&gt;DESCRIPTION&lt;/b&gt;&lt;/h5&gt;&lt;/div&gt;&lt;hr/&gt;&lt;div&gt;&lt;h4&gt;&lt;p&gt;This spell functions like &lt;i&gt;disguise self,&lt;/i&gt; except that you can change the appearance of other people as well. Affected creatures resume their normal appearances if slain. Unwilling targets can negate the spell's effect on them by making Will saves or with spell resistance.&lt;/p&gt;&lt;/h4&gt;&lt;/div&gt;</t>
  </si>
  <si>
    <t>Changes appearance of one person per two levels.</t>
  </si>
  <si>
    <t>Sending</t>
  </si>
  <si>
    <t>cleric 4/oracle 4, sorcerer/wizard 5, alchemist 5, summoner 4, inquisitor 4</t>
  </si>
  <si>
    <t>You contact a particular creature with which you are familiar and send a short message of 25 words or less to the subject. The subject recognizes you if it knows you. It can answer in like manner immediately. A creature with an Intelligence score as low as 1 can understand the sending, though the subject's ability to react is limited as normal by its Intelligence. Even if the sending is received, the subject is not obligated to act upon it in any manner. If the creature in question is not on the same plane of existence as you are, there is a 5% chance that the sending does not arrive. (Local conditions on other planes may worsen this chance considerably.)</t>
  </si>
  <si>
    <t>&lt;p&gt;You contact a particular creature with which you are familiar and send a short message of 25 words or less to the subject. The subject recognizes you if it knows you. It can answer in like manner immediately. A creature with an Intelligence score as low as 1 can understand the &lt;i&gt;&lt;i&gt;sending&lt;/i&gt;,&lt;/i&gt; though the subject's ability to react is limited as normal by its Intelligence. Even if the &lt;i&gt;sending&lt;/i&gt; is received, the subject is not obligated to act upon it in any manner.&lt;/p&gt;&lt;p&gt;If the creature in question is not on the same plane of existence as you are, there is a 5% chance that the &lt;i&gt;sending&lt;/i&gt; does not arrive. (Local conditions on other planes may worsen this chance considerably.)&lt;/p&gt;</t>
  </si>
  <si>
    <t>&lt;link rel="stylesheet"href="PF.css"&gt;&lt;div class="heading"&gt;&lt;p class="alignleft"&gt;Sending&lt;/p&gt;&lt;div style="clear: both;"&gt;&lt;/div&gt;&lt;/div&gt;&lt;div&gt;&lt;h5&gt;&lt;b&gt;School &lt;/b&gt;evocation; &lt;b&gt;Level &lt;/b&gt;cleric 4/oracle 4, sorcerer/wizard 5, alchemist 5, summoner 4, inquisitor 4, alchemist 5, summoner 4, inquisitor 4&lt;/h5&gt;&lt;/div&gt;&lt;hr/&gt;&lt;div&gt;&lt;h5&gt;&lt;b&gt;CASTING&lt;/b&gt;&lt;/h5&gt;&lt;/div&gt;&lt;hr/&gt;&lt;div&gt;&lt;h5&gt;&lt;b&gt;Casting Time &lt;/b&gt;10 minutes&lt;/h5&gt;&lt;h5&gt;&lt;b&gt;Components &lt;/b&gt;V, S, M/DF (fine copper wire)&lt;/h5&gt;&lt;/div&gt;&lt;hr/&gt;&lt;div&gt;&lt;h5&gt;&lt;b&gt;EFFECT&lt;/b&gt;&lt;/h5&gt;&lt;/div&gt;&lt;hr/&gt;&lt;div&gt;&lt;h5&gt;&lt;b&gt;Range &lt;/b&gt;see text&lt;/h5&gt;&lt;h5&gt;&lt;b&gt;Targets &lt;/b&gt;one creature&lt;/h5&gt;&lt;h5&gt;&lt;b&gt;Duration &lt;/b&gt;1 round; see text&lt;/h5&gt;&lt;h5&gt;&lt;b&gt;Saving Throw &lt;/b&gt;none; &lt;b&gt;Spell Resistance &lt;/b&gt;no&lt;/h5&gt;&lt;/div&gt;&lt;hr/&gt;&lt;div&gt;&lt;h5&gt;&lt;b&gt;DESCRIPTION&lt;/b&gt;&lt;/h5&gt;&lt;/div&gt;&lt;hr/&gt;&lt;div&gt;&lt;h4&gt;&lt;p&gt;You contact a particular creature with which you are familiar and send a short message of 25 words or less to the subject. The subject recognizes you if it knows you. It can answer in like manner immediately. A creature with an Intelligence score as low as 1 can understand the &lt;i&gt;&lt;i&gt;sending&lt;/i&gt;,&lt;/i&gt; though the subject's ability to react is limited as normal by its Intelligence. Even if the &lt;i&gt;sending&lt;/i&gt; is received, the subject is not obligated to act upon it in any manner.&lt;/p&gt;&lt;p&gt;If the creature in question is not on the same plane of existence as you are, there is a 5% chance that the &lt;i&gt;sending&lt;/i&gt; does not arrive. (Local conditions on other planes may worsen this chance considerably.)&lt;/p&gt;&lt;/h4&gt;&lt;/div&gt;</t>
  </si>
  <si>
    <t>Delivers short message anywhere, instantly.</t>
  </si>
  <si>
    <t>Sepia Snake Sigil</t>
  </si>
  <si>
    <t>V, S, M (powdered amber worth 500 gp and a snake scale)</t>
  </si>
  <si>
    <t>one touched book or written work</t>
  </si>
  <si>
    <t>permanent or until discharged; until released or 1d4 days + 1 day/level; see text</t>
  </si>
  <si>
    <t>You cause a small symbol to appear in the text of a written work. The text containing the symbol must be at least 25 words long. When anyone reads the text containing the symbol, the sepia snake sigil springs into being, transforming into a large sepia serpent that strikes at the reader, provided there is line of between the symbol and the reader. Simply seeing the enspelled text is not sufficient to trigger the spell; the subject must deliberately read it. The target is entitled to a save to evade the snake's strike. If it succeeds, the sepia snake dissipates in a flash of brown light accompanied by a puff of duncolored smoke and a loud noise. If the target fails its save, it is engulfed in a shimmering amber field of force and immobilized until released, either at your command or when 1d4 days + 1 day per caster level have elapsed. While trapped in the amber field of force, the subject does not age, breathe, grow hungry, sleep, or regain spells. It is preserved in a state of suspended animation, unaware of its surroundings. It can be damaged by outside forces (and perhaps even killed), since the field provides no protection against physical injury. However, a dying subject does not lose hit points or become stable until the spell ends. The hidden sigil cannot be detected by normal observation, and detect magic reveals only that the entire text is magical. A dispel magic can remove the sigil. An erase spell destroys the entire page of text. Sepia snake sigil can be cast in combination with other spells that hide or garble text, such as secret page.</t>
  </si>
  <si>
    <t>&lt;p&gt;You cause a small symbol to appear in the text of a written work.&lt;/p&gt;&lt;p&gt;The text containing the symbol must be at least 25 words long.&lt;/p&gt;&lt;p&gt;When anyone reads the text containing the symbol, the &lt;i&gt;&lt;i&gt;sepia snake&lt;/i&gt; sigil&lt;/i&gt; springs into being, transforming into a large sepia serpent that strikes at the reader, provided there is line of between the symbol and the reader.&lt;/p&gt;&lt;p&gt;Simply seeing the enspelled text is not sufficient to trigger the spell; the subject must deliberately read it. The target is entitled to a save to evade the snake's strike. If it succeeds, the &lt;i&gt;sepia snake&lt;/i&gt; dissipates in a flash of brown light accompanied by a puff of duncolored smoke and a loud noise. If the target fails its save, it is engulfed in a shimmering amber field of force and immobilized until released, either at your command or when 1d4 days + 1 day per caster level have elapsed.&lt;/p&gt;&lt;p&gt;While trapped in the amber field of force, the subject does not age, breathe, grow hungry, sleep, or regain spells. It is preserved in a state of suspended animation, unaware of its surroundings. It can be damaged by outside forces (and perhaps even killed), since the field provides no protection against physical injury. However, a dying subject does not lose hit points or become stable until the spell ends.&lt;/p&gt;&lt;p&gt;The hidden sigil cannot be detected by normal observation, and &lt;i&gt;detect magic&lt;/i&gt; reveals only that the entire text is magical.&lt;/p&gt;&lt;p&gt;A &lt;i&gt;dispel magic&lt;/i&gt; can remove the sigil. An &lt;i&gt;erase&lt;/i&gt; spell destroys the entire page of text.&lt;/p&gt;&lt;p&gt;&lt;i&gt;Sepia snake sigil&lt;/i&gt; can be cast in combination with other spells that hide or garble text, such as secret page.&lt;/p&gt;</t>
  </si>
  <si>
    <t>&lt;link rel="stylesheet"href="PF.css"&gt;&lt;div class="heading"&gt;&lt;p class="alignleft"&gt;Sepia Snake Sigil&lt;/p&gt;&lt;div style="clear: both;"&gt;&lt;/div&gt;&lt;/div&gt;&lt;div&gt;&lt;h5&gt;&lt;b&gt;School &lt;/b&gt;conjuration (creation) [force]; &lt;b&gt;Level &lt;/b&gt;bard 3, sorcerer/wizard 3, witch 3, witch 3, alchemist 2, witch 2, inquisitor 2, witch 8&lt;/h5&gt;&lt;/div&gt;&lt;hr/&gt;&lt;div&gt;&lt;h5&gt;&lt;b&gt;CASTING&lt;/b&gt;&lt;/h5&gt;&lt;/div&gt;&lt;hr/&gt;&lt;div&gt;&lt;h5&gt;&lt;b&gt;Casting Time &lt;/b&gt;10 minutes&lt;/h5&gt;&lt;h5&gt;&lt;b&gt;Components &lt;/b&gt;V, S, M (powdered amber worth 500 gp and a snake scale)&lt;/h5&gt;&lt;/div&gt;&lt;hr/&gt;&lt;div&gt;&lt;h5&gt;&lt;b&gt;EFFECT&lt;/b&gt;&lt;/h5&gt;&lt;/div&gt;&lt;hr/&gt;&lt;div&gt;&lt;h5&gt;&lt;b&gt;Range &lt;/b&gt;touch&lt;/h5&gt;&lt;h5&gt;&lt;b&gt;Targets &lt;/b&gt;one touched book or written work&lt;/h5&gt;&lt;h5&gt;&lt;b&gt;Duration &lt;/b&gt;permanent or until discharged; until released or 1d4 days + 1 day/level; see text&lt;/h5&gt;&lt;h5&gt;&lt;b&gt;Saving Throw &lt;/b&gt;Reflex negates; &lt;b&gt;Spell Resistance &lt;/b&gt;no&lt;/h5&gt;&lt;/div&gt;&lt;hr/&gt;&lt;div&gt;&lt;h5&gt;&lt;b&gt;DESCRIPTION&lt;/b&gt;&lt;/h5&gt;&lt;/div&gt;&lt;hr/&gt;&lt;div&gt;&lt;h4&gt;&lt;p&gt;You cause a small symbol to appear in the text of a written work.&lt;/p&gt;&lt;p&gt;The text containing the symbol must be at least 25 words long.&lt;/p&gt;&lt;p&gt;When anyone reads the text containing the symbol, the &lt;i&gt;&lt;i&gt;sepia snake&lt;/i&gt; sigil&lt;/i&gt; springs into being, transforming into a large sepia serpent that strikes at the reader, provided there is line of between the symbol and the reader.&lt;/p&gt;&lt;p&gt;Simply seeing the enspelled text is not sufficient to trigger the spell; the subject must deliberately read it. The target is entitled to a save to evade the snake's strike. If it succeeds, the &lt;i&gt;sepia snake&lt;/i&gt; dissipates in a flash of brown light accompanied by a puff of duncolored smoke and a loud noise. If the target fails its save, it is engulfed in a shimmering amber field of force and immobilized until released, either at your command or when 1d4 days + 1 day per caster level have elapsed.&lt;/p&gt;&lt;p&gt;While trapped in the amber field of force, the subject does not age, breathe, grow hungry, sleep, or regain spells. It is preserved in a state of suspended animation, unaware of its surroundings. It can be damaged by outside forces (and perhaps even killed), since the field provides no protection against physical injury. However, a dying subject does not lose hit points or become stable until the spell ends.&lt;/p&gt;&lt;p&gt;The hidden sigil cannot be detected by normal observation, and &lt;i&gt;detect magic&lt;/i&gt; reveals only that the entire text is magical.&lt;/p&gt;&lt;p&gt;A &lt;i&gt;dispel magic&lt;/i&gt; can remove the sigil. An &lt;i&gt;erase&lt;/i&gt; spell destroys the entire page of text.&lt;/p&gt;&lt;p&gt;&lt;i&gt;Sepia snake sigil&lt;/i&gt; can be cast in combination with other spells that hide or garble text, such as secret page.&lt;/p&gt;&lt;/h4&gt;&lt;/div&gt;</t>
  </si>
  <si>
    <t>Creates a snake-shaped text symbol that immobilizes reader.</t>
  </si>
  <si>
    <t>Sequester</t>
  </si>
  <si>
    <t>V, S, M (a basilisk eyelash and gum arabic)</t>
  </si>
  <si>
    <t>one willing creature or object (up to a 2-ft. cube/level) touched</t>
  </si>
  <si>
    <t>When cast, this spell prevents divination spells from detecting or locating the target and also renders the affected target invisible (as the invisibility spell). The spell does not prevent the subject from being discovered through tactile means or through the use of devices. Creatures affected by sequester become comatose and are effectively in a state of suspended animation until the spell ends. Note: The Will save prevents an attended or magical object from being sequestered. There is no save to see the sequestered creature or object or to detect it with a divination spell.</t>
  </si>
  <si>
    <t>&lt;p&gt;When cast, this spell prevents divination spells from detecting or locating the target and also renders the affected target invisible (as the &lt;i&gt;invisibility&lt;/i&gt; spell). The spell does not prevent the subject from being discovered through tactile means or through the use of devices. Creatures affected by &lt;i&gt;sequester&lt;/i&gt; become comatose and are effectively in a state of suspended animation until the spell ends.&lt;/p&gt;&lt;p&gt;&lt;i&gt;Note:&lt;/i&gt; The Will save prevents an attended or magical object from being &lt;i&gt;sequester&lt;/i&gt;ed. There is no save to see the &lt;i&gt;sequester&lt;/i&gt;ed creature or object or to detect it with a divination spell.&lt;/p&gt;</t>
  </si>
  <si>
    <t>&lt;link rel="stylesheet"href="PF.css"&gt;&lt;div class="heading"&gt;&lt;p class="alignleft"&gt;Sequester&lt;/p&gt;&lt;div style="clear: both;"&gt;&lt;/div&gt;&lt;/div&gt;&lt;div&gt;&lt;h5&gt;&lt;b&gt;School &lt;/b&gt;abjuration; &lt;b&gt;Level &lt;/b&gt;sorcerer/wizard 7, summoner 5&lt;/h5&gt;&lt;/div&gt;&lt;hr/&gt;&lt;div&gt;&lt;h5&gt;&lt;b&gt;CASTING&lt;/b&gt;&lt;/h5&gt;&lt;/div&gt;&lt;hr/&gt;&lt;div&gt;&lt;h5&gt;&lt;b&gt;Casting Time &lt;/b&gt;1 standard action&lt;/h5&gt;&lt;h5&gt;&lt;b&gt;Components &lt;/b&gt;V, S, M (a basilisk eyelash and gum arabic)&lt;/h5&gt;&lt;/div&gt;&lt;hr/&gt;&lt;div&gt;&lt;h5&gt;&lt;b&gt;EFFECT&lt;/b&gt;&lt;/h5&gt;&lt;/div&gt;&lt;hr/&gt;&lt;div&gt;&lt;h5&gt;&lt;b&gt;Range &lt;/b&gt;touch&lt;/h5&gt;&lt;h5&gt;&lt;b&gt;Targets &lt;/b&gt;one willing creature or object (up to a 2-ft. cube/level) touched&lt;/h5&gt;&lt;h5&gt;&lt;b&gt;Duration &lt;/b&gt;1 day/level (D)&lt;/h5&gt;&lt;h5&gt;&lt;b&gt;Saving Throw &lt;/b&gt;none or Will negates (object); &lt;b&gt;Spell Resistance &lt;/b&gt;no or yes (object)&lt;/h5&gt;&lt;/div&gt;&lt;hr/&gt;&lt;div&gt;&lt;h5&gt;&lt;b&gt;DESCRIPTION&lt;/b&gt;&lt;/h5&gt;&lt;/div&gt;&lt;hr/&gt;&lt;div&gt;&lt;h4&gt;&lt;p&gt;When cast, this spell prevents divination spells from detecting or locating the target and also renders the affected target invisible (as the &lt;i&gt;invisibility&lt;/i&gt; spell). The spell does not prevent the subject from being discovered through tactile means or through the use of devices. Creatures affected by &lt;i&gt;sequester&lt;/i&gt; become comatose and are effectively in a state of suspended animation until the spell ends.&lt;/p&gt;&lt;p&gt;&lt;i&gt;Note:&lt;/i&gt; The Will save prevents an attended or magical object from being &lt;i&gt;sequester&lt;/i&gt;ed. There is no save to see the &lt;i&gt;sequester&lt;/i&gt;ed creature or object or to detect it with a divination spell.&lt;/p&gt;&lt;/h4&gt;&lt;/div&gt;</t>
  </si>
  <si>
    <t> Subject is invisible to sight and scrying; renders creature comatose.</t>
  </si>
  <si>
    <t>Shadow Conjuration</t>
  </si>
  <si>
    <t>Will disbelief (if interacted with); varies; see text</t>
  </si>
  <si>
    <t>yes; see text</t>
  </si>
  <si>
    <t>You use material from the Plane of Shadow to shape quasi-real illusions of one or more creatures, objects, or forces. Shadow conjuration can mimic any sorcerer or wizard conjuration (summoning) or conjuration (creation) spell of 3rd level or lower. Shadow conjurations are only one-fifth (20%) as strong as the real things, though creatures who believe the shadow conjurations to be real are affected by them at full strength. Any creature that interacts with the spell can make a Will save to recognize its true nature. Spells that deal damage have normal effects unless the affected creature succeeds on a Will save. Each disbelieving creature takes only one-fifth (20%) damage from the attack. If the disbelieved attack has a special effect other than damage, that effect is only 20% likely to occur. Regardless of the result of the save to disbelieve, an affected creature is also allowed any save that the spell being simulated allows, but the save DC is set according to shadow conjuration's level (4th) rather than the spell's normal level. In addition, any effect created by shadow conjuration allows spell resistance, even if the spell it is simulating does not. Shadow objects or substances have normal effects except against those who disbelieve them. Against disbelievers, they are 20% likely to work. A shadow creature has one-fifth the hit points of a normal creature of its kind (regardless of whether it's recognized as shadowy). It deals normal damage and has all normal abilities and weaknesses. Against a creature that recognizes it as a shadow creature, however, the shadow creature's damage is one-fifth (20%) normal, and all special abilities that do not deal lethal damage are only 20% likely to work. (Roll for each use and each affected character separately.) Furthermore, the shadow creature's AC bonuses are just one-fifth as large. A creature that succeeds on its save sees the shadow conjurations as transparent images superimposed on vague, shadowy forms. Objects automatically succeed on their Will saves against this spell.</t>
  </si>
  <si>
    <t>&lt;p&gt;You use material from the Plane of Shadow to shape quasi-real illusions of one or more creatures, objects, or forces. &lt;i&gt;Shadow conjuration&lt;/i&gt; can mimic any sorcerer or wizard conjuration (summoning) or conjuration (creation) spell of 3rd level or lower.&lt;/p&gt;&lt;p&gt;&lt;i&gt;Shadow conjuration&lt;/i&gt;s are only one-fifth (20%) as strong as the real things, though creatures who believe the &lt;i&gt;&lt;i&gt;shadow conjuration&lt;/i&gt;s&lt;/i&gt; to be real are affected by them at full strength. Any creature that interacts with the spell can make a Will save to recognize its true nature.&lt;/p&gt;&lt;p&gt;Spells that deal damage have normal effects unless the affected creature succeeds on a Will save. Each disbelieving creature takes only one-fifth (20%) damage from the attack. If the disbelieved attack has a special effect other than damage, that effect is only 20% likely to occur. Regardless of the result of the save to disbelieve, an affected creature is also allowed any save that the spell being simulated allows, but the save DC is set according to &lt;i&gt;shadow conjuration&lt;/i&gt;'s level (4th) rather than the spell's normal level. In addition, any effect created by &lt;i&gt;shadow conjuration&lt;/i&gt; allows spell resistance, even if the spell it is simulating does not. Shadow objects or substances have normal effects except against those who disbelieve them. Against disbelievers, they are 20% likely to work.&lt;/p&gt;&lt;p&gt;A shadow creature has one-fifth the hit points of a normal creature of its kind (regardless of whether it's recognized as shadowy). It deals normal damage and has all normal abilities and weaknesses. Against a creature that recognizes it as a shadow creature, however, the shadow creature's damage is one-fifth (20%) normal, and all special abilities that do not deal lethal damage are only 20% likely to work. (Roll for each use and each affected character separately.) Furthermore, the shadow creature's AC bonuses are just one-fifth as large.&lt;/p&gt;&lt;p&gt;A creature that succeeds on its save sees the &lt;i&gt;&lt;i&gt;shadow conjuration&lt;/i&gt;s&lt;/i&gt; as transparent images superimposed on vague, shadowy forms.&lt;/p&gt;&lt;p&gt;Objects automatically succeed on their Will saves against this spell.&lt;/p&gt;</t>
  </si>
  <si>
    <t>&lt;link rel="stylesheet"href="PF.css"&gt;&lt;div class="heading"&gt;&lt;p class="alignleft"&gt;Shadow Conjuration&lt;/p&gt;&lt;div style="clear: both;"&gt;&lt;/div&gt;&lt;/div&gt;&lt;div&gt;&lt;h5&gt;&lt;b&gt;School &lt;/b&gt;illusion (shadow) [shadow]; &lt;b&gt;Level &lt;/b&gt;bard 4, sorcerer/wizard 4&lt;/h5&gt;&lt;/div&gt;&lt;hr/&gt;&lt;div&gt;&lt;h5&gt;&lt;b&gt;CASTING&lt;/b&gt;&lt;/h5&gt;&lt;/div&gt;&lt;hr/&gt;&lt;div&gt;&lt;h5&gt;&lt;b&gt;Casting Time &lt;/b&gt;1 standard action&lt;/h5&gt;&lt;h5&gt;&lt;b&gt;Components &lt;/b&gt;V, S&lt;/h5&gt;&lt;/div&gt;&lt;hr/&gt;&lt;div&gt;&lt;h5&gt;&lt;b&gt;EFFECT&lt;/b&gt;&lt;/h5&gt;&lt;/div&gt;&lt;hr/&gt;&lt;div&gt;&lt;h5&gt;&lt;b&gt;Range &lt;/b&gt;see text&lt;/h5&gt;&lt;h5&gt;&lt;b&gt;Effect &lt;/b&gt;see text&lt;/h5&gt;&lt;h5&gt;&lt;b&gt;Duration &lt;/b&gt;see text&lt;/h5&gt;&lt;h5&gt;&lt;b&gt;Saving Throw &lt;/b&gt;Will disbelief (if interacted with); varies; see text; &lt;b&gt;Spell Resistance &lt;/b&gt;yes; see text&lt;/h5&gt;&lt;/div&gt;&lt;hr/&gt;&lt;div&gt;&lt;h5&gt;&lt;b&gt;DESCRIPTION&lt;/b&gt;&lt;/h5&gt;&lt;/div&gt;&lt;hr/&gt;&lt;div&gt;&lt;h4&gt;&lt;p&gt;You use material from the Plane of Shadow to shape quasi-real illusions of one or more creatures, objects, or forces. &lt;i&gt;Shadow conjuration&lt;/i&gt; can mimic any sorcerer or wizard conjuration (summoning) or conjuration (creation) spell of 3rd level or lower.&lt;/p&gt;&lt;p&gt;&lt;i&gt;Shadow conjuration&lt;/i&gt;s are only one-fifth (20%) as strong as the real things, though creatures who believe the &lt;i&gt;&lt;i&gt;shadow conjuration&lt;/i&gt;s&lt;/i&gt; to be real are affected by them at full strength. Any creature that interacts with the spell can make a Will save to recognize its true nature.&lt;/p&gt;&lt;p&gt;Spells that deal damage have normal effects unless the affected creature succeeds on a Will save. Each disbelieving creature takes only one-fifth (20%) damage from the attack. If the disbelieved attack has a special effect other than damage, that effect is only 20% likely to occur. Regardless of the result of the save to disbelieve, an affected creature is also allowed any save that the spell being simulated allows, but the save DC is set according to &lt;i&gt;shadow conjuration&lt;/i&gt;'s level (4th) rather than the spell's normal level. In addition, any effect created by &lt;i&gt;shadow conjuration&lt;/i&gt; allows spell resistance, even if the spell it is simulating does not. Shadow objects or substances have normal effects except against those who disbelieve them. Against disbelievers, they are 20% likely to work.&lt;/p&gt;&lt;p&gt;A shadow creature has one-fifth the hit points of a normal creature of its kind (regardless of whether it's recognized as shadowy). It deals normal damage and has all normal abilities and weaknesses. Against a creature that recognizes it as a shadow creature, however, the shadow creature's damage is one-fifth (20%) normal, and all special abilities that do not deal lethal damage are only 20% likely to work. (Roll for each use and each affected character separately.) Furthermore, the shadow creature's AC bonuses are just one-fifth as large.&lt;/p&gt;&lt;p&gt;A creature that succeeds on its save sees the &lt;i&gt;&lt;i&gt;shadow conjuration&lt;/i&gt;s&lt;/i&gt; as transparent images superimposed on vague, shadowy forms.&lt;/p&gt;&lt;p&gt;Objects automatically succeed on their Will saves against this spell.&lt;/p&gt;&lt;/h4&gt;&lt;/div&gt;</t>
  </si>
  <si>
    <t>Mimics conjuration below 4th level, but only 20% real.</t>
  </si>
  <si>
    <t>Shades</t>
  </si>
  <si>
    <t>This spell functions like shadow conjuration, except that it mimics conjuration spells of 8th level or lower. The illusory conjurations created deal four-fifths (80%) damage to nonbelievers, and nondamaging effects are 80% likely to work against nonbelievers.</t>
  </si>
  <si>
    <t>&lt;p&gt;This spell functions like &lt;i&gt;shadow conjuration,&lt;/i&gt; except that it mimics conjuration spells of 8th level or lower. The illusory conjurations created deal four-fifths (80%) damage to nonbelievers, and nondamaging effects are 80% likely to work against nonbelievers.&lt;/p&gt;</t>
  </si>
  <si>
    <t>&lt;link rel="stylesheet"href="PF.css"&gt;&lt;div class="heading"&gt;&lt;p class="alignleft"&gt;Shades&lt;/p&gt;&lt;div style="clear: both;"&gt;&lt;/div&gt;&lt;/div&gt;&lt;div&gt;&lt;h5&gt;&lt;b&gt;School &lt;/b&gt;illusion (shadow) [shadow]; &lt;b&gt;Level &lt;/b&gt;sorcerer/wizard 9&lt;/h5&gt;&lt;/div&gt;&lt;hr/&gt;&lt;div&gt;&lt;h5&gt;&lt;b&gt;CASTING&lt;/b&gt;&lt;/h5&gt;&lt;/div&gt;&lt;hr/&gt;&lt;div&gt;&lt;h5&gt;&lt;b&gt;Casting Time &lt;/b&gt;1 standard action&lt;/h5&gt;&lt;h5&gt;&lt;b&gt;Components &lt;/b&gt;V, S&lt;/h5&gt;&lt;/div&gt;&lt;hr/&gt;&lt;div&gt;&lt;h5&gt;&lt;b&gt;EFFECT&lt;/b&gt;&lt;/h5&gt;&lt;/div&gt;&lt;hr/&gt;&lt;div&gt;&lt;h5&gt;&lt;b&gt;Range &lt;/b&gt;see text&lt;/h5&gt;&lt;h5&gt;&lt;b&gt;Effect &lt;/b&gt;see text&lt;/h5&gt;&lt;h5&gt;&lt;b&gt;Duration &lt;/b&gt;see text&lt;/h5&gt;&lt;h5&gt;&lt;b&gt;Saving Throw &lt;/b&gt;Will disbelief (if interacted with); varies; see text; &lt;b&gt;Spell Resistance &lt;/b&gt;yes; see text&lt;/h5&gt;&lt;/div&gt;&lt;hr/&gt;&lt;div&gt;&lt;h5&gt;&lt;b&gt;DESCRIPTION&lt;/b&gt;&lt;/h5&gt;&lt;/div&gt;&lt;hr/&gt;&lt;div&gt;&lt;h4&gt;&lt;p&gt;This spell functions like &lt;i&gt;shadow conjuration,&lt;/i&gt; except that it mimics conjuration spells of 8th level or lower. The illusory conjurations created deal four-fifths (80%) damage to nonbelievers, and nondamaging effects are 80% likely to work against nonbelievers.&lt;/p&gt;&lt;/h4&gt;&lt;/div&gt;</t>
  </si>
  <si>
    <t> As shadow conjuration, but up to 8th level and 80% real.</t>
  </si>
  <si>
    <t>Shadow Conjuration, Greater</t>
  </si>
  <si>
    <t>This spell functions like shadow conjuration, except that it duplicates any sorcerer or wizard conjuration (summoning) or conjuration (creation) spell of 6th level or lower. The illusory conjurations created deal three-fifths (60%) damage to nonbelievers, and nondamaging effects are 60% likely to work against nonbelievers.</t>
  </si>
  <si>
    <t>&lt;p&gt;This spell functions like &lt;i&gt;shadow conjuration,&lt;/i&gt; except that it duplicates any sorcerer or wizard conjuration (summoning) or conjuration (creation) spell of 6th level or lower. The illusory conjurations created deal three-fifths (60%) damage to nonbelievers, and nondamaging effects are 60% likely to work against nonbelievers.&lt;/p&gt;</t>
  </si>
  <si>
    <t>&lt;link rel="stylesheet"href="PF.css"&gt;&lt;div class="heading"&gt;&lt;p class="alignleft"&gt;Shadow Conjuration, Greater&lt;/p&gt;&lt;div style="clear: both;"&gt;&lt;/div&gt;&lt;/div&gt;&lt;div&gt;&lt;h5&gt;&lt;b&gt;School &lt;/b&gt;illusion (shadow) [shadow]; &lt;b&gt;Level &lt;/b&gt;sorcerer/wizard 7&lt;/h5&gt;&lt;/div&gt;&lt;hr/&gt;&lt;div&gt;&lt;h5&gt;&lt;b&gt;CASTING&lt;/b&gt;&lt;/h5&gt;&lt;/div&gt;&lt;hr/&gt;&lt;div&gt;&lt;h5&gt;&lt;b&gt;Casting Time &lt;/b&gt;1 standard action&lt;/h5&gt;&lt;h5&gt;&lt;b&gt;Components &lt;/b&gt;V, S&lt;/h5&gt;&lt;/div&gt;&lt;hr/&gt;&lt;div&gt;&lt;h5&gt;&lt;b&gt;EFFECT&lt;/b&gt;&lt;/h5&gt;&lt;/div&gt;&lt;hr/&gt;&lt;div&gt;&lt;h5&gt;&lt;b&gt;Range &lt;/b&gt;see text&lt;/h5&gt;&lt;h5&gt;&lt;b&gt;Effect &lt;/b&gt;see text&lt;/h5&gt;&lt;h5&gt;&lt;b&gt;Duration &lt;/b&gt;see text&lt;/h5&gt;&lt;h5&gt;&lt;b&gt;Saving Throw &lt;/b&gt;Will disbelief (if interacted with); varies; see text; &lt;b&gt;Spell Resistance &lt;/b&gt;yes; see text&lt;/h5&gt;&lt;/div&gt;&lt;hr/&gt;&lt;div&gt;&lt;h5&gt;&lt;b&gt;DESCRIPTION&lt;/b&gt;&lt;/h5&gt;&lt;/div&gt;&lt;hr/&gt;&lt;div&gt;&lt;h4&gt;&lt;p&gt;This spell functions like &lt;i&gt;shadow conjuration,&lt;/i&gt; except that it duplicates any sorcerer or wizard conjuration (summoning) or conjuration (creation) spell of 6th level or lower. The illusory conjurations created deal three-fifths (60%) damage to nonbelievers, and nondamaging effects are 60% likely to work against nonbelievers.&lt;/p&gt;&lt;/h4&gt;&lt;/div&gt;</t>
  </si>
  <si>
    <t> As shadow conjuration, but up to 6th level and 60% real.</t>
  </si>
  <si>
    <t>Shadow Evocation</t>
  </si>
  <si>
    <t>You tap energy from the Plane of Shadow to cast a quasi-real, illusory version of a sorcerer or wizard evocation spell of 4th level or lower. Spells that deal damage have normal effects unless an affected creature succeeds on a Will save. Each disbelieving creature takes only one-fifth damage from the attack. If the disbelieved attack has a special effect other than damage, that effect is one-fifth as strong (if applicable) or only 20% likely to occur. If recognized as a shadow evocation, a damaging spell deals only one-fifth (20%) damage. Regardless of the result of the save to disbelieve, an affected creature is also allowed any save (or spell resistance) that the spell being simulated allows, but the save DC is set according to shadow evocation's level (5th) rather than the spell's normal level. Nondamaging effects have normal effects except against those who disbelieve them. Against disbelievers, they have no effect. Objects automatically succeed on their Will saves against this spell.</t>
  </si>
  <si>
    <t>&lt;p&gt;You tap energy from the Plane of Shadow to cast a quasi-real, illusory version of a sorcerer or wizard evocation spell of 4th level or lower. Spells that deal damage have normal effects unless an affected creature succeeds on a Will save. Each disbelieving creature takes only one-fifth damage from the attack. If the disbelieved attack has a special effect other than damage, that effect is one-fifth as strong (if applicable) or only 20% likely to occur. If recognized as a &lt;i&gt;shadow evocation, a&lt;/i&gt; damaging spell deals only one-fifth (20%) damage. Regardless of the result of the save to disbelieve, an affected creature is also allowed any save (or spell resistance) that the spell being simulated allows, but the save DC is set according to shadow evocation's level (5th) rather than the spell's normal level.&lt;/p&gt;&lt;p&gt;Nondamaging effects have normal effects except against those who disbelieve them. Against disbelievers, they have no effect.&lt;/p&gt;&lt;p&gt;Objects automatically succeed on their Will saves against this spell.&lt;/p&gt;</t>
  </si>
  <si>
    <t>&lt;link rel="stylesheet"href="PF.css"&gt;&lt;div class="heading"&gt;&lt;p class="alignleft"&gt;Shadow Evocation&lt;/p&gt;&lt;div style="clear: both;"&gt;&lt;/div&gt;&lt;/div&gt;&lt;div&gt;&lt;h5&gt;&lt;b&gt;School &lt;/b&gt;illusion (shadow) [shadow]; &lt;b&gt;Level &lt;/b&gt;bard 5, sorcerer/wizard 5&lt;/h5&gt;&lt;/div&gt;&lt;hr/&gt;&lt;div&gt;&lt;h5&gt;&lt;b&gt;CASTING&lt;/b&gt;&lt;/h5&gt;&lt;/div&gt;&lt;hr/&gt;&lt;div&gt;&lt;h5&gt;&lt;b&gt;Casting Time &lt;/b&gt;1 standard action&lt;/h5&gt;&lt;h5&gt;&lt;b&gt;Components &lt;/b&gt;V, S&lt;/h5&gt;&lt;/div&gt;&lt;hr/&gt;&lt;div&gt;&lt;h5&gt;&lt;b&gt;EFFECT&lt;/b&gt;&lt;/h5&gt;&lt;/div&gt;&lt;hr/&gt;&lt;div&gt;&lt;h5&gt;&lt;b&gt;Range &lt;/b&gt;see text&lt;/h5&gt;&lt;h5&gt;&lt;b&gt;Effect &lt;/b&gt;see text&lt;/h5&gt;&lt;h5&gt;&lt;b&gt;Duration &lt;/b&gt;see text&lt;/h5&gt;&lt;h5&gt;&lt;b&gt;Saving Throw &lt;/b&gt;Will disbelief (if interacted with); &lt;b&gt;Spell Resistance &lt;/b&gt;yes&lt;/h5&gt;&lt;/div&gt;&lt;hr/&gt;&lt;div&gt;&lt;h5&gt;&lt;b&gt;DESCRIPTION&lt;/b&gt;&lt;/h5&gt;&lt;/div&gt;&lt;hr/&gt;&lt;div&gt;&lt;h4&gt;&lt;p&gt;You tap energy from the Plane of Shadow to cast a quasi-real, illusory version of a sorcerer or wizard evocation spell of 4th level or lower. Spells that deal damage have normal effects unless an affected creature succeeds on a Will save. Each disbelieving creature takes only one-fifth damage from the attack. If the disbelieved attack has a special effect other than damage, that effect is one-fifth as strong (if applicable) or only 20% likely to occur. If recognized as a &lt;i&gt;shadow evocation, a&lt;/i&gt; damaging spell deals only one-fifth (20%) damage. Regardless of the result of the save to disbelieve, an affected creature is also allowed any save (or spell resistance) that the spell being simulated allows, but the save DC is set according to shadow evocation's level (5th) rather than the spell's normal level.&lt;/p&gt;&lt;p&gt;Nondamaging effects have normal effects except against those who disbelieve them. Against disbelievers, they have no effect.&lt;/p&gt;&lt;p&gt;Objects automatically succeed on their Will saves against this spell.&lt;/p&gt;&lt;/h4&gt;&lt;/div&gt;</t>
  </si>
  <si>
    <t>Mimics evocation of lower than 5th level, but only 20% real.</t>
  </si>
  <si>
    <t>Shadow Evocation, Greater</t>
  </si>
  <si>
    <t>This spell functions like shadow evocation, except that it enables you to create partially real, illusory versions of sorcerer or wizard evocation spells of 7th level or lower. If recognized as a greater shadow evocation, a damaging spell deals only three-fifths (60%) damage.</t>
  </si>
  <si>
    <t>&lt;p&gt;This spell functions like &lt;i&gt;sh&lt;i&gt;a&lt;/i&gt;dow evoc&lt;i&gt;a&lt;/i&gt;tion,&lt;/i&gt; except th&lt;i&gt;a&lt;/i&gt;t it en&lt;i&gt;a&lt;/i&gt;bles you to cre&lt;i&gt;a&lt;/i&gt;te p&lt;i&gt;a&lt;/i&gt;rti&lt;i&gt;a&lt;/i&gt;lly re&lt;i&gt;a&lt;/i&gt;l, illusory versions of sorcerer or wiz&lt;i&gt;a&lt;/i&gt;rd evoc&lt;i&gt;a&lt;/i&gt;tion spells of 7th level or lower. If recognized &lt;i&gt;a&lt;/i&gt;s &lt;i&gt;a&lt;/i&gt; gre&lt;i&gt;a&lt;/i&gt;ter &lt;i&gt;sh&lt;i&gt;a&lt;/i&gt;dow evoc&lt;i&gt;a&lt;/i&gt;tion,&lt;/i&gt; &lt;i&gt;a&lt;/i&gt; d&lt;i&gt;a&lt;/i&gt;m&lt;i&gt;a&lt;/i&gt;ging spell de&lt;i&gt;a&lt;/i&gt;ls only three-fifths (60%) d&lt;i&gt;a&lt;/i&gt;m&lt;i&gt;a&lt;/i&gt;ge.&lt;/p&gt;</t>
  </si>
  <si>
    <t>&lt;link rel="stylesheet"href="PF.css"&gt;&lt;div class="heading"&gt;&lt;p class="alignleft"&gt;Shadow Evocation, Greater&lt;/p&gt;&lt;div style="clear: both;"&gt;&lt;/div&gt;&lt;/div&gt;&lt;div&gt;&lt;h5&gt;&lt;b&gt;School &lt;/b&gt;illusion (shadow) [shadow]; &lt;b&gt;Level &lt;/b&gt;sorcerer/wizard 8&lt;/h5&gt;&lt;/div&gt;&lt;hr/&gt;&lt;div&gt;&lt;h5&gt;&lt;b&gt;CASTING&lt;/b&gt;&lt;/h5&gt;&lt;/div&gt;&lt;hr/&gt;&lt;div&gt;&lt;h5&gt;&lt;b&gt;Casting Time &lt;/b&gt;1 standard action&lt;/h5&gt;&lt;h5&gt;&lt;b&gt;Components &lt;/b&gt;V, S&lt;/h5&gt;&lt;/div&gt;&lt;hr/&gt;&lt;div&gt;&lt;h5&gt;&lt;b&gt;EFFECT&lt;/b&gt;&lt;/h5&gt;&lt;/div&gt;&lt;hr/&gt;&lt;div&gt;&lt;h5&gt;&lt;b&gt;Range &lt;/b&gt;see text&lt;/h5&gt;&lt;h5&gt;&lt;b&gt;Effect &lt;/b&gt;see text&lt;/h5&gt;&lt;h5&gt;&lt;b&gt;Duration &lt;/b&gt;see text&lt;/h5&gt;&lt;h5&gt;&lt;b&gt;Saving Throw &lt;/b&gt;Will disbelief (if interacted with); &lt;b&gt;Spell Resistance &lt;/b&gt;yes&lt;/h5&gt;&lt;/div&gt;&lt;hr/&gt;&lt;div&gt;&lt;h5&gt;&lt;b&gt;DESCRIPTION&lt;/b&gt;&lt;/h5&gt;&lt;/div&gt;&lt;hr/&gt;&lt;div&gt;&lt;h4&gt;&lt;p&gt;This spell functions like &lt;i&gt;sh&lt;i&gt;a&lt;/i&gt;dow evoc&lt;i&gt;a&lt;/i&gt;tion,&lt;/i&gt; except th&lt;i&gt;a&lt;/i&gt;t it en&lt;i&gt;a&lt;/i&gt;bles you to cre&lt;i&gt;a&lt;/i&gt;te p&lt;i&gt;a&lt;/i&gt;rti&lt;i&gt;a&lt;/i&gt;lly re&lt;i&gt;a&lt;/i&gt;l, illusory versions of sorcerer or wiz&lt;i&gt;a&lt;/i&gt;rd evoc&lt;i&gt;a&lt;/i&gt;tion spells of 7th level or lower. If recognized &lt;i&gt;a&lt;/i&gt;s &lt;i&gt;a&lt;/i&gt; gre&lt;i&gt;a&lt;/i&gt;ter &lt;i&gt;sh&lt;i&gt;a&lt;/i&gt;dow evoc&lt;i&gt;a&lt;/i&gt;tion,&lt;/i&gt; &lt;i&gt;a&lt;/i&gt; d&lt;i&gt;a&lt;/i&gt;m&lt;i&gt;a&lt;/i&gt;ging spell de&lt;i&gt;a&lt;/i&gt;ls only three-fifths (60%) d&lt;i&gt;a&lt;/i&gt;m&lt;i&gt;a&lt;/i&gt;ge.&lt;/p&gt;&lt;/h4&gt;&lt;/div&gt;</t>
  </si>
  <si>
    <t> As shadow evocation, but up to 7th level and 60% real.</t>
  </si>
  <si>
    <t>Shadow Walk</t>
  </si>
  <si>
    <t>bard 5, sorcerer/wizard 6, alchemist 6</t>
  </si>
  <si>
    <t>up to one touched creature/level</t>
  </si>
  <si>
    <t>To use the shadow walk spell, you must be in an area of dim light. You and any creature you touch are then transported along a coiling path of shadowstuff to the edge of the Material Plane where it borders the Plane of Shadow. The effect is largely illusory, but the path is quasi-real. You can take more than one creature along with you (subject to your level limit), but all must be touching each other. In the region of shadow, you move at a rate of 50 miles per hour, moving normally on the borders of the Plane of Shadow but much more rapidly relative to the Material Plane. Thus, you can use this spell to travel rapidly by stepping onto the Plane of Shadow, moving the desired distance, and then stepping back onto the Material Plane. Because of the blurring of reality between the Plane of Shadow and the Material Plane, you can't make out details of the terrain or areas you pass over during transit, nor can you predict perfectly where your travel will end. It's impossible to judge distances accurately, making the spell virtually useless for scouting or spying. Furthermore, when the spell effect ends, you are shunted 1d10 x 100 feet in a random horizontal direction from your desired endpoint. If this would place you within a solid object, you are shunted 1d10 x 1,000 feet in the same direction. If this would still place you within a solid object, you (and any creatures with you) are shunted to the nearest empty space available, but the strain of this activity renders each creature fatigued (no save). Shadow walk can also be used to travel to other planes that border on the Plane of Shadow, but this usage requires the transit of the Plane of Shadow to arrive at a border with another plane of reality. The transit of the Plane of Shadow requires 1d4 hours. Any creatures touched by you when shadow walk is cast also make the transition to the borders of the Plane of Shadow. They may opt to follow you, wander off through the plane, or stumble back into the Material Plane (50% chance for either of the latter results if they are lost or abandoned by you). Creatures unwilling to accompany you into the Plane of Shadow receive a Will saving throw, negating the effect if successful.</t>
  </si>
  <si>
    <t>&lt;p&gt;To use the &lt;i&gt;shadow walk&lt;/i&gt; spell, you must be in an area of dim light. You and any creature you touch are then transported along a coiling path of shadowstuff to the edge of the Material Plane where it borders the Plane of Shadow. The effect is largely illusory, but the path is quasi-real. You can take more than one creature along with you (subject to your level limit), but all must be touching each other.&lt;/p&gt;&lt;p&gt;In the region of shadow, you move at a rate of 50 miles per hour, moving normally on the borders of the Plane of Shadow but much more rapidly relative to the Material Plane. Thus, you can use this spell to travel rapidly by stepping onto the Plane of Shadow, moving the desired distance, and then stepping back onto the Material Plane.&lt;/p&gt;&lt;p&gt;Because of the blurring of reality between the Plane of Shadow and the Material Plane, you can't make out details of the terrain or areas you pass over during transit, nor can you predict perfectly where your travel will end. It's impossible to judge distances accurately, making the spell virtually useless for scouting or spying.&lt;/p&gt;&lt;p&gt;Furthermore, when the spell effect ends, you are shunted 1d10 x 100 feet in a random horizontal direction from your desired endpoint. If this would place you within a solid object, you are shunted 1d10 x 1,000 feet in the same direction. If this would still place you within a solid object, you (and any creatures with you) are shunted to the nearest empty space available, but the strain of this activity renders each creature fatigued (no save).&lt;/p&gt;&lt;p&gt;&lt;i&gt;Shadow walk&lt;/i&gt; can also be used to travel to other planes that border on the Plane of Shadow, but this usage requires the transit of the Plane of Shadow to arrive at a border with another plane of reality. The transit of the Plane of Shadow requires 1d4 hours.&lt;/p&gt;&lt;p&gt;Any creatures touched by you when &lt;i&gt;shadow walk&lt;/i&gt; is cast also make the transition to the borders of the Plane of Shadow.&lt;/p&gt;&lt;p&gt;They may opt to follow you, wander off through the plane, or stumble back into the Material Plane (50% chance for either of the latter results if they are lost or abandoned by you). Creatures unwilling to accompany you into the Plane of Shadow receive a Will saving throw, negating the effect if successful.&lt;/p&gt;</t>
  </si>
  <si>
    <t>&lt;link rel="stylesheet"href="PF.css"&gt;&lt;div class="heading"&gt;&lt;p class="alignleft"&gt;Shadow Walk&lt;/p&gt;&lt;div style="clear: both;"&gt;&lt;/div&gt;&lt;/div&gt;&lt;div&gt;&lt;h5&gt;&lt;b&gt;School &lt;/b&gt;illusion (shadow) [shadow]; &lt;b&gt;Level &lt;/b&gt;bard 5, sorcerer/wizard 6, alchemist 6&lt;/h5&gt;&lt;/div&gt;&lt;hr/&gt;&lt;div&gt;&lt;h5&gt;&lt;b&gt;CASTING&lt;/b&gt;&lt;/h5&gt;&lt;/div&gt;&lt;hr/&gt;&lt;div&gt;&lt;h5&gt;&lt;b&gt;Casting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&lt;/b&gt;up to one touched creature/level&lt;/h5&gt;&lt;h5&gt;&lt;b&gt;Duration &lt;/b&gt;1 hour/level (D)&lt;/h5&gt;&lt;h5&gt;&lt;b&gt;Saving Throw &lt;/b&gt;Will negates; &lt;b&gt;Spell Resistance &lt;/b&gt;yes&lt;/h5&gt;&lt;/div&gt;&lt;hr/&gt;&lt;div&gt;&lt;h5&gt;&lt;b&gt;DESCRIPTION&lt;/b&gt;&lt;/h5&gt;&lt;/div&gt;&lt;hr/&gt;&lt;div&gt;&lt;h4&gt;&lt;p&gt;To use the &lt;i&gt;shadow walk&lt;/i&gt; spell, you must be in an area of dim light. You and any creature you touch are then transported along a coiling path of shadowstuff to the edge of the Material Plane where it borders the Plane of Shadow. The effect is largely illusory, but the path is quasi-real. You can take more than one creature along with you (subject to your level limit), but all must be touching each other.&lt;/p&gt;&lt;p&gt;In the region of shadow, you move at a rate of 50 miles per hour, moving normally on the borders of the Plane of Shadow but much more rapidly relative to the Material Plane. Thus, you can use this spell to travel rapidly by stepping onto the Plane of Shadow, moving the desired distance, and then stepping back onto the Material Plane.&lt;/p&gt;&lt;p&gt;Because of the blurring of reality between the Plane of Shadow and the Material Plane, you can't make out details of the terrain or areas you pass over during transit, nor can you predict perfectly where your travel will end. It's impossible to judge distances accurately, making the spell virtually useless for scouting or spying.&lt;/p&gt;&lt;p&gt;Furthermore, when the spell effect ends, you are shunted 1d10 x 100 feet in a random horizontal direction from your desired endpoint. If this would place you within a solid object, you are shunted 1d10 x 1,000 feet in the same direction. If this would still place you within a solid object, you (and any creatures with you) are shunted to the nearest empty space available, but the strain of this activity renders each creature fatigued (no save).&lt;/p&gt;&lt;p&gt;&lt;i&gt;Shadow walk&lt;/i&gt; can also be used to travel to other planes that border on the Plane of Shadow, but this usage requires the transit of the Plane of Shadow to arrive at a border with another plane of reality. The transit of the Plane of Shadow requires 1d4 hours.&lt;/p&gt;&lt;p&gt;Any creatures touched by you when &lt;i&gt;shadow walk&lt;/i&gt; is cast also make the transition to the borders of the Plane of Shadow.&lt;/p&gt;&lt;p&gt;They may opt to follow you, wander off through the plane, or stumble back into the Material Plane (50% chance for either of the latter results if they are lost or abandoned by you). Creatures unwilling to accompany you into the Plane of Shadow receive a Will saving throw, negating the effect if successful.&lt;/p&gt;&lt;/h4&gt;&lt;/div&gt;</t>
  </si>
  <si>
    <t>Step into shadow to travel rapidly.</t>
  </si>
  <si>
    <t>Dreamspun, Shadow</t>
  </si>
  <si>
    <t>Shadow, Spirits</t>
  </si>
  <si>
    <t>Shambler</t>
  </si>
  <si>
    <t>druid 9</t>
  </si>
  <si>
    <t>three or more shambling mounds, no two of which can be more than 30 ft. apart; see text</t>
  </si>
  <si>
    <t>7 days or 7 months ; see text</t>
  </si>
  <si>
    <t>The shambler spell creates 1d4+2 shambling mounds with the advanced template (see the Pathfinder RPG Bestiary). The creatures willingly aid you in combat or battle, perform a specific mission, or serve as bodyguards. The creatures remain with you for 7 days unless you dismiss them. If the shamblers are created only for guard duty, however, the duration of the spell is 7 months. In this case, the shamblers can only be ordered to guard a specific site or location. Shamblers summoned to guard duty cannot move outside the spell's range, which is measured from the point where each first appeared. You can only have one shambler spell in at one time. If you cast this spell while another casting is still in effect, the previous casting is dispelled. The shamblers have resistance to fire as normal shambling mounds do only if the terrain where they are summoned is rainy, marshy, or damp.</t>
  </si>
  <si>
    <t>&lt;p&gt;The &lt;i&gt;shambler&lt;/i&gt; spell creates 1d4+2 shambling mounds with the advanced template (see the &lt;i&gt;Pathfinder RPG Bestiary&lt;/i&gt;). The creatures willingly aid you in combat or battle, perform a specific mission, or serve as bodyguards. The creatures remain with you for 7 days unless you dismiss them. If the &lt;i&gt;shambler&lt;/i&gt;s are created only for guard duty, however, the duration of the spell is 7 months. In this case, the &lt;i&gt;shambler&lt;/i&gt;s can only be ordered to guard a specific site or location. Shamblers summoned to guard duty cannot move outside the spell's range, which is measured from the point where each first appeared. You can only have one &lt;i&gt;shambler&lt;/i&gt; spell in at one time. If you cast this spell while another casting is still in effect, the previous casting is dispelled. The &lt;i&gt;shambler&lt;/i&gt;s have resistance to fire as normal shambling mounds do only if the terrain where they are summoned is rainy, marshy, or damp.&lt;/p&gt;</t>
  </si>
  <si>
    <t>&lt;link rel="stylesheet"href="PF.css"&gt;&lt;div class="heading"&gt;&lt;p class="alignleft"&gt;Shambler&lt;/p&gt;&lt;div style="clear: both;"&gt;&lt;/div&gt;&lt;/div&gt;&lt;div&gt;&lt;h5&gt;&lt;b&gt;School &lt;/b&gt;conjuration (creation); &lt;b&gt;Level &lt;/b&gt;druid 9&lt;/h5&gt;&lt;/div&gt;&lt;hr/&gt;&lt;div&gt;&lt;h5&gt;&lt;b&gt;CASTING&lt;/b&gt;&lt;/h5&gt;&lt;/div&gt;&lt;hr/&gt;&lt;div&gt;&lt;h5&gt;&lt;b&gt;Casting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ft./level)&lt;/h5&gt;&lt;h5&gt;&lt;b&gt;Effect &lt;/b&gt;three or more shambling mounds, no two of which can be more than 30 ft. apart; see text&lt;/h5&gt;&lt;h5&gt;&lt;b&gt;Duration &lt;/b&gt;7 days or 7 months ; see text (D)&lt;/h5&gt;&lt;h5&gt;&lt;b&gt;Saving Throw &lt;/b&gt;none; &lt;b&gt;Spell Resistance &lt;/b&gt;no&lt;/h5&gt;&lt;/div&gt;&lt;hr/&gt;&lt;div&gt;&lt;h5&gt;&lt;b&gt;DESCRIPTION&lt;/b&gt;&lt;/h5&gt;&lt;/div&gt;&lt;hr/&gt;&lt;div&gt;&lt;h4&gt;&lt;p&gt;The &lt;i&gt;shambler&lt;/i&gt; spell creates 1d4+2 shambling mounds with the advanced template (see the &lt;i&gt;Pathfinder RPG Bestiary&lt;/i&gt;). The creatures willingly aid you in combat or battle, perform a specific mission, or serve as bodyguards. The creatures remain with you for 7 days unless you dismiss them. If the &lt;i&gt;shambler&lt;/i&gt;s are created only for guard duty, however, the duration of the spell is 7 months. In this case, the &lt;i&gt;shambler&lt;/i&gt;s can only be ordered to guard a specific site or location. Shamblers summoned to guard duty cannot move outside the spell's range, which is measured from the point where each first appeared. You can only have one &lt;i&gt;shambler&lt;/i&gt; spell in at one time. If you cast this spell while another casting is still in effect, the previous casting is dispelled. The &lt;i&gt;shambler&lt;/i&gt;s have resistance to fire as normal shambling mounds do only if the terrain where they are summoned is rainy, marshy, or damp.&lt;/p&gt;&lt;/h4&gt;&lt;/div&gt;</t>
  </si>
  <si>
    <t> Creates 1d4+2 shambling mounds to fight for you.</t>
  </si>
  <si>
    <t>Shapechange</t>
  </si>
  <si>
    <t>druid 9, sorcerer/wizard 9</t>
  </si>
  <si>
    <t>V, S, F (jade circlet worth 1,500 gp)</t>
  </si>
  <si>
    <t>This spell allows you to take the form of a wide variety of creatures. This spell can function as alter self, beast form IV, elemental body IV, form of the dragon III, giant form II, and plant shape III depending on what form you take. You can change form once each round as a free action. The change takes place either immediately before your regular action or immediately after it, but not during the action.</t>
  </si>
  <si>
    <t>&lt;p&gt;This spell allows you to take the form of a wide variety of creatures. This spell can function as &lt;i&gt;alter self, beast form IV, elemental body IV&lt;/i&gt;, &lt;i&gt;form of the dragon III, giant form II,&lt;/i&gt; and &lt;i&gt;plant shape III&lt;/i&gt; depending on what form you take. You can change form once each round as a free action. The change takes place either immediately before your regular action or immediately after it, but not during the action.&lt;/p&gt;</t>
  </si>
  <si>
    <t>&lt;link rel="stylesheet"href="PF.css"&gt;&lt;div class="heading"&gt;&lt;p class="alignleft"&gt;Shapechange&lt;/p&gt;&lt;div style="clear: both;"&gt;&lt;/div&gt;&lt;/div&gt;&lt;div&gt;&lt;h5&gt;&lt;b&gt;School &lt;/b&gt;transmutation (polymorph); &lt;b&gt;Level &lt;/b&gt;druid 9, sorcerer/wizard 9&lt;/h5&gt;&lt;/div&gt;&lt;hr/&gt;&lt;div&gt;&lt;h5&gt;&lt;b&gt;CASTING&lt;/b&gt;&lt;/h5&gt;&lt;/div&gt;&lt;hr/&gt;&lt;div&gt;&lt;h5&gt;&lt;b&gt;Casting Time &lt;/b&gt;1 standard action&lt;/h5&gt;&lt;h5&gt;&lt;b&gt;Components &lt;/b&gt;V, S, F (jade circlet worth 1,500 gp)&lt;/h5&gt;&lt;/div&gt;&lt;hr/&gt;&lt;div&gt;&lt;h5&gt;&lt;b&gt;EFFECT&lt;/b&gt;&lt;/h5&gt;&lt;/div&gt;&lt;hr/&gt;&lt;div&gt;&lt;h5&gt;&lt;b&gt;Range &lt;/b&gt;personal&lt;/h5&gt;&lt;h5&gt;&lt;b&gt;Targets &lt;/b&gt;you&lt;/h5&gt;&lt;h5&gt;&lt;b&gt;Duration &lt;/b&gt;10 min./level (D)&lt;/h5&gt;&lt;/div&gt;&lt;hr/&gt;&lt;div&gt;&lt;h5&gt;&lt;b&gt;DESCRIPTION&lt;/b&gt;&lt;/h5&gt;&lt;/div&gt;&lt;hr/&gt;&lt;div&gt;&lt;h4&gt;&lt;p&gt;This spell allows you to take the form of a wide variety of creatures. This spell can function as &lt;i&gt;alter self, beast form IV, elemental body IV&lt;/i&gt;, &lt;i&gt;form of the dragon III, giant form II,&lt;/i&gt; and &lt;i&gt;plant shape III&lt;/i&gt; depending on what form you take. You can change form once each round as a free action. The change takes place either immediately before your regular action or immediately after it, but not during the action.&lt;/p&gt;&lt;/h4&gt;&lt;/div&gt;</t>
  </si>
  <si>
    <t>Transforms you into certain creatures, and you can change forms once per round.</t>
  </si>
  <si>
    <t>Aberrant, Fey</t>
  </si>
  <si>
    <t>Agility, Strength, Transformation</t>
  </si>
  <si>
    <t>Shatter</t>
  </si>
  <si>
    <t>bard 2, cleric/oracle 2, sorcerer/wizard 2, magus 2</t>
  </si>
  <si>
    <t>V, S, M/DF (a chip of mica)</t>
  </si>
  <si>
    <t>5-ft.-radius spread; or one solid object or one crystalline creature</t>
  </si>
  <si>
    <t>Will negates (object); Will negates (object) or Fortitude half; see text</t>
  </si>
  <si>
    <t>Shatter creates a loud, ringing noise that breaks brittle, nonmagical objects; sunders a single solid, nonmagical object; or damages a crystalline creature. Used as an area attack, shatter destroys nonmagical objects of crystal, glass, ceramic, or porcelain. All such unattended objects within a 5-foot radius of the point of origin are smashed into dozens of pieces by the spell. Objects weighing more than 1 pound per your level are not affected, but all other objects of the appropriate composition are shattered. Alternatively, you can target shatter against a single solid nonmagical object, regardless of composition, weighing up to 10 pounds per caster level. Targeted against a crystalline creature (of any weight), shatter deals 1d6 points of sonic damage per caster level (maximum 10d6), with a Fortitude save for half damage.</t>
  </si>
  <si>
    <t>&lt;p&gt;&lt;i&gt;Shatter&lt;/i&gt; creates a loud, ringing noise that breaks brittle, nonmagical objects; sunders a single solid, nonmagical object; or damages a crystalline creature.&lt;/p&gt;&lt;p&gt;Used as an area attack, &lt;i&gt;shatter&lt;/i&gt; destroys nonmagical objects of crystal, glass, ceramic, or porcelain. All such unattended objects within a 5-foot radius of the point of origin are smashed into dozens of pieces by the spell. Objects weighing more than 1 pound per your level are not affected, but all other objects of the appropriate composition are &lt;i&gt;shatter&lt;/i&gt;ed.&lt;/p&gt;&lt;p&gt;Alternatively, you can target &lt;i&gt;shatter&lt;/i&gt; against a single solid nonmagical object, regardless of composition, weighing up to 10 pounds per caster level. Targeted against a crystalline creature (of any weight), &lt;i&gt;shatter&lt;/i&gt; deals 1d6 points of sonic damage per caster level (maximum 10d6), with a Fortitude save for half damage.&lt;/p&gt;</t>
  </si>
  <si>
    <t>&lt;link rel="stylesheet"href="PF.css"&gt;&lt;div class="heading"&gt;&lt;p class="alignleft"&gt;Shatter&lt;/p&gt;&lt;div style="clear: both;"&gt;&lt;/div&gt;&lt;/div&gt;&lt;div&gt;&lt;h5&gt;&lt;b&gt;School &lt;/b&gt;evocation [sonic]; &lt;b&gt;Level &lt;/b&gt;bard 2, cleric/oracle 2, sorcerer/wizard 2, magus 2&lt;/h5&gt;&lt;/div&gt;&lt;hr/&gt;&lt;div&gt;&lt;h5&gt;&lt;b&gt;CASTING&lt;/b&gt;&lt;/h5&gt;&lt;/div&gt;&lt;hr/&gt;&lt;div&gt;&lt;h5&gt;&lt;b&gt;Casting Time &lt;/b&gt;1 standard action&lt;/h5&gt;&lt;h5&gt;&lt;b&gt;Components &lt;/b&gt;V, S, M/DF (a chip of mica)&lt;/h5&gt;&lt;/div&gt;&lt;hr/&gt;&lt;div&gt;&lt;h5&gt;&lt;b&gt;EFFECT&lt;/b&gt;&lt;/h5&gt;&lt;/div&gt;&lt;hr/&gt;&lt;div&gt;&lt;h5&gt;&lt;b&gt;Range &lt;/b&gt;close (25 ft. + 5 ft./2 levels)&lt;/h5&gt;&lt;h5&gt;&lt;b&gt;Target or Area &lt;/b&gt;5-ft.-radius spread; or one solid object or one crystalline creature&lt;h5&gt;&lt;b&gt;Duration &lt;/b&gt;instantaneous&lt;/h5&gt;&lt;h5&gt;&lt;b&gt;Saving Throw &lt;/b&gt;Will negates (object); Will negates (object) or Fortitude half; see text; &lt;b&gt;Spell Resistance &lt;/b&gt;yes&lt;/h5&gt;&lt;/div&gt;&lt;hr/&gt;&lt;div&gt;&lt;h5&gt;&lt;b&gt;DESCRIPTION&lt;/b&gt;&lt;/h5&gt;&lt;/div&gt;&lt;hr/&gt;&lt;div&gt;&lt;h4&gt;&lt;p&gt;&lt;i&gt;Shatter&lt;/i&gt; creates a loud, ringing noise that breaks brittle, nonmagical objects; sunders a single solid, nonmagical object; or damages a crystalline creature.&lt;/p&gt;&lt;p&gt;Used as an area attack, &lt;i&gt;shatter&lt;/i&gt; destroys nonmagical objects of crystal, glass, ceramic, or porcelain. All such unattended objects within a 5-foot radius of the point of origin are smashed into dozens of pieces by the spell. Objects weighing more than 1 pound per your level are not affected, but all other objects of the appropriate composition are &lt;i&gt;shatter&lt;/i&gt;ed.&lt;/p&gt;&lt;p&gt;Alternatively, you can target &lt;i&gt;shatter&lt;/i&gt; against a single solid nonmagical object, regardless of composition, weighing up to 10 pounds per caster level. Targeted against a crystalline creature (of any weight), &lt;i&gt;shatter&lt;/i&gt; deals 1d6 points of sonic damage per caster level (maximum 10d6), with a Fortitude save for half damage.&lt;/p&gt;&lt;/h4&gt;&lt;h5&gt;&lt;b&gt;Mythic: &lt;/b&gt;Add your tier to your caster level when determining the maximum object weight you can affect. When targeting a crystalline creature, the spell's damage increases to 1d8 points of sonic damage per caster level (maximum 10d8). You may damage a single magical object as if it were a crystalline creature. If the spell destroys an object or damages a crystalline creature, broken shards litter the spell area or creature's space and act as caltrops.&lt;/h5&gt;&lt;/div&gt;</t>
  </si>
  <si>
    <t>Sonic vibration damages objects or crystalline creatures.</t>
  </si>
  <si>
    <t>Add your tier to your caster level when determining the maximum object weight you can affect. When targeting a crystalline creature, the spell's damage increases to 1d8 points of sonic damage per caster level (maximum 10d8). You may damage a single magical object as if it were a crystalline creature. If the spell destroys an object or damages a crystalline creature, broken shards litter the spell area or creature's space and act as caltrops.</t>
  </si>
  <si>
    <t>Shield</t>
  </si>
  <si>
    <t>sorcerer/wizard 1, alchemist 1, summoner 1, magus 1</t>
  </si>
  <si>
    <t>Shield creates an invisible shield of force that hovers in front of you. It negates magic missile attacks directed at you. The disk also provides a +4 shield bonus to AC. This bonus applies against incorporeal touch attacks, since it is a force effect. The shield has no armor check penalty or arcane spell failure chance.</t>
  </si>
  <si>
    <t>&lt;p&gt;&lt;i&gt;Shield&lt;/i&gt; creates an invisible &lt;i&gt;shield&lt;/i&gt; of force that hovers in front of you. It negates &lt;i&gt;magic missile&lt;/i&gt; attacks directed at you. The disk also provides a +4 &lt;i&gt;shield&lt;/i&gt; bonus to AC. This bonus applies against incorporeal touch attacks, since it is a force effect. The &lt;i&gt;shield&lt;/i&gt; has no armor check penalty or arcane spell failure chance.&lt;/p&gt;</t>
  </si>
  <si>
    <t>&lt;link rel="stylesheet"href="PF.css"&gt;&lt;div class="heading"&gt;&lt;p class="alignleft"&gt;Shield&lt;/p&gt;&lt;div style="clear: both;"&gt;&lt;/div&gt;&lt;/div&gt;&lt;div&gt;&lt;h5&gt;&lt;b&gt;School &lt;/b&gt;abjuration [force]; &lt;b&gt;Level &lt;/b&gt;sorcerer/wizard 1, alchemist 1, summoner 1, magus 1&lt;/h5&gt;&lt;/div&gt;&lt;hr/&gt;&lt;div&gt;&lt;h5&gt;&lt;b&gt;CASTING&lt;/b&gt;&lt;/h5&gt;&lt;/div&gt;&lt;hr/&gt;&lt;div&gt;&lt;h5&gt;&lt;b&gt;Casting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min./level (D)&lt;/h5&gt;&lt;/div&gt;&lt;hr/&gt;&lt;div&gt;&lt;h5&gt;&lt;b&gt;DESCRIPTION&lt;/b&gt;&lt;/h5&gt;&lt;/div&gt;&lt;hr/&gt;&lt;div&gt;&lt;h4&gt;&lt;p&gt;&lt;i&gt;Shield&lt;/i&gt; creates an invisible &lt;i&gt;shield&lt;/i&gt; of force that hovers in front of you. It negates &lt;i&gt;magic missile&lt;/i&gt; attacks directed at you. The disk also provides a +4 &lt;i&gt;shield&lt;/i&gt; bonus to AC. This bonus applies against incorporeal touch attacks, since it is a force effect. The &lt;i&gt;shield&lt;/i&gt; has no armor check penalty or arcane spell failure chance.&lt;/p&gt;&lt;/h4&gt;&lt;/div&gt;</t>
  </si>
  <si>
    <t>Defense</t>
  </si>
  <si>
    <t> Invisible disc gives +4 to AC, blocks magic missiles.</t>
  </si>
  <si>
    <t>Shield Of Faith</t>
  </si>
  <si>
    <t>V, S, M (parchment with a holy text written on it)</t>
  </si>
  <si>
    <t>This spell creates a shimmering, magical field around the target that averts and deflects attacks. The spell grants the subject a +2 deflection bonus to AC, with an additional +1 to the bonus for every six levels you have (maximum +5 deflection bonus at 18th level).</t>
  </si>
  <si>
    <t>&lt;p&gt;This spell creates a shimmering, magical field around the target that averts and deflects attacks. The spell grants the subject a +2 deflection bonus to AC, with an additional +1 to the bonus for every six levels you have (maximum +5 deflection bonus at 18th level).&lt;/p&gt;</t>
  </si>
  <si>
    <t>&lt;link rel="stylesheet"href="PF.css"&gt;&lt;div class="heading"&gt;&lt;p class="alignleft"&gt;Shield Of Faith&lt;/p&gt;&lt;div style="clear: both;"&gt;&lt;/div&gt;&lt;/div&gt;&lt;div&gt;&lt;h5&gt;&lt;b&gt;School &lt;/b&gt;abjuration; &lt;b&gt;Level &lt;/b&gt;cleric/oracle 1, inquisitor 1&lt;/h5&gt;&lt;/div&gt;&lt;hr/&gt;&lt;div&gt;&lt;h5&gt;&lt;b&gt;CASTING&lt;/b&gt;&lt;/h5&gt;&lt;/div&gt;&lt;hr/&gt;&lt;div&gt;&lt;h5&gt;&lt;b&gt;Casting Time &lt;/b&gt;1 standard action&lt;/h5&gt;&lt;h5&gt;&lt;b&gt;Components &lt;/b&gt;V, S, M (parchment with a holy text written on it)&lt;/h5&gt;&lt;/div&gt;&lt;hr/&gt;&lt;div&gt;&lt;h5&gt;&lt;b&gt;EFFECT&lt;/b&gt;&lt;/h5&gt;&lt;/div&gt;&lt;hr/&gt;&lt;div&gt;&lt;h5&gt;&lt;b&gt;Range &lt;/b&gt;touch&lt;/h5&gt;&lt;h5&gt;&lt;b&gt;Targets &lt;/b&gt;creature touched&lt;/h5&gt;&lt;h5&gt;&lt;b&gt;Duration &lt;/b&gt;1 min./level&lt;/h5&gt;&lt;h5&gt;&lt;b&gt;Saving Throw &lt;/b&gt;Will negates (harmless); &lt;b&gt;Spell Resistance &lt;/b&gt;yes (harmless)&lt;/h5&gt;&lt;/div&gt;&lt;hr/&gt;&lt;div&gt;&lt;h5&gt;&lt;b&gt;DESCRIPTION&lt;/b&gt;&lt;/h5&gt;&lt;/div&gt;&lt;hr/&gt;&lt;div&gt;&lt;h4&gt;&lt;p&gt;This spell creates a shimmering, magical field around the target that averts and deflects attacks. The spell grants the subject a +2 deflection bonus to AC, with an additional +1 to the bonus for every six levels you have (maximum +5 deflection bonus at 18th level).&lt;/p&gt;&lt;/h4&gt;&lt;h5&gt;&lt;b&gt;Mythic: &lt;/b&gt;Add half your tier to the spell's deflection bonus.&lt;/h5&gt;&lt;/div&gt;</t>
  </si>
  <si>
    <t>Agathion, Glory</t>
  </si>
  <si>
    <t> Aura grants +2 or higher deflection bonus.</t>
  </si>
  <si>
    <t>Add half your tier to the spell's deflection bonus.</t>
  </si>
  <si>
    <t>Shield of Law</t>
  </si>
  <si>
    <t>V, S, F (a reliquary worth 500 gp)</t>
  </si>
  <si>
    <t>A dim, blue glow surrounds the subjects, protecting them from attacks, granting them resistance to spells cast by chaotic creatures, and slowing chaotic creatures when they strike the subjects. This abjuration has four effects. First, each warded creature gains a +4 deflection bonus to AC and a +4 resistance bonus on saves. Unlike protection from chaos, this benefit applies against all attacks, not just against attacks by chaotic creatures. Second, a warded creature gains spell resistance 25 against chaotic spells and spells cast by chaotic creatures. Third, the abjuration protects you from possession and mental influence, just as protection from chaos does. Finally, if a chaotic creature succeeds on a melee attack against a warded creature, the attacker is slowed (Will save negates, as the slow spell, but against shield of law's save DC).</t>
  </si>
  <si>
    <t>&lt;p&gt;A dim, blue glow surrounds the subjects, protecting them from attacks, granting them resistance to spells cast by chaotic creatures, and &lt;i&gt;&lt;i&gt;slow&lt;/i&gt;ing&lt;/i&gt; chaotic creatures when they strike the subjects. This abjuration has four effects.&lt;/p&gt;&lt;p&gt;First, each warded creature gains a +4 deflection bonus to AC and a +4 resistance bonus on saves. Unlike &lt;i&gt;protection from chaos&lt;/i&gt;, this benefit applies against all attacks, not just against attacks by chaotic creatures.&lt;/p&gt;&lt;p&gt;Second, a warded creature gains spell resistance 25 against chaotic spells and spells cast by chaotic creatures.&lt;/p&gt;&lt;p&gt;Third, the abjuration protects you from possession and mental influence, just as &lt;i&gt;protection from chaos&lt;/i&gt; does.&lt;/p&gt;&lt;p&gt;Finally, if a chaotic creature succeeds on a melee attack against a warded creature, the attacker is &lt;i&gt;&lt;i&gt;slow&lt;/i&gt;ed&lt;/i&gt; (Will save negates, as the &lt;i&gt;slow&lt;/i&gt; spell, but against &lt;i&gt;shield of law&lt;/i&gt;'s save DC).&lt;/p&gt;</t>
  </si>
  <si>
    <t>&lt;link rel="stylesheet"href="PF.css"&gt;&lt;div class="heading"&gt;&lt;p class="alignleft"&gt;Shield of Law&lt;/p&gt;&lt;div style="clear: both;"&gt;&lt;/div&gt;&lt;/div&gt;&lt;div&gt;&lt;h5&gt;&lt;b&gt;School &lt;/b&gt;abjuration [lawful]; &lt;b&gt;Level &lt;/b&gt;cleric 8/oracle 8&lt;/h5&gt;&lt;/div&gt;&lt;hr/&gt;&lt;div&gt;&lt;h5&gt;&lt;b&gt;CASTING&lt;/b&gt;&lt;/h5&gt;&lt;/div&gt;&lt;hr/&gt;&lt;div&gt;&lt;h5&gt;&lt;b&gt;Casting Time &lt;/b&gt;1 standard action&lt;/h5&gt;&lt;h5&gt;&lt;b&gt;Components &lt;/b&gt;V, S, F (a reliquary worth 500 gp)&lt;/h5&gt;&lt;/div&gt;&lt;hr/&gt;&lt;div&gt;&lt;h5&gt;&lt;b&gt;EFFECT&lt;/b&gt;&lt;/h5&gt;&lt;/div&gt;&lt;hr/&gt;&lt;div&gt;&lt;h5&gt;&lt;b&gt;Range &lt;/b&gt;20 ft.&lt;/h5&gt;&lt;h5&gt;&lt;b&gt;Targets &lt;/b&gt;one creature/level in a 20-ft.-radius burst centered on you&lt;/h5&gt;&lt;h5&gt;&lt;b&gt;Duration &lt;/b&gt;1 round/level (D)&lt;/h5&gt;&lt;h5&gt;&lt;b&gt;Saving Throw &lt;/b&gt;see text; &lt;b&gt;Spell Resistance &lt;/b&gt;yes (harmless)&lt;/h5&gt;&lt;/div&gt;&lt;hr/&gt;&lt;div&gt;&lt;h5&gt;&lt;b&gt;DESCRIPTION&lt;/b&gt;&lt;/h5&gt;&lt;/div&gt;&lt;hr/&gt;&lt;div&gt;&lt;h4&gt;&lt;p&gt;A dim, blue glow surrounds the subjects, protecting them from attacks, granting them resistance to spells cast by chaotic creatures, and &lt;i&gt;&lt;i&gt;slow&lt;/i&gt;ing&lt;/i&gt; chaotic creatures when they strike the subjects. This abjuration has four effects.&lt;/p&gt;&lt;p&gt;First, each warded creature gains a +4 deflection bonus to AC and a +4 resistance bonus on saves. Unlike &lt;i&gt;protection from chaos&lt;/i&gt;, this benefit applies against all attacks, not just against attacks by chaotic creatures.&lt;/p&gt;&lt;p&gt;Second, a warded creature gains spell resistance 25 against chaotic spells and spells cast by chaotic creatures.&lt;/p&gt;&lt;p&gt;Third, the abjuration protects you from possession and mental influence, just as &lt;i&gt;protection from chaos&lt;/i&gt; does.&lt;/p&gt;&lt;p&gt;Finally, if a chaotic creature succeeds on a melee attack against a warded creature, the attacker is &lt;i&gt;&lt;i&gt;slow&lt;/i&gt;ed&lt;/i&gt; (Will save negates, as the &lt;i&gt;slow&lt;/i&gt; spell, but against &lt;i&gt;shield of law&lt;/i&gt;'s save DC).&lt;/p&gt;&lt;/h4&gt;&lt;/div&gt;</t>
  </si>
  <si>
    <t> +4 to AC, +4 resistance, and SR 25 against chaotic spells.</t>
  </si>
  <si>
    <t>Shield Other</t>
  </si>
  <si>
    <t>cleric/oracle 2, paladin 2, inquisitor 2</t>
  </si>
  <si>
    <t>V, S, F (a pair of platinum rings worth 50 gp worn by both you and the target)</t>
  </si>
  <si>
    <t>This spell wards the subject and creates a mystic connection between you and the subject so that some of its wounds are transferred to you. The subject gains a +1 deflection bonus to AC and a +1 resistance bonus on saves. Additionally, the subject takes only half damage from all wounds and attacks (including those dealt by special abilities) that deal hit point damage. The amount of damage not taken by the warded creature is taken by you. Forms of harm that do not involve hit points, such as charm effects, temporary ability damage, level draining, and death effects, are not affected. If the subject suffers a reduction of hit points from a lowered Constitution score, the reduction is not split with you because it is not hit point damage. When the spell ends, subsequent damage is no longer divided between the subject and you, but damage already split is not reassigned to the subject. If you and the subject of the spell move out of range of each other, the spell ends.</t>
  </si>
  <si>
    <t>&lt;p&gt;This spell wards the subject and creates a mystic connection between you and the subject so that some of its wounds are transferred to you. The subject gains a +1 deflection bonus to AC and a +1 resistance bonus on saves. Additionally, the subject takes only half damage from all wounds and attacks (including those dealt by special abilities) that deal hit point damage. The amount of damage not taken by the warded creature is taken by you. Forms of harm that do not involve hit points, such as &lt;i&gt;charm&lt;/i&gt; effects, temporary ability damage, level draining, and death effects, are not affected. If the subject suffers a reduction of hit points from a lowered Constitution score, the reduction is not split with you because it is not hit point damage. When the spell ends, subsequent damage is no longer divided between the subject and you, but damage already split is not reassigned to the subject.&lt;/p&gt;&lt;p&gt;If you and the subject of the spell move out of range of each other, the spell ends.&lt;/p&gt;</t>
  </si>
  <si>
    <t>&lt;link rel="stylesheet"href="PF.css"&gt;&lt;div class="heading"&gt;&lt;p class="alignleft"&gt;Shield Other&lt;/p&gt;&lt;div style="clear: both;"&gt;&lt;/div&gt;&lt;/div&gt;&lt;div&gt;&lt;h5&gt;&lt;b&gt;School &lt;/b&gt;abjuration; &lt;b&gt;Level &lt;/b&gt;cleric/oracle 2, paladin 2, inquisitor 2&lt;/h5&gt;&lt;/div&gt;&lt;hr/&gt;&lt;div&gt;&lt;h5&gt;&lt;b&gt;CASTING&lt;/b&gt;&lt;/h5&gt;&lt;/div&gt;&lt;hr/&gt;&lt;div&gt;&lt;h5&gt;&lt;b&gt;Casting Time &lt;/b&gt;1 standard action&lt;/h5&gt;&lt;h5&gt;&lt;b&gt;Components &lt;/b&gt;V, S, F (a pair of platinum rings worth 50 gp worn by both you and the target)&lt;/h5&gt;&lt;/div&gt;&lt;hr/&gt;&lt;div&gt;&lt;h5&gt;&lt;b&gt;EFFECT&lt;/b&gt;&lt;/h5&gt;&lt;/div&gt;&lt;hr/&gt;&lt;div&gt;&lt;h5&gt;&lt;b&gt;Range &lt;/b&gt;close (25 ft. + 5 ft./2 levels)&lt;/h5&gt;&lt;h5&gt;&lt;b&gt;Targets &lt;/b&gt;one creature&lt;/h5&gt;&lt;h5&gt;&lt;b&gt;Duration &lt;/b&gt;1 hour/level (D)&lt;/h5&gt;&lt;h5&gt;&lt;b&gt;Saving Throw &lt;/b&gt;Will negates (harmless); &lt;b&gt;Spell Resistance &lt;/b&gt;yes (harmless)&lt;/h5&gt;&lt;/div&gt;&lt;hr/&gt;&lt;div&gt;&lt;h5&gt;&lt;b&gt;DESCRIPTION&lt;/b&gt;&lt;/h5&gt;&lt;/div&gt;&lt;hr/&gt;&lt;div&gt;&lt;h4&gt;&lt;p&gt;This spell wards the subject and creates a mystic connection between you and the subject so that some of its wounds are transferred to you. The subject gains a +1 deflection bonus to AC and a +1 resistance bonus on saves. Additionally, the subject takes only half damage from all wounds and attacks (including those dealt by special abilities) that deal hit point damage. The amount of damage not taken by the warded creature is taken by you. Forms of harm that do not involve hit points, such as &lt;i&gt;charm&lt;/i&gt; effects, temporary ability damage, level draining, and death effects, are not affected. If the subject suffers a reduction of hit points from a lowered Constitution score, the reduction is not split with you because it is not hit point damage. When the spell ends, subsequent damage is no longer divided between the subject and you, but damage already split is not reassigned to the subject.&lt;/p&gt;&lt;p&gt;If you and the subject of the spell move out of range of each other, the spell ends.&lt;/p&gt;&lt;/h4&gt;&lt;h5&gt;&lt;b&gt;Mythic: &lt;/b&gt;Increase the range to long (400 feet + 40 feet per caster level). Subtract your tier from any damage transmitted to you through the mystical connection before applying the damage (minimum 1 hp of damage). When you use your surge ability to modify a saving throw against an effect that also affects your linked ally, the ally also applies your surge bonus die result to the ally's saving throw. If the ally also uses its own surge ability, it takes either your result or its result, whichever is higher.&lt;/h5&gt;&lt;/div&gt;</t>
  </si>
  <si>
    <t>Community, Martyr, Protection</t>
  </si>
  <si>
    <t>You take half of subject’s damage.</t>
  </si>
  <si>
    <t>Increase the range to long (400 feet + 40 feet per caster level). Subtract your tier from any damage transmitted to you through the mystical connection before applying the damage (minimum 1 hp of damage). When you use your surge ability to modify a saving throw against an effect that also affects your linked ally, the ally also applies your surge bonus die result to the ally's saving throw. If the ally also uses its own surge ability, it takes either your result or its result, whichever is higher.</t>
  </si>
  <si>
    <t>Shillelagh</t>
  </si>
  <si>
    <t>one touched nonmagical oak club or quarterstaff</t>
  </si>
  <si>
    <t>Your own nonmagical club or quarterstaff becomes a weapon with a +1 enhancement bonus on attack and damage rolls. A quarterstaff gains this enhancement for both ends of the weapon. It deals damage as if it were two size categories larger (a Small club or quarterstaff so transmuted deals 1d8 points of damage, a Medium 2d6, and a Large 3d6), +1 for its enhancement bonus. These effects only occur when the weapon is wielded by you. If you do not wield it, the weapon behaves as if unaffected by this spell.</t>
  </si>
  <si>
    <t>&lt;p&gt;Your own nonmagical club or quarterstaff becomes a weapon with a +1 enhancement bonus on attack and damage rolls. A quarterstaff gains this enhancement for both ends of the weapon. It deals damage as if it were two size categories larger (a Small club or quarterstaff so transmuted deals 1d8 points of damage, a Medium 2d6, and a Large 3d6), +1 for its enhancement bonus. These effects only occur when the weapon is wielded by you. If you do not wield it, the weapon behaves as if unaffected by this spell.&lt;/p&gt;</t>
  </si>
  <si>
    <t>&lt;link rel="stylesheet"href="PF.css"&gt;&lt;div class="heading"&gt;&lt;p class="alignleft"&gt;Shillelagh&lt;/p&gt;&lt;div style="clear: both;"&gt;&lt;/div&gt;&lt;/div&gt;&lt;div&gt;&lt;h5&gt;&lt;b&gt;School &lt;/b&gt;transmutation; &lt;b&gt;Level &lt;/b&gt;druid 1&lt;/h5&gt;&lt;/div&gt;&lt;hr/&gt;&lt;div&gt;&lt;h5&gt;&lt;b&gt;CASTING&lt;/b&gt;&lt;/h5&gt;&lt;/div&gt;&lt;hr/&gt;&lt;div&gt;&lt;h5&gt;&lt;b&gt;Casting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&lt;/b&gt;one touched nonmagical oak club or quarterstaff&lt;/h5&gt;&lt;h5&gt;&lt;b&gt;Duration &lt;/b&gt;1 min./level&lt;/h5&gt;&lt;h5&gt;&lt;b&gt;Saving Throw &lt;/b&gt;Will negates (object); &lt;b&gt;Spell Resistance &lt;/b&gt;yes (object)&lt;/h5&gt;&lt;/div&gt;&lt;hr/&gt;&lt;div&gt;&lt;h5&gt;&lt;b&gt;DESCRIPTION&lt;/b&gt;&lt;/h5&gt;&lt;/div&gt;&lt;hr/&gt;&lt;div&gt;&lt;h4&gt;&lt;p&gt;Your own nonmagical club or quarterstaff becomes a weapon with a +1 enhancement bonus on attack and damage rolls. A quarterstaff gains this enhancement for both ends of the weapon. It deals damage as if it were two size categories larger (a Small club or quarterstaff so transmuted deals 1d8 points of damage, a Medium 2d6, and a Large 3d6), +1 for its enhancement bonus. These effects only occur when the weapon is wielded by you. If you do not wield it, the weapon behaves as if unaffected by this spell.&lt;/p&gt;&lt;/h4&gt;&lt;/div&gt;</t>
  </si>
  <si>
    <t> Cudgel or quarterstaff becomes +1 weapon (2d6 damage) for 1 min./level.</t>
  </si>
  <si>
    <t>Shrink Item</t>
  </si>
  <si>
    <t>one touched object of up to 2 cu. ft./level</t>
  </si>
  <si>
    <t>1 day/level; see text</t>
  </si>
  <si>
    <t>You are able to shrink one nonmagical item (if it is within the size limit) to 1/16 of its normal size in each dimension (to about 1/4,000 the original volume and mass). This change effectively reduces the object's size by four categories. Optionally, you can also change its now shrunken composition to a clothlike one. Objects changed by a shrink item spell can be returned to normal composition and size merely by tossing them onto any solid surface or by a word of command from the original caster. Even a burning fire and its fuel can be shrunk by this spell. Restoring the shrunken object to its normal size and composition ends the spell. Shrink item can be made permanent with a permanency spell, in which case the affected object can be shrunk and expanded an indefinite number of times, but only by the original caster.</t>
  </si>
  <si>
    <t>&lt;p&gt;You are able to shrink one nonmagical item (if it is within the size limit) to 1/16 of its normal size in each dimension (to about 1/4,000 the original volume and mass). This change effectively reduces the object's size by four categories. Optionally, you can also change its now shrunken composition to a clothlike one.&lt;/p&gt;&lt;p&gt;Objects changed by a &lt;i&gt;shrink item&lt;/i&gt; spell can be returned to normal composition and size merely by tossing them onto any solid surface or by a word of command from the original caster. Even a burning fire and its fuel can be shrunk by this spell. Restoring the shrunken object to its normal size and composition ends the spell.&lt;/p&gt;&lt;p&gt;&lt;i&gt;Shrink item&lt;/i&gt; can be made permanent with a &lt;i&gt;permanency&lt;/i&gt; spell, in which case the affected object can be shrunk and expanded an indefinite number of times, but only by the original caster.&lt;/p&gt;</t>
  </si>
  <si>
    <t>&lt;link rel="stylesheet"href="PF.css"&gt;&lt;div class="heading"&gt;&lt;p class="alignleft"&gt;Shrink Item&lt;/p&gt;&lt;div style="clear: both;"&gt;&lt;/div&gt;&lt;/div&gt;&lt;div&gt;&lt;h5&gt;&lt;b&gt;School &lt;/b&gt;transmutation; &lt;b&gt;Level &lt;/b&gt;sorcerer/wizard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&lt;/b&gt;one touched object of up to 2 cu. ft./level&lt;/h5&gt;&lt;h5&gt;&lt;b&gt;Duration &lt;/b&gt;1 day/level; see text&lt;/h5&gt;&lt;h5&gt;&lt;b&gt;Saving Throw &lt;/b&gt;Will negates (object); &lt;b&gt;Spell Resistance &lt;/b&gt;yes (object)&lt;/h5&gt;&lt;/div&gt;&lt;hr/&gt;&lt;div&gt;&lt;h5&gt;&lt;b&gt;DESCRIPTION&lt;/b&gt;&lt;/h5&gt;&lt;/div&gt;&lt;hr/&gt;&lt;div&gt;&lt;h4&gt;&lt;p&gt;You are able to shrink one nonmagical item (if it is within the size limit) to 1/16 of its normal size in each dimension (to about 1/4,000 the original volume and mass). This change effectively reduces the object's size by four categories. Optionally, you can also change its now shrunken composition to a clothlike one.&lt;/p&gt;&lt;p&gt;Objects changed by a &lt;i&gt;shrink item&lt;/i&gt; spell can be returned to normal composition and size merely by tossing them onto any solid surface or by a word of command from the original caster. Even a burning fire and its fuel can be shrunk by this spell. Restoring the shrunken object to its normal size and composition ends the spell.&lt;/p&gt;&lt;p&gt;&lt;i&gt;Shrink item&lt;/i&gt; can be made permanent with a &lt;i&gt;permanency&lt;/i&gt; spell, in which case the affected object can be shrunk and expanded an indefinite number of times, but only by the original caster.&lt;/p&gt;&lt;/h4&gt;&lt;/div&gt;</t>
  </si>
  <si>
    <t> Object shrinks to one-sixteenth size.</t>
  </si>
  <si>
    <t>Shocking Grasp</t>
  </si>
  <si>
    <t>Your successful melee touch attack deals 1d6 points of electricity damage per caster level (maximum 5d6). When delivering the jolt, you gain a +3 bonus on attack rolls if the opponent is wearing metal armor (or is carrying a metal weapon or is made of metal).</t>
  </si>
  <si>
    <t>&lt;p&gt;Your successful melee touch attack deals 1d6 points of electricity damage per caster level (maximum 5d6). When delivering the jolt, you gain a +3 bonus on attack rolls if the opponent is wearing metal armor (or is carrying a metal weapon or is made of metal).&lt;/p&gt;</t>
  </si>
  <si>
    <t>&lt;link rel="stylesheet"href="PF.css"&gt;&lt;div class="heading"&gt;&lt;p class="alignleft"&gt;Shocking Grasp&lt;/p&gt;&lt;div style="clear: both;"&gt;&lt;/div&gt;&lt;/div&gt;&lt;div&gt;&lt;h5&gt;&lt;b&gt;School &lt;/b&gt;evocation [electricity]; &lt;b&gt;Level &lt;/b&gt;sorcerer/wizard 1, magus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or object touched&lt;/h5&gt;&lt;h5&gt;&lt;b&gt;Duration &lt;/b&gt;instantaneous&lt;/h5&gt;&lt;h5&gt;&lt;b&gt;Saving Throw &lt;/b&gt;none; &lt;b&gt;Spell Resistance &lt;/b&gt;yes&lt;/h5&gt;&lt;/div&gt;&lt;hr/&gt;&lt;div&gt;&lt;h5&gt;&lt;b&gt;DESCRIPTION&lt;/b&gt;&lt;/h5&gt;&lt;/div&gt;&lt;hr/&gt;&lt;div&gt;&lt;h4&gt;&lt;p&gt;Your successful melee touch attack deals 1d6 points of electricity damage per caster level (maximum 5d6). When delivering the jolt, you gain a +3 bonus on attack rolls if the opponent is wearing metal armor (or is carrying a metal weapon or is made of metal).&lt;/p&gt;&lt;/h4&gt;&lt;h5&gt;&lt;b&gt;Mythic: &lt;/b&gt;The spell's damage increases to 1d8 points of electricity damage per caster level (maximum 5d8). If the target is wearing metal armor or is made of metal, you may attempt a free grapple combat maneuver against the target. Alternatively, if the target is carrying a metal weapon, you may attempt a free disarm combat maneuver against that weapon. This free combat maneuver doesn't provoke attacks of opportunity.&lt;/h5&gt;&lt;h5&gt;&lt;b&gt;Augmented&lt;/b&gt;: If you expend two uses of mythic power and the free grapple or disarm combat maneuver is successful, the target is staggered until your next turn. This is an electricity effect.&lt;/h5&gt;&lt;/div&gt;</t>
  </si>
  <si>
    <t> Touch delivers 1d6/level electricity damage (max 5d6).</t>
  </si>
  <si>
    <t>The spell's damage increases to 1d8 points of electricity damage per caster level (maximum 5d8). If the target is wearing metal armor or is made of metal, you may attempt a free grapple combat maneuver against the target. Alternatively, if the target is carrying a metal weapon, you may attempt a free disarm combat maneuver against that weapon. This free combat maneuver doesn't provoke attacks of opportunity.</t>
  </si>
  <si>
    <t>Augmented: If you expend two uses of mythic power and the free grapple or disarm combat maneuver is successful, the target is staggered until your next turn. This is an electricity effect.</t>
  </si>
  <si>
    <t>Shout</t>
  </si>
  <si>
    <t>bard 4, sorcerer/wizard 4, magus 4</t>
  </si>
  <si>
    <t>Fortitude partial or Reflex negates (object); see text</t>
  </si>
  <si>
    <t>You emit an ear-splitting yell that deafens and damages creatures in its path. Any creature within the area is deafened for 2d6 rounds and takes 5d6 points of sonic damage. A successful save negates the deafness and reduces the damage by half. Any exposed brittle or crystalline object or crystalline creature takes 1d6 points of sonic damage per caster level (maximum 15d6). An affected creature is allowed a Fortitude save to reduce the damage by half, and a creature holding fragile objects can negate damage to them with a successful Reflex save. A shout spell cannot penetrate a silence spell.</t>
  </si>
  <si>
    <t>&lt;p&gt;You emit an ear-splitting yell that deafens and damages creatures in its path. Any creature within the area is deafened for 2d6 rounds and takes 5d6 points of sonic damage. A successful save negates the deafness and reduces the damage by half. Any exposed brittle or crystalline object or crystalline creature takes 1d6 points of sonic damage per caster level (maximum 15d6). An affected creature is allowed a Fortitude save to reduce the damage by half, and a creature holding fragile objects can negate damage to them with a successful Reflex save. A &lt;i&gt;shout&lt;/i&gt; spell cannot penetrate a &lt;i&gt;silence&lt;/i&gt; spell.&lt;/p&gt;</t>
  </si>
  <si>
    <t>&lt;link rel="stylesheet"href="PF.css"&gt;&lt;div class="heading"&gt;&lt;p class="alignleft"&gt;Shout&lt;/p&gt;&lt;div style="clear: both;"&gt;&lt;/div&gt;&lt;/div&gt;&lt;div&gt;&lt;h5&gt;&lt;b&gt;School &lt;/b&gt;evocation [sonic]; &lt;b&gt;Level &lt;/b&gt;bard 4, sorcerer/wizard 4, magus 4&lt;/h5&gt;&lt;/div&gt;&lt;hr/&gt;&lt;div&gt;&lt;h5&gt;&lt;b&gt;CASTING&lt;/b&gt;&lt;/h5&gt;&lt;/div&gt;&lt;hr/&gt;&lt;div&gt;&lt;h5&gt;&lt;b&gt;Casting Time &lt;/b&gt;1 standard action&lt;/h5&gt;&lt;h5&gt;&lt;b&gt;Components &lt;/b&gt;V&lt;/h5&gt;&lt;/div&gt;&lt;hr/&gt;&lt;div&gt;&lt;h5&gt;&lt;b&gt;EFFECT&lt;/b&gt;&lt;/h5&gt;&lt;/div&gt;&lt;hr/&gt;&lt;div&gt;&lt;h5&gt;&lt;b&gt;Range &lt;/b&gt;30 ft.&lt;/h5&gt;&lt;h5&gt;&lt;b&gt;Area &lt;/b&gt;cone-shaped burst&lt;/h5&gt;&lt;h5&gt;&lt;b&gt;Duration &lt;/b&gt;instantaneous&lt;/h5&gt;&lt;h5&gt;&lt;b&gt;Saving Throw &lt;/b&gt;Fortitude partial or Reflex negates (object); see text; &lt;b&gt;Spell Resistance &lt;/b&gt;yes (object)&lt;/h5&gt;&lt;/div&gt;&lt;hr/&gt;&lt;div&gt;&lt;h5&gt;&lt;b&gt;DESCRIPTION&lt;/b&gt;&lt;/h5&gt;&lt;/div&gt;&lt;hr/&gt;&lt;div&gt;&lt;h4&gt;&lt;p&gt;You emit an ear-splitting yell that deafens and damages creatures in its path. Any creature within the area is deafened for 2d6 rounds and takes 5d6 points of sonic damage. A successful save negates the deafness and reduces the damage by half. Any exposed brittle or crystalline object or crystalline creature takes 1d6 points of sonic damage per caster level (maximum 15d6). An affected creature is allowed a Fortitude save to reduce the damage by half, and a creature holding fragile objects can negate damage to them with a successful Reflex save. A &lt;i&gt;shout&lt;/i&gt; spell cannot penetrate a &lt;i&gt;silence&lt;/i&gt; spell.&lt;/p&gt;&lt;/h4&gt;&lt;h5&gt;&lt;b&gt;Mythic: &lt;/b&gt;The duration that creatures in the area are deafened increases to 4d6 rounds, and the damage dealt increases to 5d8 points of sonic damage. The damage dealt to crystalline creatures and exposed brittle or crystalline objects increases to 1d8 points of sonic damage per caster level (maximum 15d8). Crystalline creatures reverberate with sonic energy, taking 4 points of sonic damage on your turn for a number of rounds equal to your tier.&lt;/h5&gt;&lt;/div&gt;</t>
  </si>
  <si>
    <t>Deafens all within cone and deals 5d6 sonic damage.</t>
  </si>
  <si>
    <t>Maestro, Stormborn</t>
  </si>
  <si>
    <t>The duration that creatures in the area are deafened increases to 4d6 rounds, and the damage dealt increases to 5d8 points of sonic damage. The damage dealt to crystalline creatures and exposed brittle or crystalline objects increases to 1d8 points of sonic damage per caster level (maximum 15d8). Crystalline creatures reverberate with sonic energy, taking 4 points of sonic damage on your turn for a number of rounds equal to your tier.</t>
  </si>
  <si>
    <t>Shout, Greater</t>
  </si>
  <si>
    <t>bard 6, sorcerer/wizard 8</t>
  </si>
  <si>
    <t>V, S, F (a metal or ivory horn)</t>
  </si>
  <si>
    <t>This spell functions like shout, except that the cone deals 10d6 points of sonic damage (or 1d6 points of sonic damage per caster level, maximum 20d6, against exposed brittle or crystalline objects or crystalline creatures). It also causes creatures to be stunned for 1 round and deafened for 4d6 rounds. A creature in the area of the cone can negate the stunning and halve both the damage and the duration of the deafness with a successful Fortitude save. A creature holding vulnerable objects can attempt a Reflex save to negate the damage to those objects.</t>
  </si>
  <si>
    <t>&lt;p&gt;This spell functions like &lt;i&gt;shout,&lt;/i&gt; except that the cone deals 10d6 points of sonic damage (or 1d6 points of sonic damage per caster level, maximum 20d6, against exposed brittle or crystalline objects or crystalline creatures). It also causes creatures to be stunned for 1 round and deafened for 4d6 rounds. A creature in the area of the cone can negate the stunning and halve both the damage and the duration of the deafness with a successful Fortitude save. A creature holding vulnerable objects can attempt a Reflex save to negate the damage to those objects.&lt;/p&gt;</t>
  </si>
  <si>
    <t>&lt;link rel="stylesheet"href="PF.css"&gt;&lt;div class="heading"&gt;&lt;p class="alignleft"&gt;Shout, Greater&lt;/p&gt;&lt;div style="clear: both;"&gt;&lt;/div&gt;&lt;/div&gt;&lt;div&gt;&lt;h5&gt;&lt;b&gt;School &lt;/b&gt;evocation [sonic]; &lt;b&gt;Level &lt;/b&gt;bard 6, sorcerer/wizard 8&lt;/h5&gt;&lt;/div&gt;&lt;hr/&gt;&lt;div&gt;&lt;h5&gt;&lt;b&gt;CASTING&lt;/b&gt;&lt;/h5&gt;&lt;/div&gt;&lt;hr/&gt;&lt;div&gt;&lt;h5&gt;&lt;b&gt;Casting Time &lt;/b&gt;1 standard action&lt;/h5&gt;&lt;h5&gt;&lt;b&gt;Components &lt;/b&gt;V, S, F (a metal or ivory horn)&lt;/h5&gt;&lt;/div&gt;&lt;hr/&gt;&lt;div&gt;&lt;h5&gt;&lt;b&gt;EFFECT&lt;/b&gt;&lt;/h5&gt;&lt;/div&gt;&lt;hr/&gt;&lt;div&gt;&lt;h5&gt;&lt;b&gt;Range &lt;/b&gt;60 ft.&lt;/h5&gt;&lt;h5&gt;&lt;b&gt;Area &lt;/b&gt;cone-shaped burst&lt;/h5&gt;&lt;h5&gt;&lt;b&gt;Duration &lt;/b&gt;instantaneous&lt;/h5&gt;&lt;h5&gt;&lt;b&gt;Saving Throw &lt;/b&gt;Fortitude partial or Reflex negates (object); see text; &lt;b&gt;Spell Resistance &lt;/b&gt;yes (object)&lt;/h5&gt;&lt;/div&gt;&lt;hr/&gt;&lt;div&gt;&lt;h5&gt;&lt;b&gt;DESCRIPTION&lt;/b&gt;&lt;/h5&gt;&lt;/div&gt;&lt;hr/&gt;&lt;div&gt;&lt;h4&gt;&lt;p&gt;This spell functions like &lt;i&gt;shout,&lt;/i&gt; except that the cone deals 10d6 points of sonic damage (or 1d6 points of sonic damage per caster level, maximum 20d6, against exposed brittle or crystalline objects or crystalline creatures). It also causes creatures to be stunned for 1 round and deafened for 4d6 rounds. A creature in the area of the cone can negate the stunning and halve both the damage and the duration of the deafness with a successful Fortitude save. A creature holding vulnerable objects can attempt a Reflex save to negate the damage to those objects.&lt;/p&gt;&lt;/h4&gt;&lt;/div&gt;</t>
  </si>
  <si>
    <t>Devastating yell deals 10d6 sonic damage; stuns creatures.</t>
  </si>
  <si>
    <t>Maestro</t>
  </si>
  <si>
    <t>Silence</t>
  </si>
  <si>
    <t>bard 2, cleric/oracle 2, inquisitor 2, antipaladin 2</t>
  </si>
  <si>
    <t>20-ft.-radius emanation centered on a creature, object, or point in space</t>
  </si>
  <si>
    <t>Will negates; see text or none (object)</t>
  </si>
  <si>
    <t>yes; see text or no (object)</t>
  </si>
  <si>
    <t>Upon the casting of this spell, complete silence prevails in the affected area. All sound is stopped: Conversation is impossible, spells with verbal components cannot be cast, and no noise whatsoever issues from, enters, or passes through the area. The spell can be cast on a point in space, but the effect is stationary unless cast on a mobile object. The spell can be centered on a creature, and the effect then radiates from the creature and moves as it moves. An unwilling creature can attempt a Will save to negate the spell and can use spell resistance, if any. Items in a creature's possession or magic items that emit sound receive the benefits of saves and spell resistance, but unattended objects and points in space do not. Creatures in an area of a silence spell are immune to sonic or language-based attacks, spells, and effects.</t>
  </si>
  <si>
    <t>&lt;p&gt;Upon the casting of this spell, complete &lt;i&gt;silence&lt;/i&gt; prevails in the affected area. All sound is stopped: Conversation is impossible, spells with verbal components cannot be cast, and no noise whatsoever issues from, enters, or passes through the area. The spell can be cast on a point in space, but the effect is stationary unless cast on a mobile object. The spell can be centered on a creature, and the effect then radiates from the creature and moves as it moves. An unwilling creature can attempt a Will save to negate the spell and can use spell resistance, if any. Items in a creature's possession or magic items that emit sound receive the benefits of saves and spell resistance, but unattended objects and points in space do not. Creatures in an area of a &lt;i&gt;silence&lt;/i&gt; spell are immune to sonic or language-based attacks, spells, and effects.&lt;/p&gt;</t>
  </si>
  <si>
    <t>&lt;link rel="stylesheet"href="PF.css"&gt;&lt;div class="heading"&gt;&lt;p class="alignleft"&gt;Silence&lt;/p&gt;&lt;div style="clear: both;"&gt;&lt;/div&gt;&lt;/div&gt;&lt;div&gt;&lt;h5&gt;&lt;b&gt;School &lt;/b&gt;illusion (glamer); &lt;b&gt;Level &lt;/b&gt;bard 2, cleric/oracle 2, inquisitor 2, antipaladin 2&lt;/h5&gt;&lt;/div&gt;&lt;hr/&gt;&lt;div&gt;&lt;h5&gt;&lt;b&gt;CASTING&lt;/b&gt;&lt;/h5&gt;&lt;/div&gt;&lt;hr/&gt;&lt;div&gt;&lt;h5&gt;&lt;b&gt;Casting Time &lt;/b&gt;1 round&lt;/h5&gt;&lt;h5&gt;&lt;b&gt;Components &lt;/b&gt;V, S&lt;/h5&gt;&lt;/div&gt;&lt;hr/&gt;&lt;div&gt;&lt;h5&gt;&lt;b&gt;EFFECT&lt;/b&gt;&lt;/h5&gt;&lt;/div&gt;&lt;hr/&gt;&lt;div&gt;&lt;h5&gt;&lt;b&gt;Range &lt;/b&gt;long (400 ft. + 40 ft./level)&lt;/h5&gt;&lt;h5&gt;&lt;b&gt;Area &lt;/b&gt;20-ft.-radius emanation centered on a creature, object, or point in space&lt;/h5&gt;&lt;h5&gt;&lt;b&gt;Duration &lt;/b&gt;1 round/level (D)&lt;/h5&gt;&lt;h5&gt;&lt;b&gt;Saving Throw &lt;/b&gt;Will negates; see text or none (object); &lt;b&gt;Spell Resistance &lt;/b&gt;yes; see text or no (object)&lt;/h5&gt;&lt;/div&gt;&lt;hr/&gt;&lt;div&gt;&lt;h5&gt;&lt;b&gt;DESCRIPTION&lt;/b&gt;&lt;/h5&gt;&lt;/div&gt;&lt;hr/&gt;&lt;div&gt;&lt;h4&gt;&lt;p&gt;Upon the casting of this spell, complete &lt;i&gt;silence&lt;/i&gt; prevails in the affected area. All sound is stopped: Conversation is impossible, spells with verbal components cannot be cast, and no noise whatsoever issues from, enters, or passes through the area. The spell can be cast on a point in space, but the effect is stationary unless cast on a mobile object. The spell can be centered on a creature, and the effect then radiates from the creature and moves as it moves. An unwilling creature can attempt a Will save to negate the spell and can use spell resistance, if any. Items in a creature's possession or magic items that emit sound receive the benefits of saves and spell resistance, but unattended objects and points in space do not. Creatures in an area of a &lt;i&gt;silence&lt;/i&gt; spell are immune to sonic or language-based attacks, spells, and effects.&lt;/p&gt;&lt;/h4&gt;&lt;h5&gt;&lt;b&gt;Mythic: &lt;/b&gt;This spell also applies to telepathy, cutting off any mental communication within the area. At the time of casting, you can choose to be immune to your own mythic silence effect and can designate up to one creature per tier to also gain this immunity. Creatures immune to the mythic silence are subject to sonic effects as normal.&lt;/h5&gt;&lt;/div&gt;</t>
  </si>
  <si>
    <t>Negates sound in 20-ft. radius.</t>
  </si>
  <si>
    <t>This spell also applies to telepathy, cutting off any mental communication within the area. At the time of casting, you can choose to be immune to your own mythic silence effect and can designate up to one creature per tier to also gain this immunity. Creatures immune to the mythic silence are subject to sonic effects as normal.</t>
  </si>
  <si>
    <t>Silent Image</t>
  </si>
  <si>
    <t>bard 1, sorcerer/wizard 1, magus 1</t>
  </si>
  <si>
    <t>visual figment that cannot extend beyond four 10-ft. Cubes + one 10-ft. cube/level (S)</t>
  </si>
  <si>
    <t>This spell creates the visual illusion of an object, creature, or force, as visualized by you. The illusion does not create sound, smell, texture, or temperature. You can move the image within the limits of the size of the effect.</t>
  </si>
  <si>
    <t>&lt;p&gt;This spell creates the visual illusion of an object, creature, or force, as visualized by you. The illusion does not create sound, smell, texture, or temperature. You can move the image within the limits of the size of the effect.&lt;/p&gt;</t>
  </si>
  <si>
    <t>&lt;link rel="stylesheet"href="PF.css"&gt;&lt;div class="heading"&gt;&lt;p class="alignleft"&gt;Silent Image&lt;/p&gt;&lt;div style="clear: both;"&gt;&lt;/div&gt;&lt;/div&gt;&lt;div&gt;&lt;h5&gt;&lt;b&gt;School &lt;/b&gt;illusion (figment); &lt;b&gt;Level &lt;/b&gt;bard 1, sorcerer/wizard 1, magus 1&lt;/h5&gt;&lt;/div&gt;&lt;hr/&gt;&lt;div&gt;&lt;h5&gt;&lt;b&gt;CASTING&lt;/b&gt;&lt;/h5&gt;&lt;/div&gt;&lt;hr/&gt;&lt;div&gt;&lt;h5&gt;&lt;b&gt;Casting Time &lt;/b&gt;1 standard action&lt;/h5&gt;&lt;h5&gt;&lt;b&gt;Components &lt;/b&gt;V, S, F (a bit of fleece)&lt;/h5&gt;&lt;/div&gt;&lt;hr/&gt;&lt;div&gt;&lt;h5&gt;&lt;b&gt;EFFECT&lt;/b&gt;&lt;/h5&gt;&lt;/div&gt;&lt;hr/&gt;&lt;div&gt;&lt;h5&gt;&lt;b&gt;Range &lt;/b&gt;long (400 ft. + 40 ft./level)&lt;/h5&gt;&lt;h5&gt;&lt;b&gt;Effect &lt;/b&gt;visual figment that cannot extend beyond four 10-ft. Cubes + one 10-ft. cube/level (S)&lt;/h5&gt;&lt;h5&gt;&lt;b&gt;Duration &lt;/b&gt;concentration&lt;/h5&gt;&lt;h5&gt;&lt;b&gt;Saving Throw &lt;/b&gt;Will disbelief (if interacted with); &lt;b&gt;Spell Resistance &lt;/b&gt;no&lt;/h5&gt;&lt;/div&gt;&lt;hr/&gt;&lt;div&gt;&lt;h5&gt;&lt;b&gt;DESCRIPTION&lt;/b&gt;&lt;/h5&gt;&lt;/div&gt;&lt;hr/&gt;&lt;div&gt;&lt;h4&gt;&lt;p&gt;This spell creates the visual illusion of an object, creature, or force, as visualized by you. The illusion does not create sound, smell, texture, or temperature. You can move the image within the limits of the size of the effect.&lt;/p&gt;&lt;/h4&gt;&lt;h5&gt;&lt;b&gt;Mythic: &lt;/b&gt;The duration increases to concentration + 1 round per caster level, and the effect increases to a visual figment that can't extend beyond eight 10-foot cubes + 1 10-foot cube per caster level.&lt;/h5&gt;&lt;h5&gt;&lt;b&gt;Augmented (6th)&lt;/b&gt;: If you expend two uses of mythic power, the duration changes to concentration + 1 minute per caster level and the effect changes to a visual figment no larger than a 50-foot emanation. An augmented mythic silent image can't move.&lt;/h5&gt;&lt;/div&gt;</t>
  </si>
  <si>
    <t>Creates minor illusion of your design.</t>
  </si>
  <si>
    <t>The duration increases to concentration + 1 round per caster level, and the effect increases to a visual figment that can't extend beyond eight 10-foot cubes + 1 10-foot cube per caster level.</t>
  </si>
  <si>
    <t>Augmented (6th): If you expend two uses of mythic power, the duration changes to concentration + 1 minute per caster level and the effect changes to a visual figment no larger than a 50-foot emanation. An augmented mythic silent image can't move.</t>
  </si>
  <si>
    <t>Simulacrum</t>
  </si>
  <si>
    <t>V, S, M (ice sculpture of the target plus powdered rubies worth 500 gp per HD of the simulacrum)</t>
  </si>
  <si>
    <t>one duplicate creature</t>
  </si>
  <si>
    <t>Simulacrum creates an illusory duplicate of any creature. The duplicate creature is partially real and formed from ice or snow. It appears to be the same as the original, but it has only half of the real creature's levels or HD (and the appropriate hit points, feats, skill ranks, and special abilities for a creature of that level or HD). You can't create a simulacrum of a creature whose HD or levels exceed twice your caster level. You must make a Disguise check when you cast the spell to determine how good the likeness is. A creature familiar with the original might detect the ruse with a successful Perception check (opposed by the caster's Disguise check) or a DC 20 Sense Motive check. At all times, the simulacrum remains under your absolute command. No special telepathic link exists, so command must be exercised in some other manner. A simulacrum has no ability to become more powerful. It cannot increase its level or abilities. If reduced to 0 hit points or otherwise destroyed, it reverts to snow and melts instantly into nothingness. A complex process requiring at least 24 hours, 100 gp per hit point, and a fully equipped magical laboratory can repair damage to a simulacrum.</t>
  </si>
  <si>
    <t>&lt;p&gt;&lt;i&gt;Simulacrum&lt;/i&gt; creates an illusory duplicate of any creature. The duplicate creature is partially real and formed from ice or snow. It appears to be the same as the original, but it has only half of the real creature's levels or HD (and the appropriate hit points, feats, skill ranks, and special abilities for a creature of that level or HD).&lt;/p&gt;&lt;p&gt;You can't create a simulacrum of a creature whose HD or levels exceed twice your caster level. You must make a Disguise check when you cast the spell to determine how good the likeness is.&lt;/p&gt;&lt;p&gt;A creature familiar with the original might detect the ruse with a successful Perception check (opposed by the caster's Disguise check) or a DC 20 Sense Motive check.&lt;/p&gt;&lt;p&gt;At all times, the simulacrum remains under your absolute command. No special telepathic link exists, so command must be exercised in some other manner. A simulacrum has no ability to become more powerful. It cannot increase its level or abilities. If reduced to 0 hit points or otherwise destroyed, it reverts to snow and melts instantly into nothingness. A complex process requiring at least 24 hours, 100 gp per hit point, and a fully equipped magical laboratory can repair damage to a simulacrum.&lt;/p&gt;</t>
  </si>
  <si>
    <t>&lt;link rel="stylesheet"href="PF.css"&gt;&lt;div class="heading"&gt;&lt;p class="alignleft"&gt;Simulacrum&lt;/p&gt;&lt;div style="clear: both;"&gt;&lt;/div&gt;&lt;/div&gt;&lt;div&gt;&lt;h5&gt;&lt;b&gt;School &lt;/b&gt;illusion (shadow); &lt;b&gt;Level &lt;/b&gt;sorcerer/wizard 7, summoner 5&lt;/h5&gt;&lt;/div&gt;&lt;hr/&gt;&lt;div&gt;&lt;h5&gt;&lt;b&gt;CASTING&lt;/b&gt;&lt;/h5&gt;&lt;/div&gt;&lt;hr/&gt;&lt;div&gt;&lt;h5&gt;&lt;b&gt;Casting Time &lt;/b&gt;12 hours&lt;/h5&gt;&lt;h5&gt;&lt;b&gt;Components &lt;/b&gt;V, S, M (ice sculpture of the target plus powdered rubies worth 500 gp per HD of the simulacrum)&lt;/h5&gt;&lt;/div&gt;&lt;hr/&gt;&lt;div&gt;&lt;h5&gt;&lt;b&gt;EFFECT&lt;/b&gt;&lt;/h5&gt;&lt;/div&gt;&lt;hr/&gt;&lt;div&gt;&lt;h5&gt;&lt;b&gt;Range &lt;/b&gt;0 ft.&lt;/h5&gt;&lt;h5&gt;&lt;b&gt;Effect &lt;/b&gt;one duplicate creature&lt;/h5&gt;&lt;h5&gt;&lt;b&gt;Duration &lt;/b&gt;instantaneous&lt;/h5&gt;&lt;h5&gt;&lt;b&gt;Saving Throw &lt;/b&gt;none; &lt;b&gt;Spell Resistance &lt;/b&gt;no&lt;/h5&gt;&lt;/div&gt;&lt;hr/&gt;&lt;div&gt;&lt;h5&gt;&lt;b&gt;DESCRIPTION&lt;/b&gt;&lt;/h5&gt;&lt;/div&gt;&lt;hr/&gt;&lt;div&gt;&lt;h4&gt;&lt;p&gt;&lt;i&gt;Simulacrum&lt;/i&gt; creates an illusory duplicate of any creature. The duplicate creature is partially real and formed from ice or snow. It appears to be the same as the original, but it has only half of the real creature's levels or HD (and the appropriate hit points, feats, skill ranks, and special abilities for a creature of that level or HD).&lt;/p&gt;&lt;p&gt;You can't create a simulacrum of a creature whose HD or levels exceed twice your caster level. You must make a Disguise check when you cast the spell to determine how good the likeness is.&lt;/p&gt;&lt;p&gt;A creature familiar with the original might detect the ruse with a successful Perception check (opposed by the caster's Disguise check) or a DC 20 Sense Motive check.&lt;/p&gt;&lt;p&gt;At all times, the simulacrum remains under your absolute command. No special telepathic link exists, so command must be exercised in some other manner. A simulacrum has no ability to become more powerful. It cannot increase its level or abilities. If reduced to 0 hit points or otherwise destroyed, it reverts to snow and melts instantly into nothingness. A complex process requiring at least 24 hours, 100 gp per hit point, and a fully equipped magical laboratory can repair damage to a simulacrum.&lt;/p&gt;&lt;/h4&gt;&lt;/div&gt;</t>
  </si>
  <si>
    <t> Creates partially real double of a creature.</t>
  </si>
  <si>
    <t>Slay Living</t>
  </si>
  <si>
    <t>cleric 5/oracle 5, witch 6, antipaladin 4</t>
  </si>
  <si>
    <t>You can attempt to slay any one living creature. When you cast this spell, your hand seethes with eerie dark fire. You must succeed on a melee touch attack to touch the target. The target takes 12d6 points of damage + 1 point per caster level. If the target's Fortitude saving throw succeeds, it instead takes 3d6 points of damage + 1 point per caster level. The subject might die from damage even if it succeeds on its saving throw.</t>
  </si>
  <si>
    <t>&lt;p&gt;You can attempt to slay any one living creature. When you cast this spell, your hand seethes with eerie dark fire. You must succeed on a melee touch attack to touch the target. The target takes 12d6 points of damage + 1 point per caster level. If the target's Fortitude saving throw succeeds, it instead takes 3d6 points of damage + 1 point per caster level. The subject might die from damage even if it succeeds on its saving throw.&lt;/p&gt;</t>
  </si>
  <si>
    <t>&lt;link rel="stylesheet"href="PF.css"&gt;&lt;div class="heading"&gt;&lt;p class="alignleft"&gt;Slay Living&lt;/p&gt;&lt;div style="clear: both;"&gt;&lt;/div&gt;&lt;/div&gt;&lt;div&gt;&lt;h5&gt;&lt;b&gt;School &lt;/b&gt;necromancy [death]; &lt;b&gt;Level &lt;/b&gt;cleric 5/oracle 5, witch 6, antipaladin 4&lt;/h5&gt;&lt;/div&gt;&lt;hr/&gt;&lt;div&gt;&lt;h5&gt;&lt;b&gt;CASTING&lt;/b&gt;&lt;/h5&gt;&lt;/div&gt;&lt;hr/&gt;&lt;div&gt;&lt;h5&gt;&lt;b&gt;Casting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&lt;/b&gt;living creature touched&lt;/h5&gt;&lt;h5&gt;&lt;b&gt;Duration &lt;/b&gt;instantaneous&lt;/h5&gt;&lt;h5&gt;&lt;b&gt;Saving Throw &lt;/b&gt;Fortitude partial; &lt;b&gt;Spell Resistance &lt;/b&gt;yes&lt;/h5&gt;&lt;/div&gt;&lt;hr/&gt;&lt;div&gt;&lt;h5&gt;&lt;b&gt;DESCRIPTION&lt;/b&gt;&lt;/h5&gt;&lt;/div&gt;&lt;hr/&gt;&lt;div&gt;&lt;h4&gt;&lt;p&gt;You can attempt to slay any one living creature. When you cast this spell, your hand seethes with eerie dark fire. You must succeed on a melee touch attack to touch the target. The target takes 12d6 points of damage + 1 point per caster level. If the target's Fortitude saving throw succeeds, it instead takes 3d6 points of damage + 1 point per caster level. The subject might die from damage even if it succeeds on its saving throw.&lt;/p&gt;&lt;/h4&gt;&lt;/div&gt;</t>
  </si>
  <si>
    <t> Touch attack deals 12d6 + 1 per level.</t>
  </si>
  <si>
    <t>Sleep</t>
  </si>
  <si>
    <t>A sleep spell causes a magical slumber to come upon 4 HD of creatures. Creatures with the fewest HD are affected first. Among creatures with equal HD, those who are closest to the spell's point of origin are affected first. HD that are not sufficient to affect a creature are wasted. Sleeping creatures are helpless. Slapping or wounding awakens an affected creature, but normal noise does not. Awakening a creature is a standard action (an application of the aid another action). Sleep does not target unconscious creatures, constructs, or undead creatures.</t>
  </si>
  <si>
    <t>&lt;p&gt;A &lt;i&gt;sleep&lt;/i&gt; spell causes a magical slumber to come upon 4 HD of creatures. Creatures with the fewest HD are affected first. Among creatures with equal HD, those who are closest to the spell's point of origin are affected first. HD that are not sufficient to affect a creature are wasted. &lt;i&gt;Sleep&lt;/i&gt;ing creatures are helpless. Slapping or wounding awakens an affected creature, but normal noise does not. Awakening a creature is a standard action (an application of the aid another action). &lt;i&gt;Sleep&lt;/i&gt; does not target unconscious creatures, constructs, or undead creatures.&lt;/p&gt;</t>
  </si>
  <si>
    <t>&lt;link rel="stylesheet"href="PF.css"&gt;&lt;div class="heading"&gt;&lt;p class="alignleft"&gt;Sleep&lt;/p&gt;&lt;div style="clear: both;"&gt;&lt;/div&gt;&lt;/div&gt;&lt;div&gt;&lt;h5&gt;&lt;b&gt;School &lt;/b&gt;enchantment (compulsion) [mind-affecting]; &lt;b&gt;Level &lt;/b&gt;bard 1, sorcerer/wizard 1, witch 1&lt;/h5&gt;&lt;/div&gt;&lt;hr/&gt;&lt;div&gt;&lt;h5&gt;&lt;b&gt;CASTING&lt;/b&gt;&lt;/h5&gt;&lt;/div&gt;&lt;hr/&gt;&lt;div&gt;&lt;h5&gt;&lt;b&gt;Casting Time &lt;/b&gt;1 round&lt;/h5&gt;&lt;h5&gt;&lt;b&gt;Components &lt;/b&gt;V, S, M (fine sand, rose petals, or a live cricket)&lt;/h5&gt;&lt;/div&gt;&lt;hr/&gt;&lt;div&gt;&lt;h5&gt;&lt;b&gt;EFFECT&lt;/b&gt;&lt;/h5&gt;&lt;/div&gt;&lt;hr/&gt;&lt;div&gt;&lt;h5&gt;&lt;b&gt;Range &lt;/b&gt;medium (100 ft. + 10 ft./level)&lt;/h5&gt;&lt;h5&gt;&lt;b&gt;Area &lt;/b&gt;one or more living creatures within a 10-ft.-radius burst&lt;/h5&gt;&lt;h5&gt;&lt;b&gt;Duration &lt;/b&gt;1 min./level&lt;/h5&gt;&lt;h5&gt;&lt;b&gt;Saving Throw &lt;/b&gt;Will negates; &lt;b&gt;Spell Resistance &lt;/b&gt;yes&lt;/h5&gt;&lt;/div&gt;&lt;hr/&gt;&lt;div&gt;&lt;h5&gt;&lt;b&gt;DESCRIPTION&lt;/b&gt;&lt;/h5&gt;&lt;/div&gt;&lt;hr/&gt;&lt;div&gt;&lt;h4&gt;&lt;p&gt;A &lt;i&gt;sleep&lt;/i&gt; spell causes a magical slumber to come upon 4 HD of creatures. Creatures with the fewest HD are affected first. Among creatures with equal HD, those who are closest to the spell's point of origin are affected first. HD that are not sufficient to affect a creature are wasted. &lt;i&gt;Sleep&lt;/i&gt;ing creatures are helpless. Slapping or wounding awakens an affected creature, but normal noise does not. Awakening a creature is a standard action (an application of the aid another action). &lt;i&gt;Sleep&lt;/i&gt; does not target unconscious creatures, constructs, or undead creatures.&lt;/p&gt;&lt;/h4&gt;&lt;h5&gt;&lt;b&gt;Mythic: &lt;/b&gt;The spell affects up to 8 Hit Dice of creatures, and you can choose the order in which creatures are affected by the spell. Any effect that would automatically awaken a sleeping creature instead allows it to attempt a new Will saving throw to awaken.&lt;/h5&gt;&lt;h5&gt;&lt;b&gt;Augmented (8th)&lt;/b&gt;: If you expend three uses of mythic power, you can target all living creatures other than you that have 8 Hit Dice or fewer in a 1-mile radius centered on you. Creatures that fail their saving throws fall asleep for a number of days equal to your tier. You can select a number of creatures up to your tier to not be affected by the spell.&lt;/h5&gt;&lt;/div&gt;</t>
  </si>
  <si>
    <t>Night</t>
  </si>
  <si>
    <t>Puts 4 HD of creatures into magical slumber.</t>
  </si>
  <si>
    <t>The spell affects up to 8 Hit Dice of creatures, and you can choose the order in which creatures are affected by the spell. Any effect that would automatically awaken a sleeping creature instead allows it to attempt a new Will saving throw to awaken.</t>
  </si>
  <si>
    <t>Augmented (8th): If you expend three uses of mythic power, you can target all living creatures other than you that have 8 Hit Dice or fewer in a 1-mile radius centered on you. Creatures that fail their saving throws fall asleep for a number of days equal to your tier. You can select a number of creatures up to your tier to not be affected by the spell.</t>
  </si>
  <si>
    <t>Sleet Storm</t>
  </si>
  <si>
    <t>druid 3, sorcerer/wizard 3, witch 3, magus 3</t>
  </si>
  <si>
    <t>cylinder (40-ft. radius, 20 ft. high)</t>
  </si>
  <si>
    <t>Driving sleet blocks all sight (even darkvision) within it and causes the ground in the area to be icy. A creature can walk within or through the area of sleet at half normal speed with a DC 10 Acrobatics check. Failure means it can't move in that round, while failure by 5 or more means it falls (see the Acrobatics skill for details). The sleet extinguishes torches and small fires.</t>
  </si>
  <si>
    <t>&lt;p&gt;Driving sleet blocks all sight (even darkvision) within it and causes the ground in the area to be icy. A creature can walk within or through the area of sleet at half normal speed with a DC 10 Acrobatics check. Failure means it can't move in that round, while failure by 5 or more means it falls (see the Acrobatics skill for details).&lt;/p&gt;&lt;p&gt;The sleet extinguishes torches and small fires.&lt;/p&gt;</t>
  </si>
  <si>
    <t>&lt;link rel="stylesheet"href="PF.css"&gt;&lt;div class="heading"&gt;&lt;p class="alignleft"&gt;Sleet Storm&lt;/p&gt;&lt;div style="clear: both;"&gt;&lt;/div&gt;&lt;/div&gt;&lt;div&gt;&lt;h5&gt;&lt;b&gt;School &lt;/b&gt;conjuration (creation) [cold]; &lt;b&gt;Level &lt;/b&gt;druid 3, sorcerer/wizard 3, witch 3, magus 3&lt;/h5&gt;&lt;/div&gt;&lt;hr/&gt;&lt;div&gt;&lt;h5&gt;&lt;b&gt;CASTING&lt;/b&gt;&lt;/h5&gt;&lt;/div&gt;&lt;hr/&gt;&lt;div&gt;&lt;h5&gt;&lt;b&gt;Casting Time &lt;/b&gt;1 standard action&lt;/h5&gt;&lt;h5&gt;&lt;b&gt;Components &lt;/b&gt;V, S, M/DF (dust and water)&lt;/h5&gt;&lt;/div&gt;&lt;hr/&gt;&lt;div&gt;&lt;h5&gt;&lt;b&gt;EFFECT&lt;/b&gt;&lt;/h5&gt;&lt;/div&gt;&lt;hr/&gt;&lt;div&gt;&lt;h5&gt;&lt;b&gt;Range &lt;/b&gt;long (400 ft. + 40 ft./level)&lt;/h5&gt;&lt;h5&gt;&lt;b&gt;Area &lt;/b&gt;cylinder (40-ft. radius, 20 ft. high)&lt;/h5&gt;&lt;h5&gt;&lt;b&gt;Duration &lt;/b&gt;1 round/level&lt;/h5&gt;&lt;h5&gt;&lt;b&gt;Saving Throw &lt;/b&gt;none; &lt;b&gt;Spell Resistance &lt;/b&gt;no&lt;/h5&gt;&lt;/div&gt;&lt;hr/&gt;&lt;div&gt;&lt;h5&gt;&lt;b&gt;DESCRIPTION&lt;/b&gt;&lt;/h5&gt;&lt;/div&gt;&lt;hr/&gt;&lt;div&gt;&lt;h4&gt;&lt;p&gt;Driving sleet blocks all sight (even darkvision) within it and causes the ground in the area to be icy. A creature can walk within or through the area of sleet at half normal speed with a DC 10 Acrobatics check. Failure means it can't move in that round, while failure by 5 or more means it falls (see the Acrobatics skill for details).&lt;/p&gt;&lt;p&gt;The sleet extinguishes torches and small fires.&lt;/p&gt;&lt;/h4&gt;&lt;/div&gt;</t>
  </si>
  <si>
    <t>Weather</t>
  </si>
  <si>
    <t>Hampers vision and movement.</t>
  </si>
  <si>
    <t>Slow</t>
  </si>
  <si>
    <t>V, S, M (a drop of molasses)</t>
  </si>
  <si>
    <t>An affected creature moves and attacks at a drastically slowed rate. Creatures affected by this spell are staggered and can take only a single move action or standard action each turn, but not both (nor may it take full-round actions). Additionally, it takes a -1 penalty on attack rolls, AC, and Reflex saves. A slowed creature moves at half its normal speed (round down to the next 5-foot increment), which affects the creature's jumping distance as normal for decreased speed. Multiple slow effects don't stack. Slow counters and dispels haste.</t>
  </si>
  <si>
    <t>&lt;p&gt;An affected creature moves and attacks at a drastically &lt;i&gt;&lt;i&gt;slow&lt;/i&gt;ed&lt;/i&gt; rate. Creatures affected by this spell are staggered and can take only a single move action or standard action each turn, but not both (nor may it take full-round actions). Additionally, it takes a -1 penalty on attack rolls, AC, and Reflex saves. A &lt;i&gt;&lt;i&gt;slow&lt;/i&gt;ed&lt;/i&gt; creature moves at half its normal speed (round down to the next 5-foot increment), which affects the creature's jumping distance as normal for decreased speed.&lt;/p&gt;&lt;p&gt;Multiple &lt;i&gt;slow&lt;/i&gt; effects don't stack. &lt;i&gt;Slow&lt;/i&gt; counters and dispels &lt;i&gt;haste&lt;/i&gt;.&lt;/p&gt;</t>
  </si>
  <si>
    <t>&lt;link rel="stylesheet"href="PF.css"&gt;&lt;div class="heading"&gt;&lt;p class="alignleft"&gt;Slow&lt;/p&gt;&lt;div style="clear: both;"&gt;&lt;/div&gt;&lt;/div&gt;&lt;div&gt;&lt;h5&gt;&lt;b&gt;School &lt;/b&gt;transmutation; &lt;b&gt;Level &lt;/b&gt;bard 3, sorcerer/wizard 3, summoner 2, magus 3&lt;/h5&gt;&lt;/div&gt;&lt;hr/&gt;&lt;div&gt;&lt;h5&gt;&lt;b&gt;CASTING&lt;/b&gt;&lt;/h5&gt;&lt;/div&gt;&lt;hr/&gt;&lt;div&gt;&lt;h5&gt;&lt;b&gt;Casting Time &lt;/b&gt;1 standard action&lt;/h5&gt;&lt;h5&gt;&lt;b&gt;Components &lt;/b&gt;V, S, M (a drop of molasses)&lt;/h5&gt;&lt;/div&gt;&lt;hr/&gt;&lt;div&gt;&lt;h5&gt;&lt;b&gt;EFFECT&lt;/b&gt;&lt;/h5&gt;&lt;/div&gt;&lt;hr/&gt;&lt;div&gt;&lt;h5&gt;&lt;b&gt;Range &lt;/b&gt;close (25 ft. + 5 ft./2 levels)&lt;/h5&gt;&lt;h5&gt;&lt;b&gt;Targets &lt;/b&gt;one creature/level, no two of which can be more than 30 ft. apart&lt;/h5&gt;&lt;h5&gt;&lt;b&gt;Duration &lt;/b&gt;1 round/level&lt;/h5&gt;&lt;h5&gt;&lt;b&gt;Saving Throw &lt;/b&gt;Will negates; &lt;b&gt;Spell Resistance &lt;/b&gt;yes&lt;/h5&gt;&lt;/div&gt;&lt;hr/&gt;&lt;div&gt;&lt;h5&gt;&lt;b&gt;DESCRIPTION&lt;/b&gt;&lt;/h5&gt;&lt;/div&gt;&lt;hr/&gt;&lt;div&gt;&lt;h4&gt;&lt;p&gt;An affected creature moves and attacks at a drastically &lt;i&gt;&lt;i&gt;slow&lt;/i&gt;ed&lt;/i&gt; rate. Creatures affected by this spell are staggered and can take only a single move action or standard action each turn, but not both (nor may it take full-round actions). Additionally, it takes a -1 penalty on attack rolls, AC, and Reflex saves. A &lt;i&gt;&lt;i&gt;slow&lt;/i&gt;ed&lt;/i&gt; creature moves at half its normal speed (round down to the next 5-foot increment), which affects the creature's jumping distance as normal for decreased speed.&lt;/p&gt;&lt;p&gt;Multiple &lt;i&gt;slow&lt;/i&gt; effects don't stack. &lt;i&gt;Slow&lt;/i&gt; counters and dispels &lt;i&gt;haste&lt;/i&gt;.&lt;/p&gt;&lt;/h4&gt;&lt;h5&gt;&lt;b&gt;Mythic: &lt;/b&gt;The penalty on attack rolls, on Reflex saves, and to AC increases to -2, and affected creatures move at one-fourth speed. Select one affected creature; this creature is denied its Dexterity bonus to AC.&lt;/h5&gt;&lt;/div&gt;</t>
  </si>
  <si>
    <t>One subject/level takes only one action/round, –1 to AC, Reflex saves, and attack rolls.</t>
  </si>
  <si>
    <t>The penalty on attack rolls, on Reflex saves, and to AC increases to -2, and affected creatures move at one-fourth speed. Select one affected creature; this creature is denied its Dexterity bonus to AC.</t>
  </si>
  <si>
    <t>Snare</t>
  </si>
  <si>
    <t>druid 3, ranger 2</t>
  </si>
  <si>
    <t>touched nonmagical circle of vine, rope, or thong with a 2 ft. diameter + 2 ft./level</t>
  </si>
  <si>
    <t>Until triggered or broken</t>
  </si>
  <si>
    <t>This spell enables you to make a snare that functions as a magic trap. The snare can be made from any supple vine, a thong, or a rope. When you cast snare upon it, the cordlike object blends with its surroundings (DC 23 Perception check for a character with the trapfinding ability to locate). One end of the snare is tied in a loop that contracts around one or more of the limbs of any creature stepping inside the circle. If a strong and supple tree is nearby, the snare can be fastened to it. The spell causes the tree to bend, straightening when the loop is triggered, dealing 1d6 points of damage to the creature trapped and lifting it off the ground by the trapped limb or limbs. If no such tree is available, the cordlike object tightens around the creature, dealing no damage but causing it to be entangled. The snare is magical. To escape, a trapped creature must make a DC 23 Escape Artist check or a DC 23 Strength check that is a full-round action. The snare has AC 7 and 5 hit points. A successful escape from the snare breaks the loop and ends the spell.</t>
  </si>
  <si>
    <t>&lt;p&gt;This spell enables you to make a &lt;i&gt;snare&lt;/i&gt; that functions as a magic trap. The &lt;i&gt;snare&lt;/i&gt; can be made from any supple vine, a thong, or a rope. When you cast &lt;i&gt;snare&lt;/i&gt; upon it, the cordlike object blends with its surroundings (DC 23 Perception check for a character with the trapfinding ability to locate). One end of the &lt;i&gt;snare&lt;/i&gt; is tied in a loop that contracts around one or more of the limbs of any creature stepping inside the circle.&lt;/p&gt;&lt;p&gt;If a strong and supple tree is nearby, the &lt;i&gt;snare&lt;/i&gt; can be fastened to it. The spell causes the tree to bend, straightening when the loop is triggered, dealing 1d6 points of damage to the creature trapped and lifting it off the ground by the trapped limb or limbs. If no such tree is available, the cordlike object tightens around the creature, dealing no damage but causing it to be entangled.&lt;/p&gt;&lt;p&gt;The &lt;i&gt;snare&lt;/i&gt; is magical. To escape, a trapped creature must make a DC 23 Escape Artist check or a DC 23 Strength check that is a full-round action. The &lt;i&gt;snare&lt;/i&gt; has AC 7 and 5 hit points. A successful escape from the &lt;i&gt;snare&lt;/i&gt; breaks the loop and ends the spell.&lt;/p&gt;</t>
  </si>
  <si>
    <t>&lt;link rel="stylesheet"href="PF.css"&gt;&lt;div class="heading"&gt;&lt;p class="alignleft"&gt;Snare&lt;/p&gt;&lt;div style="clear: both;"&gt;&lt;/div&gt;&lt;/div&gt;&lt;div&gt;&lt;h5&gt;&lt;b&gt;School &lt;/b&gt;transmutation; &lt;b&gt;Level &lt;/b&gt;druid 3, ranger 2&lt;/h5&gt;&lt;/div&gt;&lt;hr/&gt;&lt;div&gt;&lt;h5&gt;&lt;b&gt;CASTING&lt;/b&gt;&lt;/h5&gt;&lt;/div&gt;&lt;hr/&gt;&lt;div&gt;&lt;h5&gt;&lt;b&gt;Casting Time &lt;/b&gt;3 rounds&lt;/h5&gt;&lt;h5&gt;&lt;b&gt;Components &lt;/b&gt;V, S, DF&lt;/h5&gt;&lt;/div&gt;&lt;hr/&gt;&lt;div&gt;&lt;h5&gt;&lt;b&gt;EFFECT&lt;/b&gt;&lt;/h5&gt;&lt;/div&gt;&lt;hr/&gt;&lt;div&gt;&lt;h5&gt;&lt;b&gt;Range &lt;/b&gt;touch&lt;/h5&gt;&lt;h5&gt;&lt;b&gt;Targets &lt;/b&gt;touched nonmagical circle of vine, rope, or thong with a 2 ft. diameter + 2 ft./level&lt;/h5&gt;&lt;h5&gt;&lt;b&gt;Duration &lt;/b&gt;Until triggered or broken&lt;/h5&gt;&lt;h5&gt;&lt;b&gt;Saving Throw &lt;/b&gt;none; &lt;b&gt;Spell Resistance &lt;/b&gt;no&lt;/h5&gt;&lt;/div&gt;&lt;hr/&gt;&lt;div&gt;&lt;h5&gt;&lt;b&gt;DESCRIPTION&lt;/b&gt;&lt;/h5&gt;&lt;/div&gt;&lt;hr/&gt;&lt;div&gt;&lt;h4&gt;&lt;p&gt;This spell enables you to make a &lt;i&gt;snare&lt;/i&gt; that functions as a magic trap. The &lt;i&gt;snare&lt;/i&gt; can be made from any supple vine, a thong, or a rope. When you cast &lt;i&gt;snare&lt;/i&gt; upon it, the cordlike object blends with its surroundings (DC 23 Perception check for a character with the trapfinding ability to locate). One end of the &lt;i&gt;snare&lt;/i&gt; is tied in a loop that contracts around one or more of the limbs of any creature stepping inside the circle.&lt;/p&gt;&lt;p&gt;If a strong and supple tree is nearby, the &lt;i&gt;snare&lt;/i&gt; can be fastened to it. The spell causes the tree to bend, straightening when the loop is triggered, dealing 1d6 points of damage to the creature trapped and lifting it off the ground by the trapped limb or limbs. If no such tree is available, the cordlike object tightens around the creature, dealing no damage but causing it to be entangled.&lt;/p&gt;&lt;p&gt;The &lt;i&gt;snare&lt;/i&gt; is magical. To escape, a trapped creature must make a DC 23 Escape Artist check or a DC 23 Strength check that is a full-round action. The &lt;i&gt;snare&lt;/i&gt; has AC 7 and 5 hit points. A successful escape from the &lt;i&gt;snare&lt;/i&gt; breaks the loop and ends the spell.&lt;/p&gt;&lt;/h4&gt;&lt;/div&gt;</t>
  </si>
  <si>
    <t>Trap</t>
  </si>
  <si>
    <t>Creates a magic booby trap.</t>
  </si>
  <si>
    <t>Soften Earth and Stone</t>
  </si>
  <si>
    <t>10-ft. square/level; see text</t>
  </si>
  <si>
    <t>When this spell is cast, all natural, undressed earth or stone in the spell's area is softened. Wet earth becomes thick mud, dry earth becomes loose sand or dirt, and stone becomes soft clay that is easily molded or chopped. You affect a 10-foot square area to a depth of 1 to 4 feet, depending on the toughness or resilience of the ground at that spot. Magical, enchanted, dressed, or worked stone cannot be affected. Earth or stone creatures are not affected. A creature in mud must succeed on a Reflex save or be caught for 1d2 rounds and unable to move, attack, or cast spells. A creature that succeeds on its save can move through the mud at half speed, and it can't run or charge. Loose dirt is not as troublesome as mud, but all creatures in the area can move at only half their normal speed and can't run or charge over the surface. Stone softened into clay does not hinder movement, but it does allow characters to cut, shape, or excavate areas they may not have been able to affect before. While this spell does not affect dressed or worked stone, cavern ceilings or vertical surfaces such as cliff faces can be affected. Usually, this causes a moderate collapse or landslide as the loosened material peels away from the face of the wall or roof and falls (treat as a cave-in with no bury zone, see Chapter 13). A moderate amount of structural damage can be dealt to a manufactured structure by softening the ground beneath it, causing it to settle. However, most well-built structures will only be damaged by this spell, not destroyed.</t>
  </si>
  <si>
    <t>&lt;p&gt;When this spell is cast, all natural, undressed earth or stone in the spell's area is softened. Wet earth becomes thick mud, dry earth becomes loose sand or dirt, and stone becomes soft clay that is easily molded or chopped. You affect a 10-foot square area to a depth of 1 to 4 feet, depending on the toughness or resilience of the ground at that spot. Magical, enchanted, dressed, or worked stone cannot be affected. Earth or stone creatures are not affected.&lt;/p&gt;&lt;p&gt;A creature in mud must succeed on a Reflex save or be caught for 1d2 rounds and unable to move, attack, or cast spells. A creature that succeeds on its save can move through the mud at half speed, and it can't run or charge. Loose dirt is not as troublesome as mud, but all creatures in the area can move at only half their normal speed and can't run or charge over the surface. Stone softened into clay does not hinder movement, but it does allow characters to cut, shape, or excavate areas they may not have been able to affect before.&lt;/p&gt;&lt;p&gt;While this spell does not affect dressed or worked stone, cavern ceilings or vertical surfaces such as cliff faces can be affected.&lt;/p&gt;&lt;p&gt;Usually, this causes a moderate collapse or landslide as the loosened material peels away from the face of the wall or roof and falls (treat as a cave-in with no bury zone, see Chapter 13).&lt;/p&gt;&lt;p&gt;A moderate amount of structural damage can be dealt to a manufactured structure by softening the ground beneath it, causing it to settle. However, most well-built structures will only be damaged by this spell, not destroyed.&lt;/p&gt;</t>
  </si>
  <si>
    <t>&lt;link rel="stylesheet"href="PF.css"&gt;&lt;div class="heading"&gt;&lt;p class="alignleft"&gt;Soften Earth and Stone&lt;/p&gt;&lt;div style="clear: both;"&gt;&lt;/div&gt;&lt;/div&gt;&lt;div&gt;&lt;h5&gt;&lt;b&gt;School &lt;/b&gt;transmutation [earth]; &lt;b&gt;Level &lt;/b&gt;druid 2&lt;/h5&gt;&lt;/div&gt;&lt;hr/&gt;&lt;div&gt;&lt;h5&gt;&lt;b&gt;CASTING&lt;/b&gt;&lt;/h5&gt;&lt;/div&gt;&lt;hr/&gt;&lt;div&gt;&lt;h5&gt;&lt;b&gt;Casting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levels)&lt;/h5&gt;&lt;h5&gt;&lt;b&gt;Area &lt;/b&gt;10-ft. square/level; see text&lt;/h5&gt;&lt;h5&gt;&lt;b&gt;Duration &lt;/b&gt;instantaneous&lt;/h5&gt;&lt;h5&gt;&lt;b&gt;Saving Throw &lt;/b&gt;none; &lt;b&gt;Spell Resistance &lt;/b&gt;no&lt;/h5&gt;&lt;/div&gt;&lt;hr/&gt;&lt;div&gt;&lt;h5&gt;&lt;b&gt;DESCRIPTION&lt;/b&gt;&lt;/h5&gt;&lt;/div&gt;&lt;hr/&gt;&lt;div&gt;&lt;h4&gt;&lt;p&gt;When this spell is cast, all natural, undressed earth or stone in the spell's area is softened. Wet earth becomes thick mud, dry earth becomes loose sand or dirt, and stone becomes soft clay that is easily molded or chopped. You affect a 10-foot square area to a depth of 1 to 4 feet, depending on the toughness or resilience of the ground at that spot. Magical, enchanted, dressed, or worked stone cannot be affected. Earth or stone creatures are not affected.&lt;/p&gt;&lt;p&gt;A creature in mud must succeed on a Reflex save or be caught for 1d2 rounds and unable to move, attack, or cast spells. A creature that succeeds on its save can move through the mud at half speed, and it can't run or charge. Loose dirt is not as troublesome as mud, but all creatures in the area can move at only half their normal speed and can't run or charge over the surface. Stone softened into clay does not hinder movement, but it does allow characters to cut, shape, or excavate areas they may not have been able to affect before.&lt;/p&gt;&lt;p&gt;While this spell does not affect dressed or worked stone, cavern ceilings or vertical surfaces such as cliff faces can be affected.&lt;/p&gt;&lt;p&gt;Usually, this causes a moderate collapse or landslide as the loosened material peels away from the face of the wall or roof and falls (treat as a cave-in with no bury zone, see Chapter 13).&lt;/p&gt;&lt;p&gt;A moderate amount of structural damage can be dealt to a manufactured structure by softening the ground beneath it, causing it to settle. However, most well-built structures will only be damaged by this spell, not destroyed.&lt;/p&gt;&lt;/h4&gt;&lt;/div&gt;</t>
  </si>
  <si>
    <t> Turns stone to clay, or dirt to sand or mud.</t>
  </si>
  <si>
    <t>Solid Fog</t>
  </si>
  <si>
    <t>This spell functions like fog cloud, but in addition to obscuring sight, the solid fog is so thick that it impedes movement. Creatures moving through a solid fog move at half their normal speed and take a -2 penalty on all melee attack and melee damage rolls. The vapors prevent effective ranged weapon attacks (except for magic rays and the like). A creature or object that falls into solid fog is slowed so that each 10 feet of vapor that it passes through reduces the falling damage by 1d6. A creature cannot take a 5-foot-step while in solid fog. Solid fog, and effects that work like solid fog, do not stack with each other in terms of slowed movement and attack penalties. Unlike normal fog, only a severe wind (31+ mph) disperses these vapors, and it does so in 1 round. Solid fog can be made permanent with a permanency spell. A permanent solid fog dispersed by wind reforms in 10 minutes.</t>
  </si>
  <si>
    <t>&lt;p&gt;This spell functions like &lt;i&gt;fog cloud&lt;/i&gt;, but in addition to obscuring sight, the &lt;i&gt;solid fog&lt;/i&gt; is so thick that it impedes movement.&lt;/p&gt;&lt;p&gt;Creatures moving through a &lt;i&gt;solid fog&lt;/i&gt; move at half their normal speed and take a -2 penalty on all melee attack and melee damage rolls. The vapors prevent effective ranged weapon attacks (except for magic rays and the like). A creature or object that falls into &lt;i&gt;solid fog&lt;/i&gt; is slowed so that each 10 feet of vapor that it passes through reduces the falling damage by 1d6. A creature cannot take a 5-foot-step while in &lt;i&gt;solid fog&lt;/i&gt;. &lt;i&gt;Solid fog&lt;/i&gt;, and effects that work like &lt;i&gt;solid fog&lt;/i&gt;, do not stack with each other in terms of slowed movement and attack penalties.&lt;/p&gt;&lt;p&gt;Unlike normal fog, only a severe wind (31+ mph) disperses these vapors, and it does so in 1 round.&lt;/p&gt;&lt;p&gt;&lt;i&gt;Solid fog&lt;/i&gt; can be made permanent with a &lt;i&gt;permanency&lt;/i&gt; spell. A permanent &lt;i&gt;solid fog&lt;/i&gt; dispersed by wind reforms in 10 minutes.&lt;/p&gt;</t>
  </si>
  <si>
    <t>&lt;link rel="stylesheet"href="PF.css"&gt;&lt;div class="heading"&gt;&lt;p class="alignleft"&gt;Solid Fog&lt;/p&gt;&lt;div style="clear: both;"&gt;&lt;/div&gt;&lt;/div&gt;&lt;div&gt;&lt;h5&gt;&lt;b&gt;School &lt;/b&gt;conjuration (creation); &lt;b&gt;Level &lt;/b&gt;sorcerer/wizard 4, witch 4, magus 4&lt;/h5&gt;&lt;/div&gt;&lt;hr/&gt;&lt;div&gt;&lt;h5&gt;&lt;b&gt;CASTING&lt;/b&gt;&lt;/h5&gt;&lt;/div&gt;&lt;hr/&gt;&lt;div&gt;&lt;h5&gt;&lt;b&gt;Casting Time &lt;/b&gt;1 standard action&lt;/h5&gt;&lt;h5&gt;&lt;b&gt;Components &lt;/b&gt;V, S, M (powdered peas and an animal hoof)&lt;/h5&gt;&lt;/div&gt;&lt;hr/&gt;&lt;div&gt;&lt;h5&gt;&lt;b&gt;EFFECT&lt;/b&gt;&lt;/h5&gt;&lt;/div&gt;&lt;hr/&gt;&lt;div&gt;&lt;h5&gt;&lt;b&gt;Range &lt;/b&gt;medium (100 ft. + 10 ft. level)&lt;/h5&gt;&lt;h5&gt;&lt;b&gt;Effect &lt;/b&gt;fog spreads in 20-ft. radius&lt;/h5&gt;&lt;h5&gt;&lt;b&gt;Duration &lt;/b&gt;1 min./level&lt;/h5&gt;&lt;h5&gt;&lt;b&gt;Saving Throw &lt;/b&gt;none; &lt;b&gt;Spell Resistance &lt;/b&gt;no&lt;/h5&gt;&lt;/div&gt;&lt;hr/&gt;&lt;div&gt;&lt;h5&gt;&lt;b&gt;DESCRIPTION&lt;/b&gt;&lt;/h5&gt;&lt;/div&gt;&lt;hr/&gt;&lt;div&gt;&lt;h4&gt;&lt;p&gt;This spell functions like &lt;i&gt;fog cloud&lt;/i&gt;, but in addition to obscuring sight, the &lt;i&gt;solid fog&lt;/i&gt; is so thick that it impedes movement.&lt;/p&gt;&lt;p&gt;Creatures moving through a &lt;i&gt;solid fog&lt;/i&gt; move at half their normal speed and take a -2 penalty on all melee attack and melee damage rolls. The vapors prevent effective ranged weapon attacks (except for magic rays and the like). A creature or object that falls into &lt;i&gt;solid fog&lt;/i&gt; is slowed so that each 10 feet of vapor that it passes through reduces the falling damage by 1d6. A creature cannot take a 5-foot-step while in &lt;i&gt;solid fog&lt;/i&gt;. &lt;i&gt;Solid fog&lt;/i&gt;, and effects that work like &lt;i&gt;solid fog&lt;/i&gt;, do not stack with each other in terms of slowed movement and attack penalties.&lt;/p&gt;&lt;p&gt;Unlike normal fog, only a severe wind (31+ mph) disperses these vapors, and it does so in 1 round.&lt;/p&gt;&lt;p&gt;&lt;i&gt;Solid fog&lt;/i&gt; can be made permanent with a &lt;i&gt;permanency&lt;/i&gt; spell. A permanent &lt;i&gt;solid fog&lt;/i&gt; dispersed by wind reforms in 10 minutes.&lt;/p&gt;&lt;/h4&gt;&lt;h5&gt;&lt;b&gt;Mythic: &lt;/b&gt;The penalty on melee attack and damage rolls increases to -4. The cloud's radius and height both increase to 50 feet.&lt;/h5&gt;&lt;h5&gt;&lt;b&gt;Augmented&lt;/b&gt;: The augmented version of mythic solid fog has the same additional benefits as the augmented version of mythic fog cloud.&lt;/h5&gt;&lt;/div&gt;</t>
  </si>
  <si>
    <t>Cloud</t>
  </si>
  <si>
    <t> Blocks vision and slows movement.</t>
  </si>
  <si>
    <t>The penalty on melee attack and damage rolls increases to -4. The cloud's radius and height both increase to 50 feet.</t>
  </si>
  <si>
    <t>Augmented: The augmented version of mythic solid fog has the same additional benefits as the augmented version of mythic fog cloud.</t>
  </si>
  <si>
    <t>Song of Discord</t>
  </si>
  <si>
    <t>bard 5</t>
  </si>
  <si>
    <t>creatures within a 20-ft.-radius spread</t>
  </si>
  <si>
    <t>This spell causes those within the area to turn on each other rather than attack their foes. Each affected creature has a 50% chance to attack the nearest target each round. (Roll to determine each creature's behavior every round at the beginning of its turn.) A creature that does not attack its nearest neighbor is free to act normally for that round. Creatures forced by a song of discord to attack their fellows employ all methods at their disposal, choosing their deadliest spells and most advantageous combat tactics. They do not, however, harm targets that have fallen unconscious.</t>
  </si>
  <si>
    <t>&lt;p&gt;This spell causes those within the area to turn on each other rather than attack their foes. Each affected creature has a 50% chance to attack the nearest target each round. (Roll to determine each creature's behavior every round at the beginning of its turn.) A creature that does not attack its nearest neighbor is free to act normally for that round. Creatures forced by a &lt;i&gt;song of discord&lt;/i&gt; to attack their fellows employ all methods at their disposal, choosing their deadliest spells and most advantageous combat tactics. They do not, however, harm targets that have fallen unconscious.&lt;/p&gt;</t>
  </si>
  <si>
    <t>&lt;link rel="stylesheet"href="PF.css"&gt;&lt;div class="heading"&gt;&lt;p class="alignleft"&gt;Song of Discord&lt;/p&gt;&lt;div style="clear: both;"&gt;&lt;/div&gt;&lt;/div&gt;&lt;div&gt;&lt;h5&gt;&lt;b&gt;School &lt;/b&gt;enchantment (compulsion) [mind-affecting, sonic]; &lt;b&gt;Level &lt;/b&gt;bard 5&lt;/h5&gt;&lt;/div&gt;&lt;hr/&gt;&lt;div&gt;&lt;h5&gt;&lt;b&gt;CASTING&lt;/b&gt;&lt;/h5&gt;&lt;/div&gt;&lt;hr/&gt;&lt;div&gt;&lt;h5&gt;&lt;b&gt;Casting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ft./level)&lt;/h5&gt;&lt;h5&gt;&lt;b&gt;Area &lt;/b&gt;creatures within a 20-ft.-radius spread&lt;/h5&gt;&lt;h5&gt;&lt;b&gt;Duration &lt;/b&gt;1 round/level&lt;/h5&gt;&lt;h5&gt;&lt;b&gt;Saving Throw &lt;/b&gt;Will negates; &lt;b&gt;Spell Resistance &lt;/b&gt;yes&lt;/h5&gt;&lt;/div&gt;&lt;hr/&gt;&lt;div&gt;&lt;h5&gt;&lt;b&gt;DESCRIPTION&lt;/b&gt;&lt;/h5&gt;&lt;/div&gt;&lt;hr/&gt;&lt;div&gt;&lt;h4&gt;&lt;p&gt;This spell causes those within the area to turn on each other rather than attack their foes. Each affected creature has a 50% chance to attack the nearest target each round. (Roll to determine each creature's behavior every round at the beginning of its turn.) A creature that does not attack its nearest neighbor is free to act normally for that round. Creatures forced by a &lt;i&gt;song of discord&lt;/i&gt; to attack their fellows employ all methods at their disposal, choosing their deadliest spells and most advantageous combat tactics. They do not, however, harm targets that have fallen unconscious.&lt;/p&gt;&lt;/h4&gt;&lt;/div&gt;</t>
  </si>
  <si>
    <t> Forces targets to attack each other.</t>
  </si>
  <si>
    <t>Soul Bind</t>
  </si>
  <si>
    <t>corpse</t>
  </si>
  <si>
    <t>You draw the soul from a newly dead body and imprison it in a black sapphire gem. The subject must have been dead no more than 1 round per caster level. The soul, once trapped in the gem, cannot be returned through clone, raise dead, reincarnation, resurrection, true resurrection, or even a miracle or a wish. Only by destroying the gem or dispelling the spell on the gem can one free the soul (which is then still dead). The focus for this spell is a black sapphire of at least 1,000 gp value for every HD possessed by the creature whose soul is to be bound. If the gem is not valuable enough, it shatters when the binding is attempted. (While creatures have no concept of level or HD as such, the value of the gem needed to trap an individual can be researched.)</t>
  </si>
  <si>
    <t>&lt;p&gt;You draw the soul from a newly dead body and imprison it in a black sapphire gem. The subject must have been dead no more than 1 round per caster level. The soul, once trapped in the gem, cannot be returned through &lt;i&gt;clone, raise dead, reincarnation, resurrection, true resurrection,&lt;/i&gt; or even a &lt;i&gt;miracle&lt;/i&gt; or a &lt;i&gt;wish.&lt;/i&gt; Only by destroying the gem or dispelling the spell on the gem can one free the soul (which is then still dead).&lt;/p&gt;&lt;p&gt;The focus for this spell is a black sapphire of at least 1,000 gp value for every HD possessed by the creature whose soul is to be bound. If the gem is not valuable enough, it shatters when the binding is attempted. (While creatures have no concept of level or HD as such, the value of the gem needed to trap an individual can be researched.)&lt;/p&gt;</t>
  </si>
  <si>
    <t>&lt;link rel="stylesheet"href="PF.css"&gt;&lt;div class="heading"&gt;&lt;p class="alignleft"&gt;Soul Bind&lt;/p&gt;&lt;div style="clear: both;"&gt;&lt;/div&gt;&lt;/div&gt;&lt;div&gt;&lt;h5&gt;&lt;b&gt;School &lt;/b&gt;necromancy; &lt;b&gt;Level &lt;/b&gt;cleric 9/oracle 9, sorcerer/wizard 9, witch 9&lt;/h5&gt;&lt;/div&gt;&lt;hr/&gt;&lt;div&gt;&lt;h5&gt;&lt;b&gt;CASTING&lt;/b&gt;&lt;/h5&gt;&lt;/div&gt;&lt;hr/&gt;&lt;div&gt;&lt;h5&gt;&lt;b&gt;Casting Time &lt;/b&gt;1 standard action&lt;/h5&gt;&lt;h5&gt;&lt;b&gt;Components &lt;/b&gt;V, S, F (see text)&lt;/h5&gt;&lt;/div&gt;&lt;hr/&gt;&lt;div&gt;&lt;h5&gt;&lt;b&gt;EFFECT&lt;/b&gt;&lt;/h5&gt;&lt;/div&gt;&lt;hr/&gt;&lt;div&gt;&lt;h5&gt;&lt;b&gt;Range &lt;/b&gt;close (25 ft. + 5 ft./2 levels)&lt;/h5&gt;&lt;h5&gt;&lt;b&gt;Targets &lt;/b&gt;corpse&lt;/h5&gt;&lt;h5&gt;&lt;b&gt;Duration &lt;/b&gt;permanent&lt;/h5&gt;&lt;h5&gt;&lt;b&gt;Saving Throw &lt;/b&gt;Will negates; &lt;b&gt;Spell Resistance &lt;/b&gt;no&lt;/h5&gt;&lt;/div&gt;&lt;hr/&gt;&lt;div&gt;&lt;h5&gt;&lt;b&gt;DESCRIPTION&lt;/b&gt;&lt;/h5&gt;&lt;/div&gt;&lt;hr/&gt;&lt;div&gt;&lt;h4&gt;&lt;p&gt;You draw the soul from a newly dead body and imprison it in a black sapphire gem. The subject must have been dead no more than 1 round per caster level. The soul, once trapped in the gem, cannot be returned through &lt;i&gt;clone, raise dead, reincarnation, resurrection, true resurrection,&lt;/i&gt; or even a &lt;i&gt;miracle&lt;/i&gt; or a &lt;i&gt;wish.&lt;/i&gt; Only by destroying the gem or dispelling the spell on the gem can one free the soul (which is then still dead).&lt;/p&gt;&lt;p&gt;The focus for this spell is a black sapphire of at least 1,000 gp value for every HD possessed by the creature whose soul is to be bound. If the gem is not valuable enough, it shatters when the binding is attempted. (While creatures have no concept of level or HD as such, the value of the gem needed to trap an individual can be researched.)&lt;/p&gt;&lt;/h4&gt;&lt;/div&gt;</t>
  </si>
  <si>
    <t>Traps newly dead soul to prevent resurrection.</t>
  </si>
  <si>
    <t>Sound Burst</t>
  </si>
  <si>
    <t>bard 2, cleric 2/oracle 2</t>
  </si>
  <si>
    <t>V, S, F/DF (a musical instrument)</t>
  </si>
  <si>
    <t>10-ft.-radius spread</t>
  </si>
  <si>
    <t>You blast an area with a tremendous cacophony. Every creature in the area takes 1d8 points of sonic damage and must succeed on a Fortitude save to avoid being stunned for 1 round. Creatures that cannot hear are not stunned but are still damaged.</t>
  </si>
  <si>
    <t>&lt;p&gt;You blast an area with a tremendous cacophony. Every creature in the area takes 1d8 points of sonic damage and must succeed on a Fortitude save to avoid being stunned for 1 round. Creatures that cannot hear are not stunned but are still damaged.&lt;/p&gt;</t>
  </si>
  <si>
    <t>&lt;link rel="stylesheet"href="PF.css"&gt;&lt;div class="heading"&gt;&lt;p class="alignleft"&gt;Sound Burst&lt;/p&gt;&lt;div style="clear: both;"&gt;&lt;/div&gt;&lt;/div&gt;&lt;div&gt;&lt;h5&gt;&lt;b&gt;School &lt;/b&gt;evocation [sonic]; &lt;b&gt;Level &lt;/b&gt;bard 2, cleric 2/oracle 2&lt;/h5&gt;&lt;/div&gt;&lt;hr/&gt;&lt;div&gt;&lt;h5&gt;&lt;b&gt;CASTING&lt;/b&gt;&lt;/h5&gt;&lt;/div&gt;&lt;hr/&gt;&lt;div&gt;&lt;h5&gt;&lt;b&gt;Casting Time &lt;/b&gt;1 standard action&lt;/h5&gt;&lt;h5&gt;&lt;b&gt;Components &lt;/b&gt;V, S, F/DF (a musical instrument)&lt;/h5&gt;&lt;/div&gt;&lt;hr/&gt;&lt;div&gt;&lt;h5&gt;&lt;b&gt;EFFECT&lt;/b&gt;&lt;/h5&gt;&lt;/div&gt;&lt;hr/&gt;&lt;div&gt;&lt;h5&gt;&lt;b&gt;Range &lt;/b&gt;close (25 ft. + 5 ft./2 levels)&lt;/h5&gt;&lt;h5&gt;&lt;b&gt;Area &lt;/b&gt;10-ft.-radius spread&lt;/h5&gt;&lt;h5&gt;&lt;b&gt;Duration &lt;/b&gt;instantaneous&lt;/h5&gt;&lt;h5&gt;&lt;b&gt;Saving Throw &lt;/b&gt;Fortitude partial; &lt;b&gt;Spell Resistance &lt;/b&gt;yes&lt;/h5&gt;&lt;/div&gt;&lt;hr/&gt;&lt;div&gt;&lt;h5&gt;&lt;b&gt;DESCRIPTION&lt;/b&gt;&lt;/h5&gt;&lt;/div&gt;&lt;hr/&gt;&lt;div&gt;&lt;h4&gt;&lt;p&gt;You blast an area with a tremendous cacophony. Every creature in the area takes 1d8 points of sonic damage and must succeed on a Fortitude save to avoid being stunned for 1 round. Creatures that cannot hear are not stunned but are still damaged.&lt;/p&gt;&lt;/h4&gt;&lt;/div&gt;</t>
  </si>
  <si>
    <t>Deals 1d8 sonic damage and may stun subjects.</t>
  </si>
  <si>
    <t>Speak with Animals</t>
  </si>
  <si>
    <t>bard 3, druid 1, ranger 1</t>
  </si>
  <si>
    <t>You can ask questions of and receive answers from animals, but the spell doesn't make them any more friendly than normal. Wary and cunning animals are likely to be terse and evasive, while the more stupid ones make inane comments. If an animal is friendly toward you, it may do some favor or service for you.</t>
  </si>
  <si>
    <t>&lt;p&gt;You can ask questions of and receive answers from animals, but the spell doesn't make them any more friendly than normal. Wary and cunning animals are likely to be terse and evasive, while the more stupid ones make inane comments. If an animal is friendly toward you, it may do some favor or service for you.&lt;/p&gt;</t>
  </si>
  <si>
    <t>&lt;link rel="stylesheet"href="PF.css"&gt;&lt;div class="heading"&gt;&lt;p class="alignleft"&gt;Speak with Animals&lt;/p&gt;&lt;div style="clear: both;"&gt;&lt;/div&gt;&lt;/div&gt;&lt;div&gt;&lt;h5&gt;&lt;b&gt;School &lt;/b&gt;divination; &lt;b&gt;Level &lt;/b&gt;bard 3, druid 1, ranger 1&lt;/h5&gt;&lt;/div&gt;&lt;hr/&gt;&lt;div&gt;&lt;h5&gt;&lt;b&gt;CASTING&lt;/b&gt;&lt;/h5&gt;&lt;/div&gt;&lt;hr/&gt;&lt;div&gt;&lt;h5&gt;&lt;b&gt;Casting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min./level&lt;/h5&gt;&lt;/div&gt;&lt;hr/&gt;&lt;div&gt;&lt;h5&gt;&lt;b&gt;DESCRIPTION&lt;/b&gt;&lt;/h5&gt;&lt;/div&gt;&lt;hr/&gt;&lt;div&gt;&lt;h4&gt;&lt;p&gt;You can ask questions of and receive answers from animals, but the spell doesn't make them any more friendly than normal. Wary and cunning animals are likely to be terse and evasive, while the more stupid ones make inane comments. If an animal is friendly toward you, it may do some favor or service for you.&lt;/p&gt;&lt;/h4&gt;&lt;/div&gt;</t>
  </si>
  <si>
    <t>You can communicate with animals.</t>
  </si>
  <si>
    <t>Speak with Dead</t>
  </si>
  <si>
    <t>cleric 3/oracle 3, witch 3, inquisitor 3</t>
  </si>
  <si>
    <t>one dead creature</t>
  </si>
  <si>
    <t>You grant the semblance of life to a corpse, allowing it to answer questions. You may ask one question per two caster levels. The corpse's knowledge is limited to what it knew during life, including the languages it spoke. Answers are brief, cryptic, or repetitive, especially if the creature would have opposed you in life. If the dead creature's alignment was different from yours, the corpse gets a Will save to resist the spell as if it were alive. If successful, the corpse can refuse to answer your questions or attempt to deceive you, using Bluff. The soul can only speak about what it knew in life. It cannot answer any questions that pertain to events that occurred after its death. If the corpse has been subject to speak with dead within the past week, the new spell fails. You can cast this spell on a corpse that has been deceased for any amount of time, but the body must be mostly intact to be able to respond. A damaged corpse may be able to give partial answers or partially correct answers, but it must at least have a mouth in order to speak at all. This spell does not affect a corpse that has been turned into an undead creature.</t>
  </si>
  <si>
    <t>&lt;p&gt;You grant the semblance of life to a corpse, allowing it to answer questions. You may ask one question per two caster levels. The corpse's knowledge is limited to what it knew during life, including the languages it spoke. Answers are brief, cryptic, or repetitive, especially if the creature would have opposed you in life.&lt;/p&gt;&lt;p&gt;If the dead creature's alignment was different from yours, the corpse gets a Will save to resist the spell as if it were alive.&lt;/p&gt;&lt;p&gt;If successful, the corpse can refuse to answer your questions or attempt to deceive you, using Bluff. The soul can only speak about what it knew in life. It cannot answer any questions that pertain to events that occurred after its death.&lt;/p&gt;&lt;p&gt;If the corpse has been subject to &lt;i&gt;speak with dead&lt;/i&gt; within the past week, the new spell fails. You can cast this spell on a corpse that has been deceased for any amount of time, but the body must be mostly intact to be able to respond. A damaged corpse may be able to give partial answers or partially correct answers, but it must at least have a mouth in order to speak at all. This spell does not affect a corpse that has been turned into an undead creature.&lt;/p&gt;</t>
  </si>
  <si>
    <t>&lt;link rel="stylesheet"href="PF.css"&gt;&lt;div class="heading"&gt;&lt;p class="alignleft"&gt;Speak with Dead&lt;/p&gt;&lt;div style="clear: both;"&gt;&lt;/div&gt;&lt;/div&gt;&lt;div&gt;&lt;h5&gt;&lt;b&gt;School &lt;/b&gt;necromancy [language-dependent]; &lt;b&gt;Level &lt;/b&gt;cleric 3/oracle 3, witch 3, inquisitor 3&lt;/h5&gt;&lt;/div&gt;&lt;hr/&gt;&lt;div&gt;&lt;h5&gt;&lt;b&gt;CASTING&lt;/b&gt;&lt;/h5&gt;&lt;/div&gt;&lt;hr/&gt;&lt;div&gt;&lt;h5&gt;&lt;b&gt;Casting Time &lt;/b&gt;10 minutes&lt;/h5&gt;&lt;h5&gt;&lt;b&gt;Components &lt;/b&gt;V, S, DF&lt;/h5&gt;&lt;/div&gt;&lt;hr/&gt;&lt;div&gt;&lt;h5&gt;&lt;b&gt;EFFECT&lt;/b&gt;&lt;/h5&gt;&lt;/div&gt;&lt;hr/&gt;&lt;div&gt;&lt;h5&gt;&lt;b&gt;Range &lt;/b&gt;10 ft.&lt;/h5&gt;&lt;h5&gt;&lt;b&gt;Targets &lt;/b&gt;one dead creature&lt;/h5&gt;&lt;h5&gt;&lt;b&gt;Duration &lt;/b&gt;1 min./level&lt;/h5&gt;&lt;h5&gt;&lt;b&gt;Saving Throw &lt;/b&gt;Will negates; see text; &lt;b&gt;Spell Resistance &lt;/b&gt;no&lt;/h5&gt;&lt;/div&gt;&lt;hr/&gt;&lt;div&gt;&lt;h5&gt;&lt;b&gt;DESCRIPTION&lt;/b&gt;&lt;/h5&gt;&lt;/div&gt;&lt;hr/&gt;&lt;div&gt;&lt;h4&gt;&lt;p&gt;You grant the semblance of life to a corpse, allowing it to answer questions. You may ask one question per two caster levels. The corpse's knowledge is limited to what it knew during life, including the languages it spoke. Answers are brief, cryptic, or repetitive, especially if the creature would have opposed you in life.&lt;/p&gt;&lt;p&gt;If the dead creature's alignment was different from yours, the corpse gets a Will save to resist the spell as if it were alive.&lt;/p&gt;&lt;p&gt;If successful, the corpse can refuse to answer your questions or attempt to deceive you, using Bluff. The soul can only speak about what it knew in life. It cannot answer any questions that pertain to events that occurred after its death.&lt;/p&gt;&lt;p&gt;If the corpse has been subject to &lt;i&gt;speak with dead&lt;/i&gt; within the past week, the new spell fails. You can cast this spell on a corpse that has been deceased for any amount of time, but the body must be mostly intact to be able to respond. A damaged corpse may be able to give partial answers or partially correct answers, but it must at least have a mouth in order to speak at all. This spell does not affect a corpse that has been turned into an undead creature.&lt;/p&gt;&lt;/h4&gt;&lt;/div&gt;</t>
  </si>
  <si>
    <t>Knowledge, Repose</t>
  </si>
  <si>
    <t> Corpse answers one question/two levels.</t>
  </si>
  <si>
    <t>Death, Spirits</t>
  </si>
  <si>
    <t>Speak with Plants</t>
  </si>
  <si>
    <t>bard 4, druid 3, ranger 2</t>
  </si>
  <si>
    <t>You can communicate with normal plants and plant creatures, and can ask questions of and receive answers from them. A normal plant's sense of its surroundings is limited, so it won't be able to give (or recognize) detailed descriptions of creatures or answer questions about events outside its immediate vicinity. The spell doesn't make plant creatures any more friendly or cooperative than normal. Furthermore, wary and cunning plant creatures are likely to be terse and evasive, while the more stupid ones may make inane comments. If a plant creature is friendly, it may do some favor or service for you.</t>
  </si>
  <si>
    <t>&lt;p&gt;You can communicate with normal plants and plant creatures, and can ask questions of and receive answers from them. A normal plant's sense of its surroundings is limited, so it won't be able to give (or recognize) detailed descriptions of creatures or answer questions about events outside its immediate vicinity. The spell doesn't make plant creatures any more friendly or cooperative than normal. Furthermore, wary and cunning plant creatures are likely to be terse and evasive, while the more stupid ones may make inane comments. If a plant creature is friendly, it may do some favor or service for you.&lt;/p&gt;</t>
  </si>
  <si>
    <t>&lt;link rel="stylesheet"href="PF.css"&gt;&lt;div class="heading"&gt;&lt;p class="alignleft"&gt;Speak with Plants&lt;/p&gt;&lt;div style="clear: both;"&gt;&lt;/div&gt;&lt;/div&gt;&lt;div&gt;&lt;h5&gt;&lt;b&gt;School &lt;/b&gt;divination; &lt;b&gt;Level &lt;/b&gt;bard 4, druid 3, ranger 2&lt;/h5&gt;&lt;/div&gt;&lt;hr/&gt;&lt;div&gt;&lt;h5&gt;&lt;b&gt;CASTING&lt;/b&gt;&lt;/h5&gt;&lt;/div&gt;&lt;hr/&gt;&lt;div&gt;&lt;h5&gt;&lt;b&gt;Casting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min./level&lt;/h5&gt;&lt;/div&gt;&lt;hr/&gt;&lt;div&gt;&lt;h5&gt;&lt;b&gt;DESCRIPTION&lt;/b&gt;&lt;/h5&gt;&lt;/div&gt;&lt;hr/&gt;&lt;div&gt;&lt;h4&gt;&lt;p&gt;You can communicate with normal plants and plant creatures, and can ask questions of and receive answers from them. A normal plant's sense of its surroundings is limited, so it won't be able to give (or recognize) detailed descriptions of creatures or answer questions about events outside its immediate vicinity. The spell doesn't make plant creatures any more friendly or cooperative than normal. Furthermore, wary and cunning plant creatures are likely to be terse and evasive, while the more stupid ones may make inane comments. If a plant creature is friendly, it may do some favor or service for you.&lt;/p&gt;&lt;/h4&gt;&lt;/div&gt;</t>
  </si>
  <si>
    <t>You can talk to plants and plant creatures.</t>
  </si>
  <si>
    <t>Spectral Hand</t>
  </si>
  <si>
    <t>sorcerer/wizard 2, witch 2</t>
  </si>
  <si>
    <t>one spectral hand</t>
  </si>
  <si>
    <t>A ghostly hand shaped from your life force materializes and moves as you desire, allowing you to deliver low-level, touch range spells at a distance. On casting the spell, you lose 1d4 hit points that return when the spell ends (even if it is dispelled), but not if the hand is destroyed. (The hit points can be healed as normal.) For as long as the spell lasts, any touch range spell of 4th level or lower that you cast can be delivered by the spectral hand. The spell gives you a +2 bonus on your melee touch attack roll, and attacking with the hand counts normally as an attack. The hand always strikes from your direction. The hand cannot flank targets like a creature can. After it delivers a spell, or if it goes beyond the spell range or goes out of your sight, the hand returns to you and hovers. The hand is incorporeal and thus cannot be harmed by normal weapons. It has improved evasion (half damage on a failed Reflex save and no damage on a successful save), your save bonuses, and an AC of 22 (+8 size, +4 natural armor). Your Intelligence modifier applies to the hand's AC as if it were the hand's Dexterity modifier. The hand has 1 to 4 hit points, the same number that you lost in creating it.</t>
  </si>
  <si>
    <t>&lt;p&gt;A ghostly hand shaped from your life force materializes and moves as you desire, allowing you to deliver low-level, touch range spells at a distance. On casting the spell, you lose 1d4 hit points that return when the spell ends (even if it is dispelled), but not if the hand is destroyed. (The hit points can be healed as normal.) For as long as the spell lasts, any touch range spell of 4th level or lower that you cast can be delivered by the &lt;i&gt;spectral hand&lt;/i&gt;. The spell gives you a +2 bonus on your melee touch attack roll, and attacking with the hand counts normally as an attack. The hand always strikes from your direction. The hand cannot flank targets like a creature can. After it delivers a spell, or if it goes beyond the spell range or goes out of your sight, the hand returns to you and hovers.&lt;/p&gt;&lt;p&gt;The hand is incorporeal and thus cannot be harmed by normal weapons. It has improved evasion (half damage on a failed Reflex save and no damage on a successful save), your save bonuses, and an AC of 22 (+8 size, +4 natural armor). Your Intelligence modifier applies to the hand's AC as if it were the hand's Dexterity modifier. The hand has 1 to 4 hit points, the same number that you lost in creating it.&lt;/p&gt;</t>
  </si>
  <si>
    <t>&lt;link rel="stylesheet"href="PF.css"&gt;&lt;div class="heading"&gt;&lt;p class="alignleft"&gt;Spectral Hand&lt;/p&gt;&lt;div style="clear: both;"&gt;&lt;/div&gt;&lt;/div&gt;&lt;div&gt;&lt;h5&gt;&lt;b&gt;School &lt;/b&gt;necromancy; &lt;b&gt;Level &lt;/b&gt;sorcerer/wizard 2, witch 2&lt;/h5&gt;&lt;/div&gt;&lt;hr/&gt;&lt;div&gt;&lt;h5&gt;&lt;b&gt;CASTING&lt;/b&gt;&lt;/h5&gt;&lt;/div&gt;&lt;hr/&gt;&lt;div&gt;&lt;h5&gt;&lt;b&gt;Casting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ft./level)&lt;/h5&gt;&lt;h5&gt;&lt;b&gt;Effect &lt;/b&gt;one spectral hand&lt;/h5&gt;&lt;h5&gt;&lt;b&gt;Duration &lt;/b&gt;1 min./level (D)&lt;/h5&gt;&lt;h5&gt;&lt;b&gt;Saving Throw &lt;/b&gt;none; &lt;b&gt;Spell Resistance &lt;/b&gt;no&lt;/h5&gt;&lt;/div&gt;&lt;hr/&gt;&lt;div&gt;&lt;h5&gt;&lt;b&gt;DESCRIPTION&lt;/b&gt;&lt;/h5&gt;&lt;/div&gt;&lt;hr/&gt;&lt;div&gt;&lt;h4&gt;&lt;p&gt;A ghostly hand shaped from your life force materializes and moves as you desire, allowing you to deliver low-level, touch range spells at a distance. On casting the spell, you lose 1d4 hit points that return when the spell ends (even if it is dispelled), but not if the hand is destroyed. (The hit points can be healed as normal.) For as long as the spell lasts, any touch range spell of 4th level or lower that you cast can be delivered by the &lt;i&gt;spectral hand&lt;/i&gt;. The spell gives you a +2 bonus on your melee touch attack roll, and attacking with the hand counts normally as an attack. The hand always strikes from your direction. The hand cannot flank targets like a creature can. After it delivers a spell, or if it goes beyond the spell range or goes out of your sight, the hand returns to you and hovers.&lt;/p&gt;&lt;p&gt;The hand is incorporeal and thus cannot be harmed by normal weapons. It has improved evasion (half damage on a failed Reflex save and no damage on a successful save), your save bonuses, and an AC of 22 (+8 size, +4 natural armor). Your Intelligence modifier applies to the hand's AC as if it were the hand's Dexterity modifier. The hand has 1 to 4 hit points, the same number that you lost in creating it.&lt;/p&gt;&lt;/h4&gt;&lt;/div&gt;</t>
  </si>
  <si>
    <t> Creates disembodied glowing hand to deliver touch attacks.</t>
  </si>
  <si>
    <t>Spell Immunity</t>
  </si>
  <si>
    <t>cleric 4/oracle 4, alchemist 4, inquisitor 4</t>
  </si>
  <si>
    <t>The warded creature is immune to the effects of one specified spell for every four levels you have. The spells must be of 4th level or lower. The warded creature effectively has unbeatable spell resistance regarding the specified spell or spells. Naturally, that immunity doesn't protect a creature from spells for which spell resistance doesn't apply. Spell immunity protects against spells, spell-like effects of magic items, and innate spell-like abilities of creatures. It does not protect against supernatural or extraordinary abilities, such as breath weapons or gaze attacks. Only a particular spell can be protected against, not a certain domain or school of spells or a group of spells that are similar in effect. A creature can have only one spell immunity or greater spell immunity spell in effect on it at a time.</t>
  </si>
  <si>
    <t>&lt;p&gt;The warded creature is immune to the effects of one specified spell for every four levels you have. The spells must be of 4th level or lower. The warded creature effectively has unbeatable spell resistance regarding the specified spell or spells. Naturally, that immunity doesn't protect a creature from spells for which spell resistance doesn't apply. &lt;i&gt;Spell immunity&lt;/i&gt; protects against spells, spell-like effects of magic items, and innate spell-like abilities of creatures. It does not protect against supernatural or extraordinary abilities, such as breath weapons or gaze attacks.&lt;/p&gt;&lt;p&gt;Only a particular spell can be protected against, not a certain domain or school of spells or a group of spells that are similar in effect. A creature can have only one &lt;i&gt;spell immunity&lt;/i&gt; or greater &lt;i&gt;spell immunity&lt;/i&gt; spell in effect on it at a time.&lt;/p&gt;</t>
  </si>
  <si>
    <t>&lt;link rel="stylesheet"href="PF.css"&gt;&lt;div class="heading"&gt;&lt;p class="alignleft"&gt;Spell Immunity&lt;/p&gt;&lt;div style="clear: both;"&gt;&lt;/div&gt;&lt;/div&gt;&lt;div&gt;&lt;h5&gt;&lt;b&gt;School &lt;/b&gt;abjuration; &lt;b&gt;Level &lt;/b&gt;cleric 4/oracle 4, alchemist 4, inquisitor 4&lt;/h5&gt;&lt;/div&gt;&lt;hr/&gt;&lt;div&gt;&lt;h5&gt;&lt;b&gt;CASTING&lt;/b&gt;&lt;/h5&gt;&lt;/div&gt;&lt;hr/&gt;&lt;div&gt;&lt;h5&gt;&lt;b&gt;Casting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 touched&lt;/h5&gt;&lt;h5&gt;&lt;b&gt;Duration &lt;/b&gt;10 min./level&lt;/h5&gt;&lt;h5&gt;&lt;b&gt;Saving Throw &lt;/b&gt;Will negates (harmless); &lt;b&gt;Spell Resistance &lt;/b&gt;yes (harmless)&lt;/h5&gt;&lt;/div&gt;&lt;hr/&gt;&lt;div&gt;&lt;h5&gt;&lt;b&gt;DESCRIPTION&lt;/b&gt;&lt;/h5&gt;&lt;/div&gt;&lt;hr/&gt;&lt;div&gt;&lt;h4&gt;&lt;p&gt;The warded creature is immune to the effects of one specified spell for every four levels you have. The spells must be of 4th level or lower. The warded creature effectively has unbeatable spell resistance regarding the specified spell or spells. Naturally, that immunity doesn't protect a creature from spells for which spell resistance doesn't apply. &lt;i&gt;Spell immunity&lt;/i&gt; protects against spells, spell-like effects of magic items, and innate spell-like abilities of creatures. It does not protect against supernatural or extraordinary abilities, such as breath weapons or gaze attacks.&lt;/p&gt;&lt;p&gt;Only a particular spell can be protected against, not a certain domain or school of spells or a group of spells that are similar in effect. A creature can have only one &lt;i&gt;spell immunity&lt;/i&gt; or greater &lt;i&gt;spell immunity&lt;/i&gt; spell in effect on it at a time.&lt;/p&gt;&lt;/h4&gt;&lt;/div&gt;</t>
  </si>
  <si>
    <t>Protection, Strength</t>
  </si>
  <si>
    <t> Subject is immune to one spell per 4 levels.</t>
  </si>
  <si>
    <t>Spell Immunity, Greater</t>
  </si>
  <si>
    <t>This spell functions like spell immunity, except the immunity applies to spells of 8th level or lower. A creature can have only one spell immunity or greater spell immunity spell in effect on it at a time.</t>
  </si>
  <si>
    <t>&lt;p&gt;This spell functions like &lt;i&gt;spell immunity&lt;/i&gt;, except the immunity applies to spells of 8th level or lower. A creature can have only one &lt;i&gt;spell immunity&lt;/i&gt; or &lt;i&gt;greater spell immunity&lt;/i&gt; spell in effect on it at a time.&lt;/p&gt;</t>
  </si>
  <si>
    <t>&lt;link rel="stylesheet"href="PF.css"&gt;&lt;div class="heading"&gt;&lt;p class="alignleft"&gt;Spell Immunity, Greater&lt;/p&gt;&lt;div style="clear: both;"&gt;&lt;/div&gt;&lt;/div&gt;&lt;div&gt;&lt;h5&gt;&lt;b&gt;School &lt;/b&gt;abjuration; &lt;b&gt;Level &lt;/b&gt;cleric 8/oracle 8&lt;/h5&gt;&lt;/div&gt;&lt;hr/&gt;&lt;div&gt;&lt;h5&gt;&lt;b&gt;CASTING&lt;/b&gt;&lt;/h5&gt;&lt;/div&gt;&lt;hr/&gt;&lt;div&gt;&lt;h5&gt;&lt;b&gt;Casting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 touched&lt;/h5&gt;&lt;h5&gt;&lt;b&gt;Duration &lt;/b&gt;10 min./level&lt;/h5&gt;&lt;h5&gt;&lt;b&gt;Saving Throw &lt;/b&gt;Will negates (harmless); &lt;b&gt;Spell Resistance &lt;/b&gt;yes (harmless)&lt;/h5&gt;&lt;/div&gt;&lt;hr/&gt;&lt;div&gt;&lt;h5&gt;&lt;b&gt;DESCRIPTION&lt;/b&gt;&lt;/h5&gt;&lt;/div&gt;&lt;hr/&gt;&lt;div&gt;&lt;h4&gt;&lt;p&gt;This spell functions like &lt;i&gt;spell immunity&lt;/i&gt;, except the immunity applies to spells of 8th level or lower. A creature can have only one &lt;i&gt;spell immunity&lt;/i&gt; or &lt;i&gt;greater spell immunity&lt;/i&gt; spell in effect on it at a time.&lt;/p&gt;&lt;/h4&gt;&lt;/div&gt;</t>
  </si>
  <si>
    <t> As spell immunity, but up to 8th-level spells.</t>
  </si>
  <si>
    <t>Spell Resistance</t>
  </si>
  <si>
    <t>cleric 5/oracle 5, alchemist 5, inquisitor 5</t>
  </si>
  <si>
    <t>The target gains spell resistance equal to 12 + your caster level.</t>
  </si>
  <si>
    <t>&lt;p&gt;The target gains spell resistance equal to 12 + your caster level.&lt;/p&gt;</t>
  </si>
  <si>
    <t>&lt;link rel="stylesheet"href="PF.css"&gt;&lt;div class="heading"&gt;&lt;p class="alignleft"&gt;Spell Resistance&lt;/p&gt;&lt;div style="clear: both;"&gt;&lt;/div&gt;&lt;/div&gt;&lt;div&gt;&lt;h5&gt;&lt;b&gt;School &lt;/b&gt;abjuration; &lt;b&gt;Level &lt;/b&gt;cleric 5/oracle 5, alchemist 5, inquisitor 5&lt;/h5&gt;&lt;/div&gt;&lt;hr/&gt;&lt;div&gt;&lt;h5&gt;&lt;b&gt;CASTING&lt;/b&gt;&lt;/h5&gt;&lt;/div&gt;&lt;hr/&gt;&lt;div&gt;&lt;h5&gt;&lt;b&gt;Casting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 touched&lt;/h5&gt;&lt;h5&gt;&lt;b&gt;Duration &lt;/b&gt;1 min./level&lt;/h5&gt;&lt;h5&gt;&lt;b&gt;Saving Throw &lt;/b&gt;Will negates (harmless); &lt;b&gt;Spell Resistance &lt;/b&gt;yes (harmless)&lt;/h5&gt;&lt;/div&gt;&lt;hr/&gt;&lt;div&gt;&lt;h5&gt;&lt;b&gt;DESCRIPTION&lt;/b&gt;&lt;/h5&gt;&lt;/div&gt;&lt;hr/&gt;&lt;div&gt;&lt;h4&gt;&lt;p&gt;The target gains spell resistance equal to 12 + your caster level.&lt;/p&gt;&lt;/h4&gt;&lt;/div&gt;</t>
  </si>
  <si>
    <t> Subject gains SR 12 + level.</t>
  </si>
  <si>
    <t>Spellstaff</t>
  </si>
  <si>
    <t>V, S, F (the staff that stores the spell)</t>
  </si>
  <si>
    <t>wooden quarterstaff touched</t>
  </si>
  <si>
    <t>You store one spell that you can normally cast in a wooden quarterstaff. Only one such spell can be stored in a staff at a given time, and you cannot have more than one spellstaff at any given time. You can cast a spell stored within a staff just as though it were among those you had prepared, but it does not count against your normal allotment for a given day. You use up any applicable material components required to cast the spell when you store it in the spellstaff.</t>
  </si>
  <si>
    <t>&lt;p&gt;You store one spell that you can normally cast in a wooden quarterstaff. Only one such spell can be stored in a staff at a given time, and you cannot have more than one &lt;i&gt;spellstaff&lt;/i&gt; at any given time. You can cast a spell stored within a staff just as though it were among those you had prepared, but it does not count against your normal allotment for a given day. You use up any applicable material components required to cast the spell when you store it in the &lt;i&gt;spellstaff&lt;/i&gt;.&lt;/p&gt;</t>
  </si>
  <si>
    <t>&lt;link rel="stylesheet"href="PF.css"&gt;&lt;div class="heading"&gt;&lt;p class="alignleft"&gt;Spellstaff&lt;/p&gt;&lt;div style="clear: both;"&gt;&lt;/div&gt;&lt;/div&gt;&lt;div&gt;&lt;h5&gt;&lt;b&gt;School &lt;/b&gt;transmutation; &lt;b&gt;Level &lt;/b&gt;druid 6&lt;/h5&gt;&lt;/div&gt;&lt;hr/&gt;&lt;div&gt;&lt;h5&gt;&lt;b&gt;CASTING&lt;/b&gt;&lt;/h5&gt;&lt;/div&gt;&lt;hr/&gt;&lt;div&gt;&lt;h5&gt;&lt;b&gt;Casting Time &lt;/b&gt;10 minutes&lt;/h5&gt;&lt;h5&gt;&lt;b&gt;Components &lt;/b&gt;V, S, F (the staff that stores the spell)&lt;/h5&gt;&lt;/div&gt;&lt;hr/&gt;&lt;div&gt;&lt;h5&gt;&lt;b&gt;EFFECT&lt;/b&gt;&lt;/h5&gt;&lt;/div&gt;&lt;hr/&gt;&lt;div&gt;&lt;h5&gt;&lt;b&gt;Range &lt;/b&gt;touch&lt;/h5&gt;&lt;h5&gt;&lt;b&gt;Targets &lt;/b&gt;wooden quarterstaff touched&lt;/h5&gt;&lt;h5&gt;&lt;b&gt;Duration &lt;/b&gt;permanent until discharged (D)&lt;/h5&gt;&lt;h5&gt;&lt;b&gt;Saving Throw &lt;/b&gt;Will negates (object); &lt;b&gt;Spell Resistance &lt;/b&gt;yes (object)&lt;/h5&gt;&lt;/div&gt;&lt;hr/&gt;&lt;div&gt;&lt;h5&gt;&lt;b&gt;DESCRIPTION&lt;/b&gt;&lt;/h5&gt;&lt;/div&gt;&lt;hr/&gt;&lt;div&gt;&lt;h4&gt;&lt;p&gt;You store one spell that you can normally cast in a wooden quarterstaff. Only one such spell can be stored in a staff at a given time, and you cannot have more than one &lt;i&gt;spellstaff&lt;/i&gt; at any given time. You can cast a spell stored within a staff just as though it were among those you had prepared, but it does not count against your normal allotment for a given day. You use up any applicable material components required to cast the spell when you store it in the &lt;i&gt;spellstaff&lt;/i&gt;.&lt;/p&gt;&lt;/h4&gt;&lt;/div&gt;</t>
  </si>
  <si>
    <t> Stores one spell in wooden quarterstaff.</t>
  </si>
  <si>
    <t>Spell Turning</t>
  </si>
  <si>
    <t>V, S, M/DF (a small silver mirror)</t>
  </si>
  <si>
    <t>until expended or 10 min./level</t>
  </si>
  <si>
    <t>Spells and spell-like effects targeted on you are turned back upon the original caster. The abjuration turns only spells that have you as a target. Effect and area spells are not affected. Spell turning also fails to stop touch range spells. From seven to ten (1d4+6) spell levels are affected by the turning. The exact number is rolled secretly. When you are targeted by a spell of higher level than the amount of spell turning you have left, that spell is partially turned. Subtract the amount of spell turning left from the spell level of the incoming spell, then divide the result by the spell level of the incoming spell to see what fraction of the effect gets through. For damaging spells, you and the caster each take a fraction of the damage. For nondamaging spells, each of you has a proportional chance to be the one who is affected. If you and a spellcasting attacker are both warded by spell turning effects in operation, a resonating field is created. Roll randomly to determine the result. d% Effect 01-70 Spell drains away without effect. 71-80 Spell affects both of you equally at full effect. 81-97 Both turning effects are rendered nonfunctional for 1d4 minutes. 98-100 Both of you go through a rift into another plane.</t>
  </si>
  <si>
    <t>&lt;p&gt;Spells and spell-like effects targeted on you are turned back upon the original caster. The abjuration turns only spells that have you as a target. Effect and area spells are not affected. &lt;i&gt;Spell turning&lt;/i&gt; also fails to stop touch range spells. From seven to ten (1d4+6) spell levels are affected by the turning. The exact number is rolled secretly.&lt;/p&gt;&lt;p&gt;When you are targeted by a spell of higher level than the amount of &lt;i&gt;spell turning&lt;/i&gt; you have left, that spell is partially turned. Subtract the amount of &lt;i&gt;spell turning&lt;/i&gt; left from the spell level of the incoming spell, then divide the result by the spell level of the incoming spell to see what fraction of the effect gets through. For damaging spells, you and the caster each take a fraction of the damage. For nondamaging spells, each of you has a proportional chance to be the one who is affected. If you and a spellcasting attacker are both warded by &lt;i&gt;spell turning&lt;/i&gt; effects in operation, a resonating field is created. Roll randomly to determine the result.&lt;/p&gt;&lt;p&gt; &lt;table&gt;&lt;tr&gt;&lt;th&gt;d%&lt;/th&gt;&lt;th&gt;Effect&lt;/th&gt;&lt;/tr&gt;&lt;tr&gt;&lt;td&gt;01-70&lt;/td&gt;&lt;td&gt;Spell drains away without effect.&lt;/td&gt;&lt;/tr&gt;&lt;tr&gt;&lt;td&gt;71-80&lt;/td&gt;&lt;td&gt;Spell affects both of you equally at full effect.&lt;/td&gt;&lt;/tr&gt;&lt;tr&gt;&lt;td&gt;81-97&lt;/td&gt;&lt;td&gt;Both turning effects are rendered nonfunctional for 1d4 minutes.&lt;/td&gt;&lt;/tr&gt;&lt;tr&gt;&lt;td&gt;98-100&lt;/td&gt;&lt;td&gt;Both of you go through a rift into another plane.&lt;/td&gt;&lt;/tr&gt;&lt;/table&gt; &lt;/p&gt;</t>
  </si>
  <si>
    <t>&lt;link rel="stylesheet"href="PF.css"&gt;&lt;div class="heading"&gt;&lt;p class="alignleft"&gt;Spell Turning&lt;/p&gt;&lt;div style="clear: both;"&gt;&lt;/div&gt;&lt;/div&gt;&lt;div&gt;&lt;h5&gt;&lt;b&gt;School &lt;/b&gt;abjuration; &lt;b&gt;Level &lt;/b&gt;sorcerer/wizard 7, summoner 5&lt;/h5&gt;&lt;/div&gt;&lt;hr/&gt;&lt;div&gt;&lt;h5&gt;&lt;b&gt;CASTING&lt;/b&gt;&lt;/h5&gt;&lt;/div&gt;&lt;hr/&gt;&lt;div&gt;&lt;h5&gt;&lt;b&gt;Casting Time &lt;/b&gt;1 standard action&lt;/h5&gt;&lt;h5&gt;&lt;b&gt;Components &lt;/b&gt;V, S, M/DF (a small silver mirror)&lt;/h5&gt;&lt;/div&gt;&lt;hr/&gt;&lt;div&gt;&lt;h5&gt;&lt;b&gt;EFFECT&lt;/b&gt;&lt;/h5&gt;&lt;/div&gt;&lt;hr/&gt;&lt;div&gt;&lt;h5&gt;&lt;b&gt;Range &lt;/b&gt;personal&lt;/h5&gt;&lt;h5&gt;&lt;b&gt;Targets &lt;/b&gt;you&lt;/h5&gt;&lt;h5&gt;&lt;b&gt;Duration &lt;/b&gt;until expended or 10 min./level&lt;/h5&gt;&lt;/div&gt;&lt;hr/&gt;&lt;div&gt;&lt;h5&gt;&lt;b&gt;DESCRIPTION&lt;/b&gt;&lt;/h5&gt;&lt;/div&gt;&lt;hr/&gt;&lt;div&gt;&lt;h4&gt;&lt;p&gt;Spells and spell-like effects targeted on you are turned back upon the original caster. The abjuration turns only spells that have you as a target. Effect and area spells are not affected. &lt;i&gt;Spell turning&lt;/i&gt; also fails to stop touch range spells. From seven to ten (1d4+6) spell levels are affected by the turning. The exact number is rolled secretly.&lt;/p&gt;&lt;p&gt;When you are targeted by a spell of higher level than the amount of &lt;i&gt;spell turning&lt;/i&gt; you have left, that spell is partially turned. Subtract the amount of &lt;i&gt;spell turning&lt;/i&gt; left from the spell level of the incoming spell, then divide the result by the spell level of the incoming spell to see what fraction of the effect gets through. For damaging spells, you and the caster each take a fraction of the damage. For nondamaging spells, each of you has a proportional chance to be the one who is affected. If you and a spellcasting attacker are both warded by &lt;i&gt;spell turning&lt;/i&gt; effects in operation, a resonating field is created. Roll randomly to determine the result.&lt;/p&gt;&lt;p&gt; &lt;table&gt;&lt;tr&gt;&lt;th&gt;d%&lt;/th&gt;&lt;th&gt;Effect&lt;/th&gt;&lt;/tr&gt;&lt;tr&gt;&lt;td&gt;01-70&lt;/td&gt;&lt;td&gt;Spell drains away without effect.&lt;/td&gt;&lt;/tr&gt;&lt;tr&gt;&lt;td&gt;71-80&lt;/td&gt;&lt;td&gt;Spell affects both of you equally at full effect.&lt;/td&gt;&lt;/tr&gt;&lt;tr&gt;&lt;td&gt;81-97&lt;/td&gt;&lt;td&gt;Both turning effects are rendered nonfunctional for 1d4 minutes.&lt;/td&gt;&lt;/tr&gt;&lt;tr&gt;&lt;td&gt;98-100&lt;/td&gt;&lt;td&gt;Both of you go through a rift into another plane.&lt;/td&gt;&lt;/tr&gt;&lt;/table&gt; &lt;/p&gt;&lt;/h4&gt;&lt;/div&gt;</t>
  </si>
  <si>
    <t>Luck, Magic</t>
  </si>
  <si>
    <t> Reflect 1d4+6 spell levels back at caster.</t>
  </si>
  <si>
    <t>Spider Climb</t>
  </si>
  <si>
    <t>druid 2, sorcerer/wizard 2, alchemist 2, summoner 2, magus 2</t>
  </si>
  <si>
    <t>V, S, M (a live spider)</t>
  </si>
  <si>
    <t>The subject can climb and travel on vertical surfaces or even traverse ceilings as well as a spider does. The affected creature must have its hands free to climb in this manner. The subject gains a climb speed of 20 feet and a +8 racial bonus on Climb skill checks; furthermore, it need not make Climb checks to traverse a vertical or horizontal surface (even upside down). A spider climbing creature retains its Dexterity bonus to Armor Class (if any) while climbing, and opponents get no special bonus to their attacks against it. It cannot, however, use the run action while climbing.</t>
  </si>
  <si>
    <t>&lt;p&gt;The subject can climb and travel on vertical surfaces or even traverse ceilings as well as a spider does. The affected creature must have its hands free to climb in this manner. The subject gains a climb speed of 20 feet and a +8 racial bonus on Climb skill checks; furthermore, it need not make Climb checks to traverse a vertical or horizontal surface (even upside down). A &lt;i&gt;spider climbing&lt;/i&gt; creature retains its Dexterity bonus to Armor Class (if any) while climbing, and opponents get no special bonus to their attacks against it. It cannot, however, use the run action while climbing.&lt;/p&gt;</t>
  </si>
  <si>
    <t>&lt;link rel="stylesheet"href="PF.css"&gt;&lt;div class="heading"&gt;&lt;p class="alignleft"&gt;Spider Climb&lt;/p&gt;&lt;div style="clear: both;"&gt;&lt;/div&gt;&lt;/div&gt;&lt;div&gt;&lt;h5&gt;&lt;b&gt;School &lt;/b&gt;transmutation; &lt;b&gt;Level &lt;/b&gt;druid 2, sorcerer/wizard 2, alchemist 2, summoner 2, magus 2&lt;/h5&gt;&lt;/div&gt;&lt;hr/&gt;&lt;div&gt;&lt;h5&gt;&lt;b&gt;CASTING&lt;/b&gt;&lt;/h5&gt;&lt;/div&gt;&lt;hr/&gt;&lt;div&gt;&lt;h5&gt;&lt;b&gt;Casting Time &lt;/b&gt;1 standard action&lt;/h5&gt;&lt;h5&gt;&lt;b&gt;Components &lt;/b&gt;V, S, M (a live spider)&lt;/h5&gt;&lt;/div&gt;&lt;hr/&gt;&lt;div&gt;&lt;h5&gt;&lt;b&gt;EFFECT&lt;/b&gt;&lt;/h5&gt;&lt;/div&gt;&lt;hr/&gt;&lt;div&gt;&lt;h5&gt;&lt;b&gt;Range &lt;/b&gt;touch&lt;/h5&gt;&lt;h5&gt;&lt;b&gt;Targets &lt;/b&gt;creature touched&lt;/h5&gt;&lt;h5&gt;&lt;b&gt;Duration &lt;/b&gt;10 min./level&lt;/h5&gt;&lt;h5&gt;&lt;b&gt;Saving Throw &lt;/b&gt;Will negates (harmless); &lt;b&gt;Spell Resistance &lt;/b&gt;yes (harmless)&lt;/h5&gt;&lt;/div&gt;&lt;hr/&gt;&lt;div&gt;&lt;h5&gt;&lt;b&gt;DESCRIPTION&lt;/b&gt;&lt;/h5&gt;&lt;/div&gt;&lt;hr/&gt;&lt;div&gt;&lt;h4&gt;&lt;p&gt;The subject can climb and travel on vertical surfaces or even traverse ceilings as well as a spider does. The affected creature must have its hands free to climb in this manner. The subject gains a climb speed of 20 feet and a +8 racial bonus on Climb skill checks; furthermore, it need not make Climb checks to traverse a vertical or horizontal surface (even upside down). A &lt;i&gt;spider climbing&lt;/i&gt; creature retains its Dexterity bonus to Armor Class (if any) while climbing, and opponents get no special bonus to their attacks against it. It cannot, however, use the run action while climbing.&lt;/p&gt;&lt;/h4&gt;&lt;h5&gt;&lt;b&gt;Mythic: &lt;/b&gt;The target gains a climb speed equal to its base land speed or 30 feet, whichever is higher. The target can take the run action while climbing and needs only one hand free to climb. The target can move freely across spider webs (including giant spider webs), web spells, and similar adhesives of 2nd level or less (including tanglefoot bags) as if it were using freedom of movement.&lt;/h5&gt;&lt;/div&gt;</t>
  </si>
  <si>
    <t>Grants ability to walk on walls and ceilings.</t>
  </si>
  <si>
    <t>The target gains a climb speed equal to its base land speed or 30 feet, whichever is higher. The target can take the run action while climbing and needs only one hand free to climb. The target can move freely across spider webs (including giant spider webs), web spells, and similar adhesives of 2nd level or less (including tanglefoot bags) as if it were using freedom of movement.</t>
  </si>
  <si>
    <t>Spike Growth</t>
  </si>
  <si>
    <t>one 20-ft. square/level</t>
  </si>
  <si>
    <t>Reflex partial</t>
  </si>
  <si>
    <t>Any ground-covering vegetation in the spell's area becomes very hard and sharply pointed without changing its appearance. In areas of bare earth, roots and rootlets act in the same way. Typically, spike growth can be cast in any outdoor setting except open water, ice, heavy snow, sandy desert, or bare stone. Any creature moving on foot into or through the spell's area takes 1d4 points of piercing damage for each 5 feet of movement through the spiked area. Any creature that takes damage from this spell must also succeed on a Reflex save or suffer injuries to its feet and legs that slow its land speed by half. This speed penalty lasts for 24 hours or until the injured creature receives a cure spell (which also restores lost hit points). Another character can remove the penalty by taking 10 minutes to dress the injuries and succeeding on a Heal check against the spell's save DC. Magic traps are hard to detect. A rogue (only) can use the Perception skill to find a spike growth. The DC is 25 + spell level, or DC 28 for spike growth (or DC 27 for spike growth cast by a ranger). Spike growth can't be disabled with the Disable Device skill.</t>
  </si>
  <si>
    <t>&lt;p&gt;Any ground-covering vegetation in the spell's area becomes very hard and sharply pointed without changing its appearance.&lt;/p&gt;&lt;p&gt;In areas of bare earth, roots and rootlets act in the same way.&lt;/p&gt;&lt;p&gt;Typically, &lt;i&gt;spike growth&lt;/i&gt; can be cast in any outdoor setting except open water, ice, heavy snow, sandy desert, or bare stone. Any creature moving on foot into or through the spell's area takes 1d4 points of piercing damage for each 5 feet of movement through the spiked area.&lt;/p&gt;&lt;p&gt;Any creature that takes damage from this spell must also succeed on a Reflex save or suffer injuries to its feet and legs that slow its land speed by half. This speed penalty lasts for 24 hours or until the injured creature receives a &lt;i&gt;cure&lt;/i&gt; spell (which also restores lost hit points). Another character can remove the penalty by taking 10 minutes to dress the injuries and succeeding on a Heal check against the spell's save DC.&lt;/p&gt;&lt;p&gt;Magic traps are hard to detect. A rogue (only) can use the Perception skill to find a &lt;i&gt;spike growth&lt;/i&gt;. The DC is 25 + spell level, or DC 28 for &lt;i&gt;spike growth&lt;/i&gt; (or DC 27 for &lt;i&gt;spike growth&lt;/i&gt; cast by a ranger).&lt;/p&gt;&lt;p&gt;&lt;i&gt;Spike growth&lt;/i&gt; can't be disabled with the Disable Device skill.&lt;/p&gt;</t>
  </si>
  <si>
    <t>&lt;link rel="stylesheet"href="PF.css"&gt;&lt;div class="heading"&gt;&lt;p class="alignleft"&gt;Spike Growth&lt;/p&gt;&lt;div style="clear: both;"&gt;&lt;/div&gt;&lt;/div&gt;&lt;div&gt;&lt;h5&gt;&lt;b&gt;School &lt;/b&gt;transmutation; &lt;b&gt;Level &lt;/b&gt;druid 3, ranger 2&lt;/h5&gt;&lt;/div&gt;&lt;hr/&gt;&lt;div&gt;&lt;h5&gt;&lt;b&gt;CASTING&lt;/b&gt;&lt;/h5&gt;&lt;/div&gt;&lt;hr/&gt;&lt;div&gt;&lt;h5&gt;&lt;b&gt;Casting Time &lt;/b&gt;1 standard action&lt;/h5&gt;&lt;h5&gt;&lt;b&gt;Components &lt;/b&gt;V, S, DF&lt;/h5&gt;&lt;/div&gt;&lt;hr/&gt;&lt;div&gt;&lt;h5&gt;&lt;b&gt;EFFECT&lt;/b&gt;&lt;/h5&gt;&lt;/div&gt;&lt;hr/&gt;&lt;div&gt;&lt;h5&gt;&lt;b&gt;Range &lt;/b&gt;medium (100 ft. + 10 ft./level)&lt;/h5&gt;&lt;h5&gt;&lt;b&gt;Area &lt;/b&gt;one 20-ft. square/level&lt;/h5&gt;&lt;h5&gt;&lt;b&gt;Duration &lt;/b&gt;1 hour/level (D)&lt;/h5&gt;&lt;h5&gt;&lt;b&gt;Saving Throw &lt;/b&gt;Reflex partial; &lt;b&gt;Spell Resistance &lt;/b&gt;yes&lt;/h5&gt;&lt;/div&gt;&lt;hr/&gt;&lt;div&gt;&lt;h5&gt;&lt;b&gt;DESCRIPTION&lt;/b&gt;&lt;/h5&gt;&lt;/div&gt;&lt;hr/&gt;&lt;div&gt;&lt;h4&gt;&lt;p&gt;Any ground-covering vegetation in the spell's area becomes very hard and sharply pointed without changing its appearance.&lt;/p&gt;&lt;p&gt;In areas of bare earth, roots and rootlets act in the same way.&lt;/p&gt;&lt;p&gt;Typically, &lt;i&gt;spike growth&lt;/i&gt; can be cast in any outdoor setting except open water, ice, heavy snow, sandy desert, or bare stone. Any creature moving on foot into or through the spell's area takes 1d4 points of piercing damage for each 5 feet of movement through the spiked area.&lt;/p&gt;&lt;p&gt;Any creature that takes damage from this spell must also succeed on a Reflex save or suffer injuries to its feet and legs that slow its land speed by half. This speed penalty lasts for 24 hours or until the injured creature receives a &lt;i&gt;cure&lt;/i&gt; spell (which also restores lost hit points). Another character can remove the penalty by taking 10 minutes to dress the injuries and succeeding on a Heal check against the spell's save DC.&lt;/p&gt;&lt;p&gt;Magic traps are hard to detect. A rogue (only) can use the Perception skill to find a &lt;i&gt;spike growth&lt;/i&gt;. The DC is 25 + spell level, or DC 28 for &lt;i&gt;spike growth&lt;/i&gt; (or DC 27 for &lt;i&gt;spike growth&lt;/i&gt; cast by a ranger).&lt;/p&gt;&lt;p&gt;&lt;i&gt;Spike growth&lt;/i&gt; can't be disabled with the Disable Device skill.&lt;/p&gt;&lt;/h4&gt;&lt;/div&gt;</t>
  </si>
  <si>
    <t>Creatures in area take 1d4 damage, may be slowed.</t>
  </si>
  <si>
    <t>Spike Stones</t>
  </si>
  <si>
    <t>Rocky ground, stone floors, and similar surfaces shape themselves into long, sharp points that blend into the background. Spike stones impede progress through an area and deal damage. Any creature moving on foot into or through the spell's area moves at half speed. In addition, each creature moving through the area takes 1d8 points of piercing damage for each 5 feet of movement through the spiked area. Any creature that takes damage from this spell must also succeed on a Reflex save to avoid injuries to its feet and legs. A failed save causes the creature's speed to be reduced to half normal for 24 hours or until the injured creature receives a cure spell (which also restores lost hit points). Another character can remove the penalty by taking 10 minutes to dress the injuries and succeeding on a Heal check against the spell's save DC. Magic traps such as spike stones are hard to detect. A character with trapfinding can use the Perception skill to find spike stones. The DC is 25 + spell level, or DC 29 for spike stones. Spike stones is a magic trap that can't be disabled with the Disable Device skill.</t>
  </si>
  <si>
    <t>&lt;p&gt;Rocky ground, stone floors, and similar surfaces shape themselves into long, sharp points that blend into the background.&lt;/p&gt;&lt;p&gt;&lt;i&gt;Spike stones&lt;/i&gt; impede progress through an area and deal damage.&lt;/p&gt;&lt;p&gt;Any creature moving on foot into or through the spell's area moves at half speed. In addition, each creature moving through the area takes 1d8 points of piercing damage for each 5 feet of movement through the spiked area.&lt;/p&gt;&lt;p&gt;Any creature that takes damage from this spell must also succeed on a Reflex save to avoid injuries to its feet and legs. A failed save causes the creature's speed to be reduced to half normal for 24 hours or until the injured creature receives a &lt;i&gt;cure&lt;/i&gt; spell (which also restores lost hit points). Another character can remove the penalty by taking 10 minutes to dress the injuries and succeeding on a Heal check against the spell's save DC.&lt;/p&gt;&lt;p&gt;Magic traps such as &lt;i&gt;spike stones&lt;/i&gt; are hard to detect. A character with trapfinding can use the Perception skill to find &lt;i&gt;spike stones&lt;/i&gt;.&lt;/p&gt;&lt;p&gt;The DC is 25 + spell level, or DC 29 for &lt;i&gt;spike stones&lt;/i&gt;. &lt;i&gt;Spike stones&lt;/i&gt; is a magic trap that can't be disabled with the Disable Device skill.&lt;/p&gt;</t>
  </si>
  <si>
    <t>&lt;link rel="stylesheet"href="PF.css"&gt;&lt;div class="heading"&gt;&lt;p class="alignleft"&gt;Spike Stones&lt;/p&gt;&lt;div style="clear: both;"&gt;&lt;/div&gt;&lt;/div&gt;&lt;div&gt;&lt;h5&gt;&lt;b&gt;School &lt;/b&gt;transmutation [earth]; &lt;b&gt;Level &lt;/b&gt;druid 4&lt;/h5&gt;&lt;/div&gt;&lt;hr/&gt;&lt;div&gt;&lt;h5&gt;&lt;b&gt;CASTING&lt;/b&gt;&lt;/h5&gt;&lt;/div&gt;&lt;hr/&gt;&lt;div&gt;&lt;h5&gt;&lt;b&gt;Casting Time &lt;/b&gt;1 standard action&lt;/h5&gt;&lt;h5&gt;&lt;b&gt;Components &lt;/b&gt;V, S, DF&lt;/h5&gt;&lt;/div&gt;&lt;hr/&gt;&lt;div&gt;&lt;h5&gt;&lt;b&gt;EFFECT&lt;/b&gt;&lt;/h5&gt;&lt;/div&gt;&lt;hr/&gt;&lt;div&gt;&lt;h5&gt;&lt;b&gt;Range &lt;/b&gt;medium (100 ft. + 10 ft./level)&lt;/h5&gt;&lt;h5&gt;&lt;b&gt;Area &lt;/b&gt;one 20-ft. square/level&lt;/h5&gt;&lt;h5&gt;&lt;b&gt;Duration &lt;/b&gt;1 hour/level (D)&lt;/h5&gt;&lt;h5&gt;&lt;b&gt;Saving Throw &lt;/b&gt;Reflex partial; &lt;b&gt;Spell Resistance &lt;/b&gt;yes&lt;/h5&gt;&lt;/div&gt;&lt;hr/&gt;&lt;div&gt;&lt;h5&gt;&lt;b&gt;DESCRIPTION&lt;/b&gt;&lt;/h5&gt;&lt;/div&gt;&lt;hr/&gt;&lt;div&gt;&lt;h4&gt;&lt;p&gt;Rocky ground, stone floors, and similar surfaces shape themselves into long, sharp points that blend into the background.&lt;/p&gt;&lt;p&gt;&lt;i&gt;Spike stones&lt;/i&gt; impede progress through an area and deal damage.&lt;/p&gt;&lt;p&gt;Any creature moving on foot into or through the spell's area moves at half speed. In addition, each creature moving through the area takes 1d8 points of piercing damage for each 5 feet of movement through the spiked area.&lt;/p&gt;&lt;p&gt;Any creature that takes damage from this spell must also succeed on a Reflex save to avoid injuries to its feet and legs. A failed save causes the creature's speed to be reduced to half normal for 24 hours or until the injured creature receives a &lt;i&gt;cure&lt;/i&gt; spell (which also restores lost hit points). Another character can remove the penalty by taking 10 minutes to dress the injuries and succeeding on a Heal check against the spell's save DC.&lt;/p&gt;&lt;p&gt;Magic traps such as &lt;i&gt;spike stones&lt;/i&gt; are hard to detect. A character with trapfinding can use the Perception skill to find &lt;i&gt;spike stones&lt;/i&gt;.&lt;/p&gt;&lt;p&gt;The DC is 25 + spell level, or DC 29 for &lt;i&gt;spike stones&lt;/i&gt;. &lt;i&gt;Spike stones&lt;/i&gt; is a magic trap that can't be disabled with the Disable Device skill.&lt;/p&gt;&lt;/h4&gt;&lt;h5&gt;&lt;b&gt;Mythic: &lt;/b&gt;The damage dealt increases to 2d6 points of piercing damage plus 1 point of bleed damage. Add your tier to the DC to detect the magical trap.&lt;/h5&gt;&lt;/div&gt;</t>
  </si>
  <si>
    <t> Creatures in area take 1d8 damage, may also be slowed.</t>
  </si>
  <si>
    <t>The damage dealt increases to 2d6 points of piercing damage plus 1 point of bleed damage. Add your tier to the DC to detect the magical trap.</t>
  </si>
  <si>
    <t>Spiritual Weapon</t>
  </si>
  <si>
    <t>magic weapon of force</t>
  </si>
  <si>
    <t>A weapon made of force appears and attacks foes at a distance, as you direct it, dealing 1d8 force damage per hit, + 1 point per three caster levels (maximum +5 at 15th level). The weapon takes the shape of a weapon favored by your deity or a weapon with some spiritual significance or symbolism to you (see below) and has the same threat range and critical multipliers as a real weapon of its form. It strikes the opponent you designate, starting with one attack in the round the spell is cast and continuing each round thereafter on your turn. It uses your base attack bonus (possibly allowing it multiple attacks per round in subsequent rounds) plus your Wisdom modifier as its attack bonus. It strikes as a spell, not as a weapon, so for example, it can damage creatures that have damage reduction. As a force effect, it can strike incorporeal creatures without the reduction in damage associated with incorporeality. The weapon always strikes from your direction. It does not get a flanking bonus or help a combatant get one. Your feats or combat actions do not affect the weapon. If the weapon goes beyond the spell range, if it goes out of your sight, or if you are not directing it, the weapon returns to you and hovers. Each round after the first, you can use a move action to redirect the weapon to a new target. If you do not, the weapon continues to attack the previous round's target. On any round that the weapon switches targets, it gets one attack. Subsequent rounds of attacking that target allow the weapon to make multiple attacks if your base attack bonus would allow it to. Even if the spiritual weapon is a ranged weapon, use the spell's range, not the weapon's normal range increment, and switching targets still is a move action. A spiritual weapon cannot be attacked or harmed by physical attacks, but dispel magic, disintegrate, a sphere of annihilation, or a rod of cancellation affects it. A spiritual weapon's AC against touch attacks is 12 (10 + size bonus for Tiny object). If an attacked creature has spell resistance, you make a caster level check (1d20 + caster level) against that spell resistance the first time the spiritual weapon strikes it. If the weapon is successfully resisted, the spell is dispelled. If not, the weapon has its normal full effect on that creature for the duration of the spell. The weapon that you get is often a force replica of your deity's own personal weapon. A cleric without a deity gets a weapon based on his alignment. A neutral cleric without a deity can create a spiritual weapon of any alignment, provided he is acting at least generally in accord with that alignment at the time. The weapons associated with each alignment are as follows: chaos (battleaxe), evil (light flail), good (warhammer), law (longsword).</t>
  </si>
  <si>
    <t>&lt;p&gt;A weapon made of force appears and attacks foes at a distance, as you direct it, dealing 1d8 force damage per hit, + 1 point per three caster levels (maximum +5 at 15th level). The weapon takes the shape of a weapon favored by your deity or a weapon with some &lt;i&gt;spiritual&lt;/i&gt; significance or symbolism to you (see below) and has the same threat range and critical multipliers as a real weapon of its form. It strikes the opponent you designate, starting with one attack in the round the spell is cast and continuing each round thereafter on your turn. It uses your base attack bonus (possibly allowing it multiple attacks per round in subsequent rounds) plus your Wisdom modifier as its attack bonus. It strikes as a spell, not as a weapon, so for example, it can damage creatures that have damage reduction. As a force effect, it can strike incorporeal creatures without the reduction in damage associated with incorporeality. The weapon always strikes from your direction. It does not get a flanking bonus or help a combatant get one. Your feats or combat actions do not affect the weapon. If the weapon goes beyond the spell range, if it goes out of your sight, or if you are not directing it, the weapon returns to you and hovers.&lt;/p&gt;&lt;p&gt;Each round after the first, you can use a move action to redirect the weapon to a new target. If you do not, the weapon continues to attack the previous round's target. On any round that the weapon switches targets, it gets one attack. Subsequent rounds of attacking that target allow the weapon to make multiple attacks if your base attack bonus would allow it to. Even if the &lt;i&gt;&lt;i&gt;spiritual&lt;/i&gt; weapon&lt;/i&gt; is a ranged weapon, use the spell's range, not the weapon's normal range increment, and switching targets still is a move action.&lt;/p&gt;&lt;p&gt;A &lt;i&gt;&lt;i&gt;spiritual&lt;/i&gt; weapon&lt;/i&gt; cannot be attacked or harmed by physical attacks, but &lt;i&gt;dispel magic&lt;/i&gt;, &lt;i&gt;disintegrate&lt;/i&gt;, a &lt;i&gt;sphere of annihilation&lt;/i&gt;, or a &lt;i&gt;rod of cancellation&lt;/i&gt; affects it. A &lt;i&gt;&lt;i&gt;spiritual&lt;/i&gt; weapon&lt;/i&gt;'s AC against touch attacks is 12 (10 + size bonus for Tiny object).&lt;/p&gt;&lt;p&gt;If an attacked creature has spell resistance, you make a caster level check (1d20 + caster level) against that spell resistance the first time the &lt;i&gt;&lt;i&gt;spiritual&lt;/i&gt; weapon&lt;/i&gt; strikes it. If the weapon is successfully resisted, the spell is dispelled. If not, the weapon has its normal full effect on that creature for the duration of the spell.&lt;/p&gt;&lt;p&gt;The weapon that you get is often a force replica of your deity's own personal weapon. A cleric without a deity gets a weapon based on his alignment. A neutral cleric without a deity can create a &lt;i&gt;&lt;i&gt;spiritual&lt;/i&gt; weapon&lt;/i&gt; of any alignment, provided he is acting at least generally in accord with that alignment at the time. The weapons associated with each alignment are as follows: chaos (battleaxe), evil (light flail), good (warhammer), law (longsword).&lt;/p&gt;</t>
  </si>
  <si>
    <t>&lt;link rel="stylesheet"href="PF.css"&gt;&lt;div class="heading"&gt;&lt;p class="alignleft"&gt;Spiritual Weapon&lt;/p&gt;&lt;div style="clear: both;"&gt;&lt;/div&gt;&lt;/div&gt;&lt;div&gt;&lt;h5&gt;&lt;b&gt;School &lt;/b&gt;evocation [force]; &lt;b&gt;Level &lt;/b&gt;cleric/oracle 2, inquisitor 2&lt;/h5&gt;&lt;/div&gt;&lt;hr/&gt;&lt;div&gt;&lt;h5&gt;&lt;b&gt;CASTING&lt;/b&gt;&lt;/h5&gt;&lt;/div&gt;&lt;hr/&gt;&lt;div&gt;&lt;h5&gt;&lt;b&gt;Casting Time &lt;/b&gt;1 standard action&lt;/h5&gt;&lt;h5&gt;&lt;b&gt;Components &lt;/b&gt;V, S, DF&lt;/h5&gt;&lt;/div&gt;&lt;hr/&gt;&lt;div&gt;&lt;h5&gt;&lt;b&gt;EFFECT&lt;/b&gt;&lt;/h5&gt;&lt;/div&gt;&lt;hr/&gt;&lt;div&gt;&lt;h5&gt;&lt;b&gt;Range &lt;/b&gt;medium (100 ft. + 10 ft./level)&lt;/h5&gt;&lt;h5&gt;&lt;b&gt;Effect &lt;/b&gt;magic weapon of force&lt;/h5&gt;&lt;h5&gt;&lt;b&gt;Duration &lt;/b&gt;1 round/level (D)&lt;/h5&gt;&lt;h5&gt;&lt;b&gt;Saving Throw &lt;/b&gt;none; &lt;b&gt;Spell Resistance &lt;/b&gt;yes&lt;/h5&gt;&lt;/div&gt;&lt;hr/&gt;&lt;div&gt;&lt;h5&gt;&lt;b&gt;DESCRIPTION&lt;/b&gt;&lt;/h5&gt;&lt;/div&gt;&lt;hr/&gt;&lt;div&gt;&lt;h4&gt;&lt;p&gt;A weapon made of force appears and attacks foes at a distance, as you direct it, dealing 1d8 force damage per hit, + 1 point per three caster levels (maximum +5 at 15th level). The weapon takes the shape of a weapon favored by your deity or a weapon with some &lt;i&gt;spiritual&lt;/i&gt; significance or symbolism to you (see below) and has the same threat range and critical multipliers as a real weapon of its form. It strikes the opponent you designate, starting with one attack in the round the spell is cast and continuing each round thereafter on your turn. It uses your base attack bonus (possibly allowing it multiple attacks per round in subsequent rounds) plus your Wisdom modifier as its attack bonus. It strikes as a spell, not as a weapon, so for example, it can damage creatures that have damage reduction. As a force effect, it can strike incorporeal creatures without the reduction in damage associated with incorporeality. The weapon always strikes from your direction. It does not get a flanking bonus or help a combatant get one. Your feats or combat actions do not affect the weapon. If the weapon goes beyond the spell range, if it goes out of your sight, or if you are not directing it, the weapon returns to you and hovers.&lt;/p&gt;&lt;p&gt;Each round after the first, you can use a move action to redirect the weapon to a new target. If you do not, the weapon continues to attack the previous round's target. On any round that the weapon switches targets, it gets one attack. Subsequent rounds of attacking that target allow the weapon to make multiple attacks if your base attack bonus would allow it to. Even if the &lt;i&gt;&lt;i&gt;spiritual&lt;/i&gt; weapon&lt;/i&gt; is a ranged weapon, use the spell's range, not the weapon's normal range increment, and switching targets still is a move action.&lt;/p&gt;&lt;p&gt;A &lt;i&gt;&lt;i&gt;spiritual&lt;/i&gt; weapon&lt;/i&gt; cannot be attacked or harmed by physical attacks, but &lt;i&gt;dispel magic&lt;/i&gt;, &lt;i&gt;disintegrate&lt;/i&gt;, a &lt;i&gt;sphere of annihilation&lt;/i&gt;, or a &lt;i&gt;rod of cancellation&lt;/i&gt; affects it. A &lt;i&gt;&lt;i&gt;spiritual&lt;/i&gt; weapon&lt;/i&gt;'s AC against touch attacks is 12 (10 + size bonus for Tiny object).&lt;/p&gt;&lt;p&gt;If an attacked creature has spell resistance, you make a caster level check (1d20 + caster level) against that spell resistance the first time the &lt;i&gt;&lt;i&gt;spiritual&lt;/i&gt; weapon&lt;/i&gt; strikes it. If the weapon is successfully resisted, the spell is dispelled. If not, the weapon has its normal full effect on that creature for the duration of the spell.&lt;/p&gt;&lt;p&gt;The weapon that you get is often a force replica of your deity's own personal weapon. A cleric without a deity gets a weapon based on his alignment. A neutral cleric without a deity can create a &lt;i&gt;&lt;i&gt;spiritual&lt;/i&gt; weapon&lt;/i&gt; of any alignment, provided he is acting at least generally in accord with that alignment at the time. The weapons associated with each alignment are as follows: chaos (battleaxe), evil (light flail), good (warhammer), law (longsword).&lt;/p&gt;&lt;/h4&gt;&lt;h5&gt;&lt;b&gt;Mythic: &lt;/b&gt;The weapon gains your choice of one of the following magic weapon special abilities: flaming, frost, keen, merciful, shock, or thundering. Before or after the weapon attempts all of its attacks for the round, you can redirect it to a different target as a swift action instead of a move action.&lt;/h5&gt;&lt;/div&gt;</t>
  </si>
  <si>
    <t> Magic weapon attacks on its own.</t>
  </si>
  <si>
    <t>The weapon gains your choice of one of the following magic weapon special abilities: flaming, frost, keen, merciful, shock, or thundering. Before or after the weapon attempts all of its attacks for the round, you can redirect it to a different target as a swift action instead of a move action.</t>
  </si>
  <si>
    <t>Stabilize</t>
  </si>
  <si>
    <t>cleric 0/oracle 0, druid 0, witch 0, inquisitor 0</t>
  </si>
  <si>
    <t>Upon casting this spell, you target a living creature that has -1 or fewer hit points. That creature is automatically stabilized and does not lose any further hit points. If the creature later takes damage, it continues dying normally.</t>
  </si>
  <si>
    <t>&lt;p&gt;Upon casting this spell, you target a living creature that has -1 or fewer hit points. That creature is automatically stabilized and does not lose any further hit points. If the creature later takes damage, it continues dying normally.&lt;/p&gt;</t>
  </si>
  <si>
    <t>&lt;link rel="stylesheet"href="PF.css"&gt;&lt;div class="heading"&gt;&lt;p class="alignleft"&gt;Stabilize&lt;/p&gt;&lt;div style="clear: both;"&gt;&lt;/div&gt;&lt;/div&gt;&lt;div&gt;&lt;h5&gt;&lt;b&gt;School &lt;/b&gt;conjuration (healing); &lt;b&gt;Level &lt;/b&gt;cleric 0/oracle 0, druid 0, witch 0, inquisitor 0&lt;/h5&gt;&lt;/div&gt;&lt;hr/&gt;&lt;div&gt;&lt;h5&gt;&lt;b&gt;CASTING&lt;/b&gt;&lt;/h5&gt;&lt;/div&gt;&lt;hr/&gt;&lt;div&gt;&lt;h5&gt;&lt;b&gt;Casting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living creature&lt;/h5&gt;&lt;h5&gt;&lt;b&gt;Duration &lt;/b&gt;instantaneous&lt;/h5&gt;&lt;h5&gt;&lt;b&gt;Saving Throw &lt;/b&gt;Will negates (harmless); &lt;b&gt;Spell Resistance &lt;/b&gt;yes (harmless)&lt;/h5&gt;&lt;/div&gt;&lt;hr/&gt;&lt;div&gt;&lt;h5&gt;&lt;b&gt;DESCRIPTION&lt;/b&gt;&lt;/h5&gt;&lt;/div&gt;&lt;hr/&gt;&lt;div&gt;&lt;h4&gt;&lt;p&gt;Upon casting this spell, you target a living creature that has -1 or fewer hit points. That creature is automatically stabilized and does not lose any further hit points. If the creature later takes damage, it continues dying normally.&lt;/p&gt;&lt;/h4&gt;&lt;/div&gt;</t>
  </si>
  <si>
    <t>Cause a dying creature to stabilize.</t>
  </si>
  <si>
    <t>Statue</t>
  </si>
  <si>
    <t>V, S, M (lime, sand, and a drop of water stirred by an iron spike)</t>
  </si>
  <si>
    <t>A statue spell turns the subject to solid stone, along with any garments and equipment worn or carried. In statue form, the subject gains hardness 8. The subject retains its own hit points. The subject can see, hear, and smell normally, but it does not need to eat or breathe. Feeling is limited to those sensations that can affect the granite-hard substance of the individual's body. Chipping is equal to a mere scratch, but breaking off one of the statue's arms constitutes serious damage. The subject of a statue spell can return to its normal state, act, and then return instantly to the statue state (a free action) if it so desires as long as the spell duration is in effect.</t>
  </si>
  <si>
    <t>&lt;p&gt;A &lt;i&gt;statue&lt;/i&gt; spell turns the subject to solid stone, along with any garments and equipment worn or carried. In &lt;i&gt;statue&lt;/i&gt; form, the subject gains hardness 8. The subject retains its own hit points.&lt;/p&gt;&lt;p&gt;The subject can see, hear, and smell normally, but it does not need to eat or breathe. Feeling is limited to those sensations that can affect the granite-hard substance of the individual's body.&lt;/p&gt;&lt;p&gt;Chipping is equal to a mere scratch, but breaking off one of the &lt;i&gt;statue&lt;/i&gt;'s arms constitutes serious damage. The subject of a &lt;i&gt;statue&lt;/i&gt; spell can return to its normal state, act, and then return instantly to the &lt;i&gt;statue&lt;/i&gt; state (a free action) if it so desires as long as the spell duration is in effect.&lt;/p&gt;</t>
  </si>
  <si>
    <t>&lt;link rel="stylesheet"href="PF.css"&gt;&lt;div class="heading"&gt;&lt;p class="alignleft"&gt;Statue&lt;/p&gt;&lt;div style="clear: both;"&gt;&lt;/div&gt;&lt;/div&gt;&lt;div&gt;&lt;h5&gt;&lt;b&gt;School &lt;/b&gt;transmutation; &lt;b&gt;Level &lt;/b&gt;sorcerer/wizard 7, alchemist 6&lt;/h5&gt;&lt;/div&gt;&lt;hr/&gt;&lt;div&gt;&lt;h5&gt;&lt;b&gt;CASTING&lt;/b&gt;&lt;/h5&gt;&lt;/div&gt;&lt;hr/&gt;&lt;div&gt;&lt;h5&gt;&lt;b&gt;Casting Time &lt;/b&gt;1 round&lt;/h5&gt;&lt;h5&gt;&lt;b&gt;Components &lt;/b&gt;V, S, M (lime, sand, and a drop of water stirred by an iron spike)&lt;/h5&gt;&lt;/div&gt;&lt;hr/&gt;&lt;div&gt;&lt;h5&gt;&lt;b&gt;EFFECT&lt;/b&gt;&lt;/h5&gt;&lt;/div&gt;&lt;hr/&gt;&lt;div&gt;&lt;h5&gt;&lt;b&gt;Range &lt;/b&gt;touch&lt;/h5&gt;&lt;h5&gt;&lt;b&gt;Targets &lt;/b&gt;creature touched&lt;/h5&gt;&lt;h5&gt;&lt;b&gt;Duration &lt;/b&gt;1 hour/level (D)&lt;/h5&gt;&lt;h5&gt;&lt;b&gt;Saving Throw &lt;/b&gt;Will negates (harmless); &lt;b&gt;Spell Resistance &lt;/b&gt;yes (harmless)&lt;/h5&gt;&lt;/div&gt;&lt;hr/&gt;&lt;div&gt;&lt;h5&gt;&lt;b&gt;DESCRIPTION&lt;/b&gt;&lt;/h5&gt;&lt;/div&gt;&lt;hr/&gt;&lt;div&gt;&lt;h4&gt;&lt;p&gt;A &lt;i&gt;statue&lt;/i&gt; spell turns the subject to solid stone, along with any garments and equipment worn or carried. In &lt;i&gt;statue&lt;/i&gt; form, the subject gains hardness 8. The subject retains its own hit points.&lt;/p&gt;&lt;p&gt;The subject can see, hear, and smell normally, but it does not need to eat or breathe. Feeling is limited to those sensations that can affect the granite-hard substance of the individual's body.&lt;/p&gt;&lt;p&gt;Chipping is equal to a mere scratch, but breaking off one of the &lt;i&gt;statue&lt;/i&gt;'s arms constitutes serious damage. The subject of a &lt;i&gt;statue&lt;/i&gt; spell can return to its normal state, act, and then return instantly to the &lt;i&gt;statue&lt;/i&gt; state (a free action) if it so desires as long as the spell duration is in effect.&lt;/p&gt;&lt;/h4&gt;&lt;/div&gt;</t>
  </si>
  <si>
    <t> Subject can become a statue at will.</t>
  </si>
  <si>
    <t>Status</t>
  </si>
  <si>
    <t>one living creature touched per three levels</t>
  </si>
  <si>
    <t>When you need to keep track of comrades who may get separated, status allows you to mentally monitor their relative positions and general condition. You are aware of direction and distance to the creatures and any conditions affecting them: unharmed, wounded, disabled, staggered, unconscious, dying, nauseated, panicked, stunned, poisoned, diseased, confused, or the like. Once the spell has been cast upon the subjects, the distance between them and the caster does not affect the spell as long as they are on the same plane of existence. If a subject leaves the plane, or if it dies, the spell ceases to function for it.</t>
  </si>
  <si>
    <t>&lt;p&gt;When you need to keep track of comrades who may get separated, &lt;i&gt;status&lt;/i&gt; allows you to mentally monitor their relative positions and general condition. You are aware of direction and distance to the creatures and any conditions affecting them: unharmed, wounded, disabled, staggered, unconscious, dying, nauseated, panicked, stunned, poisoned, diseased, confused, or the like. Once the spell has been cast upon the subjects, the distance between them and the caster does not affect the spell as long as they are on the same plane of existence. If a subject leaves the plane, or if it dies, the spell ceases to function for it.&lt;/p&gt;</t>
  </si>
  <si>
    <t>&lt;link rel="stylesheet"href="PF.css"&gt;&lt;div class="heading"&gt;&lt;p class="alignleft"&gt;Status&lt;/p&gt;&lt;div style="clear: both;"&gt;&lt;/div&gt;&lt;/div&gt;&lt;div&gt;&lt;h5&gt;&lt;b&gt;School &lt;/b&gt;divination; &lt;b&gt;Level &lt;/b&gt;cleric 2/oracle 2, witch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&lt;/b&gt;one living creature touched per three levels&lt;/h5&gt;&lt;h5&gt;&lt;b&gt;Duration &lt;/b&gt;1 hour/level&lt;/h5&gt;&lt;h5&gt;&lt;b&gt;Saving Throw &lt;/b&gt;Will negates (harmless); &lt;b&gt;Spell Resistance &lt;/b&gt;yes (harmless)&lt;/h5&gt;&lt;/div&gt;&lt;hr/&gt;&lt;div&gt;&lt;h5&gt;&lt;b&gt;DESCRIPTION&lt;/b&gt;&lt;/h5&gt;&lt;/div&gt;&lt;hr/&gt;&lt;div&gt;&lt;h4&gt;&lt;p&gt;When you need to keep track of comrades who may get separated, &lt;i&gt;status&lt;/i&gt; allows you to mentally monitor their relative positions and general condition. You are aware of direction and distance to the creatures and any conditions affecting them: unharmed, wounded, disabled, staggered, unconscious, dying, nauseated, panicked, stunned, poisoned, diseased, confused, or the like. Once the spell has been cast upon the subjects, the distance between them and the caster does not affect the spell as long as they are on the same plane of existence. If a subject leaves the plane, or if it dies, the spell ceases to function for it.&lt;/p&gt;&lt;/h4&gt;&lt;/div&gt;</t>
  </si>
  <si>
    <t> Monitors condition, position of allies.</t>
  </si>
  <si>
    <t>Stinking Cloud</t>
  </si>
  <si>
    <t>magus 3, sorcerer/wizard 3, witch 3</t>
  </si>
  <si>
    <t>V, S, M (a rotten egg or cabbage leaves)</t>
  </si>
  <si>
    <t>Stinking cloud creates a bank of fog like that created by fog cloud, except that the vapors are nauseating. Living creatures in the cloud become nauseated. This condition lasts as long as the creature is in the cloud and for 1d4+1 rounds after it leaves. (Roll separately for each nauseated character.) Any creature that succeeds on its save but remains in the cloud must continue to save each round on your turn. This is a poison effect. Stinking cloud can be made permanent with a permanency spell. A permanent stinking cloud dispersed by wind reforms in 10 minutes.</t>
  </si>
  <si>
    <t>&lt;p&gt;&lt;i&gt;Stinking cloud&lt;/i&gt; creates a bank of fog like that created by &lt;i&gt;fog cloud&lt;/i&gt;, except that the vapors are nauseating. Living creatures in the cloud become nauseated. This condition lasts as long as the creature is in the cloud and for 1d4+1 rounds after it leaves.&lt;/p&gt;&lt;p&gt;(Roll separately for each nauseated character.) Any creature that succeeds on its save but remains in the cloud must continue to save each round on your turn. This is a poison effect.&lt;/p&gt;&lt;p&gt;&lt;i&gt;Stinking cloud&lt;/i&gt; can be made permanent with a &lt;i&gt;permanency&lt;/i&gt; spell. A permanent &lt;i&gt;stinking cloud&lt;/i&gt; dispersed by wind reforms in 10 minutes.&lt;/p&gt;</t>
  </si>
  <si>
    <t>&lt;link rel="stylesheet"href="PF.css"&gt;&lt;div class="heading"&gt;&lt;p class="alignleft"&gt;Stinking Cloud&lt;/p&gt;&lt;div style="clear: both;"&gt;&lt;/div&gt;&lt;/div&gt;&lt;div&gt;&lt;h5&gt;&lt;b&gt;School &lt;/b&gt;conjuration (creation); &lt;b&gt;Level &lt;/b&gt;magus 3, sorcerer/wizard 3, witch 3&lt;/h5&gt;&lt;/div&gt;&lt;hr/&gt;&lt;div&gt;&lt;h5&gt;&lt;b&gt;CASTING&lt;/b&gt;&lt;/h5&gt;&lt;/div&gt;&lt;hr/&gt;&lt;div&gt;&lt;h5&gt;&lt;b&gt;Casting Time &lt;/b&gt;1 standard action&lt;/h5&gt;&lt;h5&gt;&lt;b&gt;Components &lt;/b&gt;V, S, M (a rotten egg or cabbage leaves)&lt;/h5&gt;&lt;/div&gt;&lt;hr/&gt;&lt;div&gt;&lt;h5&gt;&lt;b&gt;EFFECT&lt;/b&gt;&lt;/h5&gt;&lt;/div&gt;&lt;hr/&gt;&lt;div&gt;&lt;h5&gt;&lt;b&gt;Range &lt;/b&gt;medium (100 ft. + 10 ft./level)&lt;/h5&gt;&lt;h5&gt;&lt;b&gt;Effect &lt;/b&gt;cloud spreads in 20-ft. radius, 20 ft. high&lt;/h5&gt;&lt;h5&gt;&lt;b&gt;Duration &lt;/b&gt;1 round/level&lt;/h5&gt;&lt;h5&gt;&lt;b&gt;Saving Throw &lt;/b&gt;Fortitude negates; see text; &lt;b&gt;Spell Resistance &lt;/b&gt;no&lt;/h5&gt;&lt;/div&gt;&lt;hr/&gt;&lt;div&gt;&lt;h5&gt;&lt;b&gt;DESCRIPTION&lt;/b&gt;&lt;/h5&gt;&lt;/div&gt;&lt;hr/&gt;&lt;div&gt;&lt;h4&gt;&lt;p&gt;&lt;i&gt;Stinking cloud&lt;/i&gt; creates a bank of fog like that created by &lt;i&gt;fog cloud&lt;/i&gt;, except that the vapors are nauseating. Living creatures in the cloud become nauseated. This condition lasts as long as the creature is in the cloud and for 1d4+1 rounds after it leaves.&lt;/p&gt;&lt;p&gt;(Roll separately for each nauseated character.) Any creature that succeeds on its save but remains in the cloud must continue to save each round on your turn. This is a poison effect.&lt;/p&gt;&lt;p&gt;&lt;i&gt;Stinking cloud&lt;/i&gt; can be made permanent with a &lt;i&gt;permanency&lt;/i&gt; spell. A permanent &lt;i&gt;stinking cloud&lt;/i&gt; dispersed by wind reforms in 10 minutes.&lt;/p&gt;&lt;/h4&gt;&lt;h5&gt;&lt;b&gt;Mythic: &lt;/b&gt;Creatures that succeed at their saves are sickened while they remain in the cloud and for 1d4+1 rounds after they leave. Creatures that fail their saves continue to be sickened for 1 hour after leaving the cloud.&lt;/h5&gt;&lt;/div&gt;</t>
  </si>
  <si>
    <t> Nauseating vapors, 1 round/level.</t>
  </si>
  <si>
    <t>Creatures that succeed at their saves are sickened while they remain in the cloud and for 1d4+1 rounds after they leave. Creatures that fail their saves continue to be sickened for 1 hour after leaving the cloud.</t>
  </si>
  <si>
    <t>Stone Shape</t>
  </si>
  <si>
    <t>cleric/oracle 3, druid 3, sorcerer/wizard 4</t>
  </si>
  <si>
    <t>V, S, M/DF (soft clay)</t>
  </si>
  <si>
    <t>stone or stone object touched, up to 10 cu. ft. + 1 cu. ft./level</t>
  </si>
  <si>
    <t>You can form an existing piece of stone into any shape that suits your purpose. While it's possible to make crude coffers, doors, and so forth with stone shape, fine detail isn't possible. There is a 30% chance that any shape including moving parts simply doesn't work.</t>
  </si>
  <si>
    <t>&lt;p&gt;You can form an existing piece of stone into any shape that suits your purpose. While it's possible to make crude coffers, doors, and so forth with &lt;i&gt;stone shape&lt;/i&gt;, fine detail isn't possible. There is a 30% chance that any shape including moving parts simply doesn't work.&lt;/p&gt;</t>
  </si>
  <si>
    <t>&lt;link rel="stylesheet"href="PF.css"&gt;&lt;div class="heading"&gt;&lt;p class="alignleft"&gt;Stone Shape&lt;/p&gt;&lt;div style="clear: both;"&gt;&lt;/div&gt;&lt;/div&gt;&lt;div&gt;&lt;h5&gt;&lt;b&gt;School &lt;/b&gt;transmutation [earth]; &lt;b&gt;Level &lt;/b&gt;cleric/oracle 3, druid 3, sorcerer/wizard 4&lt;/h5&gt;&lt;/div&gt;&lt;hr/&gt;&lt;div&gt;&lt;h5&gt;&lt;b&gt;CASTING&lt;/b&gt;&lt;/h5&gt;&lt;/div&gt;&lt;hr/&gt;&lt;div&gt;&lt;h5&gt;&lt;b&gt;Casting Time &lt;/b&gt;1 standard action&lt;/h5&gt;&lt;h5&gt;&lt;b&gt;Components &lt;/b&gt;V, S, M/DF (soft clay)&lt;/h5&gt;&lt;/div&gt;&lt;hr/&gt;&lt;div&gt;&lt;h5&gt;&lt;b&gt;EFFECT&lt;/b&gt;&lt;/h5&gt;&lt;/div&gt;&lt;hr/&gt;&lt;div&gt;&lt;h5&gt;&lt;b&gt;Range &lt;/b&gt;touch&lt;/h5&gt;&lt;h5&gt;&lt;b&gt;Targets &lt;/b&gt;stone or stone object touched, up to 10 cu. ft. + 1 cu. ft./level&lt;/h5&gt;&lt;h5&gt;&lt;b&gt;Duration &lt;/b&gt;instantaneous&lt;/h5&gt;&lt;h5&gt;&lt;b&gt;Saving Throw &lt;/b&gt;none; &lt;b&gt;Spell Resistance &lt;/b&gt;no&lt;/h5&gt;&lt;/div&gt;&lt;hr/&gt;&lt;div&gt;&lt;h5&gt;&lt;b&gt;DESCRIPTION&lt;/b&gt;&lt;/h5&gt;&lt;/div&gt;&lt;hr/&gt;&lt;div&gt;&lt;h4&gt;&lt;p&gt;You can form an existing piece of stone into any shape that suits your purpose. While it's possible to make crude coffers, doors, and so forth with &lt;i&gt;stone shape&lt;/i&gt;, fine detail isn't possible. There is a 30% chance that any shape including moving parts simply doesn't work.&lt;/p&gt;&lt;/h4&gt;&lt;h5&gt;&lt;b&gt;Mythic: &lt;/b&gt;The duration changes to 1 round/level and instantaneous (see text). Each round after the round you cast the spell, you can spend a standard action to shape up to 5 additional cubic feet of stone you touch. Shaped stone has an instantaneous duration (meaning it does not revert to its previous form when the spell ends).&lt;/h5&gt;&lt;/div&gt;</t>
  </si>
  <si>
    <t>Artifice, Earth</t>
  </si>
  <si>
    <t>Sculpts stone into any shape.</t>
  </si>
  <si>
    <t>The duration changes to 1 round/level and instantaneous (see text). Each round after the round you cast the spell, you can spend a standard action to shape up to 5 additional cubic feet of stone you touch. Shaped stone has an instantaneous duration (meaning it does not revert to its previous form when the spell ends).</t>
  </si>
  <si>
    <t>Stoneskin</t>
  </si>
  <si>
    <t>druid 5, sorcerer/wizard 4, alchemist 4, summoner 3, inquisitor 4, magus 4</t>
  </si>
  <si>
    <t>V, S, M (granite and diamond dust worth 250 gp)</t>
  </si>
  <si>
    <t>10 min./level or until discharged</t>
  </si>
  <si>
    <t>The warded creature gains resistance to blows, cuts, stabs, and slashes. The subject gains DR 10/adamantine. It ignores the first 10 points of damage each time it takes damage from a weapon, though an adamantine weapon bypasses the reduction. Once the spell has prevented a total of 10 points of damage per caster level (maximum 150 points), it is discharged.</t>
  </si>
  <si>
    <t>&lt;p&gt;The warded creature gains resistance to blows, cuts, stabs, and slashes. The subject gains DR 10/adamantine. It ignores the first 10 points of damage each time it takes damage from a weapon, though an adamantine weapon bypasses the reduction. Once the spell has prevented a total of 10 points of damage per caster level (maximum 150 points), it is discharged.&lt;/p&gt;</t>
  </si>
  <si>
    <t>&lt;link rel="stylesheet"href="PF.css"&gt;&lt;div class="heading"&gt;&lt;p class="alignleft"&gt;Stoneskin&lt;/p&gt;&lt;div style="clear: both;"&gt;&lt;/div&gt;&lt;/div&gt;&lt;div&gt;&lt;h5&gt;&lt;b&gt;School &lt;/b&gt;abjuration; &lt;b&gt;Level &lt;/b&gt;druid 5, sorcerer/wizard 4, alchemist 4, summoner 3, inquisitor 4, magus 4&lt;/h5&gt;&lt;/div&gt;&lt;hr/&gt;&lt;div&gt;&lt;h5&gt;&lt;b&gt;CASTING&lt;/b&gt;&lt;/h5&gt;&lt;/div&gt;&lt;hr/&gt;&lt;div&gt;&lt;h5&gt;&lt;b&gt;Casting Time &lt;/b&gt;1 standard action&lt;/h5&gt;&lt;h5&gt;&lt;b&gt;Components &lt;/b&gt;V, S, M (granite and diamond dust worth 250 gp)&lt;/h5&gt;&lt;/div&gt;&lt;hr/&gt;&lt;div&gt;&lt;h5&gt;&lt;b&gt;EFFECT&lt;/b&gt;&lt;/h5&gt;&lt;/div&gt;&lt;hr/&gt;&lt;div&gt;&lt;h5&gt;&lt;b&gt;Range &lt;/b&gt;touch&lt;/h5&gt;&lt;h5&gt;&lt;b&gt;Targets &lt;/b&gt;creature touched&lt;/h5&gt;&lt;h5&gt;&lt;b&gt;Duration &lt;/b&gt;10 min./level or until discharged&lt;/h5&gt;&lt;h5&gt;&lt;b&gt;Saving Throw &lt;/b&gt;Will negates (harmless); &lt;b&gt;Spell Resistance &lt;/b&gt;yes (harmless)&lt;/h5&gt;&lt;/div&gt;&lt;hr/&gt;&lt;div&gt;&lt;h5&gt;&lt;b&gt;DESCRIPTION&lt;/b&gt;&lt;/h5&gt;&lt;/div&gt;&lt;hr/&gt;&lt;div&gt;&lt;h4&gt;&lt;p&gt;The warded creature gains resistance to blows, cuts, stabs, and slashes. The subject gains DR 10/adamantine. It ignores the first 10 points of damage each time it takes damage from a weapon, though an adamantine weapon bypasses the reduction. Once the spell has prevented a total of 10 points of damage per caster level (maximum 150 points), it is discharged.&lt;/p&gt;&lt;/h4&gt;&lt;h5&gt;&lt;b&gt;Mythic: &lt;/b&gt;The target gains a +4 bonus on saving throws against disease, poison, and stun effects. There is a 50% chance any critical hit or sneak attack against the target is treated as a normal hit, as if the target were wearing medium fortification armor.&lt;/h5&gt;&lt;/div&gt;</t>
  </si>
  <si>
    <t>Earth, Strength</t>
  </si>
  <si>
    <t>Grants DR 10/adamantine.</t>
  </si>
  <si>
    <t>Abyssal, Deep Earth, Shaitan</t>
  </si>
  <si>
    <t>The target gains a +4 bonus on saving throws against disease, poison, and stun effects. There is a 50% chance any critical hit or sneak attack against the target is treated as a normal hit, as if the target were wearing medium fortification armor.</t>
  </si>
  <si>
    <t>Stone Tell</t>
  </si>
  <si>
    <t>You gain the ability to speak with stones, which relate to you who or what has touched them as well as revealing what is covered or concealed behind or under them. The stones relate complete descriptions if asked. A stone's perspective, perception, and knowledge may prevent the stone from providing the details you are looking for. You can speak with natural or worked stone.</t>
  </si>
  <si>
    <t>&lt;p&gt;You gain the ability to speak with stones, which relate to you who or what has touched them as well as revealing what is covered or concealed behind or under them. The stones relate complete descriptions if asked. A stone's perspective, perception, and knowledge may prevent the stone from providing the details you are looking for. You can speak with natural or worked stone.&lt;/p&gt;</t>
  </si>
  <si>
    <t>&lt;link rel="stylesheet"href="PF.css"&gt;&lt;div class="heading"&gt;&lt;p class="alignleft"&gt;Stone Tell&lt;/p&gt;&lt;div style="clear: both;"&gt;&lt;/div&gt;&lt;/div&gt;&lt;div&gt;&lt;h5&gt;&lt;b&gt;School &lt;/b&gt;divination; &lt;b&gt;Level &lt;/b&gt;druid 6&lt;/h5&gt;&lt;/div&gt;&lt;hr/&gt;&lt;div&gt;&lt;h5&gt;&lt;b&gt;CASTING&lt;/b&gt;&lt;/h5&gt;&lt;/div&gt;&lt;hr/&gt;&lt;div&gt;&lt;h5&gt;&lt;b&gt;Casting Time &lt;/b&gt;10 minutes&lt;/h5&gt;&lt;h5&gt;&lt;b&gt;Components &lt;/b&gt;V, S, DF&lt;/h5&gt;&lt;/div&gt;&lt;hr/&gt;&lt;div&gt;&lt;h5&gt;&lt;b&gt;EFFECT&lt;/b&gt;&lt;/h5&gt;&lt;/div&gt;&lt;hr/&gt;&lt;div&gt;&lt;h5&gt;&lt;b&gt;Range &lt;/b&gt;personal&lt;/h5&gt;&lt;h5&gt;&lt;b&gt;Targets &lt;/b&gt;you&lt;/h5&gt;&lt;h5&gt;&lt;b&gt;Duration &lt;/b&gt;1 min./level&lt;/h5&gt;&lt;/div&gt;&lt;hr/&gt;&lt;div&gt;&lt;h5&gt;&lt;b&gt;DESCRIPTION&lt;/b&gt;&lt;/h5&gt;&lt;/div&gt;&lt;hr/&gt;&lt;div&gt;&lt;h4&gt;&lt;p&gt;You gain the ability to speak with stones, which relate to you who or what has touched them as well as revealing what is covered or concealed behind or under them. The stones relate complete descriptions if asked. A stone's perspective, perception, and knowledge may prevent the stone from providing the details you are looking for. You can speak with natural or worked stone.&lt;/p&gt;&lt;/h4&gt;&lt;/div&gt;</t>
  </si>
  <si>
    <t> Talk to natural or worked stone.</t>
  </si>
  <si>
    <t>Stone to Flesh</t>
  </si>
  <si>
    <t>V, S, M (a drop of blood mixed with earth)</t>
  </si>
  <si>
    <t>one petrified creature or a cylinder of stone from 1 ft. to 3 ft. in diameter and up to 10 ft. long</t>
  </si>
  <si>
    <t>This spell restores a petrified creature to its normal state, restoring life and goods. The creature must make a DC 15 Fortitude save to survive the process. Any petrified creature, regardless of size, can be restored. The spell also can convert a mass of stone into a fleshy substance. Such flesh is inert and lacking a vital life force unless a life force or magical energy is available. For example, this spell would turn an animated stone statue into an animated flesh statue, but an ordinary statue would become a mass of inert flesh in the shape of the statue. You can affect an object that fits within a cylinder from 1 foot to 3 feet in diameter and up to 10 feet long or a cylinder of up to those dimensions in a larger mass of stone.</t>
  </si>
  <si>
    <t>&lt;p&gt;This spell restores a petrified creature to its normal state, restoring life and goods. The creature must make a DC 15 Fortitude save to survive the process. Any petrified creature, regardless of size, can be restored. The spell also can convert a mass of stone into a fleshy substance. Such flesh is inert and lacking a vital life force unless a life force or magical energy is available. For example, this spell would turn an animated stone statue into an animated flesh statue, but an ordinary statue would become a mass of inert flesh in the shape of the statue. You can affect an object that fits within a cylinder from 1 foot to 3 feet in diameter and up to 10 feet long or a cylinder of up to those dimensions in a larger mass of stone.&lt;/p&gt;</t>
  </si>
  <si>
    <t>&lt;link rel="stylesheet"href="PF.css"&gt;&lt;div class="heading"&gt;&lt;p class="alignleft"&gt;Stone to Flesh&lt;/p&gt;&lt;div style="clear: both;"&gt;&lt;/div&gt;&lt;/div&gt;&lt;div&gt;&lt;h5&gt;&lt;b&gt;School &lt;/b&gt;transmutation; &lt;b&gt;Level &lt;/b&gt;sorcerer/wizard 6, witch 6, magus 6&lt;/h5&gt;&lt;/div&gt;&lt;hr/&gt;&lt;div&gt;&lt;h5&gt;&lt;b&gt;CASTING&lt;/b&gt;&lt;/h5&gt;&lt;/div&gt;&lt;hr/&gt;&lt;div&gt;&lt;h5&gt;&lt;b&gt;Casting Time &lt;/b&gt;1 standard action&lt;/h5&gt;&lt;h5&gt;&lt;b&gt;Components &lt;/b&gt;V, S, M (a drop of blood mixed with earth)&lt;/h5&gt;&lt;/div&gt;&lt;hr/&gt;&lt;div&gt;&lt;h5&gt;&lt;b&gt;EFFECT&lt;/b&gt;&lt;/h5&gt;&lt;/div&gt;&lt;hr/&gt;&lt;div&gt;&lt;h5&gt;&lt;b&gt;Range &lt;/b&gt;medium (100 ft. + 10 ft./level)&lt;/h5&gt;&lt;h5&gt;&lt;b&gt;Targets &lt;/b&gt;one petrified creature or a cylinder of stone from 1 ft. to 3 ft. in diameter and up to 10 ft. long&lt;/h5&gt;&lt;h5&gt;&lt;b&gt;Duration &lt;/b&gt;instantaneous&lt;/h5&gt;&lt;h5&gt;&lt;b&gt;Saving Throw &lt;/b&gt;Fortitude negates (object); see text; &lt;b&gt;Spell Resistance &lt;/b&gt;yes&lt;/h5&gt;&lt;/div&gt;&lt;hr/&gt;&lt;div&gt;&lt;h5&gt;&lt;b&gt;DESCRIPTION&lt;/b&gt;&lt;/h5&gt;&lt;/div&gt;&lt;hr/&gt;&lt;div&gt;&lt;h4&gt;&lt;p&gt;This spell restores a petrified creature to its normal state, restoring life and goods. The creature must make a DC 15 Fortitude save to survive the process. Any petrified creature, regardless of size, can be restored. The spell also can convert a mass of stone into a fleshy substance. Such flesh is inert and lacking a vital life force unless a life force or magical energy is available. For example, this spell would turn an animated stone statue into an animated flesh statue, but an ordinary statue would become a mass of inert flesh in the shape of the statue. You can affect an object that fits within a cylinder from 1 foot to 3 feet in diameter and up to 10 feet long or a cylinder of up to those dimensions in a larger mass of stone.&lt;/p&gt;&lt;/h4&gt;&lt;/div&gt;</t>
  </si>
  <si>
    <t> Restores petrified creature.</t>
  </si>
  <si>
    <t>Storm Of Vengeance</t>
  </si>
  <si>
    <t>cleric/oracle 9, druid 9, witch 9</t>
  </si>
  <si>
    <t>360-ft.-radius storm cloud</t>
  </si>
  <si>
    <t>concentration (maximum 10 rounds) (D)</t>
  </si>
  <si>
    <t>You create a huge black storm cloud in the air. Each creature under the cloud must succeed on a Fortitude save or be deafened for 1d4 x 10 minutes. Each round you continue to concentrate, the spell generates additional effects as noted below. Each effect occurs on your turn. 2nd Round: Acid rains down in the area, dealing 1d6 points of acid damage (no save). 3rd Round: You call six bolts of lightning down from the cloud. You decide where the bolts strike. No two bolts may be directed at the same target. Each bolt deals 10d6 points of electricity damage. A creature struck can attempt a Reflex save for half damage. 4th Round: Hailstones rain down in the area, dealing 5d6 points of bludgeoning damage (no save). 5th through 10th Rounds: Violent rain and wind gusts reduce visibility. The rain obscures all sight, including darkvision, beyond 5 feet. A creature 5 feet away has concealment (attacks have a 20% miss chance). Creatures farther away have total concealment (50% miss chance, and the attacker cannot use sight to locate the target). Speed is reduced by three-quarters. Ranged attacks within the area of the storm are impossible. Spells cast within the area are disrupted unless the caster succeeds on a Concentration check against a DC equal to the storm of vengeance's save DC + the level of the spell the caster is trying to cast.</t>
  </si>
  <si>
    <t>&lt;p&gt;You create a huge black storm cloud in the air. Each creature under the cloud must succeed on a Fortitude save or be deafened for 1d4 x 10 minutes. Each round you continue to concentrate, the spell generates additional effects as noted below. Each effect occurs on your turn.&lt;/p&gt;&lt;p&gt;&lt;i&gt;2nd Round&lt;/i&gt;: Acid rains down in the area, dealing 1d6 points of acid damage (no save).&lt;/p&gt;&lt;p&gt;&lt;i&gt;3rd Round&lt;/i&gt;: You call six bolts of lightning down from the cloud.&lt;/p&gt;&lt;p&gt;You decide where the bolts strike. No two bolts may be directed at the same target. Each bolt deals 10d6 points of electricity damage. A creature struck can attempt a Reflex save for half damage.&lt;/p&gt;&lt;p&gt;&lt;i&gt;4th Round&lt;/i&gt;: Hailstones rain down in the area, dealing 5d6 points of bludgeoning damage (no save).&lt;/p&gt;&lt;p&gt;&lt;i&gt;5th through 10th Rounds&lt;/i&gt;: Violent rain and wind gusts reduce visibility. The rain obscures all sight, including darkvision, beyond 5 feet. A creature 5 feet away has concealment (attacks have a 20% miss chance). Creatures farther away have total concealment (50% miss chance, and the attacker cannot use sight to locate the target). Speed is reduced by three-quarters.&lt;/p&gt;&lt;p&gt;Ranged attacks within the area of the storm are impossible. Spells cast within the area are disrupted unless the caster succeeds on a Concentration check against a DC equal to the &lt;i&gt;storm of&lt;/i&gt; vengeance's save DC + the level of the spell the caster is trying to cast.&lt;/p&gt;</t>
  </si>
  <si>
    <t>&lt;link rel="stylesheet"href="PF.css"&gt;&lt;div class="heading"&gt;&lt;p class="alignleft"&gt;Storm Of Vengeance&lt;/p&gt;&lt;div style="clear: both;"&gt;&lt;/div&gt;&lt;/div&gt;&lt;div&gt;&lt;h5&gt;&lt;b&gt;School &lt;/b&gt;conjuration (summoning); &lt;b&gt;Level &lt;/b&gt;cleric/oracle 9, druid 9, witch 9&lt;/h5&gt;&lt;/div&gt;&lt;hr/&gt;&lt;div&gt;&lt;h5&gt;&lt;b&gt;CASTING&lt;/b&gt;&lt;/h5&gt;&lt;/div&gt;&lt;hr/&gt;&lt;div&gt;&lt;h5&gt;&lt;b&gt;Casting Time &lt;/b&gt;1 round&lt;/h5&gt;&lt;h5&gt;&lt;b&gt;Components &lt;/b&gt;V, S&lt;/h5&gt;&lt;/div&gt;&lt;hr/&gt;&lt;div&gt;&lt;h5&gt;&lt;b&gt;EFFECT&lt;/b&gt;&lt;/h5&gt;&lt;/div&gt;&lt;hr/&gt;&lt;div&gt;&lt;h5&gt;&lt;b&gt;Range &lt;/b&gt;long (400 ft. + 40 ft./level)&lt;/h5&gt;&lt;h5&gt;&lt;b&gt;Effect &lt;/b&gt;360-ft.-radius storm cloud&lt;/h5&gt;&lt;h5&gt;&lt;b&gt;Duration &lt;/b&gt;concentration (maximum 10 rounds) (D)&lt;/h5&gt;&lt;h5&gt;&lt;b&gt;Saving Throw &lt;/b&gt;see text; &lt;b&gt;Spell Resistance &lt;/b&gt;yes&lt;/h5&gt;&lt;/div&gt;&lt;hr/&gt;&lt;div&gt;&lt;h5&gt;&lt;b&gt;DESCRIPTION&lt;/b&gt;&lt;/h5&gt;&lt;/div&gt;&lt;hr/&gt;&lt;div&gt;&lt;h4&gt;&lt;p&gt;You create a huge black storm cloud in the air. Each creature under the cloud must succeed on a Fortitude save or be deafened for 1d4 x 10 minutes. Each round you continue to concentrate, the spell generates additional effects as noted below. Each effect occurs on your turn.&lt;/p&gt;&lt;p&gt;&lt;i&gt;2nd Round&lt;/i&gt;: Acid rains down in the area, dealing 1d6 points of acid damage (no save).&lt;/p&gt;&lt;p&gt;&lt;i&gt;3rd Round&lt;/i&gt;: You call six bolts of lightning down from the cloud.&lt;/p&gt;&lt;p&gt;You decide where the bolts strike. No two bolts may be directed at the same target. Each bolt deals 10d6 points of electricity damage. A creature struck can attempt a Reflex save for half damage.&lt;/p&gt;&lt;p&gt;&lt;i&gt;4th Round&lt;/i&gt;: Hailstones rain down in the area, dealing 5d6 points of bludgeoning damage (no save).&lt;/p&gt;&lt;p&gt;&lt;i&gt;5th through 10th Rounds&lt;/i&gt;: Violent rain and wind gusts reduce visibility. The rain obscures all sight, including darkvision, beyond 5 feet. A creature 5 feet away has concealment (attacks have a 20% miss chance). Creatures farther away have total concealment (50% miss chance, and the attacker cannot use sight to locate the target). Speed is reduced by three-quarters.&lt;/p&gt;&lt;p&gt;Ranged attacks within the area of the storm are impossible. Spells cast within the area are disrupted unless the caster succeeds on a Concentration check against a DC equal to the &lt;i&gt;storm of&lt;/i&gt; vengeance's save DC + the level of the spell the caster is trying to cast.&lt;/p&gt;&lt;/h4&gt;&lt;h5&gt;&lt;b&gt;Mythic: &lt;/b&gt;The acid damage dealt increases to 1d8 points of acid damage. The lightning damage dealt increases to 10d8 points of electricity damage. You can call down a bolt of lightning on the 2nd and 4th rounds (equivalent to those on the 3rd round). You can strike the same target with a bolt more than once during the casting of the spell, but not more than once per round.&lt;/h5&gt;&lt;h5&gt;&lt;b&gt;Augmented (7th)&lt;/b&gt;: If you expend three uses of mythic power, the storm cloud's radius increases to 1,000 feet. Structures in the storm take 1d10 points of damage per round (this damage bypasses hardness). You can call down one additional bolt in the 2nd and 4th rounds, and three additional bolts in the 3rd round.&lt;/h5&gt;&lt;/div&gt;</t>
  </si>
  <si>
    <t>Cloud, Nobility, Weather</t>
  </si>
  <si>
    <t>Storm rains acid, lightning, and hail.</t>
  </si>
  <si>
    <t>The acid damage dealt increases to 1d8 points of acid damage. The lightning damage dealt increases to 10d8 points of electricity damage. You can call down a bolt of lightning on the 2nd and 4th rounds (equivalent to those on the 3rd round). You can strike the same target with a bolt more than once during the casting of the spell, but not more than once per round.</t>
  </si>
  <si>
    <t>Augmented (7th): If you expend three uses of mythic power, the storm cloud's radius increases to 1,000 feet. Structures in the storm take 1d10 points of damage per round (this damage bypasses hardness). You can call down one additional bolt in the 2nd and 4th rounds, and three additional bolts in the 3rd round.</t>
  </si>
  <si>
    <t>Suggestion</t>
  </si>
  <si>
    <t>bard 2, sorcerer/wizard 3, witch 3</t>
  </si>
  <si>
    <t>V, M (a snake's tongue and a honeycomb)</t>
  </si>
  <si>
    <t>1 hour/level or until completed</t>
  </si>
  <si>
    <t>You influence the actions of the target creature by suggesting a course of activity (limited to a sentence or two). The suggestion must be worded in such a manner as to make the activity sound reasonable. Asking the creature to do some obviously harmful act automatically negates the effect of the spell. The suggested course of activity can continue for the entire duration. If the suggested activity can be completed in a shorter time, the spell ends when the subject finishes what it was asked to do. You can instead specify conditions that will trigger a special activity during the duration. If the condition is not met before the spell duration expires, the activity is not performed. A very reasonable suggestion causes the save to be made with a penalty (such as -1 or -2).</t>
  </si>
  <si>
    <t>&lt;p&gt;You influence the actions of the target creature by suggesting a course of activity (limited to a sentence or two). The &lt;i&gt;suggestion&lt;/i&gt; must be worded in such a manner as to make the activity sound reasonable. Asking the creature to do some obviously harmful act automatically negates the effect of the spell.&lt;/p&gt;&lt;p&gt;The suggested course of activity can continue for the entire duration. If the suggested activity can be completed in a shorter time, the spell ends when the subject finishes what it was asked to do. You can instead specify conditions that will trigger a special activity during the duration. If the condition is not met before the spell duration expires, the activity is not performed.&lt;/p&gt;&lt;p&gt;A very reasonable &lt;i&gt;suggestion&lt;/i&gt; causes the save to be made with a penalty (such as -1 or -2).&lt;/p&gt;</t>
  </si>
  <si>
    <t>&lt;link rel="stylesheet"href="PF.css"&gt;&lt;div class="heading"&gt;&lt;p class="alignleft"&gt;Suggestion&lt;/p&gt;&lt;div style="clear: both;"&gt;&lt;/div&gt;&lt;/div&gt;&lt;div&gt;&lt;h5&gt;&lt;b&gt;School &lt;/b&gt;enchantment (compulsion) [language-dependent, mind-affecting]; &lt;b&gt;Level &lt;/b&gt;bard 2, sorcerer/wizard 3, witch 3&lt;/h5&gt;&lt;/div&gt;&lt;hr/&gt;&lt;div&gt;&lt;h5&gt;&lt;b&gt;CASTING&lt;/b&gt;&lt;/h5&gt;&lt;/div&gt;&lt;hr/&gt;&lt;div&gt;&lt;h5&gt;&lt;b&gt;Casting Time &lt;/b&gt;1 standard action&lt;/h5&gt;&lt;h5&gt;&lt;b&gt;Components &lt;/b&gt;V, M (a snake's tongue and a honeycomb)&lt;/h5&gt;&lt;/div&gt;&lt;hr/&gt;&lt;div&gt;&lt;h5&gt;&lt;b&gt;EFFECT&lt;/b&gt;&lt;/h5&gt;&lt;/div&gt;&lt;hr/&gt;&lt;div&gt;&lt;h5&gt;&lt;b&gt;Range &lt;/b&gt;close (25 ft. + 5 ft./2 levels)&lt;/h5&gt;&lt;h5&gt;&lt;b&gt;Targets &lt;/b&gt;one living creature&lt;/h5&gt;&lt;h5&gt;&lt;b&gt;Duration &lt;/b&gt;1 hour/level or until completed&lt;/h5&gt;&lt;h5&gt;&lt;b&gt;Saving Throw &lt;/b&gt;Will negates; &lt;b&gt;Spell Resistance &lt;/b&gt;yes&lt;/h5&gt;&lt;/div&gt;&lt;hr/&gt;&lt;div&gt;&lt;h5&gt;&lt;b&gt;DESCRIPTION&lt;/b&gt;&lt;/h5&gt;&lt;/div&gt;&lt;hr/&gt;&lt;div&gt;&lt;h4&gt;&lt;p&gt;You influence the actions of the target creature by suggesting a course of activity (limited to a sentence or two). The &lt;i&gt;suggestion&lt;/i&gt; must be worded in such a manner as to make the activity sound reasonable. Asking the creature to do some obviously harmful act automatically negates the effect of the spell.&lt;/p&gt;&lt;p&gt;The suggested course of activity can continue for the entire duration. If the suggested activity can be completed in a shorter time, the spell ends when the subject finishes what it was asked to do. You can instead specify conditions that will trigger a special activity during the duration. If the condition is not met before the spell duration expires, the activity is not performed.&lt;/p&gt;&lt;p&gt;A very reasonable &lt;i&gt;suggestion&lt;/i&gt; causes the save to be made with a penalty (such as -1 or -2).&lt;/p&gt;&lt;/h4&gt;&lt;h5&gt;&lt;b&gt;Mythic: &lt;/b&gt;Mythic suggestion loses the language-dependent descriptor, and can target one or more living creatures in a 10-foot-radius burst.&lt;/h5&gt;&lt;/div&gt;</t>
  </si>
  <si>
    <t>Charm, Devil</t>
  </si>
  <si>
    <t>Compels subject to follow stated course of action.</t>
  </si>
  <si>
    <t>Infernal, Maestro, Rakshasa</t>
  </si>
  <si>
    <t>Mythic suggestion loses the language-dependent descriptor, and can target one or more living creatures in a 10-foot-radius burst.</t>
  </si>
  <si>
    <t>Suggestion, Mass</t>
  </si>
  <si>
    <t>bard 5, sorcerer/wizard 6, witch 6</t>
  </si>
  <si>
    <t>This spell functions like suggestion, except that it can affect more creatures. The same suggestion applies to all these creatures.</t>
  </si>
  <si>
    <t>&lt;p&gt;This spell functions like &lt;i&gt;&lt;i&gt;suggestion&lt;/i&gt;,&lt;/i&gt; except that it can affect more creatures. The same &lt;i&gt;suggestion&lt;/i&gt; applies to all these creatures.&lt;/p&gt;</t>
  </si>
  <si>
    <t>&lt;link rel="stylesheet"href="PF.css"&gt;&lt;div class="heading"&gt;&lt;p class="alignleft"&gt;Suggestion, Mass&lt;/p&gt;&lt;div style="clear: both;"&gt;&lt;/div&gt;&lt;/div&gt;&lt;div&gt;&lt;h5&gt;&lt;b&gt;School &lt;/b&gt;enchantment (compulsion) [language-dependent, mind-affecting]; &lt;b&gt;Level &lt;/b&gt;bard 5, sorcerer/wizard 6, witch 6&lt;/h5&gt;&lt;/div&gt;&lt;hr/&gt;&lt;div&gt;&lt;h5&gt;&lt;b&gt;CASTING&lt;/b&gt;&lt;/h5&gt;&lt;/div&gt;&lt;hr/&gt;&lt;div&gt;&lt;h5&gt;&lt;b&gt;Casting Time &lt;/b&gt;1 standard action&lt;/h5&gt;&lt;h5&gt;&lt;b&gt;Components &lt;/b&gt;V, M (a snake's tongue and a honeycomb)&lt;/h5&gt;&lt;/div&gt;&lt;hr/&gt;&lt;div&gt;&lt;h5&gt;&lt;b&gt;EFFECT&lt;/b&gt;&lt;/h5&gt;&lt;/div&gt;&lt;hr/&gt;&lt;div&gt;&lt;h5&gt;&lt;b&gt;Range &lt;/b&gt;medium (100 ft. + 10 ft./level)&lt;/h5&gt;&lt;h5&gt;&lt;b&gt;Targets &lt;/b&gt;one creature/level, no two of which can be more than 30 ft. apart&lt;/h5&gt;&lt;h5&gt;&lt;b&gt;Duration &lt;/b&gt;1 hour/level or until completed&lt;/h5&gt;&lt;h5&gt;&lt;b&gt;Saving Throw &lt;/b&gt;Will negates; &lt;b&gt;Spell Resistance &lt;/b&gt;yes&lt;/h5&gt;&lt;/div&gt;&lt;hr/&gt;&lt;div&gt;&lt;h5&gt;&lt;b&gt;DESCRIPTION&lt;/b&gt;&lt;/h5&gt;&lt;/div&gt;&lt;hr/&gt;&lt;div&gt;&lt;h4&gt;&lt;p&gt;This spell functions like &lt;i&gt;&lt;i&gt;suggestion&lt;/i&gt;,&lt;/i&gt; except that it can affect more creatures. The same &lt;i&gt;suggestion&lt;/i&gt; applies to all these creatures.&lt;/p&gt;&lt;/h4&gt;&lt;/div&gt;</t>
  </si>
  <si>
    <t>As suggestion, affects subject/level.</t>
  </si>
  <si>
    <t>Maestro, Rakshasa, Serpentine</t>
  </si>
  <si>
    <t>Summon Instrument</t>
  </si>
  <si>
    <t>one summoned handheld musical instrument</t>
  </si>
  <si>
    <t>This spell summons one handheld musical instrument of your choice. This instrument appears in your hands or at your feet (your choice). The instrument is typical for its type. Only one instrument appears per casting, and it will play only for you. You can't summon an instrument too large to be held in two hands. The summoned instrument disappears at the end of this spell.</t>
  </si>
  <si>
    <t>&lt;p&gt;This spell summons one handheld musical instrument of your choice. This instrument appears in your hands or at your feet (your choice). The instrument is typical for its type. Only one instrument appears per casting, and it will play only for you. You can't summon an instrument too large to be held in two hands.&lt;/p&gt;&lt;p&gt;The summoned instrument disappears at the end of this spell.&lt;/p&gt;</t>
  </si>
  <si>
    <t>&lt;link rel="stylesheet"href="PF.css"&gt;&lt;div class="heading"&gt;&lt;p class="alignleft"&gt;Summon Instrument&lt;/p&gt;&lt;div style="clear: both;"&gt;&lt;/div&gt;&lt;/div&gt;&lt;div&gt;&lt;h5&gt;&lt;b&gt;School &lt;/b&gt;conjuration (summoning); &lt;b&gt;Level &lt;/b&gt;bard 0&lt;/h5&gt;&lt;/div&gt;&lt;hr/&gt;&lt;div&gt;&lt;h5&gt;&lt;b&gt;CASTING&lt;/b&gt;&lt;/h5&gt;&lt;/div&gt;&lt;hr/&gt;&lt;div&gt;&lt;h5&gt;&lt;b&gt;Casting Time &lt;/b&gt;1 round&lt;/h5&gt;&lt;h5&gt;&lt;b&gt;Components &lt;/b&gt;V, S&lt;/h5&gt;&lt;/div&gt;&lt;hr/&gt;&lt;div&gt;&lt;h5&gt;&lt;b&gt;EFFECT&lt;/b&gt;&lt;/h5&gt;&lt;/div&gt;&lt;hr/&gt;&lt;div&gt;&lt;h5&gt;&lt;b&gt;Range &lt;/b&gt;0 ft.&lt;/h5&gt;&lt;h5&gt;&lt;b&gt;Effect &lt;/b&gt;one summoned handheld musical instrument&lt;/h5&gt;&lt;h5&gt;&lt;b&gt;Duration &lt;/b&gt;1 min./level (D)&lt;/h5&gt;&lt;h5&gt;&lt;b&gt;Saving Throw &lt;/b&gt;none; &lt;b&gt;Spell Resistance &lt;/b&gt;no&lt;/h5&gt;&lt;/div&gt;&lt;hr/&gt;&lt;div&gt;&lt;h5&gt;&lt;b&gt;DESCRIPTION&lt;/b&gt;&lt;/h5&gt;&lt;/div&gt;&lt;hr/&gt;&lt;div&gt;&lt;h4&gt;&lt;p&gt;This spell summons one handheld musical instrument of your choice. This instrument appears in your hands or at your feet (your choice). The instrument is typical for its type. Only one instrument appears per casting, and it will play only for you. You can't summon an instrument too large to be held in two hands.&lt;/p&gt;&lt;p&gt;The summoned instrument disappears at the end of this spell.&lt;/p&gt;&lt;/h4&gt;&lt;/div&gt;</t>
  </si>
  <si>
    <t> Summons one musical instrument.</t>
  </si>
  <si>
    <t>Summon Monster I</t>
  </si>
  <si>
    <t>bard 1, cleric 1/oracle 1, sorcerer/wizard 1, summoner 1, witch 1, antipaladin 1</t>
  </si>
  <si>
    <t>V, S, F/DF (a tiny bag and a small candle)</t>
  </si>
  <si>
    <t>one summoned creature</t>
  </si>
  <si>
    <t>This spell summons an extraplanar creature (typically an outsider, elemental, or magical beast native to another plane). It appears where you designate and acts immediately, on your turn. It attacks your opponents to the best of its ability. If you can communicate with the creature, you can direct it not to attack, to attack particular enemies, or to perform other actions. The spell conjures one of the creatures from the 1st Level list on Table 10-1. You choose which kind of creature to summon, and you can choose a different one each time you cast the spell. A summoned monster cannot summon or otherwise conjure another creature, nor can it use any teleportation or planar travel abilities. Creatures cannot be summoned into an environment that cannot support them. Creatures summoned using this spell cannot use spells or spell-like abilities that duplicate spells with expensive material components (such as wish). When you use a summoning spell to summon a creature with an alignment or elemental subtype, it is a spell of that type. Creatures on Table 10-1 marked with an "*" are summoned with the celestial template, if you are good, and the fiendish template, if you are evil. If you are neutral, you may choose which template to apply to the creature. Creatures marked with an "*" always have an alignment that matches yours, regardless of their usual alignment. Summoning these creatures makes the summoning spell's type match your alignment.</t>
  </si>
  <si>
    <t>&lt;p&gt;This spell summons an extraplanar creature (typically an outsider, elemental, or magical beast native to another plane). It appears where you designate and acts immediately, on your turn. It attacks your opponents to the best of its ability. If you can communicate with the creature, you can direct it not to attack, to attack particular enemies, or to perform other actions. The spell conjures one of the creatures from the 1st &lt;b&gt;Level&lt;/b&gt; list on Table 10-1. You choose which kind of creature to summon, and you can choose a different one each time you cast the spell.&lt;/p&gt;&lt;p&gt;A summoned monster cannot summon or otherwise conjure another creature, nor can it use any teleportation or planar travel abilities. Creatures cannot be summoned into an environment that cannot support them. Creatures summoned using this spell cannot use spells or spell-like abilities that duplicate spells with expensive material components (such as &lt;i&gt;wish).&lt;/i&gt;&lt;/p&gt;&lt;p&gt;When you use a summoning spell to summon a creature with an alignment or elemental subtype, it is a spell of that type. Creatures on Table 10-1 marked with an "*" are summoned with the celestial template, if you are good, and the fiendish template, if you are evil. If you are neutral, you may choose which template to apply to the creature. Creatures marked with an "*" always have an alignment that matches yours, regardless of their usual alignment.&lt;/p&gt;&lt;p&gt;Summoning these creatures makes the summoning spell's type match your alignment.&lt;/p&gt;</t>
  </si>
  <si>
    <t>&lt;link rel="stylesheet"href="PF.css"&gt;&lt;div class="heading"&gt;&lt;p class="alignleft"&gt;Summon Monster I&lt;/p&gt;&lt;div style="clear: both;"&gt;&lt;/div&gt;&lt;/div&gt;&lt;div&gt;&lt;h5&gt;&lt;b&gt;School &lt;/b&gt;conjuration (summoning) [see text]; &lt;b&gt;Level &lt;/b&gt;bard 1, cleric 1/oracle 1, sorcerer/wizard 1, summoner 1, witch 1, antipaladin 1&lt;/h5&gt;&lt;/div&gt;&lt;hr/&gt;&lt;div&gt;&lt;h5&gt;&lt;b&gt;CASTING&lt;/b&gt;&lt;/h5&gt;&lt;/div&gt;&lt;hr/&gt;&lt;div&gt;&lt;h5&gt;&lt;b&gt;Casting Time &lt;/b&gt;1 round&lt;/h5&gt;&lt;h5&gt;&lt;b&gt;Components &lt;/b&gt;V, S, F/DF (a tiny bag and a small candle)&lt;/h5&gt;&lt;/div&gt;&lt;hr/&gt;&lt;div&gt;&lt;h5&gt;&lt;b&gt;EFFECT&lt;/b&gt;&lt;/h5&gt;&lt;/div&gt;&lt;hr/&gt;&lt;div&gt;&lt;h5&gt;&lt;b&gt;Range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summons an extraplanar creature (typically an outsider, elemental, or magical beast native to another plane). It appears where you designate and acts immediately, on your turn. It attacks your opponents to the best of its ability. If you can communicate with the creature, you can direct it not to attack, to attack particular enemies, or to perform other actions. The spell conjures one of the creatures from the 1st &lt;b&gt;Level&lt;/b&gt; list on Table 10-1. You choose which kind of creature to summon, and you can choose a different one each time you cast the spell.&lt;/p&gt;&lt;p&gt;A summoned monster cannot summon or otherwise conjure another creature, nor can it use any teleportation or planar travel abilities. Creatures cannot be summoned into an environment that cannot support them. Creatures summoned using this spell cannot use spells or spell-like abilities that duplicate spells with expensive material components (such as &lt;i&gt;wish).&lt;/i&gt;&lt;/p&gt;&lt;p&gt;When you use a summoning spell to summon a creature with an alignment or elemental subtype, it is a spell of that type. Creatures on Table 10-1 marked with an "*" are summoned with the celestial template, if you are good, and the fiendish template, if you are evil. If you are neutral, you may choose which template to apply to the creature. Creatures marked with an "*" always have an alignment that matches yours, regardless of their usual alignment.&lt;/p&gt;&lt;p&gt;Summoning these creatures makes the summoning spell's type match your alignment.&lt;/p&gt;&lt;/h4&gt;&lt;/div&gt;</t>
  </si>
  <si>
    <t>Summons extraplanar creature to fight for you.</t>
  </si>
  <si>
    <t>Summon Monster II</t>
  </si>
  <si>
    <t>bard 2, cleric 2/oracle 2, sorcerer/wizard 2, summoner 2, witch 2, antipaladin 2</t>
  </si>
  <si>
    <t>This spell functions like summon monster I, except that you can summon one creature from the 2nd-level list or 1d3 creatures of the same kind from the 1st-level list.</t>
  </si>
  <si>
    <t>&lt;p&gt;This spell functions like &lt;i&gt;summon monster I,&lt;/i&gt; except that you can summon one creature from the 2nd-level list or 1d3 creatures of the same kind from the 1st-level list.&lt;/p&gt;</t>
  </si>
  <si>
    <t>&lt;link rel="stylesheet"href="PF.css"&gt;&lt;div class="heading"&gt;&lt;p class="alignleft"&gt;Summon Monster II&lt;/p&gt;&lt;div style="clear: both;"&gt;&lt;/div&gt;&lt;/div&gt;&lt;div&gt;&lt;h5&gt;&lt;b&gt;School &lt;/b&gt;conjuration (summoning); &lt;b&gt;Level &lt;/b&gt;bard 2, cleric 2/oracle 2, sorcerer/wizard 2, summoner 2, witch 2, antipaladin 2&lt;/h5&gt;&lt;/div&gt;&lt;hr/&gt;&lt;div&gt;&lt;h5&gt;&lt;b&gt;CASTING&lt;/b&gt;&lt;/h5&gt;&lt;/div&gt;&lt;hr/&gt;&lt;div&gt;&lt;h5&gt;&lt;b&gt;Casting Time &lt;/b&gt;1 round&lt;/h5&gt;&lt;h5&gt;&lt;b&gt;Components &lt;/b&gt;V, S, F/DF (a tiny bag and a small candle)&lt;/h5&gt;&lt;/div&gt;&lt;hr/&gt;&lt;div&gt;&lt;h5&gt;&lt;b&gt;EFFECT&lt;/b&gt;&lt;/h5&gt;&lt;/div&gt;&lt;hr/&gt;&lt;div&gt;&lt;h5&gt;&lt;b&gt;Range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monster I,&lt;/i&gt; except that you can summon one creature from the 2nd-level list or 1d3 creatures of the same kind from the 1st-level list.&lt;/p&gt;&lt;/h4&gt;&lt;/div&gt;</t>
  </si>
  <si>
    <t>Summon Monster III</t>
  </si>
  <si>
    <t>bard 3, cleric 3/oracle 3, sorcerer/wizard 3, witch 3, antipaladin 3</t>
  </si>
  <si>
    <t>This spell functions like summon monster I, except that you can summon one creature from the 3rd-level list, 1d3 creatures of the same kind from the 2nd-level list, or 1d4+1 creatures of the same kind from the 1st-level list.</t>
  </si>
  <si>
    <t>&lt;p&gt;This spell functions like &lt;i&gt;summon monster I,&lt;/i&gt; except that you can summon one creature from the 3rd-level list, 1d3 creatures of the same kind from the 2nd-level list, or 1d4+1 creatures of the same kind from the 1st-level list.&lt;/p&gt;</t>
  </si>
  <si>
    <t>&lt;link rel="stylesheet"href="PF.css"&gt;&lt;div class="heading"&gt;&lt;p class="alignleft"&gt;Summon Monster III&lt;/p&gt;&lt;div style="clear: both;"&gt;&lt;/div&gt;&lt;/div&gt;&lt;div&gt;&lt;h5&gt;&lt;b&gt;School &lt;/b&gt;conjuration (summoning); &lt;b&gt;Level &lt;/b&gt;bard 3, cleric 3/oracle 3, sorcerer/wizard 3, witch 3, antipaladin 3&lt;/h5&gt;&lt;/div&gt;&lt;hr/&gt;&lt;div&gt;&lt;h5&gt;&lt;b&gt;CASTING&lt;/b&gt;&lt;/h5&gt;&lt;/div&gt;&lt;hr/&gt;&lt;div&gt;&lt;h5&gt;&lt;b&gt;Casting Time &lt;/b&gt;1 round&lt;/h5&gt;&lt;h5&gt;&lt;b&gt;Components &lt;/b&gt;V, S, F/DF (a tiny bag and a small candle)&lt;/h5&gt;&lt;/div&gt;&lt;hr/&gt;&lt;div&gt;&lt;h5&gt;&lt;b&gt;EFFECT&lt;/b&gt;&lt;/h5&gt;&lt;/div&gt;&lt;hr/&gt;&lt;div&gt;&lt;h5&gt;&lt;b&gt;Range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monster I,&lt;/i&gt; except that you can summon one creature from the 3rd-level list, 1d3 creatures of the same kind from the 2nd-level list, or 1d4+1 creatures of the same kind from the 1st-level list.&lt;/p&gt;&lt;/h4&gt;&lt;/div&gt;</t>
  </si>
  <si>
    <t>Summon Monster IV</t>
  </si>
  <si>
    <t>bard 4, cleric 4/oracle 4, sorcerer/wizard 4, summoner 3, witch 4, antipaladin 4</t>
  </si>
  <si>
    <t>This spell functions like summon monster I, except that you can summon one creature from the 4th-level list, 1d3 creatures of the same kind from the 3rd-level list, or 1d4+1 creatures of the same kind from a lower-level list.</t>
  </si>
  <si>
    <t>&lt;p&gt;This spell functions like &lt;i&gt;summon monster I,&lt;/i&gt; except that you can summon one creature from the 4th-level list, 1d3 creatures of the same kind from the 3rd-level list, or 1d4+1 creatures of the same kind from a lower-level list.&lt;/p&gt;</t>
  </si>
  <si>
    <t>&lt;link rel="stylesheet"href="PF.css"&gt;&lt;div class="heading"&gt;&lt;p class="alignleft"&gt;Summon Monster IV&lt;/p&gt;&lt;div style="clear: both;"&gt;&lt;/div&gt;&lt;/div&gt;&lt;div&gt;&lt;h5&gt;&lt;b&gt;School &lt;/b&gt;conjuration (summoning); &lt;b&gt;Level &lt;/b&gt;bard 4, cleric 4/oracle 4, sorcerer/wizard 4, summoner 3, witch 4, antipaladin 4&lt;/h5&gt;&lt;/div&gt;&lt;hr/&gt;&lt;div&gt;&lt;h5&gt;&lt;b&gt;CASTING&lt;/b&gt;&lt;/h5&gt;&lt;/div&gt;&lt;hr/&gt;&lt;div&gt;&lt;h5&gt;&lt;b&gt;Casting Time &lt;/b&gt;1 round&lt;/h5&gt;&lt;h5&gt;&lt;b&gt;Components &lt;/b&gt;V, S, F/DF (a tiny bag and a small candle)&lt;/h5&gt;&lt;/div&gt;&lt;hr/&gt;&lt;div&gt;&lt;h5&gt;&lt;b&gt;EFFECT&lt;/b&gt;&lt;/h5&gt;&lt;/div&gt;&lt;hr/&gt;&lt;div&gt;&lt;h5&gt;&lt;b&gt;Range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monster I,&lt;/i&gt; except that you can summon one creature from the 4th-level list, 1d3 creatures of the same kind from the 3rd-level list, or 1d4+1 creatures of the same kind from a lower-level list.&lt;/p&gt;&lt;/h4&gt;&lt;/div&gt;</t>
  </si>
  <si>
    <t>Summon Monster V</t>
  </si>
  <si>
    <t>bard 5, cleric 5/oracle 5, sorcerer/wizard 5, summoner 4, witch 5</t>
  </si>
  <si>
    <t>This spell functions like summon monster I, except that you can summon one creature from the 5th-level list, 1d3 creatures of the same kind from the 4th-level list, or 1d4+1 creatures of the same kind from a lower-level list.</t>
  </si>
  <si>
    <t>&lt;p&gt;This spell functions like &lt;i&gt;summon monster I,&lt;/i&gt; except that you can summon one creature from the 5th-level list, 1d3 creatures of the same kind from the 4th-level list, or 1d4+1 creatures of the same kind from a lower-level list.&lt;/p&gt;</t>
  </si>
  <si>
    <t>&lt;link rel="stylesheet"href="PF.css"&gt;&lt;div class="heading"&gt;&lt;p class="alignleft"&gt;Summon Monster V&lt;/p&gt;&lt;div style="clear: both;"&gt;&lt;/div&gt;&lt;/div&gt;&lt;div&gt;&lt;h5&gt;&lt;b&gt;School &lt;/b&gt;conjuration (summoning); &lt;b&gt;Level &lt;/b&gt;bard 5, cleric 5/oracle 5, sorcerer/wizard 5, summoner 4, witch 5&lt;/h5&gt;&lt;/div&gt;&lt;hr/&gt;&lt;div&gt;&lt;h5&gt;&lt;b&gt;CASTING&lt;/b&gt;&lt;/h5&gt;&lt;/div&gt;&lt;hr/&gt;&lt;div&gt;&lt;h5&gt;&lt;b&gt;Casting Time &lt;/b&gt;1 round&lt;/h5&gt;&lt;h5&gt;&lt;b&gt;Components &lt;/b&gt;V, S, F/DF (a tiny bag and a small candle)&lt;/h5&gt;&lt;/div&gt;&lt;hr/&gt;&lt;div&gt;&lt;h5&gt;&lt;b&gt;EFFECT&lt;/b&gt;&lt;/h5&gt;&lt;/div&gt;&lt;hr/&gt;&lt;div&gt;&lt;h5&gt;&lt;b&gt;Range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monster I,&lt;/i&gt; except that you can summon one creature from the 5th-level list, 1d3 creatures of the same kind from the 4th-level list, or 1d4+1 creatures of the same kind from a lower-level list.&lt;/p&gt;&lt;/h4&gt;&lt;/div&gt;</t>
  </si>
  <si>
    <t>Summon Monster VI</t>
  </si>
  <si>
    <t>bard 6, cleric 6/oracle 6, sorcerer/wizard 6, witch 6</t>
  </si>
  <si>
    <t>This spell functions like summon monster I, except you can summon one creature from the 6th-level list, 1d3 creatures of the same kind from the 5th-level list, or 1d4+1 creatures of the same kind from a lower-level list.</t>
  </si>
  <si>
    <t>&lt;p&gt;This spell functions like &lt;i&gt;summon monster I,&lt;/i&gt; except you can summon one creature from the 6th-level list, 1d3 creatures of the same kind from the 5th-level list, or 1d4+1 creatures of the same kind from a lower-level list.&lt;/p&gt;</t>
  </si>
  <si>
    <t>&lt;link rel="stylesheet"href="PF.css"&gt;&lt;div class="heading"&gt;&lt;p class="alignleft"&gt;Summon Monster VI&lt;/p&gt;&lt;div style="clear: both;"&gt;&lt;/div&gt;&lt;/div&gt;&lt;div&gt;&lt;h5&gt;&lt;b&gt;School &lt;/b&gt;conjuration (summoning); &lt;b&gt;Level &lt;/b&gt;bard 6, cleric 6/oracle 6, sorcerer/wizard 6, witch 6&lt;/h5&gt;&lt;/div&gt;&lt;hr/&gt;&lt;div&gt;&lt;h5&gt;&lt;b&gt;CASTING&lt;/b&gt;&lt;/h5&gt;&lt;/div&gt;&lt;hr/&gt;&lt;div&gt;&lt;h5&gt;&lt;b&gt;Casting Time &lt;/b&gt;1 round&lt;/h5&gt;&lt;h5&gt;&lt;b&gt;Components &lt;/b&gt;V, S, F/DF (a tiny bag and a small candle)&lt;/h5&gt;&lt;/div&gt;&lt;hr/&gt;&lt;div&gt;&lt;h5&gt;&lt;b&gt;EFFECT&lt;/b&gt;&lt;/h5&gt;&lt;/div&gt;&lt;hr/&gt;&lt;div&gt;&lt;h5&gt;&lt;b&gt;Range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monster I,&lt;/i&gt; except you can summon one creature from the 6th-level list, 1d3 creatures of the same kind from the 5th-level list, or 1d4+1 creatures of the same kind from a lower-level list.&lt;/p&gt;&lt;/h4&gt;&lt;/div&gt;</t>
  </si>
  <si>
    <t>Summon Monster VIII</t>
  </si>
  <si>
    <t>cleric 8/oracle 8, sorcerer/wizard 8, witch 8, summoner 6</t>
  </si>
  <si>
    <t>This spell functions like summon monster I, except that you can summon one creature from the 8th-level list, 1d3 creatures of the same kind from the 7th-level list, or 1d4+1 creatures of the same kind from a lower-level list.</t>
  </si>
  <si>
    <t>&lt;p&gt;This spell functions like &lt;i&gt;summon monster I,&lt;/i&gt; except that you can summon one creature from the 8th-level list, 1d3 creatures of the same kind from the 7th-level list, or 1d4+1 creatures of the same kind from a lower-level list.&lt;/p&gt;</t>
  </si>
  <si>
    <t>&lt;link rel="stylesheet"href="PF.css"&gt;&lt;div class="heading"&gt;&lt;p class="alignleft"&gt;Summon Monster VIII&lt;/p&gt;&lt;div style="clear: both;"&gt;&lt;/div&gt;&lt;/div&gt;&lt;div&gt;&lt;h5&gt;&lt;b&gt;School &lt;/b&gt;conjuration (summoning); &lt;b&gt;Level &lt;/b&gt;cleric 8/oracle 8, sorcerer/wizard 8, witch 8, summoner 6&lt;/h5&gt;&lt;/div&gt;&lt;hr/&gt;&lt;div&gt;&lt;h5&gt;&lt;b&gt;CASTING&lt;/b&gt;&lt;/h5&gt;&lt;/div&gt;&lt;hr/&gt;&lt;div&gt;&lt;h5&gt;&lt;b&gt;Casting Time &lt;/b&gt;1 round&lt;/h5&gt;&lt;h5&gt;&lt;b&gt;Components &lt;/b&gt;V, S, F/DF (a tiny bag and a small candle)&lt;/h5&gt;&lt;/div&gt;&lt;hr/&gt;&lt;div&gt;&lt;h5&gt;&lt;b&gt;EFFECT&lt;/b&gt;&lt;/h5&gt;&lt;/div&gt;&lt;hr/&gt;&lt;div&gt;&lt;h5&gt;&lt;b&gt;Range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monster I,&lt;/i&gt; except that you can summon one creature from the 8th-level list, 1d3 creatures of the same kind from the 7th-level list, or 1d4+1 creatures of the same kind from a lower-level list.&lt;/p&gt;&lt;/h4&gt;&lt;/div&gt;</t>
  </si>
  <si>
    <t>Summon Monster VII</t>
  </si>
  <si>
    <t>cleric 7/oracle 7, sorcerer/wizard 7, summoner 5, witch 7</t>
  </si>
  <si>
    <t>This spell functions like summon monster I, except that you can summon one creature from the 7th-level list, 1d3 creatures of the same kind from the 6th-level list, or 1d4+1 creatures of the same kind from a lower-level list.</t>
  </si>
  <si>
    <t>&lt;p&gt;This spell functions like &lt;i&gt;summon monster I,&lt;/i&gt; except that you can summon one creature from the 7th-level list, 1d3 creatures of the same kind from the 6th-level list, or 1d4+1 creatures of the same kind from a lower-level list.&lt;/p&gt;</t>
  </si>
  <si>
    <t>&lt;link rel="stylesheet"href="PF.css"&gt;&lt;div class="heading"&gt;&lt;p class="alignleft"&gt;Summon Monster VII&lt;/p&gt;&lt;div style="clear: both;"&gt;&lt;/div&gt;&lt;/div&gt;&lt;div&gt;&lt;h5&gt;&lt;b&gt;School &lt;/b&gt;conjuration (summoning); &lt;b&gt;Level &lt;/b&gt;cleric 7/oracle 7, sorcerer/wizard 7, summoner 5, witch 7&lt;/h5&gt;&lt;/div&gt;&lt;hr/&gt;&lt;div&gt;&lt;h5&gt;&lt;b&gt;CASTING&lt;/b&gt;&lt;/h5&gt;&lt;/div&gt;&lt;hr/&gt;&lt;div&gt;&lt;h5&gt;&lt;b&gt;Casting Time &lt;/b&gt;1 round&lt;/h5&gt;&lt;h5&gt;&lt;b&gt;Components &lt;/b&gt;V, S, F/DF (a tiny bag and a small candle)&lt;/h5&gt;&lt;/div&gt;&lt;hr/&gt;&lt;div&gt;&lt;h5&gt;&lt;b&gt;EFFECT&lt;/b&gt;&lt;/h5&gt;&lt;/div&gt;&lt;hr/&gt;&lt;div&gt;&lt;h5&gt;&lt;b&gt;Range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monster I,&lt;/i&gt; except that you can summon one creature from the 7th-level list, 1d3 creatures of the same kind from the 6th-level list, or 1d4+1 creatures of the same kind from a lower-level list.&lt;/p&gt;&lt;/h4&gt;&lt;/div&gt;</t>
  </si>
  <si>
    <t>Aquatic, Serpentine</t>
  </si>
  <si>
    <t>Summon Monster IX</t>
  </si>
  <si>
    <t>This spell functions like summon monster I, except that you can summon one creature from the 9th-level list, 1d3 creatures of the same kind from the 8th-level list, or 1d4+1 creatures of the same kind from a lower-level list.</t>
  </si>
  <si>
    <t>&lt;p&gt;This spell functions like &lt;i&gt;summon monster I,&lt;/i&gt; except that you can summon one creature from the 9th-level list, 1d3 creatures of the same kind from the 8th-level list, or 1d4+1 creatures of the same kind from a lower-level list.&lt;/p&gt;</t>
  </si>
  <si>
    <t>&lt;link rel="stylesheet"href="PF.css"&gt;&lt;div class="heading"&gt;&lt;p class="alignleft"&gt;Summon Monster IX&lt;/p&gt;&lt;div style="clear: both;"&gt;&lt;/div&gt;&lt;/div&gt;&lt;div&gt;&lt;h5&gt;&lt;b&gt;School &lt;/b&gt;conjuration (summoning); &lt;b&gt;Level &lt;/b&gt;cleric 9/oracle 9, sorcerer/wizard 9, witch 9&lt;/h5&gt;&lt;/div&gt;&lt;hr/&gt;&lt;div&gt;&lt;h5&gt;&lt;b&gt;CASTING&lt;/b&gt;&lt;/h5&gt;&lt;/div&gt;&lt;hr/&gt;&lt;div&gt;&lt;h5&gt;&lt;b&gt;Casting Time &lt;/b&gt;1 round&lt;/h5&gt;&lt;h5&gt;&lt;b&gt;Components &lt;/b&gt;V, S, F/DF (a tiny bag and a small candle)&lt;/h5&gt;&lt;/div&gt;&lt;hr/&gt;&lt;div&gt;&lt;h5&gt;&lt;b&gt;EFFECT&lt;/b&gt;&lt;/h5&gt;&lt;/div&gt;&lt;hr/&gt;&lt;div&gt;&lt;h5&gt;&lt;b&gt;Range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monster I,&lt;/i&gt; except that you can summon one creature from the 9th-level list, 1d3 creatures of the same kind from the 8th-level list, or 1d4+1 creatures of the same kind from a lower-level list.&lt;/p&gt;&lt;/h4&gt;&lt;/div&gt;</t>
  </si>
  <si>
    <t>Summon Nature's Ally I</t>
  </si>
  <si>
    <t>This spell summons to your side a natural creature (typically an animal, fey, magical beast, outsider with the elemental subtype, or a giant). The summoned ally appears where you designate and acts immediately, on your turn. It attacks your opponents to the best of its ability. If you can communicate with the creature, you can direct it not to attack, to attack particular enemies, or to perform other actions as you command. A summoned monster cannot summon or otherwise conjure another creature, nor can it use any teleportation or planar travel abilities. Creatures cannot be summoned into an environment that cannot support them. Creatures summoned using this spell cannot use spells or spell-like abilities that duplicate spells that have expensive material components (such as wish). The spell conjures one of the creatures from the 1st Level list on Table 10-2. You choose which kind of creature to summon, and you can change that choice each time you cast the spell. All the creatures on the table are neutral unless otherwise noted. When you use a summoning spell to summon a creature with an alignment or elemental subtype, it is a spell of that type. All creatures summoned with this spell without alignment subtypes have an alignment that matches yours, regardless of their usual alignment. Summoning these creatures makes the summoning spell's type match your alignment.</t>
  </si>
  <si>
    <t>&lt;p&gt;This spell summons to your side a natural creature (typically an animal, fey, magical beast, outsider with the elemental subtype, or a giant). The summoned ally appears where you designate and acts immediately, on your turn. It attacks your opponents to the best of its ability. If you can communicate with the creature, you can direct it not to attack, to attack particular enemies, or to perform other actions as you command.&lt;/p&gt;&lt;p&gt;A summoned monster cannot summon or otherwise conjure another creature, nor can it use any teleportation or planar travel abilities. Creatures cannot be summoned into an environment that cannot support them. Creatures summoned using this spell cannot use spells or spell-like abilities that duplicate spells that have expensive material components (such as &lt;i&gt;wish&lt;/i&gt;).&lt;/p&gt;&lt;p&gt;The spell conjures one of the creatures from the 1st Level list on Table 10-2. You choose which kind of creature to summon, and you can change that choice each time you cast the spell. All the creatures on the table are neutral unless otherwise noted.&lt;/p&gt;&lt;p&gt;When you use a summoning spell to summon a creature with an alignment or elemental subtype, it is a spell of that type. All creatures summoned with this spell without alignment subtypes have an alignment that matches yours, regardless of their usual alignment. Summoning these creatures makes the summoning spell's type match your alignment.&lt;/p&gt;</t>
  </si>
  <si>
    <t>&lt;link rel="stylesheet"href="PF.css"&gt;&lt;div class="heading"&gt;&lt;p class="alignleft"&gt;Summon Nature's Ally I&lt;/p&gt;&lt;div style="clear: both;"&gt;&lt;/div&gt;&lt;/div&gt;&lt;div&gt;&lt;h5&gt;&lt;b&gt;School &lt;/b&gt;conjuration (summoning); &lt;b&gt;Level &lt;/b&gt;druid 1, ranger 1&lt;/h5&gt;&lt;/div&gt;&lt;hr/&gt;&lt;div&gt;&lt;h5&gt;&lt;b&gt;CASTING&lt;/b&gt;&lt;/h5&gt;&lt;/div&gt;&lt;hr/&gt;&lt;div&gt;&lt;h5&gt;&lt;b&gt;Casting Time &lt;/b&gt;1 round&lt;/h5&gt;&lt;h5&gt;&lt;b&gt;Components &lt;/b&gt;V, S, DF&lt;/h5&gt;&lt;/div&gt;&lt;hr/&gt;&lt;div&gt;&lt;h5&gt;&lt;b&gt;EFFECT&lt;/b&gt;&lt;/h5&gt;&lt;/div&gt;&lt;hr/&gt;&lt;div&gt;&lt;h5&gt;&lt;b&gt;Range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summons to your side a natural creature (typically an animal, fey, magical beast, outsider with the elemental subtype, or a giant). The summoned ally appears where you designate and acts immediately, on your turn. It attacks your opponents to the best of its ability. If you can communicate with the creature, you can direct it not to attack, to attack particular enemies, or to perform other actions as you command.&lt;/p&gt;&lt;p&gt;A summoned monster cannot summon or otherwise conjure another creature, nor can it use any teleportation or planar travel abilities. Creatures cannot be summoned into an environment that cannot support them. Creatures summoned using this spell cannot use spells or spell-like abilities that duplicate spells that have expensive material components (such as &lt;i&gt;wish&lt;/i&gt;).&lt;/p&gt;&lt;p&gt;The spell conjures one of the creatures from the 1st Level list on Table 10-2. You choose which kind of creature to summon, and you can change that choice each time you cast the spell. All the creatures on the table are neutral unless otherwise noted.&lt;/p&gt;&lt;p&gt;When you use a summoning spell to summon a creature with an alignment or elemental subtype, it is a spell of that type. All creatures summoned with this spell without alignment subtypes have an alignment that matches yours, regardless of their usual alignment. Summoning these creatures makes the summoning spell's type match your alignment.&lt;/p&gt;&lt;/h4&gt;&lt;/div&gt;</t>
  </si>
  <si>
    <t>Summons creature to fight.</t>
  </si>
  <si>
    <t>Summon Nature's Ally II</t>
  </si>
  <si>
    <t>druid 2, ranger 2</t>
  </si>
  <si>
    <t>This spell functions as summon nature's ally I, except that you summon one 2nd-level creature or 1d3 1st-level creatures of the same kind.</t>
  </si>
  <si>
    <t>&lt;p&gt;This spell functions as summon &lt;i&gt;nature's ally I&lt;/i&gt;, except that you summon one 2nd-level creature or 1d3 1st-level creatures of the same kind.&lt;/p&gt;</t>
  </si>
  <si>
    <t>&lt;link rel="stylesheet"href="PF.css"&gt;&lt;div class="heading"&gt;&lt;p class="alignleft"&gt;Summon Nature's Ally II&lt;/p&gt;&lt;div style="clear: both;"&gt;&lt;/div&gt;&lt;/div&gt;&lt;div&gt;&lt;h5&gt;&lt;b&gt;School &lt;/b&gt;conjuration (summoning); &lt;b&gt;Level &lt;/b&gt;druid 2, ranger 2&lt;/h5&gt;&lt;/div&gt;&lt;hr/&gt;&lt;div&gt;&lt;h5&gt;&lt;b&gt;CASTING&lt;/b&gt;&lt;/h5&gt;&lt;/div&gt;&lt;hr/&gt;&lt;div&gt;&lt;h5&gt;&lt;b&gt;Casting Time &lt;/b&gt;1 round&lt;/h5&gt;&lt;h5&gt;&lt;b&gt;Components &lt;/b&gt;V, S, DF&lt;/h5&gt;&lt;/div&gt;&lt;hr/&gt;&lt;div&gt;&lt;h5&gt;&lt;b&gt;EFFECT&lt;/b&gt;&lt;/h5&gt;&lt;/div&gt;&lt;hr/&gt;&lt;div&gt;&lt;h5&gt;&lt;b&gt;Range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as summon &lt;i&gt;nature's ally I&lt;/i&gt;, except that you summon one 2nd-level creature or 1d3 1st-level creatures of the same kind.&lt;/p&gt;&lt;/h4&gt;&lt;/div&gt;</t>
  </si>
  <si>
    <t>Summon Nature's Ally III</t>
  </si>
  <si>
    <t>This spell functions like summon nature's ally I, except that you can summon one 3rd-level creature, 1d3 2nd-level creatures of the same kind, or 1d4+1 1st-level creatures of the same kind.</t>
  </si>
  <si>
    <t>&lt;p&gt;This spell functions like &lt;i&gt;summon nature's ally I&lt;/i&gt;, except that you can summon one 3rd-level creature, 1d3 2nd-level creatures of the same kind, or 1d4+1 1st-level creatures of the same kind.&lt;/p&gt;</t>
  </si>
  <si>
    <t>&lt;link rel="stylesheet"href="PF.css"&gt;&lt;div class="heading"&gt;&lt;p class="alignleft"&gt;Summon Nature's Ally III&lt;/p&gt;&lt;div style="clear: both;"&gt;&lt;/div&gt;&lt;/div&gt;&lt;div&gt;&lt;h5&gt;&lt;b&gt;School &lt;/b&gt;conjuration (summoning) [see text]; &lt;b&gt;Level &lt;/b&gt;druid 3, ranger 3&lt;/h5&gt;&lt;/div&gt;&lt;hr/&gt;&lt;div&gt;&lt;h5&gt;&lt;b&gt;CASTING&lt;/b&gt;&lt;/h5&gt;&lt;/div&gt;&lt;hr/&gt;&lt;div&gt;&lt;h5&gt;&lt;b&gt;Casting Time &lt;/b&gt;1 round&lt;/h5&gt;&lt;h5&gt;&lt;b&gt;Components &lt;/b&gt;V, S, DF&lt;/h5&gt;&lt;/div&gt;&lt;hr/&gt;&lt;div&gt;&lt;h5&gt;&lt;b&gt;EFFECT&lt;/b&gt;&lt;/h5&gt;&lt;/div&gt;&lt;hr/&gt;&lt;div&gt;&lt;h5&gt;&lt;b&gt;Range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nature's ally I&lt;/i&gt;, except that you can summon one 3rd-level creature, 1d3 2nd-level creatures of the same kind, or 1d4+1 1st-level creatures of the same kind.&lt;/p&gt;&lt;/h4&gt;&lt;/div&gt;</t>
  </si>
  <si>
    <t>Summon Nature's Ally IV</t>
  </si>
  <si>
    <t>druid 4, ranger 4</t>
  </si>
  <si>
    <t>This spell functions like summon nature's ally I, except that you can summon one 4th-level creature, 1d3 3rd-level creatures of the same kind, or 1d4+1 lower-level creatures of the same kind.</t>
  </si>
  <si>
    <t>&lt;p&gt;This spell functions like &lt;i&gt;summon nature's ally I&lt;/i&gt;, except that you can summon one 4th-level creature, 1d3 3rd-level creatures of the same kind, or 1d4+1 lower-level creatures of the same kind.&lt;/p&gt;</t>
  </si>
  <si>
    <t>&lt;link rel="stylesheet"href="PF.css"&gt;&lt;div class="heading"&gt;&lt;p class="alignleft"&gt;Summon Nature's Ally IV&lt;/p&gt;&lt;div style="clear: both;"&gt;&lt;/div&gt;&lt;/div&gt;&lt;div&gt;&lt;h5&gt;&lt;b&gt;School &lt;/b&gt;conjuration (summoning) [see text]; &lt;b&gt;Level &lt;/b&gt;druid 4, ranger 4&lt;/h5&gt;&lt;/div&gt;&lt;hr/&gt;&lt;div&gt;&lt;h5&gt;&lt;b&gt;CASTING&lt;/b&gt;&lt;/h5&gt;&lt;/div&gt;&lt;hr/&gt;&lt;div&gt;&lt;h5&gt;&lt;b&gt;Casting Time &lt;/b&gt;1 round&lt;/h5&gt;&lt;h5&gt;&lt;b&gt;Components &lt;/b&gt;V, S, DF&lt;/h5&gt;&lt;/div&gt;&lt;hr/&gt;&lt;div&gt;&lt;h5&gt;&lt;b&gt;EFFECT&lt;/b&gt;&lt;/h5&gt;&lt;/div&gt;&lt;hr/&gt;&lt;div&gt;&lt;h5&gt;&lt;b&gt;Range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nature's ally I&lt;/i&gt;, except that you can summon one 4th-level creature, 1d3 3rd-level creatures of the same kind, or 1d4+1 lower-level creatures of the same kind.&lt;/p&gt;&lt;/h4&gt;&lt;/div&gt;</t>
  </si>
  <si>
    <t>Summon Nature's Ally V</t>
  </si>
  <si>
    <t>This spell functions like summon nature's ally I, except that you can summon one 5th-level creature, 1d3 4th-level creatures of the same kind, or 1d4+1 lower-level creatures of the same kind.</t>
  </si>
  <si>
    <t>&lt;p&gt;This spell functions like &lt;i&gt;summon nature's ally I&lt;/i&gt;, except that you can summon one 5th-level creature, 1d3 4th-level creatures of the same kind, or 1d4+1 lower-level creatures of the same kind.&lt;/p&gt;</t>
  </si>
  <si>
    <t>&lt;link rel="stylesheet"href="PF.css"&gt;&lt;div class="heading"&gt;&lt;p class="alignleft"&gt;Summon Nature's Ally V&lt;/p&gt;&lt;div style="clear: both;"&gt;&lt;/div&gt;&lt;/div&gt;&lt;div&gt;&lt;h5&gt;&lt;b&gt;School &lt;/b&gt;conjuration (summoning) [see text]; &lt;b&gt;Level &lt;/b&gt;druid 5&lt;/h5&gt;&lt;/div&gt;&lt;hr/&gt;&lt;div&gt;&lt;h5&gt;&lt;b&gt;CASTING&lt;/b&gt;&lt;/h5&gt;&lt;/div&gt;&lt;hr/&gt;&lt;div&gt;&lt;h5&gt;&lt;b&gt;Casting Time &lt;/b&gt;1 round&lt;/h5&gt;&lt;h5&gt;&lt;b&gt;Components &lt;/b&gt;V, S, DF&lt;/h5&gt;&lt;/div&gt;&lt;hr/&gt;&lt;div&gt;&lt;h5&gt;&lt;b&gt;EFFECT&lt;/b&gt;&lt;/h5&gt;&lt;/div&gt;&lt;hr/&gt;&lt;div&gt;&lt;h5&gt;&lt;b&gt;Range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nature's ally I&lt;/i&gt;, except that you can summon one 5th-level creature, 1d3 4th-level creatures of the same kind, or 1d4+1 lower-level creatures of the same kind.&lt;/p&gt;&lt;/h4&gt;&lt;/div&gt;</t>
  </si>
  <si>
    <t> Summons creature to fight.</t>
  </si>
  <si>
    <t>Summon Nature's Ally VI</t>
  </si>
  <si>
    <t>This spell functions like summon nature's ally I, except that you can summon one 6th-level creature, 1d3 5th-level creatures of the same kind, or 1d4+1 lower-level creatures of the same kind.</t>
  </si>
  <si>
    <t>&lt;p&gt;This spell functions like &lt;i&gt;summon nature's ally I&lt;/i&gt;, except that you can summon one 6th-level creature, 1d3 5th-level creatures of the same kind, or 1d4+1 lower-level creatures of the same kind.&lt;/p&gt;</t>
  </si>
  <si>
    <t>&lt;link rel="stylesheet"href="PF.css"&gt;&lt;div class="heading"&gt;&lt;p class="alignleft"&gt;Summon Nature's Ally VI&lt;/p&gt;&lt;div style="clear: both;"&gt;&lt;/div&gt;&lt;/div&gt;&lt;div&gt;&lt;h5&gt;&lt;b&gt;School &lt;/b&gt;conjuration (summoning) [see text]; &lt;b&gt;Level &lt;/b&gt;druid 6&lt;/h5&gt;&lt;/div&gt;&lt;hr/&gt;&lt;div&gt;&lt;h5&gt;&lt;b&gt;CASTING&lt;/b&gt;&lt;/h5&gt;&lt;/div&gt;&lt;hr/&gt;&lt;div&gt;&lt;h5&gt;&lt;b&gt;Casting Time &lt;/b&gt;1 round&lt;/h5&gt;&lt;h5&gt;&lt;b&gt;Components &lt;/b&gt;V, S, DF&lt;/h5&gt;&lt;/div&gt;&lt;hr/&gt;&lt;div&gt;&lt;h5&gt;&lt;b&gt;EFFECT&lt;/b&gt;&lt;/h5&gt;&lt;/div&gt;&lt;hr/&gt;&lt;div&gt;&lt;h5&gt;&lt;b&gt;Range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nature's ally I&lt;/i&gt;, except that you can summon one 6th-level creature, 1d3 5th-level creatures of the same kind, or 1d4+1 lower-level creatures of the same kind.&lt;/p&gt;&lt;/h4&gt;&lt;/div&gt;</t>
  </si>
  <si>
    <t>Summon Nature's Ally VII</t>
  </si>
  <si>
    <t>This spell functions like summon nature's ally I, except that you can summon one 7th-level creature, 1d3 6th-level creatures of the same kind, or 1d4+1 lower-level creatures of the same kind.</t>
  </si>
  <si>
    <t>&lt;p&gt;This spell functions like &lt;i&gt;summon nature's ally I&lt;/i&gt;, except that you can summon one 7th-level creature, 1d3 6th-level creatures of the same kind, or 1d4+1 lower-level creatures of the same kind.&lt;/p&gt;</t>
  </si>
  <si>
    <t>&lt;link rel="stylesheet"href="PF.css"&gt;&lt;div class="heading"&gt;&lt;p class="alignleft"&gt;Summon Nature's Ally VII&lt;/p&gt;&lt;div style="clear: both;"&gt;&lt;/div&gt;&lt;/div&gt;&lt;div&gt;&lt;h5&gt;&lt;b&gt;School &lt;/b&gt;conjuration (summoning) [see text]; &lt;b&gt;Level &lt;/b&gt;druid 7&lt;/h5&gt;&lt;/div&gt;&lt;hr/&gt;&lt;div&gt;&lt;h5&gt;&lt;b&gt;CASTING&lt;/b&gt;&lt;/h5&gt;&lt;/div&gt;&lt;hr/&gt;&lt;div&gt;&lt;h5&gt;&lt;b&gt;Casting Time &lt;/b&gt;1 round&lt;/h5&gt;&lt;h5&gt;&lt;b&gt;Components &lt;/b&gt;V, S, DF&lt;/h5&gt;&lt;/div&gt;&lt;hr/&gt;&lt;div&gt;&lt;h5&gt;&lt;b&gt;EFFECT&lt;/b&gt;&lt;/h5&gt;&lt;/div&gt;&lt;hr/&gt;&lt;div&gt;&lt;h5&gt;&lt;b&gt;Range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nature's ally I&lt;/i&gt;, except that you can summon one 7th-level creature, 1d3 6th-level creatures of the same kind, or 1d4+1 lower-level creatures of the same kind.&lt;/p&gt;&lt;/h4&gt;&lt;/div&gt;</t>
  </si>
  <si>
    <t>Saurian</t>
  </si>
  <si>
    <t>Summon Nature's Ally VIII</t>
  </si>
  <si>
    <t>This spell functions like summon nature's ally I, except that you can summon one 8th-level creature, 1d3 7th-level creatures of the same kind, or 1d4+1 lower-level creatures of the same kind.</t>
  </si>
  <si>
    <t>&lt;p&gt;This spell functions like &lt;i&gt;summon nature's ally I&lt;/i&gt;, except that you can summon one 8th-level creature, 1d3 7th-level creatures of the same kind, or 1d4+1 lower-level creatures of the same kind.&lt;/p&gt;</t>
  </si>
  <si>
    <t>&lt;link rel="stylesheet"href="PF.css"&gt;&lt;div class="heading"&gt;&lt;p class="alignleft"&gt;Summon Nature's Ally VIII&lt;/p&gt;&lt;div style="clear: both;"&gt;&lt;/div&gt;&lt;/div&gt;&lt;div&gt;&lt;h5&gt;&lt;b&gt;School &lt;/b&gt;conjuration (summoning) [see text]; &lt;b&gt;Level &lt;/b&gt;druid 8&lt;/h5&gt;&lt;/div&gt;&lt;hr/&gt;&lt;div&gt;&lt;h5&gt;&lt;b&gt;CASTING&lt;/b&gt;&lt;/h5&gt;&lt;/div&gt;&lt;hr/&gt;&lt;div&gt;&lt;h5&gt;&lt;b&gt;Casting Time &lt;/b&gt;1 round&lt;/h5&gt;&lt;h5&gt;&lt;b&gt;Components &lt;/b&gt;V, S, DF&lt;/h5&gt;&lt;/div&gt;&lt;hr/&gt;&lt;div&gt;&lt;h5&gt;&lt;b&gt;EFFECT&lt;/b&gt;&lt;/h5&gt;&lt;/div&gt;&lt;hr/&gt;&lt;div&gt;&lt;h5&gt;&lt;b&gt;Range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nature's ally I&lt;/i&gt;, except that you can summon one 8th-level creature, 1d3 7th-level creatures of the same kind, or 1d4+1 lower-level creatures of the same kind.&lt;/p&gt;&lt;/h4&gt;&lt;/div&gt;</t>
  </si>
  <si>
    <t>Summon Nature's Ally IX</t>
  </si>
  <si>
    <t>This spell functions like summon nature's ally I, except that you can summon one 9th-level creature, 1d3 8th-level creatures of the same kind, or 1d4+1 lower-level creatures of the same kind.</t>
  </si>
  <si>
    <t>&lt;p&gt;This spell functions like &lt;i&gt;summon nature's ally I&lt;/i&gt;, except that you can summon one 9th-level creature, 1d3 8th-level creatures of the same kind, or 1d4+1 lower-level creatures of the same kind.&lt;/p&gt;</t>
  </si>
  <si>
    <t>&lt;link rel="stylesheet"href="PF.css"&gt;&lt;div class="heading"&gt;&lt;p class="alignleft"&gt;Summon Nature's Ally IX&lt;/p&gt;&lt;div style="clear: both;"&gt;&lt;/div&gt;&lt;/div&gt;&lt;div&gt;&lt;h5&gt;&lt;b&gt;School &lt;/b&gt;conjuration (summoning) [see text]; &lt;b&gt;Level &lt;/b&gt;druid 9&lt;/h5&gt;&lt;/div&gt;&lt;hr/&gt;&lt;div&gt;&lt;h5&gt;&lt;b&gt;CASTING&lt;/b&gt;&lt;/h5&gt;&lt;/div&gt;&lt;hr/&gt;&lt;div&gt;&lt;h5&gt;&lt;b&gt;Casting Time &lt;/b&gt;1 round&lt;/h5&gt;&lt;h5&gt;&lt;b&gt;Components &lt;/b&gt;V, S, DF&lt;/h5&gt;&lt;/div&gt;&lt;hr/&gt;&lt;div&gt;&lt;h5&gt;&lt;b&gt;EFFECT&lt;/b&gt;&lt;/h5&gt;&lt;/div&gt;&lt;hr/&gt;&lt;div&gt;&lt;h5&gt;&lt;b&gt;Range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nature's ally I&lt;/i&gt;, except that you can summon one 9th-level creature, 1d3 8th-level creatures of the same kind, or 1d4+1 lower-level creatures of the same kind.&lt;/p&gt;&lt;/h4&gt;&lt;/div&gt;</t>
  </si>
  <si>
    <t>Summon Swarm</t>
  </si>
  <si>
    <t>bard 2, druid 2, sorcerer/wizard 2, summoner 2, witch 2</t>
  </si>
  <si>
    <t>V, S, M/DF (a square of red cloth)</t>
  </si>
  <si>
    <t>one swarm of bats, rats, or spiders</t>
  </si>
  <si>
    <t>You summon a swarm of bats, rats, or spiders (your choice), which attacks all other creatures within its area. (You may summon the swarm so that it shares the area of other creatures.) If no living creatures are within its area, the swarm attacks or pursues the nearest creature as best it can. The caster has no control over its target or direction of travel.</t>
  </si>
  <si>
    <t>&lt;p&gt;You summon a swarm of bats, rats, or spiders (your choice), which attacks all other creatures within its area. (You may summon the swarm so that it shares the area of other creatures.) If no living creatures are within its area, the swarm attacks or pursues the nearest creature as best it can. The caster has no control over its target or direction of travel.&lt;/p&gt;</t>
  </si>
  <si>
    <t>&lt;link rel="stylesheet"href="PF.css"&gt;&lt;div class="heading"&gt;&lt;p class="alignleft"&gt;Summon Swarm&lt;/p&gt;&lt;div style="clear: both;"&gt;&lt;/div&gt;&lt;/div&gt;&lt;div&gt;&lt;h5&gt;&lt;b&gt;School &lt;/b&gt;conjuration (summoning); &lt;b&gt;Level &lt;/b&gt;bard 2, druid 2, sorcerer/wizard 2, summoner 2, witch 2&lt;/h5&gt;&lt;/div&gt;&lt;hr/&gt;&lt;div&gt;&lt;h5&gt;&lt;b&gt;CASTING&lt;/b&gt;&lt;/h5&gt;&lt;/div&gt;&lt;hr/&gt;&lt;div&gt;&lt;h5&gt;&lt;b&gt;Casting Time &lt;/b&gt;1 round&lt;/h5&gt;&lt;h5&gt;&lt;b&gt;Components &lt;/b&gt;V, S, M/DF (a square of red cloth)&lt;/h5&gt;&lt;/div&gt;&lt;hr/&gt;&lt;div&gt;&lt;h5&gt;&lt;b&gt;EFFECT&lt;/b&gt;&lt;/h5&gt;&lt;/div&gt;&lt;hr/&gt;&lt;div&gt;&lt;h5&gt;&lt;b&gt;Range &lt;/b&gt;close (25 ft. + 5 ft./2 levels)&lt;/h5&gt;&lt;h5&gt;&lt;b&gt;Effect &lt;/b&gt;one swarm of bats, rats, or spiders&lt;/h5&gt;&lt;h5&gt;&lt;b&gt;Duration &lt;/b&gt;concentration + 2 rounds&lt;/h5&gt;&lt;h5&gt;&lt;b&gt;Saving Throw &lt;/b&gt;none; &lt;b&gt;Spell Resistance &lt;/b&gt;no&lt;/h5&gt;&lt;/div&gt;&lt;hr/&gt;&lt;div&gt;&lt;h5&gt;&lt;b&gt;DESCRIPTION&lt;/b&gt;&lt;/h5&gt;&lt;/div&gt;&lt;hr/&gt;&lt;div&gt;&lt;h4&gt;&lt;p&gt;You summon a swarm of bats, rats, or spiders (your choice), which attacks all other creatures within its area. (You may summon the swarm so that it shares the area of other creatures.) If no living creatures are within its area, the swarm attacks or pursues the nearest creature as best it can. The caster has no control over its target or direction of travel.&lt;/p&gt;&lt;/h4&gt;&lt;h5&gt;&lt;b&gt;Mythic: &lt;/b&gt;The swarm has the advanced simple template. A swarm of rats or spiders leaves behind a trail of filth or ichor when it moves, which has the effects of a grease spell for 1 round after the swarm passes through an area. Any creature that moves through the affected area is also subject to the swarm's disease or poison, as if attacked by the swarm. A prone creature in the affected area takes a -4 penalty on its saving throw against this affliction. A bat swarm leaves behind a similar trail that lasts for 2 rounds but doesn't have a disease or poison effect.&lt;/h5&gt;&lt;/div&gt;</t>
  </si>
  <si>
    <t>Summons swarm of bats, rats, or spiders.</t>
  </si>
  <si>
    <t>The swarm has the advanced simple template. A swarm of rats or spiders leaves behind a trail of filth or ichor when it moves, which has the effects of a grease spell for 1 round after the swarm passes through an area. Any creature that moves through the affected area is also subject to the swarm's disease or poison, as if attacked by the swarm. A prone creature in the affected area takes a -4 penalty on its saving throw against this affliction. A bat swarm leaves behind a similar trail that lasts for 2 rounds but doesn't have a disease or poison effect.</t>
  </si>
  <si>
    <t>Sunbeam</t>
  </si>
  <si>
    <t>line from your hand</t>
  </si>
  <si>
    <t>1 round/level or until all beams are exhausted</t>
  </si>
  <si>
    <t>Reflex negates and Reflex half; see text</t>
  </si>
  <si>
    <t>For the duration of this spell, you can use a standard action to evoke a dazzling beam of intense light each round. You can call forth one beam per three caster levels (maximum six beams at 18th level). The spell ends when its duration runs out or your allotment of beams is exhausted. Each creature in the beam is blinded and takes 4d6 points of damage. Any creatures to which sunlight is harmful or unnatural take double damage. A successful Reflex save negates the blindness and reduces the damage by half. An undead creature caught within the beam takes 1d6 points of damage per caster level (maximum 20d6), or half damage if a Reflex save is successful. In addition, the beam results in the destruction of any undead creature specifically harmed by bright light if it fails its save. The ultraviolet light generated by the spell deals damage to fungi, mold, oozes, and slimes just as if they were undead creatures.</t>
  </si>
  <si>
    <t>&lt;p&gt;For the duration of this spell, you can use a standard action to evoke a dazzling beam of intense light each round. You can call forth one beam per three caster levels (maximum six beams at 18th level). The spell ends when its duration runs out or your allotment of beams is exhausted.&lt;/p&gt;&lt;p&gt;Each creature in the beam is blinded and takes 4d6 points of damage. Any creatures to which sunlight is harmful or unnatural take double damage. A successful Reflex save negates the blindness and reduces the damage by half.&lt;/p&gt;&lt;p&gt;An undead creature caught within the beam takes 1d6 points of damage per caster level (maximum 20d6), or half damage if a Reflex save is successful. In addition, the beam results in the destruction of any undead creature specifically harmed by bright light if it fails its save.&lt;/p&gt;&lt;p&gt;The ultraviolet light generated by the spell deals damage to fungi, mold, oozes, and slimes just as if they were undead creatures.&lt;/p&gt;</t>
  </si>
  <si>
    <t>&lt;link rel="stylesheet"href="PF.css"&gt;&lt;div class="heading"&gt;&lt;p class="alignleft"&gt;Sunbeam&lt;/p&gt;&lt;div style="clear: both;"&gt;&lt;/div&gt;&lt;/div&gt;&lt;div&gt;&lt;h5&gt;&lt;b&gt;School &lt;/b&gt;evocation [light]; &lt;b&gt;Level &lt;/b&gt;druid 7&lt;/h5&gt;&lt;/div&gt;&lt;hr/&gt;&lt;div&gt;&lt;h5&gt;&lt;b&gt;CASTING&lt;/b&gt;&lt;/h5&gt;&lt;/div&gt;&lt;hr/&gt;&lt;div&gt;&lt;h5&gt;&lt;b&gt;Casting Time &lt;/b&gt;1 standard action&lt;/h5&gt;&lt;h5&gt;&lt;b&gt;Components &lt;/b&gt;V, S, DF&lt;/h5&gt;&lt;/div&gt;&lt;hr/&gt;&lt;div&gt;&lt;h5&gt;&lt;b&gt;EFFECT&lt;/b&gt;&lt;/h5&gt;&lt;/div&gt;&lt;hr/&gt;&lt;div&gt;&lt;h5&gt;&lt;b&gt;Range &lt;/b&gt;60 ft.&lt;/h5&gt;&lt;h5&gt;&lt;b&gt;Area &lt;/b&gt;line from your hand&lt;/h5&gt;&lt;h5&gt;&lt;b&gt;Duration &lt;/b&gt;1 round/level or until all beams are exhausted&lt;/h5&gt;&lt;h5&gt;&lt;b&gt;Saving Throw &lt;/b&gt;Reflex negates and Reflex half; see text; &lt;b&gt;Spell Resistance &lt;/b&gt;yes&lt;/h5&gt;&lt;/div&gt;&lt;hr/&gt;&lt;div&gt;&lt;h5&gt;&lt;b&gt;DESCRIPTION&lt;/b&gt;&lt;/h5&gt;&lt;/div&gt;&lt;hr/&gt;&lt;div&gt;&lt;h4&gt;&lt;p&gt;For the duration of this spell, you can use a standard action to evoke a dazzling beam of intense light each round. You can call forth one beam per three caster levels (maximum six beams at 18th level). The spell ends when its duration runs out or your allotment of beams is exhausted.&lt;/p&gt;&lt;p&gt;Each creature in the beam is blinded and takes 4d6 points of damage. Any creatures to which sunlight is harmful or unnatural take double damage. A successful Reflex save negates the blindness and reduces the damage by half.&lt;/p&gt;&lt;p&gt;An undead creature caught within the beam takes 1d6 points of damage per caster level (maximum 20d6), or half damage if a Reflex save is successful. In addition, the beam results in the destruction of any undead creature specifically harmed by bright light if it fails its save.&lt;/p&gt;&lt;p&gt;The ultraviolet light generated by the spell deals damage to fungi, mold, oozes, and slimes just as if they were undead creatures.&lt;/p&gt;&lt;/h4&gt;&lt;h5&gt;&lt;b&gt;Mythic: &lt;/b&gt;You call forth one beam per 2 caster levels instead of per 3. The damage dealt increases to 4d8 points of damage. The damage dealt to undead creatures, fungi, mold, oozes, and slimes increases to 1d8 points of damage per caster level (maximum 20d8). Any creature that successfully saves against a beam is dazzled for 1 minute.&lt;/h5&gt;&lt;h5&gt;&lt;b&gt;Augmented (9th)&lt;/b&gt;: If you expend three uses of mythic power, the first beam you create has a duration of 1 round per 2 caster levels, and deals maximum damage on the round you cast it. Creatures in the beam can attempt saving throws to avoid blindness, but not the spell's damage.&lt;/h5&gt;&lt;/div&gt;</t>
  </si>
  <si>
    <t> Beam blinds and deals 4d6 damage.</t>
  </si>
  <si>
    <t>You call forth one beam per 2 caster levels instead of per 3. The damage dealt increases to 4d8 points of damage. The damage dealt to undead creatures, fungi, mold, oozes, and slimes increases to 1d8 points of damage per caster level (maximum 20d8). Any creature that successfully saves against a beam is dazzled for 1 minute.</t>
  </si>
  <si>
    <t>Augmented (9th): If you expend three uses of mythic power, the first beam you create has a duration of 1 round per 2 caster levels, and deals maximum damage on the round you cast it. Creatures in the beam can attempt saving throws to avoid blindness, but not the spell's damage.</t>
  </si>
  <si>
    <t>Sunburst</t>
  </si>
  <si>
    <t>druid 8, sorcerer/wizard 8</t>
  </si>
  <si>
    <t>V, S, M/DF (sunstone and fire source)</t>
  </si>
  <si>
    <t>80-ft.-radius burst</t>
  </si>
  <si>
    <t>Sunburst causes a globe of searing radiance to explode silently from a point you select. All creatures in the globe are blinded and take 6d6 points of damage. A creature to which sunlight is harmful or unnatural takes double damage. A successful Reflex save negates the blindness and reduces the damage by half. An undead creature caught within the globe takes 1d6 points of damage per caster level (maximum 25d6), or half damage if a Reflex save is successful. In addition, the burst results in the destruction of any undead creature specifically harmed by bright light if it fails its save. The ultraviolet light generated by the spell deals damage to fungi, mold, oozes, and slimes just as if they were undead creatures. Sunburst dispels any darkness spells of lower than 9th level within its area.</t>
  </si>
  <si>
    <t>&lt;p&gt;&lt;i&gt;Sunburst&lt;/i&gt; causes a globe of searing radiance to explode silently from a point you select. All creatures in the globe are blinded and take 6d6 points of damage. A creature to which sunlight is harmful or unnatural takes double damage. A successful Reflex save negates the blindness and reduces the damage by half.&lt;/p&gt;&lt;p&gt;An undead creature caught within the globe takes 1d6 points of damage per caster level (maximum 25d6), or half damage if a Reflex save is successful. In addition, the burst results in the destruction of any undead creature specifically harmed by bright light if it fails its save.&lt;/p&gt;&lt;p&gt;The ultraviolet light generated by the spell deals damage to fungi, mold, oozes, and slimes just as if they were undead creatures.&lt;/p&gt;&lt;p&gt;&lt;i&gt;Sunburst&lt;/i&gt; dispels any darkness spells of lower than 9th level within its area.&lt;/p&gt;</t>
  </si>
  <si>
    <t>&lt;link rel="stylesheet"href="PF.css"&gt;&lt;div class="heading"&gt;&lt;p class="alignleft"&gt;Sunburst&lt;/p&gt;&lt;div style="clear: both;"&gt;&lt;/div&gt;&lt;/div&gt;&lt;div&gt;&lt;h5&gt;&lt;b&gt;School &lt;/b&gt;evocation [light]; &lt;b&gt;Level &lt;/b&gt;druid 8, sorcerer/wizard 8&lt;/h5&gt;&lt;/div&gt;&lt;hr/&gt;&lt;div&gt;&lt;h5&gt;&lt;b&gt;CASTING&lt;/b&gt;&lt;/h5&gt;&lt;/div&gt;&lt;hr/&gt;&lt;div&gt;&lt;h5&gt;&lt;b&gt;Casting Time &lt;/b&gt;1 standard action&lt;/h5&gt;&lt;h5&gt;&lt;b&gt;Components &lt;/b&gt;V, S, M/DF (sunstone and fire source)&lt;/h5&gt;&lt;/div&gt;&lt;hr/&gt;&lt;div&gt;&lt;h5&gt;&lt;b&gt;EFFECT&lt;/b&gt;&lt;/h5&gt;&lt;/div&gt;&lt;hr/&gt;&lt;div&gt;&lt;h5&gt;&lt;b&gt;Range &lt;/b&gt;long (400 ft. + 40 ft./level)&lt;/h5&gt;&lt;h5&gt;&lt;b&gt;Area &lt;/b&gt;80-ft.-radius burst&lt;/h5&gt;&lt;h5&gt;&lt;b&gt;Duration &lt;/b&gt;instantaneous&lt;/h5&gt;&lt;h5&gt;&lt;b&gt;Saving Throw &lt;/b&gt;Reflex partial; see text; &lt;b&gt;Spell Resistance &lt;/b&gt;yes&lt;/h5&gt;&lt;/div&gt;&lt;hr/&gt;&lt;div&gt;&lt;h5&gt;&lt;b&gt;DESCRIPTION&lt;/b&gt;&lt;/h5&gt;&lt;/div&gt;&lt;hr/&gt;&lt;div&gt;&lt;h4&gt;&lt;p&gt;&lt;i&gt;Sunburst&lt;/i&gt; causes a globe of searing radiance to explode silently from a point you select. All creatures in the globe are blinded and take 6d6 points of damage. A creature to which sunlight is harmful or unnatural takes double damage. A successful Reflex save negates the blindness and reduces the damage by half.&lt;/p&gt;&lt;p&gt;An undead creature caught within the globe takes 1d6 points of damage per caster level (maximum 25d6), or half damage if a Reflex save is successful. In addition, the burst results in the destruction of any undead creature specifically harmed by bright light if it fails its save.&lt;/p&gt;&lt;p&gt;The ultraviolet light generated by the spell deals damage to fungi, mold, oozes, and slimes just as if they were undead creatures.&lt;/p&gt;&lt;p&gt;&lt;i&gt;Sunburst&lt;/i&gt; dispels any darkness spells of lower than 9th level within its area.&lt;/p&gt;&lt;/h4&gt;&lt;/div&gt;</t>
  </si>
  <si>
    <t>Seasons, Sun</t>
  </si>
  <si>
    <t>Blinds all within 10 ft., deals 6d6 damage.</t>
  </si>
  <si>
    <t>Symbol of Death</t>
  </si>
  <si>
    <t>cleric 8/oracle 8, sorcerer/wizard 8, witch 8</t>
  </si>
  <si>
    <t>V, S, M (mercury and phosphorus, plus powdered diamond and opal worth 5,000 gp each)</t>
  </si>
  <si>
    <t>0 ft.; see text</t>
  </si>
  <si>
    <t>one symbol</t>
  </si>
  <si>
    <t>This spell allows you to scribe a potent rune of power upon a surface. When triggered, a symbol of death kills one or more creatures within 60 feet of the symbol (treat as a burst) whose combined total current hit points do not exceed 150. The symbol of death affects the closest creatures first, skipping creatures with too many hit points to affect. Once triggered, the symbol becomes active and glows, lasting for 10 minutes per caster level or until it has affected 150 hit points' worth of creatures, whichever comes first. A creature that enters the area while the symbol of death is active is subject to its effect, whether or not that creature was in the area when it was triggered. A creature need save against the symbol only once as long as it remains within the area, though if it leaves the area and returns while the symbol is still active, it must save again. Until it is triggered, the symbol of death is inactive (though visible and legible at a distance of 60 feet). To be effective, a symbol of death must always be placed in plain sight and in a prominent location. Covering or hiding the rune renders the symbol of death ineffective, unless a creature removes the covering, in which case the symbol of death works normally. As a default, a symbol of death is triggered whenever a creature does one or more of the following, as you select: looks at the rune; reads the rune; touches the rune; passes over the rune; or passes through a portal bearing the rune. Regardless of the trigger method or methods chosen, a creature more than 60 feet from a symbol of death can't trigger it (even if it meets one or more of the triggering conditions, such as reading the rune). Once the spell is cast, a symbol of death's triggering conditions cannot be changed. In this case, "reading" the rune means any attempt to study it, identify it, or fathom its meaning. Throwing a cover over a symbol of death to render it inoperative triggers it if the symbol reacts to touch. You can't use a symbol of death offensively; for instance, a touch-triggered symbol of death remains untriggered if an item bearing the symbol of death is used to touch a creature. Likewise, a symbol of death cannot be placed on a weapon and set to activate when the weapon strikes a foe. You can also set special triggering limitations of your own. These can be as simple or elaborate as you desire. Special conditions for triggering a symbol of death can be based on a creature's name, identity, or alignment, but otherwise must be based on observable actions or qualities. Intangibles such as level, class, HD, and hit points don't qualify. When scribing a symbol of death, you can specify a password or phrase that prevents a creature using it from triggering the symbol's effect. Anyone using the password remains immune to that particular rune's effects so long as the creature remains within 60 feet of the rune. If the creature leaves the radius and returns later, it must use the password again. You also can attune any number of creatures to the symbol of death, but doing this can extend the casting time. Attuning one or two creatures takes negligible time, and attuning a small group (as many as 10 creatures) extends the casting time to 1 hour. Attuning a large group (as many as 25 creatures) takes 24 hours. Attuning larger groups takes an additional 24 hours per 25 creatures. Any creature attuned to a symbol of death cannot trigger it and is immune to its effects, even if within its radius when it is triggered. You are automatically considered attuned to your own symbols of death, and thus always ignore the effects and cannot inadvertently trigger them. Read magic allows you to identify a symbol with a Spellcraft check (DC 10 + the symbol's spell level). Of course, if the symbol is set to be triggered by reading it, this will trigger the symbol. A symbol of death can be removed by a successful dispel magic targeted solely on the rune. An erase spell has no effect on a symbol of death. Destruction of the surface where a symbol of death is inscribed destroys the symbol but also triggers it. Symbol of death can be made permanent with a permanency spell. A permanent symbol of death that is disabled or has affected its maximum number of hit points becomes inactive for 10 minutes, but then can be triggered again as normal. Note: Magic traps such as symbol of death are hard to detect and disable. A rogue (only) can use the Perception skill to find a symbol of death and Disable Device to thwart it. The DC in each case is 25 + spell level, or 33 for symbol of death.</t>
  </si>
  <si>
    <t>&lt;p&gt;This spell allows you to scribe a potent rune of power upon a surface.&lt;/p&gt;&lt;p&gt;When triggered, a &lt;i&gt;&lt;i&gt;symbol&lt;/i&gt; of &lt;i&gt;death&lt;/i&gt;&lt;/i&gt; kills one or more creatures within 60 feet of the &lt;i&gt;symbol&lt;/i&gt; (treat as a burst) whose combined total current hit points do not exceed 150. The &lt;i&gt;&lt;i&gt;symbol&lt;/i&gt; of &lt;i&gt;death&lt;/i&gt;&lt;/i&gt; affects the closest creatures first, skipping creatures with too many hit points to affect.&lt;/p&gt;&lt;p&gt;Once triggered, the &lt;i&gt;symbol&lt;/i&gt; becomes active and glows, lasting for 10 minutes per caster level or until it has affected 150 hit points' worth of creatures, whichever comes first. A creature that enters the area while the &lt;i&gt;&lt;i&gt;symbol&lt;/i&gt; of &lt;i&gt;death&lt;/i&gt;&lt;/i&gt; is active is subject to its effect, whether or not that creature was in the area when it was triggered. A creature need save against the &lt;i&gt;symbol&lt;/i&gt; only once as long as it remains within the area, though if it leaves the area and returns while the &lt;i&gt;symbol&lt;/i&gt; is still active, it must save again.&lt;/p&gt;&lt;p&gt;Until it is triggered, the &lt;i&gt;&lt;i&gt;symbol&lt;/i&gt; of &lt;i&gt;death&lt;/i&gt;&lt;/i&gt; is inactive (though visible and legible at a distance of 60 feet). To be effective, a &lt;i&gt;&lt;i&gt;symbol&lt;/i&gt; of &lt;i&gt;death&lt;/i&gt;&lt;/i&gt; must always be placed in plain sight and in a prominent location. Covering or hiding the rune renders the &lt;i&gt;&lt;i&gt;symbol&lt;/i&gt; of &lt;i&gt;death&lt;/i&gt;&lt;/i&gt; ineffective, unless a creature removes the covering, in which case the &lt;i&gt;&lt;i&gt;symbol&lt;/i&gt; of &lt;i&gt;death&lt;/i&gt;&lt;/i&gt; works normally.&lt;/p&gt;&lt;p&gt;As a default, a &lt;i&gt;&lt;i&gt;symbol&lt;/i&gt; of &lt;i&gt;death&lt;/i&gt;&lt;/i&gt; is triggered whenever a creature does one or more of the following, as you select: looks at the rune; reads the rune; touches the rune; passes over the rune; or passes through a portal bearing the rune. Regardless of the trigger method or methods chosen, a creature more than 60 feet from a &lt;i&gt;&lt;i&gt;symbol&lt;/i&gt; of &lt;i&gt;death&lt;/i&gt;&lt;/i&gt; can't trigger it (even if it meets one or more of the triggering conditions, such as reading the rune). Once the spell is cast, a &lt;i&gt;&lt;i&gt;symbol&lt;/i&gt; of &lt;i&gt;death&lt;/i&gt;&lt;/i&gt;'s triggering conditions cannot be changed.&lt;/p&gt;&lt;p&gt;In this case, "reading" the rune means any attempt to study it, identify it, or fathom its meaning. Throwing a cover over a &lt;i&gt;&lt;i&gt;symbol&lt;/i&gt; of &lt;i&gt;death&lt;/i&gt;&lt;/i&gt; to render it inoperative triggers it if the &lt;i&gt;symbol&lt;/i&gt; reacts to touch. You can't use a &lt;i&gt;&lt;i&gt;symbol&lt;/i&gt; of &lt;i&gt;death&lt;/i&gt;&lt;/i&gt; offensively; for instance, a touch-triggered &lt;i&gt;&lt;i&gt;symbol&lt;/i&gt; of &lt;i&gt;death&lt;/i&gt;&lt;/i&gt; remains untriggered if an item bearing the &lt;i&gt;&lt;i&gt;symbol&lt;/i&gt; of &lt;i&gt;death&lt;/i&gt;&lt;/i&gt; is used to touch a creature. Likewise, a &lt;i&gt;&lt;i&gt;symbol&lt;/i&gt; of &lt;i&gt;death&lt;/i&gt;&lt;/i&gt; cannot be placed on a weapon and set to activate when the weapon strikes a foe.&lt;/p&gt;&lt;p&gt;You can also set special triggering limitations of your own. These can be as simple or elaborate as you desire. Special conditions for triggering a &lt;i&gt;&lt;i&gt;symbol&lt;/i&gt; of &lt;i&gt;death&lt;/i&gt;&lt;/i&gt; can be based on a creature's name, identity, or alignment, but otherwise must be based on observable actions or qualities. Intangibles such as level, class, HD, and hit points don't qualify.&lt;/p&gt;&lt;p&gt;When scribing a &lt;i&gt;&lt;i&gt;symbol&lt;/i&gt; of &lt;i&gt;death&lt;/i&gt;&lt;/i&gt;, you can specify a password or phrase that prevents a creature using it from triggering the &lt;i&gt;symbol&lt;/i&gt;'s effect. Anyone using the password remains immune to that particular rune's effects so long as the creature remains within 60 feet of the rune. If the creature leaves the radius and returns later, it must use the password again.&lt;/p&gt;&lt;p&gt;You also can attune any number of creatures to the &lt;i&gt;&lt;i&gt;symbol&lt;/i&gt; of &lt;i&gt;death&lt;/i&gt;&lt;/i&gt;, but doing this can extend the casting time. Attuning one or two creatures takes negligible time, and attuning a small group (as many as 10 creatures) extends the casting time to 1 hour. Attuning a large group (as many as 25 creatures) takes 24 hours. Attuning larger groups takes an additional 24 hours per 25 creatures. Any creature attuned to a &lt;i&gt;&lt;i&gt;symbol&lt;/i&gt; of &lt;i&gt;death&lt;/i&gt;&lt;/i&gt; cannot trigger it and is immune to its effects, even if within its radius when it is triggered. You are automatically considered attuned to your own &lt;i&gt;symbol&lt;/i&gt;s of &lt;i&gt;&lt;i&gt;death&lt;/i&gt;,&lt;/i&gt; and thus always ignore the effects and cannot inadvertently trigger them.&lt;/p&gt;&lt;p&gt;&lt;i&gt;Read magic&lt;/i&gt; allows you to identify a &lt;i&gt;symbol&lt;/i&gt; with a Spellcraft check (DC 10 + the &lt;i&gt;symbol&lt;/i&gt;'s spell level). Of course, if the &lt;i&gt;symbol&lt;/i&gt; is set to be triggered by reading it, this will trigger the &lt;i&gt;symbol&lt;/i&gt;.&lt;/p&gt;&lt;p&gt;A &lt;i&gt;&lt;i&gt;symbol&lt;/i&gt; of &lt;i&gt;death&lt;/i&gt;&lt;/i&gt; can be removed by a successful &lt;i&gt;dispel magic&lt;/i&gt; targeted solely on the rune. An &lt;i&gt;erase&lt;/i&gt; spell has no effect on a &lt;i&gt;&lt;i&gt;symbol&lt;/i&gt; of &lt;i&gt;death&lt;/i&gt;&lt;/i&gt;. Destruction of the surface where a &lt;i&gt;&lt;i&gt;symbol&lt;/i&gt; of &lt;i&gt;death&lt;/i&gt;&lt;/i&gt; is inscribed destroys the &lt;i&gt;symbol&lt;/i&gt; but also triggers it.&lt;/p&gt;&lt;p&gt;&lt;i&gt;Symbol of &lt;i&gt;death&lt;/i&gt;&lt;/i&gt; can be made permanent with a &lt;i&gt;permanency&lt;/i&gt; spell.&lt;/p&gt;&lt;p&gt;A permanent &lt;i&gt;&lt;i&gt;symbol&lt;/i&gt; of &lt;i&gt;death&lt;/i&gt;&lt;/i&gt; that is disabled or has affected its maximum number of hit points becomes inactive for 10 minutes, but then can be triggered again as normal.&lt;/p&gt;&lt;p&gt;&lt;i&gt;Note:&lt;/i&gt; Magic traps such as &lt;i&gt;&lt;i&gt;symbol&lt;/i&gt; of &lt;i&gt;death&lt;/i&gt;&lt;/i&gt; are hard to detect and disable. A rogue (only) can use the Perception skill to find a &lt;i&gt;&lt;i&gt;symbol&lt;/i&gt; of &lt;i&gt;death&lt;/i&gt;&lt;/i&gt; and Disable Device to thwart it. The DC in each case is 25 + spell level, or 33 for &lt;i&gt;&lt;i&gt;symbol&lt;/i&gt; of &lt;i&gt;death&lt;/i&gt;&lt;/i&gt;.&lt;/p&gt;</t>
  </si>
  <si>
    <t>&lt;link rel="stylesheet"href="PF.css"&gt;&lt;div class="heading"&gt;&lt;p class="alignleft"&gt;Symbol of Death&lt;/p&gt;&lt;div style="clear: both;"&gt;&lt;/div&gt;&lt;/div&gt;&lt;div&gt;&lt;h5&gt;&lt;b&gt;School &lt;/b&gt;necromancy [death]; &lt;b&gt;Level &lt;/b&gt;cleric 8/oracle 8, sorcerer/wizard 8, witch 8&lt;/h5&gt;&lt;/div&gt;&lt;hr/&gt;&lt;div&gt;&lt;h5&gt;&lt;b&gt;CASTING&lt;/b&gt;&lt;/h5&gt;&lt;/div&gt;&lt;hr/&gt;&lt;div&gt;&lt;h5&gt;&lt;b&gt;Casting Time &lt;/b&gt;10 minutes&lt;/h5&gt;&lt;h5&gt;&lt;b&gt;Components &lt;/b&gt;V, S, M (mercury and phosphorus, plus powdered diamond and opal worth 5,000 gp each)&lt;/h5&gt;&lt;/div&gt;&lt;hr/&gt;&lt;div&gt;&lt;h5&gt;&lt;b&gt;EFFECT&lt;/b&gt;&lt;/h5&gt;&lt;/div&gt;&lt;hr/&gt;&lt;div&gt;&lt;h5&gt;&lt;b&gt;Range &lt;/b&gt;0 ft.; see text&lt;/h5&gt;&lt;h5&gt;&lt;b&gt;Effect &lt;/b&gt;one symbol&lt;/h5&gt;&lt;h5&gt;&lt;b&gt;Duration &lt;/b&gt;see text&lt;/h5&gt;&lt;h5&gt;&lt;b&gt;Saving Throw &lt;/b&gt;Fortitude negates; &lt;b&gt;Spell Resistance &lt;/b&gt;yes&lt;/h5&gt;&lt;/div&gt;&lt;hr/&gt;&lt;div&gt;&lt;h5&gt;&lt;b&gt;DESCRIPTION&lt;/b&gt;&lt;/h5&gt;&lt;/div&gt;&lt;hr/&gt;&lt;div&gt;&lt;h4&gt;&lt;p&gt;This spell allows you to scribe a potent rune of power upon a surface.&lt;/p&gt;&lt;p&gt;When triggered, a &lt;i&gt;&lt;i&gt;symbol&lt;/i&gt; of &lt;i&gt;death&lt;/i&gt;&lt;/i&gt; kills one or more creatures within 60 feet of the &lt;i&gt;symbol&lt;/i&gt; (treat as a burst) whose combined total current hit points do not exceed 150. The &lt;i&gt;&lt;i&gt;symbol&lt;/i&gt; of &lt;i&gt;death&lt;/i&gt;&lt;/i&gt; affects the closest creatures first, skipping creatures with too many hit points to affect.&lt;/p&gt;&lt;p&gt;Once triggered, the &lt;i&gt;symbol&lt;/i&gt; becomes active and glows, lasting for 10 minutes per caster level or until it has affected 150 hit points' worth of creatures, whichever comes first. A creature that enters the area while the &lt;i&gt;&lt;i&gt;symbol&lt;/i&gt; of &lt;i&gt;death&lt;/i&gt;&lt;/i&gt; is active is subject to its effect, whether or not that creature was in the area when it was triggered. A creature need save against the &lt;i&gt;symbol&lt;/i&gt; only once as long as it remains within the area, though if it leaves the area and returns while the &lt;i&gt;symbol&lt;/i&gt; is still active, it must save again.&lt;/p&gt;&lt;p&gt;Until it is triggered, the &lt;i&gt;&lt;i&gt;symbol&lt;/i&gt; of &lt;i&gt;death&lt;/i&gt;&lt;/i&gt; is inactive (though visible and legible at a distance of 60 feet). To be effective, a &lt;i&gt;&lt;i&gt;symbol&lt;/i&gt; of &lt;i&gt;death&lt;/i&gt;&lt;/i&gt; must always be placed in plain sight and in a prominent location. Covering or hiding the rune renders the &lt;i&gt;&lt;i&gt;symbol&lt;/i&gt; of &lt;i&gt;death&lt;/i&gt;&lt;/i&gt; ineffective, unless a creature removes the covering, in which case the &lt;i&gt;&lt;i&gt;symbol&lt;/i&gt; of &lt;i&gt;death&lt;/i&gt;&lt;/i&gt; works normally.&lt;/p&gt;&lt;p&gt;As a default, a &lt;i&gt;&lt;i&gt;symbol&lt;/i&gt; of &lt;i&gt;death&lt;/i&gt;&lt;/i&gt; is triggered whenever a creature does one or more of the following, as you select: looks at the rune; reads the rune; touches the rune; passes over the rune; or passes through a portal bearing the rune. Regardless of the trigger method or methods chosen, a creature more than 60 feet from a &lt;i&gt;&lt;i&gt;symbol&lt;/i&gt; of &lt;i&gt;death&lt;/i&gt;&lt;/i&gt; can't trigger it (even if it meets one or more of the triggering conditions, such as reading the rune). Once the spell is cast, a &lt;i&gt;&lt;i&gt;symbol&lt;/i&gt; of &lt;i&gt;death&lt;/i&gt;&lt;/i&gt;'s triggering conditions cannot be changed.&lt;/p&gt;&lt;p&gt;In this case, "reading" the rune means any attempt to study it, identify it, or fathom its meaning. Throwing a cover over a &lt;i&gt;&lt;i&gt;symbol&lt;/i&gt; of &lt;i&gt;death&lt;/i&gt;&lt;/i&gt; to render it inoperative triggers it if the &lt;i&gt;symbol&lt;/i&gt; reacts to touch. You can't use a &lt;i&gt;&lt;i&gt;symbol&lt;/i&gt; of &lt;i&gt;death&lt;/i&gt;&lt;/i&gt; offensively; for instance, a touch-triggered &lt;i&gt;&lt;i&gt;symbol&lt;/i&gt; of &lt;i&gt;death&lt;/i&gt;&lt;/i&gt; remains untriggered if an item bearing the &lt;i&gt;&lt;i&gt;symbol&lt;/i&gt; of &lt;i&gt;death&lt;/i&gt;&lt;/i&gt; is used to touch a creature. Likewise, a &lt;i&gt;&lt;i&gt;symbol&lt;/i&gt; of &lt;i&gt;death&lt;/i&gt;&lt;/i&gt; cannot be placed on a weapon and set to activate when the weapon strikes a foe.&lt;/p&gt;&lt;p&gt;You can also set special triggering limitations of your own. These can be as simple or elaborate as you desire. Special conditions for triggering a &lt;i&gt;&lt;i&gt;symbol&lt;/i&gt; of &lt;i&gt;death&lt;/i&gt;&lt;/i&gt; can be based on a creature's name, identity, or alignment, but otherwise must be based on observable actions or qualities. Intangibles such as level, class, HD, and hit points don't qualify.&lt;/p&gt;&lt;p&gt;When scribing a &lt;i&gt;&lt;i&gt;symbol&lt;/i&gt; of &lt;i&gt;death&lt;/i&gt;&lt;/i&gt;, you can specify a password or phrase that prevents a creature using it from triggering the &lt;i&gt;symbol&lt;/i&gt;'s effect. Anyone using the password remains immune to that particular rune's effects so long as the creature remains within 60 feet of the rune. If the creature leaves the radius and returns later, it must use the password again.&lt;/p&gt;&lt;p&gt;You also can attune any number of creatures to the &lt;i&gt;&lt;i&gt;symbol&lt;/i&gt; of &lt;i&gt;death&lt;/i&gt;&lt;/i&gt;, but doing this can extend the casting time. Attuning one or two creatures takes negligible time, and attuning a small group (as many as 10 creatures) extends the casting time to 1 hour. Attuning a large group (as many as 25 creatures) takes 24 hours. Attuning larger groups takes an additional 24 hours per 25 creatures. Any creature attuned to a &lt;i&gt;&lt;i&gt;symbol&lt;/i&gt; of &lt;i&gt;death&lt;/i&gt;&lt;/i&gt; cannot trigger it and is immune to its effects, even if within its radius when it is triggered. You are automatically considered attuned to your own &lt;i&gt;symbol&lt;/i&gt;s of &lt;i&gt;&lt;i&gt;death&lt;/i&gt;,&lt;/i&gt; and thus always ignore the effects and cannot inadvertently trigger them.&lt;/p&gt;&lt;p&gt;&lt;i&gt;Read magic&lt;/i&gt; allows you to identify a &lt;i&gt;symbol&lt;/i&gt; with a Spellcraft check (DC 10 + the &lt;i&gt;symbol&lt;/i&gt;'s spell level). Of course, if the &lt;i&gt;symbol&lt;/i&gt; is set to be triggered by reading it, this will trigger the &lt;i&gt;symbol&lt;/i&gt;.&lt;/p&gt;&lt;p&gt;A &lt;i&gt;&lt;i&gt;symbol&lt;/i&gt; of &lt;i&gt;death&lt;/i&gt;&lt;/i&gt; can be removed by a successful &lt;i&gt;dispel magic&lt;/i&gt; targeted solely on the rune. An &lt;i&gt;erase&lt;/i&gt; spell has no effect on a &lt;i&gt;&lt;i&gt;symbol&lt;/i&gt; of &lt;i&gt;death&lt;/i&gt;&lt;/i&gt;. Destruction of the surface where a &lt;i&gt;&lt;i&gt;symbol&lt;/i&gt; of &lt;i&gt;death&lt;/i&gt;&lt;/i&gt; is inscribed destroys the &lt;i&gt;symbol&lt;/i&gt; but also triggers it.&lt;/p&gt;&lt;p&gt;&lt;i&gt;Symbol of &lt;i&gt;death&lt;/i&gt;&lt;/i&gt; can be made permanent with a &lt;i&gt;permanency&lt;/i&gt; spell.&lt;/p&gt;&lt;p&gt;A permanent &lt;i&gt;&lt;i&gt;symbol&lt;/i&gt; of &lt;i&gt;death&lt;/i&gt;&lt;/i&gt; that is disabled or has affected its maximum number of hit points becomes inactive for 10 minutes, but then can be triggered again as normal.&lt;/p&gt;&lt;p&gt;&lt;i&gt;Note:&lt;/i&gt; Magic traps such as &lt;i&gt;&lt;i&gt;symbol&lt;/i&gt; of &lt;i&gt;death&lt;/i&gt;&lt;/i&gt; are hard to detect and disable. A rogue (only) can use the Perception skill to find a &lt;i&gt;&lt;i&gt;symbol&lt;/i&gt; of &lt;i&gt;death&lt;/i&gt;&lt;/i&gt; and Disable Device to thwart it. The DC in each case is 25 + spell level, or 33 for &lt;i&gt;&lt;i&gt;symbol&lt;/i&gt; of &lt;i&gt;death&lt;/i&gt;&lt;/i&gt;.&lt;/p&gt;&lt;/h4&gt;&lt;/div&gt;</t>
  </si>
  <si>
    <t>Triggered rune kills nearby creatures.</t>
  </si>
  <si>
    <t>Symbol of Fear</t>
  </si>
  <si>
    <t>cleric 6/oracle 6, sorcerer/wizard 6, witch 6</t>
  </si>
  <si>
    <t>V, S, M (mercury and phosphorus, plus powdered diamond and opal worth a total of 1,000 gp)</t>
  </si>
  <si>
    <t>This spell functions like symbol of death, except that all creatures within 60 feet of the symbol of fear instead become panicked for 1 round per caster level. Note: Magic traps such as symbol of fear are hard to detect and disable. A rogue (only) can use the Perception skill to find a symbol of fear and Disable Device to thwart it. The DC in each case is 25 + spell level, or 31 for symbol of fear.</t>
  </si>
  <si>
    <t>&lt;p&gt;This spell functions like &lt;i&gt;&lt;i&gt;symbol of&lt;/i&gt; death&lt;/i&gt;, except that all creatures within 60 feet of the &lt;i&gt;&lt;i&gt;symbol of&lt;/i&gt; &lt;i&gt;fear&lt;/i&gt;&lt;/i&gt; instead become panicked for 1 round per caster level.&lt;/p&gt;&lt;p&gt;&lt;i&gt;Note:&lt;/i&gt; Magic traps such as &lt;i&gt;&lt;i&gt;symbol of&lt;/i&gt; &lt;i&gt;fear&lt;/i&gt;&lt;/i&gt; are hard to detect and disable. A rogue (only) can use the Perception skill to find a &lt;i&gt;&lt;i&gt;symbol of&lt;/i&gt; &lt;i&gt;fear&lt;/i&gt;&lt;/i&gt; and Disable Device to thwart it. The DC in each case is 25 + spell level, or 31 for &lt;i&gt;&lt;i&gt;symbol of&lt;/i&gt; &lt;i&gt;fear&lt;/i&gt;&lt;/i&gt;.&lt;/p&gt;</t>
  </si>
  <si>
    <t>&lt;link rel="stylesheet"href="PF.css"&gt;&lt;div class="heading"&gt;&lt;p class="alignleft"&gt;Symbol of Fear&lt;/p&gt;&lt;div style="clear: both;"&gt;&lt;/div&gt;&lt;/div&gt;&lt;div&gt;&lt;h5&gt;&lt;b&gt;School &lt;/b&gt;necromancy [fear, mind-affecting, emotion]; &lt;b&gt;Level &lt;/b&gt;cleric 6/oracle 6, sorcerer/wizard 6, witch 6&lt;/h5&gt;&lt;/div&gt;&lt;hr/&gt;&lt;div&gt;&lt;h5&gt;&lt;b&gt;CASTING&lt;/b&gt;&lt;/h5&gt;&lt;/div&gt;&lt;hr/&gt;&lt;div&gt;&lt;h5&gt;&lt;b&gt;Casting Time &lt;/b&gt;10 minutes&lt;/h5&gt;&lt;h5&gt;&lt;b&gt;Components &lt;/b&gt;V, S, M (mercury and phosphorus, plus powdered diamond and opal worth a total of 1,000 gp)&lt;/h5&gt;&lt;/div&gt;&lt;hr/&gt;&lt;div&gt;&lt;h5&gt;&lt;b&gt;EFFECT&lt;/b&gt;&lt;/h5&gt;&lt;/div&gt;&lt;hr/&gt;&lt;div&gt;&lt;h5&gt;&lt;b&gt;Range &lt;/b&gt;0 ft.; see text&lt;/h5&gt;&lt;h5&gt;&lt;b&gt;Effect &lt;/b&gt;one symbol&lt;/h5&gt;&lt;h5&gt;&lt;b&gt;Duration &lt;/b&gt;see text&lt;/h5&gt;&lt;h5&gt;&lt;b&gt;Saving Throw &lt;/b&gt;Will negates; &lt;b&gt;Spell Resistance &lt;/b&gt;yes&lt;/h5&gt;&lt;/div&gt;&lt;hr/&gt;&lt;div&gt;&lt;h5&gt;&lt;b&gt;DESCRIPTION&lt;/b&gt;&lt;/h5&gt;&lt;/div&gt;&lt;hr/&gt;&lt;div&gt;&lt;h4&gt;&lt;p&gt;This spell functions like &lt;i&gt;&lt;i&gt;symbol of&lt;/i&gt; death&lt;/i&gt;, except that all creatures within 60 feet of the &lt;i&gt;&lt;i&gt;symbol of&lt;/i&gt; &lt;i&gt;fear&lt;/i&gt;&lt;/i&gt; instead become panicked for 1 round per caster level.&lt;/p&gt;&lt;p&gt;&lt;i&gt;Note:&lt;/i&gt; Magic traps such as &lt;i&gt;&lt;i&gt;symbol of&lt;/i&gt; &lt;i&gt;fear&lt;/i&gt;&lt;/i&gt; are hard to detect and disable. A rogue (only) can use the Perception skill to find a &lt;i&gt;&lt;i&gt;symbol of&lt;/i&gt; &lt;i&gt;fear&lt;/i&gt;&lt;/i&gt; and Disable Device to thwart it. The DC in each case is 25 + spell level, or 31 for &lt;i&gt;&lt;i&gt;symbol of&lt;/i&gt; &lt;i&gt;fear&lt;/i&gt;&lt;/i&gt;.&lt;/p&gt;&lt;/h4&gt;&lt;/div&gt;</t>
  </si>
  <si>
    <t>Triggered rune panics nearby creatures.</t>
  </si>
  <si>
    <t>Symbol of Insanity</t>
  </si>
  <si>
    <t>V, S, M (mercury and phosphorus, plus powdered diamond and opal worth a total of 5,000 gp)</t>
  </si>
  <si>
    <t>This spell functions like symbol of death, except that all creatures within the radius of the symbol of insanity instead become permanently insane (as the insanity spell). Unlike symbol of death, symbol of insanity has no hit point limit; once triggered, a symbol of insanity simply remains active for 10 minutes per caster level. Note: Magic traps such as symbol of insanity are hard to detect and disable. A rogue (only) can use the Perception skill to find a symbol of insanity and Disable Device to thwart it. The DC in each case is 25 + spell level, or 33 for symbol of insanity.</t>
  </si>
  <si>
    <t>&lt;p&gt;This spell functions like &lt;i&gt;&lt;i&gt;symbol of&lt;/i&gt; death&lt;/i&gt;, except that all creatures within the radius of the &lt;i&gt;&lt;i&gt;symbol of&lt;/i&gt; &lt;i&gt;insanity&lt;/i&gt;&lt;/i&gt; instead become permanently insane (as the &lt;i&gt;insanity&lt;/i&gt; spell).&lt;/p&gt;&lt;p&gt;Unlike &lt;i&gt;&lt;i&gt;symbol of&lt;/i&gt; death&lt;/i&gt;, &lt;i&gt;&lt;i&gt;symbol of&lt;/i&gt; &lt;i&gt;insanity&lt;/i&gt;&lt;/i&gt; has no hit point limit; once triggered, a &lt;i&gt;&lt;i&gt;symbol of&lt;/i&gt; &lt;i&gt;insanity&lt;/i&gt;&lt;/i&gt; simply remains active for 10 minutes per caster level.&lt;/p&gt;&lt;p&gt;&lt;i&gt;Note:&lt;/i&gt; Magic traps such as &lt;i&gt;&lt;i&gt;symbol of&lt;/i&gt; &lt;i&gt;insanity&lt;/i&gt;&lt;/i&gt; are hard to detect and disable. A rogue (only) can use the Perception skill to find a &lt;i&gt;&lt;i&gt;symbol of&lt;/i&gt; &lt;i&gt;insanity&lt;/i&gt;&lt;/i&gt; and Disable Device to thwart it. The DC in each case is 25 + spell level, or 33 for &lt;i&gt;&lt;i&gt;symbol of&lt;/i&gt; &lt;i&gt;insanity&lt;/i&gt;&lt;/i&gt;.&lt;/p&gt;</t>
  </si>
  <si>
    <t>&lt;link rel="stylesheet"href="PF.css"&gt;&lt;div class="heading"&gt;&lt;p class="alignleft"&gt;Symbol of Insanity&lt;/p&gt;&lt;div style="clear: both;"&gt;&lt;/div&gt;&lt;/div&gt;&lt;div&gt;&lt;h5&gt;&lt;b&gt;School &lt;/b&gt;enchantment (compulsion) [mind-affecting]; &lt;b&gt;Level &lt;/b&gt;cleric 8/oracle 8, sorcerer/wizard 8, witch 8&lt;/h5&gt;&lt;/div&gt;&lt;hr/&gt;&lt;div&gt;&lt;h5&gt;&lt;b&gt;CASTING&lt;/b&gt;&lt;/h5&gt;&lt;/div&gt;&lt;hr/&gt;&lt;div&gt;&lt;h5&gt;&lt;b&gt;Casting Time &lt;/b&gt;10 minutes&lt;/h5&gt;&lt;h5&gt;&lt;b&gt;Components &lt;/b&gt;V, S, M (mercury and phosphorus, plus powdered diamond and opal worth a total of 5,000 gp)&lt;/h5&gt;&lt;/div&gt;&lt;hr/&gt;&lt;div&gt;&lt;h5&gt;&lt;b&gt;EFFECT&lt;/b&gt;&lt;/h5&gt;&lt;/div&gt;&lt;hr/&gt;&lt;div&gt;&lt;h5&gt;&lt;b&gt;Range &lt;/b&gt;0 ft.; see text&lt;/h5&gt;&lt;h5&gt;&lt;b&gt;Effect &lt;/b&gt;one symbol&lt;/h5&gt;&lt;h5&gt;&lt;b&gt;Duration &lt;/b&gt;see text&lt;/h5&gt;&lt;h5&gt;&lt;b&gt;Saving Throw &lt;/b&gt;Will negates; &lt;b&gt;Spell Resistance &lt;/b&gt;yes&lt;/h5&gt;&lt;/div&gt;&lt;hr/&gt;&lt;div&gt;&lt;h5&gt;&lt;b&gt;DESCRIPTION&lt;/b&gt;&lt;/h5&gt;&lt;/div&gt;&lt;hr/&gt;&lt;div&gt;&lt;h4&gt;&lt;p&gt;This spell functions like &lt;i&gt;&lt;i&gt;symbol of&lt;/i&gt; death&lt;/i&gt;, except that all creatures within the radius of the &lt;i&gt;&lt;i&gt;symbol of&lt;/i&gt; &lt;i&gt;insanity&lt;/i&gt;&lt;/i&gt; instead become permanently insane (as the &lt;i&gt;insanity&lt;/i&gt; spell).&lt;/p&gt;&lt;p&gt;Unlike &lt;i&gt;&lt;i&gt;symbol of&lt;/i&gt; death&lt;/i&gt;, &lt;i&gt;&lt;i&gt;symbol of&lt;/i&gt; &lt;i&gt;insanity&lt;/i&gt;&lt;/i&gt; has no hit point limit; once triggered, a &lt;i&gt;&lt;i&gt;symbol of&lt;/i&gt; &lt;i&gt;insanity&lt;/i&gt;&lt;/i&gt; simply remains active for 10 minutes per caster level.&lt;/p&gt;&lt;p&gt;&lt;i&gt;Note:&lt;/i&gt; Magic traps such as &lt;i&gt;&lt;i&gt;symbol of&lt;/i&gt; &lt;i&gt;insanity&lt;/i&gt;&lt;/i&gt; are hard to detect and disable. A rogue (only) can use the Perception skill to find a &lt;i&gt;&lt;i&gt;symbol of&lt;/i&gt; &lt;i&gt;insanity&lt;/i&gt;&lt;/i&gt; and Disable Device to thwart it. The DC in each case is 25 + spell level, or 33 for &lt;i&gt;&lt;i&gt;symbol of&lt;/i&gt; &lt;i&gt;insanity&lt;/i&gt;&lt;/i&gt;.&lt;/p&gt;&lt;/h4&gt;&lt;/div&gt;</t>
  </si>
  <si>
    <t>Triggered rune renders nearby creatures insane.</t>
  </si>
  <si>
    <t>Symbol of Pain</t>
  </si>
  <si>
    <t>evil, pain</t>
  </si>
  <si>
    <t>cleric 5/oracle 5, sorcerer/wizard 5, witch 5</t>
  </si>
  <si>
    <t>This spell functions like symbol of death, except that each creature within the radius of a symbol of pain instead suffers wracking pains that impose a -4 penalty on attack rolls, skill checks, and ability checks. These effects last for 1 hour after the creature moves farther than 60 feet from the symbol. Unlike symbol of death, symbol of pain has no hit point limit; once triggered, a symbol of pain simply remains active for 10 minutes per caster level. Note: Magic traps such as symbol of pain are hard to detect and disable. A rogue (only) can use the Perception skill to find a symbol of pain and Disable Device to thwart it. The DC in each case is 25 + spell level, or 30 for symbol of pain.</t>
  </si>
  <si>
    <t>&lt;p&gt;This spell functions like &lt;i&gt;&lt;i&gt;symbol of&lt;/i&gt; death&lt;/i&gt;, except that each creature within the radius of a &lt;i&gt;&lt;i&gt;symbol of&lt;/i&gt; &lt;i&gt;pain&lt;/i&gt;&lt;/i&gt; instead suffers wracking &lt;i&gt;pain&lt;/i&gt;s that impose a -4 penalty on attack rolls, skill checks, and ability checks. These effects last for 1 hour after the creature moves farther than 60 feet from the symbol.&lt;/p&gt;&lt;p&gt;Unlike &lt;i&gt;&lt;i&gt;symbol of&lt;/i&gt; death&lt;/i&gt;, &lt;i&gt;&lt;i&gt;symbol of&lt;/i&gt; &lt;i&gt;pain&lt;/i&gt;&lt;/i&gt; has no hit point limit; once triggered, a &lt;i&gt;&lt;i&gt;symbol of&lt;/i&gt; &lt;i&gt;pain&lt;/i&gt;&lt;/i&gt; simply remains active for 10 minutes per caster level.&lt;/p&gt;&lt;p&gt;&lt;i&gt;Note:&lt;/i&gt; Magic traps such as &lt;i&gt;&lt;i&gt;symbol of&lt;/i&gt; &lt;i&gt;pain&lt;/i&gt;&lt;/i&gt; are hard to detect and disable. A rogue (only) can use the Perception skill to find a &lt;i&gt;&lt;i&gt;symbol of&lt;/i&gt; &lt;i&gt;pain&lt;/i&gt;&lt;/i&gt; and Disable Device to thwart it. The DC in each case is 25 + spell level, or 30 for &lt;i&gt;&lt;i&gt;symbol of&lt;/i&gt; &lt;i&gt;pain&lt;/i&gt;&lt;/i&gt;.&lt;/p&gt;</t>
  </si>
  <si>
    <t>&lt;link rel="stylesheet"href="PF.css"&gt;&lt;div class="heading"&gt;&lt;p class="alignleft"&gt;Symbol of Pain&lt;/p&gt;&lt;div style="clear: both;"&gt;&lt;/div&gt;&lt;/div&gt;&lt;div&gt;&lt;h5&gt;&lt;b&gt;School &lt;/b&gt;necromancy [evil, pain]; &lt;b&gt;Level &lt;/b&gt;cleric 5/oracle 5, sorcerer/wizard 5, witch 5&lt;/h5&gt;&lt;/div&gt;&lt;hr/&gt;&lt;div&gt;&lt;h5&gt;&lt;b&gt;CASTING&lt;/b&gt;&lt;/h5&gt;&lt;/div&gt;&lt;hr/&gt;&lt;div&gt;&lt;h5&gt;&lt;b&gt;Casting Time &lt;/b&gt;10 minutes&lt;/h5&gt;&lt;h5&gt;&lt;b&gt;Components &lt;/b&gt;V, S, M (mercury and phosphorus, plus powdered diamond and opal worth a total of 1,000 gp)&lt;/h5&gt;&lt;/div&gt;&lt;hr/&gt;&lt;div&gt;&lt;h5&gt;&lt;b&gt;EFFECT&lt;/b&gt;&lt;/h5&gt;&lt;/div&gt;&lt;hr/&gt;&lt;div&gt;&lt;h5&gt;&lt;b&gt;Range &lt;/b&gt;0 ft.; see text&lt;/h5&gt;&lt;h5&gt;&lt;b&gt;Effect &lt;/b&gt;one symbol&lt;/h5&gt;&lt;h5&gt;&lt;b&gt;Duration &lt;/b&gt;see text&lt;/h5&gt;&lt;h5&gt;&lt;b&gt;Saving Throw &lt;/b&gt;Fortitude negates; &lt;b&gt;Spell Resistance &lt;/b&gt;yes&lt;/h5&gt;&lt;/div&gt;&lt;hr/&gt;&lt;div&gt;&lt;h5&gt;&lt;b&gt;DESCRIPTION&lt;/b&gt;&lt;/h5&gt;&lt;/div&gt;&lt;hr/&gt;&lt;div&gt;&lt;h4&gt;&lt;p&gt;This spell functions like &lt;i&gt;&lt;i&gt;symbol of&lt;/i&gt; death&lt;/i&gt;, except that each creature within the radius of a &lt;i&gt;&lt;i&gt;symbol of&lt;/i&gt; &lt;i&gt;pain&lt;/i&gt;&lt;/i&gt; instead suffers wracking &lt;i&gt;pain&lt;/i&gt;s that impose a -4 penalty on attack rolls, skill checks, and ability checks. These effects last for 1 hour after the creature moves farther than 60 feet from the symbol.&lt;/p&gt;&lt;p&gt;Unlike &lt;i&gt;&lt;i&gt;symbol of&lt;/i&gt; death&lt;/i&gt;, &lt;i&gt;&lt;i&gt;symbol of&lt;/i&gt; &lt;i&gt;pain&lt;/i&gt;&lt;/i&gt; has no hit point limit; once triggered, a &lt;i&gt;&lt;i&gt;symbol of&lt;/i&gt; &lt;i&gt;pain&lt;/i&gt;&lt;/i&gt; simply remains active for 10 minutes per caster level.&lt;/p&gt;&lt;p&gt;&lt;i&gt;Note:&lt;/i&gt; Magic traps such as &lt;i&gt;&lt;i&gt;symbol of&lt;/i&gt; &lt;i&gt;pain&lt;/i&gt;&lt;/i&gt; are hard to detect and disable. A rogue (only) can use the Perception skill to find a &lt;i&gt;&lt;i&gt;symbol of&lt;/i&gt; &lt;i&gt;pain&lt;/i&gt;&lt;/i&gt; and Disable Device to thwart it. The DC in each case is 25 + spell level, or 30 for &lt;i&gt;&lt;i&gt;symbol of&lt;/i&gt; &lt;i&gt;pain&lt;/i&gt;&lt;/i&gt;.&lt;/p&gt;&lt;/h4&gt;&lt;/div&gt;</t>
  </si>
  <si>
    <t>Triggered rune wracks nearby creatures with pain.</t>
  </si>
  <si>
    <t>Symbol of Persuasion</t>
  </si>
  <si>
    <t>This spell functions like symbol of death, except that all creatures within the radius of a symbol of persuasion instead become charmed by the caster (as the charm monster spell) for 1 hour per caster level. Unlike symbol of death, symbol of persuasion has no hit point limit; once triggered, a symbol of persuasion simply remains active for 10 minutes per caster level. Note: Magic traps such as symbol of persuasion are hard to detect and disable. A rogue (only) can use the Perception skill to find a symbol of persuasion and Disable Device to thwart it. The DC in each case is 25 + spell level, or 31 for symbol of persuasion.</t>
  </si>
  <si>
    <t>&lt;p&gt;This spell functions like &lt;i&gt;&lt;i&gt;symbol of&lt;/i&gt; death&lt;/i&gt;, except that all creatures within the radius of a &lt;i&gt;&lt;i&gt;symbol of&lt;/i&gt; &lt;i&gt;persuasion&lt;/i&gt;&lt;/i&gt; instead become charmed by the caster (as the &lt;i&gt;charm monster&lt;/i&gt; spell) for 1 hour per caster level.&lt;/p&gt;&lt;p&gt;Unlike &lt;i&gt;&lt;i&gt;symbol of&lt;/i&gt; death&lt;/i&gt;, &lt;i&gt;&lt;i&gt;symbol of&lt;/i&gt; &lt;i&gt;persuasion&lt;/i&gt;&lt;/i&gt; has no hit point limit; once triggered, a &lt;i&gt;&lt;i&gt;symbol of&lt;/i&gt; &lt;i&gt;persuasion&lt;/i&gt;&lt;/i&gt; simply remains active for 10 minutes per caster level.&lt;/p&gt;&lt;p&gt;&lt;i&gt;Note:&lt;/i&gt; Magic traps such as &lt;i&gt;&lt;i&gt;symbol of&lt;/i&gt; &lt;i&gt;persuasion&lt;/i&gt;&lt;/i&gt; are hard to detect and disable. A rogue (only) can use the Perception skill to find a &lt;i&gt;&lt;i&gt;symbol of&lt;/i&gt; &lt;i&gt;persuasion&lt;/i&gt;&lt;/i&gt; and Disable Device to thwart it. The DC in each case is 25 + spell level, or 31 for &lt;i&gt;&lt;i&gt;symbol of&lt;/i&gt; &lt;i&gt;persuasion&lt;/i&gt;&lt;/i&gt;.&lt;/p&gt;</t>
  </si>
  <si>
    <t>&lt;link rel="stylesheet"href="PF.css"&gt;&lt;div class="heading"&gt;&lt;p class="alignleft"&gt;Symbol of Persuasion&lt;/p&gt;&lt;div style="clear: both;"&gt;&lt;/div&gt;&lt;/div&gt;&lt;div&gt;&lt;h5&gt;&lt;b&gt;School &lt;/b&gt;enchantment (charm) [mind-affecting]; &lt;b&gt;Level &lt;/b&gt;cleric 6/oracle 6, sorcerer/wizard 6, witch 6&lt;/h5&gt;&lt;/div&gt;&lt;hr/&gt;&lt;div&gt;&lt;h5&gt;&lt;b&gt;CASTING&lt;/b&gt;&lt;/h5&gt;&lt;/div&gt;&lt;hr/&gt;&lt;div&gt;&lt;h5&gt;&lt;b&gt;Casting Time &lt;/b&gt;10 minutes&lt;/h5&gt;&lt;h5&gt;&lt;b&gt;Components &lt;/b&gt;V, S, M (mercury and phosphorus, plus powdered diamond and opal worth a total of 5,000 gp)&lt;/h5&gt;&lt;/div&gt;&lt;hr/&gt;&lt;div&gt;&lt;h5&gt;&lt;b&gt;EFFECT&lt;/b&gt;&lt;/h5&gt;&lt;/div&gt;&lt;hr/&gt;&lt;div&gt;&lt;h5&gt;&lt;b&gt;Range &lt;/b&gt;0 ft.; see text&lt;/h5&gt;&lt;h5&gt;&lt;b&gt;Effect &lt;/b&gt;one symbol&lt;/h5&gt;&lt;h5&gt;&lt;b&gt;Duration &lt;/b&gt;see text&lt;/h5&gt;&lt;h5&gt;&lt;b&gt;Saving Throw &lt;/b&gt;Will negates; &lt;b&gt;Spell Resistance &lt;/b&gt;yes&lt;/h5&gt;&lt;/div&gt;&lt;hr/&gt;&lt;div&gt;&lt;h5&gt;&lt;b&gt;DESCRIPTION&lt;/b&gt;&lt;/h5&gt;&lt;/div&gt;&lt;hr/&gt;&lt;div&gt;&lt;h4&gt;&lt;p&gt;This spell functions like &lt;i&gt;&lt;i&gt;symbol of&lt;/i&gt; death&lt;/i&gt;, except that all creatures within the radius of a &lt;i&gt;&lt;i&gt;symbol of&lt;/i&gt; &lt;i&gt;persuasion&lt;/i&gt;&lt;/i&gt; instead become charmed by the caster (as the &lt;i&gt;charm monster&lt;/i&gt; spell) for 1 hour per caster level.&lt;/p&gt;&lt;p&gt;Unlike &lt;i&gt;&lt;i&gt;symbol of&lt;/i&gt; death&lt;/i&gt;, &lt;i&gt;&lt;i&gt;symbol of&lt;/i&gt; &lt;i&gt;persuasion&lt;/i&gt;&lt;/i&gt; has no hit point limit; once triggered, a &lt;i&gt;&lt;i&gt;symbol of&lt;/i&gt; &lt;i&gt;persuasion&lt;/i&gt;&lt;/i&gt; simply remains active for 10 minutes per caster level.&lt;/p&gt;&lt;p&gt;&lt;i&gt;Note:&lt;/i&gt; Magic traps such as &lt;i&gt;&lt;i&gt;symbol of&lt;/i&gt; &lt;i&gt;persuasion&lt;/i&gt;&lt;/i&gt; are hard to detect and disable. A rogue (only) can use the Perception skill to find a &lt;i&gt;&lt;i&gt;symbol of&lt;/i&gt; &lt;i&gt;persuasion&lt;/i&gt;&lt;/i&gt; and Disable Device to thwart it. The DC in each case is 25 + spell level, or 31 for &lt;i&gt;&lt;i&gt;symbol of&lt;/i&gt; &lt;i&gt;persuasion&lt;/i&gt;&lt;/i&gt;.&lt;/p&gt;&lt;/h4&gt;&lt;/div&gt;</t>
  </si>
  <si>
    <t>Revolution</t>
  </si>
  <si>
    <t>Triggered rune charms nearby creatures.</t>
  </si>
  <si>
    <t>Symbol of Sleep</t>
  </si>
  <si>
    <t>This spell functions like symbol of death, except that all creatures of 10 HD or less within 60 feet of the symbol of sleep instead fall into a catatonic slumber for 3d6 x 10 minutes. Unlike with the sleep spell, sleeping creatures cannot be awakened by nonmagical means before this time expires. Unlike symbol of death, symbol of sleep has no hit point limit; once triggered, a symbol of sleep simply remains active for 10 minutes per caster level. Note: Magic traps such as symbol of sleep are hard to detect and disable. A rogue (only) can use the Perception skill to find a symbol of sleep and Disable Device to thwart it. The DC in each case is 25 + spell level, or 30 for symbol of sleep.</t>
  </si>
  <si>
    <t>&lt;p&gt;This spell functions like &lt;i&gt;&lt;i&gt;symbol of&lt;/i&gt; death&lt;/i&gt;, except that all creatures of 10 HD or less within 60 feet of the &lt;i&gt;&lt;i&gt;symbol of&lt;/i&gt; &lt;i&gt;sleep&lt;/i&gt;&lt;/i&gt; instead fall into a catatonic slumber for 3d6 x 10 minutes. Unlike with the &lt;i&gt;sleep&lt;/i&gt; spell, &lt;i&gt;sleep&lt;/i&gt;ing creatures cannot be awakened by nonmagical means before this time expires.&lt;/p&gt;&lt;p&gt;Unlike &lt;i&gt;&lt;i&gt;symbol of&lt;/i&gt; death&lt;/i&gt;, &lt;i&gt;&lt;i&gt;symbol of&lt;/i&gt; &lt;i&gt;sleep&lt;/i&gt;&lt;/i&gt; has no hit point limit; once triggered, a &lt;i&gt;&lt;i&gt;symbol of&lt;/i&gt; &lt;i&gt;sleep&lt;/i&gt;&lt;/i&gt; simply remains active for 10 minutes per caster level.&lt;/p&gt;&lt;p&gt;&lt;i&gt;Note:&lt;/i&gt; Magic traps such as &lt;i&gt;&lt;i&gt;symbol of&lt;/i&gt; &lt;i&gt;sleep&lt;/i&gt;&lt;/i&gt; are hard to detect and disable. A rogue (only) can use the Perception skill to find a &lt;i&gt;&lt;i&gt;symbol of&lt;/i&gt; &lt;i&gt;sleep&lt;/i&gt;&lt;/i&gt; and Disable Device to thwart it. The DC in each case is 25 + spell level, or 30 for &lt;i&gt;&lt;i&gt;symbol of&lt;/i&gt; &lt;i&gt;sleep&lt;/i&gt;&lt;/i&gt;.&lt;/p&gt;</t>
  </si>
  <si>
    <t>&lt;link rel="stylesheet"href="PF.css"&gt;&lt;div class="heading"&gt;&lt;p class="alignleft"&gt;Symbol of Sleep&lt;/p&gt;&lt;div style="clear: both;"&gt;&lt;/div&gt;&lt;/div&gt;&lt;div&gt;&lt;h5&gt;&lt;b&gt;School &lt;/b&gt;enchantment (compulsion) [mind-affecting]; &lt;b&gt;Level &lt;/b&gt;cleric 5/oracle 5, sorcerer/wizard 5, witch 5&lt;/h5&gt;&lt;/div&gt;&lt;hr/&gt;&lt;div&gt;&lt;h5&gt;&lt;b&gt;CASTING&lt;/b&gt;&lt;/h5&gt;&lt;/div&gt;&lt;hr/&gt;&lt;div&gt;&lt;h5&gt;&lt;b&gt;Casting Time &lt;/b&gt;10 minutes&lt;/h5&gt;&lt;h5&gt;&lt;b&gt;Components &lt;/b&gt;V, S, M (mercury and phosphorus, plus powdered diamond and opal worth a total of 1,000 gp)&lt;/h5&gt;&lt;/div&gt;&lt;hr/&gt;&lt;div&gt;&lt;h5&gt;&lt;b&gt;EFFECT&lt;/b&gt;&lt;/h5&gt;&lt;/div&gt;&lt;hr/&gt;&lt;div&gt;&lt;h5&gt;&lt;b&gt;Range &lt;/b&gt;0 ft.; see text&lt;/h5&gt;&lt;h5&gt;&lt;b&gt;Effect &lt;/b&gt;one symbol&lt;/h5&gt;&lt;h5&gt;&lt;b&gt;Duration &lt;/b&gt;see text&lt;/h5&gt;&lt;h5&gt;&lt;b&gt;Saving Throw &lt;/b&gt;Will negates; &lt;b&gt;Spell Resistance &lt;/b&gt;yes&lt;/h5&gt;&lt;/div&gt;&lt;hr/&gt;&lt;div&gt;&lt;h5&gt;&lt;b&gt;DESCRIPTION&lt;/b&gt;&lt;/h5&gt;&lt;/div&gt;&lt;hr/&gt;&lt;div&gt;&lt;h4&gt;&lt;p&gt;This spell functions like &lt;i&gt;&lt;i&gt;symbol of&lt;/i&gt; death&lt;/i&gt;, except that all creatures of 10 HD or less within 60 feet of the &lt;i&gt;&lt;i&gt;symbol of&lt;/i&gt; &lt;i&gt;sleep&lt;/i&gt;&lt;/i&gt; instead fall into a catatonic slumber for 3d6 x 10 minutes. Unlike with the &lt;i&gt;sleep&lt;/i&gt; spell, &lt;i&gt;sleep&lt;/i&gt;ing creatures cannot be awakened by nonmagical means before this time expires.&lt;/p&gt;&lt;p&gt;Unlike &lt;i&gt;&lt;i&gt;symbol of&lt;/i&gt; death&lt;/i&gt;, &lt;i&gt;&lt;i&gt;symbol of&lt;/i&gt; &lt;i&gt;sleep&lt;/i&gt;&lt;/i&gt; has no hit point limit; once triggered, a &lt;i&gt;&lt;i&gt;symbol of&lt;/i&gt; &lt;i&gt;sleep&lt;/i&gt;&lt;/i&gt; simply remains active for 10 minutes per caster level.&lt;/p&gt;&lt;p&gt;&lt;i&gt;Note:&lt;/i&gt; Magic traps such as &lt;i&gt;&lt;i&gt;symbol of&lt;/i&gt; &lt;i&gt;sleep&lt;/i&gt;&lt;/i&gt; are hard to detect and disable. A rogue (only) can use the Perception skill to find a &lt;i&gt;&lt;i&gt;symbol of&lt;/i&gt; &lt;i&gt;sleep&lt;/i&gt;&lt;/i&gt; and Disable Device to thwart it. The DC in each case is 25 + spell level, or 30 for &lt;i&gt;&lt;i&gt;symbol of&lt;/i&gt; &lt;i&gt;sleep&lt;/i&gt;&lt;/i&gt;.&lt;/p&gt;&lt;/h4&gt;&lt;/div&gt;</t>
  </si>
  <si>
    <t>Triggered rune puts nearby creatures into catatonic slumber.</t>
  </si>
  <si>
    <t>Symbol of Stunning</t>
  </si>
  <si>
    <t>cleric 7/oracle 7, sorcerer/wizard 7, witch 7</t>
  </si>
  <si>
    <t>This spell functions like symbol of death, except that all creatures within 60 feet of a symbol of stunning instead become stunned for 1d6 rounds. Note: Magic traps such as symbol of stunning are hard to detect and disable. A rogue (only) can use the Perception skill to find a symbol of stunning and Disable Device to thwart it. The DC in each case is 25 + spell level, or 32 for symbol of stunning.</t>
  </si>
  <si>
    <t>&lt;p&gt;This spell functions like &lt;i&gt;&lt;i&gt;symbol of&lt;/i&gt; death&lt;/i&gt;, except that all creatures within 60 feet of a &lt;i&gt;&lt;i&gt;symbol of&lt;/i&gt; &lt;i&gt;stunning&lt;/i&gt;&lt;/i&gt; instead become stunned for 1d6 rounds.&lt;/p&gt;&lt;p&gt;&lt;i&gt;Note:&lt;/i&gt; Magic traps such as &lt;i&gt;&lt;i&gt;symbol of&lt;/i&gt; &lt;i&gt;stunning&lt;/i&gt;&lt;/i&gt; are hard to detect and disable. A rogue (only) can use the Perception skill to find a &lt;i&gt;&lt;i&gt;symbol of&lt;/i&gt; &lt;i&gt;stunning&lt;/i&gt;&lt;/i&gt; and Disable Device to thwart it. The DC in each case is 25 + spell level, or 32 for &lt;i&gt;&lt;i&gt;symbol of&lt;/i&gt; &lt;i&gt;stunning&lt;/i&gt;&lt;/i&gt;.&lt;/p&gt;</t>
  </si>
  <si>
    <t>&lt;link rel="stylesheet"href="PF.css"&gt;&lt;div class="heading"&gt;&lt;p class="alignleft"&gt;Symbol of Stunning&lt;/p&gt;&lt;div style="clear: both;"&gt;&lt;/div&gt;&lt;/div&gt;&lt;div&gt;&lt;h5&gt;&lt;b&gt;School &lt;/b&gt;enchantment (compulsion) [mind-affecting]; &lt;b&gt;Level &lt;/b&gt;cleric 7/oracle 7, sorcerer/wizard 7, witch 7&lt;/h5&gt;&lt;/div&gt;&lt;hr/&gt;&lt;div&gt;&lt;h5&gt;&lt;b&gt;CASTING&lt;/b&gt;&lt;/h5&gt;&lt;/div&gt;&lt;hr/&gt;&lt;div&gt;&lt;h5&gt;&lt;b&gt;Casting Time &lt;/b&gt;10 minutes&lt;/h5&gt;&lt;h5&gt;&lt;b&gt;Components &lt;/b&gt;V, S, M (mercury and phosphorus, plus powdered diamond and opal worth a total of 5,000 gp)&lt;/h5&gt;&lt;/div&gt;&lt;hr/&gt;&lt;div&gt;&lt;h5&gt;&lt;b&gt;EFFECT&lt;/b&gt;&lt;/h5&gt;&lt;/div&gt;&lt;hr/&gt;&lt;div&gt;&lt;h5&gt;&lt;b&gt;Range &lt;/b&gt;0 ft.; see text&lt;/h5&gt;&lt;h5&gt;&lt;b&gt;Effect &lt;/b&gt;one symbol&lt;/h5&gt;&lt;h5&gt;&lt;b&gt;Duration &lt;/b&gt;see text&lt;/h5&gt;&lt;h5&gt;&lt;b&gt;Saving Throw &lt;/b&gt;Will negates; &lt;b&gt;Spell Resistance &lt;/b&gt;yes&lt;/h5&gt;&lt;/div&gt;&lt;hr/&gt;&lt;div&gt;&lt;h5&gt;&lt;b&gt;DESCRIPTION&lt;/b&gt;&lt;/h5&gt;&lt;/div&gt;&lt;hr/&gt;&lt;div&gt;&lt;h4&gt;&lt;p&gt;This spell functions like &lt;i&gt;&lt;i&gt;symbol of&lt;/i&gt; death&lt;/i&gt;, except that all creatures within 60 feet of a &lt;i&gt;&lt;i&gt;symbol of&lt;/i&gt; &lt;i&gt;stunning&lt;/i&gt;&lt;/i&gt; instead become stunned for 1d6 rounds.&lt;/p&gt;&lt;p&gt;&lt;i&gt;Note:&lt;/i&gt; Magic traps such as &lt;i&gt;&lt;i&gt;symbol of&lt;/i&gt; &lt;i&gt;stunning&lt;/i&gt;&lt;/i&gt; are hard to detect and disable. A rogue (only) can use the Perception skill to find a &lt;i&gt;&lt;i&gt;symbol of&lt;/i&gt; &lt;i&gt;stunning&lt;/i&gt;&lt;/i&gt; and Disable Device to thwart it. The DC in each case is 25 + spell level, or 32 for &lt;i&gt;&lt;i&gt;symbol of&lt;/i&gt; &lt;i&gt;stunning&lt;/i&gt;&lt;/i&gt;.&lt;/p&gt;&lt;/h4&gt;&lt;/div&gt;</t>
  </si>
  <si>
    <t>Triggered rune stuns nearby creatures.</t>
  </si>
  <si>
    <t>Symbol of Weakness</t>
  </si>
  <si>
    <t>&lt;link rel="stylesheet"href="PF.css"&gt;&lt;div class="heading"&gt;&lt;p class="alignleft"&gt;Symbol of Weakness&lt;/p&gt;&lt;div style="clear: both;"&gt;&lt;/div&gt;&lt;/div&gt;&lt;div&gt;&lt;h5&gt;&lt;b&gt;School &lt;/b&gt;necromancy; &lt;b&gt;Level &lt;/b&gt;cleric 7/oracle 7, sorcerer/wizard 7, witch 7&lt;/h5&gt;&lt;/div&gt;&lt;hr/&gt;&lt;div&gt;&lt;h5&gt;&lt;b&gt;CASTING&lt;/b&gt;&lt;/h5&gt;&lt;/div&gt;&lt;hr/&gt;&lt;div&gt;&lt;h5&gt;&lt;b&gt;Casting Time &lt;/b&gt;10 minutes&lt;/h5&gt;&lt;h5&gt;&lt;b&gt;Components &lt;/b&gt;V, S, M (mercury and phosphorus, plus powdered diamond and opal worth a total of 5,000 gp)&lt;/h5&gt;&lt;/div&gt;&lt;hr/&gt;&lt;div&gt;&lt;h5&gt;&lt;b&gt;EFFECT&lt;/b&gt;&lt;/h5&gt;&lt;/div&gt;&lt;hr/&gt;&lt;div&gt;&lt;h5&gt;&lt;b&gt;Range &lt;/b&gt;0 ft.; see text&lt;/h5&gt;&lt;h5&gt;&lt;b&gt;Effect &lt;/b&gt;one symbol&lt;/h5&gt;&lt;h5&gt;&lt;b&gt;Duration &lt;/b&gt;see text&lt;/h5&gt;&lt;h5&gt;&lt;b&gt;Saving Throw &lt;/b&gt;Fortitude negates; &lt;b&gt;Spell Resistance &lt;/b&gt;yes&lt;/h5&gt;&lt;/div&gt;&lt;hr/&gt;&lt;div&gt;&lt;h5&gt;&lt;b&gt;DESCRIPTION&lt;/b&gt;&lt;/h5&gt;&lt;/div&gt;&lt;hr/&gt;&lt;div&gt;&lt;h4&gt;&lt;p&gt;This spell functions like &lt;i&gt;&lt;i&gt;symbol of&lt;/i&gt; death&lt;/i&gt;, except that all creatures within 60 feet of a &lt;i&gt;&lt;i&gt;symbol of&lt;/i&gt; &lt;i&gt;stunning&lt;/i&gt;&lt;/i&gt; instead become stunned for 1d6 rounds.&lt;/p&gt;&lt;p&gt;&lt;i&gt;Note:&lt;/i&gt; Magic traps such as &lt;i&gt;&lt;i&gt;symbol of&lt;/i&gt; &lt;i&gt;stunning&lt;/i&gt;&lt;/i&gt; are hard to detect and disable. A rogue (only) can use the Perception skill to find a &lt;i&gt;&lt;i&gt;symbol of&lt;/i&gt; &lt;i&gt;stunning&lt;/i&gt;&lt;/i&gt; and Disable Device to thwart it. The DC in each case is 25 + spell level, or 32 for &lt;i&gt;&lt;i&gt;symbol of&lt;/i&gt; &lt;i&gt;stunning&lt;/i&gt;&lt;/i&gt;.&lt;/p&gt;&lt;/h4&gt;&lt;/div&gt;</t>
  </si>
  <si>
    <t>Triggered rune weakens nearby creatures.</t>
  </si>
  <si>
    <t>Sympathetic Vibration</t>
  </si>
  <si>
    <t>bard 6</t>
  </si>
  <si>
    <t>V, S, F (a tuning fork)</t>
  </si>
  <si>
    <t>one freestanding structure</t>
  </si>
  <si>
    <t>up to 1 round/level</t>
  </si>
  <si>
    <t>By attuning yourself to a freestanding structure, you can create a damaging vibration within it. Once it begins, the vibration deals 2d10 points of damage per round to the target structure, bypassing hardness. You can choose at the time of casting to limit the duration of the spell; otherwise it lasts for 1 round per level. If the spell is cast upon a target that is not freestanding, the surrounding stone dissipates the effect and no damage occurs. Sympathetic vibration cannot affect creatures (including constructs). Since a structure is an unattended object, it gets no saving throw to resist the effect.</t>
  </si>
  <si>
    <t>&lt;p&gt;By attuning yourself to a freestanding structure, you can create a damaging vibration within it. Once it begins, the vibration deals 2d10 points of damage per round to the target structure, bypassing hardness. You can choose at the time of casting to limit the duration of the spell; otherwise it lasts for 1 round per level. If the spell is cast upon a target that is not freestanding, the surrounding stone dissipates the effect and no damage occurs.&lt;/p&gt;&lt;p&gt;&lt;i&gt;Sympathetic vibration&lt;/i&gt; cannot affect creatures (including constructs). Since a structure is an unattended object, it gets no saving throw to resist the effect.&lt;/p&gt;</t>
  </si>
  <si>
    <t>&lt;link rel="stylesheet"href="PF.css"&gt;&lt;div class="heading"&gt;&lt;p class="alignleft"&gt;Sympathetic Vibration&lt;/p&gt;&lt;div style="clear: both;"&gt;&lt;/div&gt;&lt;/div&gt;&lt;div&gt;&lt;h5&gt;&lt;b&gt;School &lt;/b&gt;evocation [sonic]; &lt;b&gt;Level &lt;/b&gt;bard 6&lt;/h5&gt;&lt;/div&gt;&lt;hr/&gt;&lt;div&gt;&lt;h5&gt;&lt;b&gt;CASTING&lt;/b&gt;&lt;/h5&gt;&lt;/div&gt;&lt;hr/&gt;&lt;div&gt;&lt;h5&gt;&lt;b&gt;Casting Time &lt;/b&gt;10 minutes&lt;/h5&gt;&lt;h5&gt;&lt;b&gt;Components &lt;/b&gt;V, S, F (a tuning fork)&lt;/h5&gt;&lt;/div&gt;&lt;hr/&gt;&lt;div&gt;&lt;h5&gt;&lt;b&gt;EFFECT&lt;/b&gt;&lt;/h5&gt;&lt;/div&gt;&lt;hr/&gt;&lt;div&gt;&lt;h5&gt;&lt;b&gt;Range &lt;/b&gt;touch&lt;/h5&gt;&lt;h5&gt;&lt;b&gt;Targets &lt;/b&gt;one freestanding structure&lt;/h5&gt;&lt;h5&gt;&lt;b&gt;Duration &lt;/b&gt;up to 1 round/level&lt;/h5&gt;&lt;h5&gt;&lt;b&gt;Saving Throw &lt;/b&gt;none; see text; &lt;b&gt;Spell Resistance &lt;/b&gt;yes&lt;/h5&gt;&lt;/div&gt;&lt;hr/&gt;&lt;div&gt;&lt;h5&gt;&lt;b&gt;DESCRIPTION&lt;/b&gt;&lt;/h5&gt;&lt;/div&gt;&lt;hr/&gt;&lt;div&gt;&lt;h4&gt;&lt;p&gt;By attuning yourself to a freestanding structure, you can create a damaging vibration within it. Once it begins, the vibration deals 2d10 points of damage per round to the target structure, bypassing hardness. You can choose at the time of casting to limit the duration of the spell; otherwise it lasts for 1 round per level. If the spell is cast upon a target that is not freestanding, the surrounding stone dissipates the effect and no damage occurs.&lt;/p&gt;&lt;p&gt;&lt;i&gt;Sympathetic vibration&lt;/i&gt; cannot affect creatures (including constructs). Since a structure is an unattended object, it gets no saving throw to resist the effect.&lt;/p&gt;&lt;/h4&gt;&lt;/div&gt;</t>
  </si>
  <si>
    <t> Deals 2d10 damage/round to freestanding structure.</t>
  </si>
  <si>
    <t>Sympathy</t>
  </si>
  <si>
    <t>druid 9, sorcerer/wizard 8, summoner 6, witch 8</t>
  </si>
  <si>
    <t>V, S, M (a drop of honey and crushed pearls worth 1,500 gp)</t>
  </si>
  <si>
    <t>You cause an object or location to emanate magical vibrations that attract either a specific kind of intelligent creature or creatures of a particular alignment, as defined by you. The particular kind of creature to be affected must be named specifically. A creature subtype is not specific enough. Likewise, the specific alignment must be named. Creatures of the specified kind or alignment feel elated and pleased to be in the area or desire to touch or possess the object. The compulsion to stay in the area or touch the object is overpowering. If the save is successful, the creature is released from the enchantment, but a subsequent save must be made 1d6 x 10 minutes later. If this save fails, the affected creature attempts to return to the area or object. Sympathy counters and dispels antipathy.</t>
  </si>
  <si>
    <t>&lt;p&gt;You cause an object or location to emanate magical vibrations that attract either a specific kind of intelligent creature or creatures of a particular alignment, as defined by you. The particular kind of creature to be affected must be named specifically. A creature subtype is not specific enough. Likewise, the specific alignment must be named.&lt;/p&gt;&lt;p&gt;Creatures of the specified kind or alignment feel elated and pleased to be in the area or desire to touch or possess the object. The compulsion to stay in the area or touch the object is overpowering. If the save is successful, the creature is released from the enchantment, but a subsequent save must be made 1d6 x 10 minutes later. If this save fails, the affected creature attempts to return to the area or object.&lt;/p&gt;&lt;p&gt;&lt;i&gt;Sympathy&lt;/i&gt; counters and dispels &lt;i&gt;antipathy&lt;/i&gt;.&lt;/p&gt;</t>
  </si>
  <si>
    <t>&lt;link rel="stylesheet"href="PF.css"&gt;&lt;div class="heading"&gt;&lt;p class="alignleft"&gt;Sympathy&lt;/p&gt;&lt;div style="clear: both;"&gt;&lt;/div&gt;&lt;/div&gt;&lt;div&gt;&lt;h5&gt;&lt;b&gt;School &lt;/b&gt;enchantment (compulsion) [mind-affecting, emotion]; &lt;b&gt;Level &lt;/b&gt;druid 9, sorcerer/wizard 8, summoner 6, witch 8&lt;/h5&gt;&lt;/div&gt;&lt;hr/&gt;&lt;div&gt;&lt;h5&gt;&lt;b&gt;CASTING&lt;/b&gt;&lt;/h5&gt;&lt;/div&gt;&lt;hr/&gt;&lt;div&gt;&lt;h5&gt;&lt;b&gt;Casting Time &lt;/b&gt;1 hour&lt;/h5&gt;&lt;h5&gt;&lt;b&gt;Components &lt;/b&gt;V, S, M (a drop of honey and crushed pearls worth 1,500 gp)&lt;/h5&gt;&lt;/div&gt;&lt;hr/&gt;&lt;div&gt;&lt;h5&gt;&lt;b&gt;EFFECT&lt;/b&gt;&lt;/h5&gt;&lt;/div&gt;&lt;hr/&gt;&lt;div&gt;&lt;h5&gt;&lt;b&gt;Range &lt;/b&gt;close (25 ft. + 5 ft./2 levels)&lt;/h5&gt;&lt;h5&gt;&lt;b&gt;Targets &lt;/b&gt;one location (up to a 10-ft. cube/level) or one object&lt;/h5&gt;&lt;h5&gt;&lt;b&gt;Duration &lt;/b&gt;2 hours/level (D)&lt;/h5&gt;&lt;h5&gt;&lt;b&gt;Saving Throw &lt;/b&gt;Will negates; see text; &lt;b&gt;Spell Resistance &lt;/b&gt;yes&lt;/h5&gt;&lt;/div&gt;&lt;hr/&gt;&lt;div&gt;&lt;h5&gt;&lt;b&gt;DESCRIPTION&lt;/b&gt;&lt;/h5&gt;&lt;/div&gt;&lt;hr/&gt;&lt;div&gt;&lt;h4&gt;&lt;p&gt;You cause an object or location to emanate magical vibrations that attract either a specific kind of intelligent creature or creatures of a particular alignment, as defined by you. The particular kind of creature to be affected must be named specifically. A creature subtype is not specific enough. Likewise, the specific alignment must be named.&lt;/p&gt;&lt;p&gt;Creatures of the specified kind or alignment feel elated and pleased to be in the area or desire to touch or possess the object. The compulsion to stay in the area or touch the object is overpowering. If the save is successful, the creature is released from the enchantment, but a subsequent save must be made 1d6 x 10 minutes later. If this save fails, the affected creature attempts to return to the area or object.&lt;/p&gt;&lt;p&gt;&lt;i&gt;Sympathy&lt;/i&gt; counters and dispels &lt;i&gt;antipathy&lt;/i&gt;.&lt;/p&gt;&lt;/h4&gt;&lt;/div&gt;</t>
  </si>
  <si>
    <t>Object or location attracts certain creatures.</t>
  </si>
  <si>
    <t>Telekinesis</t>
  </si>
  <si>
    <t>or see text</t>
  </si>
  <si>
    <t>concentration (up to 1 round/level) or instantaneous; see text</t>
  </si>
  <si>
    <t>Will negates (object) or none; see text</t>
  </si>
  <si>
    <t>yes (object); see text</t>
  </si>
  <si>
    <t>You move objects or creatures by concentrating on them. Depending on the version selected, the spell can provide a gentle, sustained force, perform a variety of combat maneuvers, or exert a single short, violent thrust. Sustained Force: A sustained force moves an object weighing no more than 25 pounds per caster level (maximum 375 pounds at 15th level) up to 20 feet per round. A creature can negate the effect on an object it possesses with a successful Will save or with spell resistance. This version of the spell can last 1 round per caster level, but it ends if you cease concentration. The weight can be moved vertically, horizontally, or in both directions. An object cannot be moved beyond your range. The spell ends if the object is forced beyond the range. If you cease concentration for any reason, the object falls or stops. An object can be telekinetically manipulated as if with one hand. For example, a lever or rope can be pulled, a key can be turned, an object rotated, and so on, if the force required is within the weight limitation. You might even be able to untie simple knots, though delicate activities such as these require DC 15 Intelligence checks. Combat Maneuver: Alternatively, once per round, you can use telekinesis to perform a bull rush, disarm, grapple (including pin), or trip. Resolve these attempts as normal, except that they don't provoke attacks of opportunity, you use your caster level in place of your Combat Maneuver Bonus, and you add your Intelligence modifier (if a wizard) or Charisma modifier (if a sorcerer) in place of your Strength or Dexterity modifier. No save is allowed against these attempts, but spell resistance applies normally. This version of the spell can last 1 round per caster level, but it ends if you cease concentration. Violent Thrust: Alternatively, the spell energy can be spent in a single round. You can hurl one object or creature per caster level (maximum 15) that are within range and all within 10 feet of each other toward any target within 10 feet per level of all the objects. You can hurl up to a total weight of 25 pounds per caster level (maximum 375 pounds at 15th level). You must succeed on attack rolls (one per creature or object thrown) to hit the target with the items, using your base attack bonus + your Intelligence modifier (if a wizard) or Charisma modifier (if a sorcerer). Weapons cause standard damage (with no Strength bonus; note that arrows or bolts deal damage as daggers of their size when used in this manner). Other objects cause damage ranging from 1 point per 25 pounds (for less dangerous objects) to 1d6 points of damage per 25 pounds (for hard, dense objects). Objects and creatures that miss their target land in a square adjacent to the target. Creatures who fall within the weight capacity of the spell can be hurled, but they are allowed Will saves (and spell resistance) to negate the effect, as are those whose held possessions are targeted by the spell. If a telekinesed creature is hurled against a solid surface, it takes damage as if it had fallen 10 feet (1d6 points).</t>
  </si>
  <si>
    <t>&lt;p&gt;You move objects or creatures by concentrating on them.&lt;/p&gt;&lt;p&gt;Depending on the version selected, the spell can provide a gentle, sustained force, perform a variety of combat maneuvers, or exert a single short, violent thrust.&lt;/p&gt;&lt;p&gt;&lt;i&gt;Sustained Force&lt;/i&gt;: A sustained force moves an object weighing no more than 25 pounds per caster level (maximum 375 pounds at 15th level) up to 20 feet per round. A creature can negate the effect on an object it possesses with a successful Will save or with spell resistance.&lt;/p&gt;&lt;p&gt;This version of the spell can last 1 round per caster level, but it ends if you cease concentration. The weight can be moved vertically, horizontally, or in both directions. An object cannot be moved beyond your range. The spell ends if the object is forced beyond the range. If you cease concentration for any reason, the object falls or stops.&lt;/p&gt;&lt;p&gt;An object can be telekinetically manipulated as if with one hand.&lt;/p&gt;&lt;p&gt;For example, a lever or rope can be pulled, a key can be turned, an object rotated, and so on, if the force required is within the weight limitation. You might even be able to untie simple knots, though delicate activities such as these require DC 15 Intelligence checks.&lt;/p&gt;&lt;p&gt;&lt;i&gt;Combat Maneuver&lt;/i&gt;: Alternatively, once per round, you can use &lt;i&gt;telekinesis&lt;/i&gt; to perform a bull rush, disarm, grapple (including pin), or trip. Resolve these attempts as normal, except that they don't provoke attacks of opportunity, you use your caster level in place of your &lt;i&gt;Combat Maneuver&lt;/i&gt; Bonus, and you add your Intelligence modifier (if a wizard) or Charisma modifier (if a sorcerer) in place of your Strength or Dexterity modifier. No save is allowed against these attempts, but spell resistance applies normally. This version of the spell can last 1 round per caster level, but it ends if you cease concentration.&lt;/p&gt;&lt;p&gt;&lt;i&gt;Violent Thrust&lt;/i&gt;: Alternatively, the spell energy can be spent in a single round. You can hurl one object or creature per caster level (maximum 15) that are within range and all within 10 feet of each other toward any target within 10 feet per level of all the objects.&lt;/p&gt;&lt;p&gt;You can hurl up to a total weight of 25 pounds per caster level (maximum 375 pounds at 15th level).&lt;/p&gt;&lt;p&gt;You must succeed on attack rolls (one per creature or object thrown) to hit the target with the items, using your base attack bonus + your Intelligence modifier (if a wizard) or Charisma modifier (if a sorcerer). Weapons cause standard damage (with no Strength bonus; note that arrows or bolts deal damage as daggers of their size when used in this manner). Other objects cause damage ranging from 1 point per 25 pounds (for less dangerous objects) to 1d6 points of damage per 25 pounds (for hard, dense objects).&lt;/p&gt;&lt;p&gt;Objects and creatures that miss their target land in a square adjacent to the target.&lt;/p&gt;&lt;p&gt;Creatures who fall within the weight capacity of the spell can be hurled, but they are allowed Will saves (and spell resistance) to negate the effect, as are those whose held possessions are targeted by the spell.&lt;/p&gt;&lt;p&gt;If a telekinesed creature is hurled against a solid surface, it takes damage as if it had fallen 10 feet (1d6 points).&lt;/p&gt;</t>
  </si>
  <si>
    <t>&lt;link rel="stylesheet"href="PF.css"&gt;&lt;div class="heading"&gt;&lt;p class="alignleft"&gt;Telekinesis&lt;/p&gt;&lt;div style="clear: both;"&gt;&lt;/div&gt;&lt;/div&gt;&lt;div&gt;&lt;h5&gt;&lt;b&gt;School &lt;/b&gt;transmutation; &lt;b&gt;Level &lt;/b&gt;sorcerer/wizard 5, magus 5&lt;/h5&gt;&lt;/div&gt;&lt;hr/&gt;&lt;div&gt;&lt;h5&gt;&lt;b&gt;CASTING&lt;/b&gt;&lt;/h5&gt;&lt;/div&gt;&lt;hr/&gt;&lt;div&gt;&lt;h5&gt;&lt;b&gt;Casting Time &lt;/b&gt;1 standard action&lt;/h5&gt;&lt;h5&gt;&lt;b&gt;Components &lt;/b&gt;V, S&lt;/h5&gt;&lt;/div&gt;&lt;hr/&gt;&lt;div&gt;&lt;h5&gt;&lt;b&gt;EFFECT&lt;/b&gt;&lt;/h5&gt;&lt;/div&gt;&lt;hr/&gt;&lt;div&gt;&lt;h5&gt;&lt;b&gt;Range &lt;/b&gt;long (400 ft. + 40 ft./level)&lt;/h5&gt;&lt;h5&gt;&lt;b&gt;Targets &lt;/b&gt;or see text&lt;/h5&gt;&lt;h5&gt;&lt;b&gt;Duration &lt;/b&gt;concentration (up to 1 round/level) or instantaneous; see text&lt;/h5&gt;&lt;h5&gt;&lt;b&gt;Saving Throw &lt;/b&gt;Will negates (object) or none; see text; &lt;b&gt;Spell Resistance &lt;/b&gt;yes (object); see text&lt;/h5&gt;&lt;/div&gt;&lt;hr/&gt;&lt;div&gt;&lt;h5&gt;&lt;b&gt;DESCRIPTION&lt;/b&gt;&lt;/h5&gt;&lt;/div&gt;&lt;hr/&gt;&lt;div&gt;&lt;h4&gt;&lt;p&gt;You move objects or creatures by concentrating on them.&lt;/p&gt;&lt;p&gt;Depending on the version selected, the spell can provide a gentle, sustained force, perform a variety of combat maneuvers, or exert a single short, violent thrust.&lt;/p&gt;&lt;p&gt;&lt;i&gt;Sustained Force&lt;/i&gt;: A sustained force moves an object weighing no more than 25 pounds per caster level (maximum 375 pounds at 15th level) up to 20 feet per round. A creature can negate the effect on an object it possesses with a successful Will save or with spell resistance.&lt;/p&gt;&lt;p&gt;This version of the spell can last 1 round per caster level, but it ends if you cease concentration. The weight can be moved vertically, horizontally, or in both directions. An object cannot be moved beyond your range. The spell ends if the object is forced beyond the range. If you cease concentration for any reason, the object falls or stops.&lt;/p&gt;&lt;p&gt;An object can be telekinetically manipulated as if with one hand.&lt;/p&gt;&lt;p&gt;For example, a lever or rope can be pulled, a key can be turned, an object rotated, and so on, if the force required is within the weight limitation. You might even be able to untie simple knots, though delicate activities such as these require DC 15 Intelligence checks.&lt;/p&gt;&lt;p&gt;&lt;i&gt;Combat Maneuver&lt;/i&gt;: Alternatively, once per round, you can use &lt;i&gt;telekinesis&lt;/i&gt; to perform a bull rush, disarm, grapple (including pin), or trip. Resolve these attempts as normal, except that they don't provoke attacks of opportunity, you use your caster level in place of your &lt;i&gt;Combat Maneuver&lt;/i&gt; Bonus, and you add your Intelligence modifier (if a wizard) or Charisma modifier (if a sorcerer) in place of your Strength or Dexterity modifier. No save is allowed against these attempts, but spell resistance applies normally. This version of the spell can last 1 round per caster level, but it ends if you cease concentration.&lt;/p&gt;&lt;p&gt;&lt;i&gt;Violent Thrust&lt;/i&gt;: Alternatively, the spell energy can be spent in a single round. You can hurl one object or creature per caster level (maximum 15) that are within range and all within 10 feet of each other toward any target within 10 feet per level of all the objects.&lt;/p&gt;&lt;p&gt;You can hurl up to a total weight of 25 pounds per caster level (maximum 375 pounds at 15th level).&lt;/p&gt;&lt;p&gt;You must succeed on attack rolls (one per creature or object thrown) to hit the target with the items, using your base attack bonus + your Intelligence modifier (if a wizard) or Charisma modifier (if a sorcerer). Weapons cause standard damage (with no Strength bonus; note that arrows or bolts deal damage as daggers of their size when used in this manner). Other objects cause damage ranging from 1 point per 25 pounds (for less dangerous objects) to 1d6 points of damage per 25 pounds (for hard, dense objects).&lt;/p&gt;&lt;p&gt;Objects and creatures that miss their target land in a square adjacent to the target.&lt;/p&gt;&lt;p&gt;Creatures who fall within the weight capacity of the spell can be hurled, but they are allowed Will saves (and spell resistance) to negate the effect, as are those whose held possessions are targeted by the spell.&lt;/p&gt;&lt;p&gt;If a telekinesed creature is hurled against a solid surface, it takes damage as if it had fallen 10 feet (1d6 points).&lt;/p&gt;&lt;/h4&gt;&lt;h5&gt;&lt;b&gt;Mythic: &lt;/b&gt;The duration of this spell changes to 1 round per level. You may spend a move action to use the sustained force or combat maneuver effects of the spell. When using sustained force, you can move a number of objects up to your tier. These must be in the same square and together must weigh no more than the weight limit of the spell. Using the violent thrust effect ends the spell, but the weight restriction increases to 50 pounds per caster level (maximum 750 pounds).&lt;/h5&gt;&lt;/div&gt;</t>
  </si>
  <si>
    <t> Moves object, attacks creature, or hurls object or creature.</t>
  </si>
  <si>
    <t>The duration of this spell changes to 1 round per level. You may spend a move action to use the sustained force or combat maneuver effects of the spell. When using sustained force, you can move a number of objects up to your tier. These must be in the same square and together must weigh no more than the weight limit of the spell. Using the violent thrust effect ends the spell, but the weight restriction increases to 50 pounds per caster level (maximum 750 pounds).</t>
  </si>
  <si>
    <t>Telekinetic Sphere</t>
  </si>
  <si>
    <t>V, S, M (a crystal sphere and a pair of small magnets)</t>
  </si>
  <si>
    <t>1-ft.-diameter/level sphere, centered around creatures or objects</t>
  </si>
  <si>
    <t>Reflex negates (object)</t>
  </si>
  <si>
    <t>This spell functions like resilient sphere, but the creatures or objects caught inside the globe created by the spell are made nearly weightless. Anything contained within a telekinetic sphere weighs only one-sixteenth of its normal weight. You can telekinetically lift anything in the sphere that normally weighs 5,000 pounds or less. The telekinetic control extends from you out to medium range (100 feet + 10 feet per caster level) after the sphere has succeeded in encapsulating its contents. You can move the sphere, along with the objects and creatures it contains that weigh a total of 5,000 pounds or less, by concentrating on the sphere. You can begin moving a sphere in the round after casting the spell. If you concentrate on doing so (a standard action), you can move the sphere as much as 30 feet in a round. If you cease concentrating, the sphere does not move in that round (if on a level surface) or descends at its falling rate (if aloft) until it reaches a level surface. You can resume concentrating on your next turn or any later turn during the spell's duration. The sphere falls at a rate of only 60 feet per round, which is not fast enough to cause damage to the contents of the sphere. You can move the sphere telekinetically even if you are in it.</t>
  </si>
  <si>
    <t>&lt;p&gt;This spell functions like &lt;i&gt;resilient sphere,&lt;/i&gt; but the creatures or objects caught inside the globe created by the spell are made nearly weightless. Anything contained within a &lt;i&gt;telekinetic sphere&lt;/i&gt; weighs only one-sixteenth of its normal weight. You can telekinetically lift anything in the sphere that normally weighs 5,000 pounds or less. The telekinetic control extends from you out to medium range (100 feet + 10 feet per caster level) after the sphere has succeeded in encapsulating its contents.&lt;/p&gt;&lt;p&gt;You can move the sphere, along with the objects and creatures it contains that weigh a total of 5,000 pounds or less, by concentrating on the sphere. You can begin moving a sphere in the round after casting the spell. If you concentrate on doing so (a standard action), you can move the sphere as much as 30 feet in a round. If you cease concentrating, the sphere does not move in that round (if on a level surface) or descends at its falling rate (if aloft) until it reaches a level surface. You can resume concentrating on your next turn or any later turn during the spell's duration.&lt;/p&gt;&lt;p&gt;The sphere falls at a rate of only 60 feet per round, which is not fast enough to cause damage to the contents of the sphere.&lt;/p&gt;&lt;p&gt;You can move the sphere telekinetically even if you are in it.&lt;/p&gt;</t>
  </si>
  <si>
    <t>&lt;link rel="stylesheet"href="PF.css"&gt;&lt;div class="heading"&gt;&lt;p class="alignleft"&gt;Telekinetic Sphere&lt;/p&gt;&lt;div style="clear: both;"&gt;&lt;/div&gt;&lt;/div&gt;&lt;div&gt;&lt;h5&gt;&lt;b&gt;School &lt;/b&gt;evocation [force]; &lt;b&gt;Level &lt;/b&gt;sorcerer/wizard 8&lt;/h5&gt;&lt;/div&gt;&lt;hr/&gt;&lt;div&gt;&lt;h5&gt;&lt;b&gt;CASTING&lt;/b&gt;&lt;/h5&gt;&lt;/div&gt;&lt;hr/&gt;&lt;div&gt;&lt;h5&gt;&lt;b&gt;Casting Time &lt;/b&gt;1 standard action&lt;/h5&gt;&lt;h5&gt;&lt;b&gt;Components &lt;/b&gt;V, S, M (a crystal sphere and a pair of small magnets)&lt;/h5&gt;&lt;/div&gt;&lt;hr/&gt;&lt;div&gt;&lt;h5&gt;&lt;b&gt;EFFECT&lt;/b&gt;&lt;/h5&gt;&lt;/div&gt;&lt;hr/&gt;&lt;div&gt;&lt;h5&gt;&lt;b&gt;Range &lt;/b&gt;close (25 ft. + 5 ft./2 levels)&lt;/h5&gt;&lt;h5&gt;&lt;b&gt;Effect &lt;/b&gt;1-ft.-diameter/level sphere, centered around creatures or objects&lt;/h5&gt;&lt;h5&gt;&lt;b&gt;Duration &lt;/b&gt;1 min./level (D)&lt;/h5&gt;&lt;h5&gt;&lt;b&gt;Saving Throw &lt;/b&gt;Reflex negates (object); &lt;b&gt;Spell Resistance &lt;/b&gt;yes (object)&lt;/h5&gt;&lt;/div&gt;&lt;hr/&gt;&lt;div&gt;&lt;h5&gt;&lt;b&gt;DESCRIPTION&lt;/b&gt;&lt;/h5&gt;&lt;/div&gt;&lt;hr/&gt;&lt;div&gt;&lt;h4&gt;&lt;p&gt;This spell functions like &lt;i&gt;resilient sphere,&lt;/i&gt; but the creatures or objects caught inside the globe created by the spell are made nearly weightless. Anything contained within a &lt;i&gt;telekinetic sphere&lt;/i&gt; weighs only one-sixteenth of its normal weight. You can telekinetically lift anything in the sphere that normally weighs 5,000 pounds or less. The telekinetic control extends from you out to medium range (100 feet + 10 feet per caster level) after the sphere has succeeded in encapsulating its contents.&lt;/p&gt;&lt;p&gt;You can move the sphere, along with the objects and creatures it contains that weigh a total of 5,000 pounds or less, by concentrating on the sphere. You can begin moving a sphere in the round after casting the spell. If you concentrate on doing so (a standard action), you can move the sphere as much as 30 feet in a round. If you cease concentrating, the sphere does not move in that round (if on a level surface) or descends at its falling rate (if aloft) until it reaches a level surface. You can resume concentrating on your next turn or any later turn during the spell's duration.&lt;/p&gt;&lt;p&gt;The sphere falls at a rate of only 60 feet per round, which is not fast enough to cause damage to the contents of the sphere.&lt;/p&gt;&lt;p&gt;You can move the sphere telekinetically even if you are in it.&lt;/p&gt;&lt;/h4&gt;&lt;/div&gt;</t>
  </si>
  <si>
    <t> As resilient sphere, but you move the sphere telekinetically.</t>
  </si>
  <si>
    <t>Telepathic Bond</t>
  </si>
  <si>
    <t>sorcerer/wizard 5, witch 5, inquisitor 5</t>
  </si>
  <si>
    <t>V, S, M (two eggshells from two different creatures)</t>
  </si>
  <si>
    <t>you plus one willing creature per three levels, no two of which can be more than 30 ft. apart</t>
  </si>
  <si>
    <t>You forge a telepathic bond among yourself and a number of willing creatures, each of which must have an Intelligence score of 3 or higher. Each creature included in the link is linked to all the others. The creatures can communicate telepathically through the bond regardless of language. No special power or influence is established as a result of the bond. Once the bond is formed, it works over any distance (although not from one plane to another). If desired, you may leave yourself out of the telepathic bond forged. This decision must be made at the time of casting. Telepathic bond can be made permanent with a permanency spell, though it only bonds two creatures per casting of permanency.</t>
  </si>
  <si>
    <t>&lt;p&gt;You forge a telepathic bond among yourself and a number of willing creatures, each of which must have an Intelligence score of 3 or higher. Each creature included in the link is linked to all the others. The creatures can communicate telepathically through the bond regardless of language. No special power or influence is established as a result of the bond. Once the bond is formed, it works over any distance (although not from one plane to another).&lt;/p&gt;&lt;p&gt;If desired, you may leave yourself out of the telepathic bond forged. This decision must be made at the time of casting.&lt;/p&gt;&lt;p&gt;&lt;i&gt;Telepathic bond&lt;/i&gt; can be made permanent with a &lt;i&gt;permanency&lt;/i&gt; spell, though it only bonds two creatures per casting of &lt;i&gt;permanency&lt;/i&gt;.&lt;/p&gt;</t>
  </si>
  <si>
    <t>&lt;link rel="stylesheet"href="PF.css"&gt;&lt;div class="heading"&gt;&lt;p class="alignleft"&gt;Telepathic Bond&lt;/p&gt;&lt;div style="clear: both;"&gt;&lt;/div&gt;&lt;/div&gt;&lt;div&gt;&lt;h5&gt;&lt;b&gt;School &lt;/b&gt;divination; &lt;b&gt;Level &lt;/b&gt;sorcerer/wizard 5, witch 5, inquisitor 5&lt;/h5&gt;&lt;/div&gt;&lt;hr/&gt;&lt;div&gt;&lt;h5&gt;&lt;b&gt;CASTING&lt;/b&gt;&lt;/h5&gt;&lt;/div&gt;&lt;hr/&gt;&lt;div&gt;&lt;h5&gt;&lt;b&gt;Casting Time &lt;/b&gt;1 standard action&lt;/h5&gt;&lt;h5&gt;&lt;b&gt;Components &lt;/b&gt;V, S, M (two eggshells from two different creatures)&lt;/h5&gt;&lt;/div&gt;&lt;hr/&gt;&lt;div&gt;&lt;h5&gt;&lt;b&gt;EFFECT&lt;/b&gt;&lt;/h5&gt;&lt;/div&gt;&lt;hr/&gt;&lt;div&gt;&lt;h5&gt;&lt;b&gt;Range &lt;/b&gt;close (25 ft. + 5 ft./2 levels)&lt;/h5&gt;&lt;h5&gt;&lt;b&gt;Targets &lt;/b&gt;you plus one willing creature per three levels, no two of which can be more than 30 ft. apart&lt;/h5&gt;&lt;h5&gt;&lt;b&gt;Duration &lt;/b&gt;10 min./level (D)&lt;/h5&gt;&lt;h5&gt;&lt;b&gt;Saving Throw &lt;/b&gt;none; &lt;b&gt;Spell Resistance &lt;/b&gt;no&lt;/h5&gt;&lt;/div&gt;&lt;hr/&gt;&lt;div&gt;&lt;h5&gt;&lt;b&gt;DESCRIPTION&lt;/b&gt;&lt;/h5&gt;&lt;/div&gt;&lt;hr/&gt;&lt;div&gt;&lt;h4&gt;&lt;p&gt;You forge a telepathic bond among yourself and a number of willing creatures, each of which must have an Intelligence score of 3 or higher. Each creature included in the link is linked to all the others. The creatures can communicate telepathically through the bond regardless of language. No special power or influence is established as a result of the bond. Once the bond is formed, it works over any distance (although not from one plane to another).&lt;/p&gt;&lt;p&gt;If desired, you may leave yourself out of the telepathic bond forged. This decision must be made at the time of casting.&lt;/p&gt;&lt;p&gt;&lt;i&gt;Telepathic bond&lt;/i&gt; can be made permanent with a &lt;i&gt;permanency&lt;/i&gt; spell, though it only bonds two creatures per casting of &lt;i&gt;permanency&lt;/i&gt;.&lt;/p&gt;&lt;/h4&gt;&lt;/div&gt;</t>
  </si>
  <si>
    <t>Community, Language, Thought</t>
  </si>
  <si>
    <t> Link lets allies communicate.</t>
  </si>
  <si>
    <t>Teleport</t>
  </si>
  <si>
    <t>sorcerer/wizard 5, summoner 4, witch 5, magus 5</t>
  </si>
  <si>
    <t>personal and touch</t>
  </si>
  <si>
    <t>This spell instantly transports you to a designated destination, which may be as distant as 100 miles per caster level. Interplanar travel is not possible. You can bring along objects as long as their weight doesn't exceed your maximum load. You may also bring one additional willing Medium or smaller creature (carrying gear or objects up to its maximum load) or its equivalent per three caster levels. A Large creature counts as two Medium creatures, a Huge creature counts as four Medium creatures, and so forth. All creatures to be transported must be in contact with one another, and at least one of those creatures must be in contact with you. As with all spells where the range is personal and the target is you, you need not make a saving throw, nor is spell resistance applicable to you. Only objects held or in use (attended) by another person receive saving throws and spell resistance. You must have some clear idea of the location and layout of the destination. The clearer your mental image, the more likely the teleportation works. Areas of strong physical or magical energy may make teleportation more hazardous or even impossible. To see how well the teleportation works, roll d% and consult the table at the end of this spell. Refer to the following information for definitions of the terms on the table. Familiarity: "Very familiar" is a place where you have been very often and where you feel at home. "Studied carefully" is a place you know well, either because you can currently physically see it or you've been there often. "Seen casually" is a place that you have seen more than once but with which you are not very familiar. "Viewed once" is a place that you have seen once, possibly using magic such as scrying. "False destination" is a place that does not truly exist or if you are teleporting to an otherwise familiar location that no longer exists as such or has been so completely altered as to no longer be familiar to you. When traveling to a false destination, roll 1d20+80 to obtain results on the table, rather than rolling d%, since there is no real destination for you to hope to arrive at or even be off target from. On Target: You appear where you want to be. Off Target: You appear safely a random distance away from the destination in a random direction. Distance off target is d% of the distance that was to be traveled. The direction off target is determined randomly. Similar Area: You wind up in an area that's visually or thematically similar to the target area. Generally, you appear in the closest similar place within range. If no such area exists within the spell's range, the spell simply fails instead. Mishap: You and anyone else teleporting with you have gotten "scrambled." You each take 1d10 points of damage, and you reroll on the chart to see where you wind up. For these rerolls, roll 1d20+80. Each time "Mishap" comes up, the characters take more damage and must reroll. O n O ff Similar Familiarity Target Target Area M ishap Very familiar 01-97 98-99 100 - Studied carefully 01-94 95-97 98-99 100 Seen casually 01-88 89-94 95-98 99-100 Viewed once 01-76 77-88 89-96 97-100 False destination - - 81-92 93-100</t>
  </si>
  <si>
    <t>&lt;p&gt;This spell instantly transports you to a designated destination, which may be as distant as 100 miles per caster level. Interplanar travel is not possible. You can bring along objects as long as their weight doesn't exceed your maximum load. You may also bring one additional willing Medium or smaller creature (carrying gear or objects up to its maximum load) or its equivalent per three caster levels. A Large creature counts as two Medium creatures, a Huge creature counts as four Medium creatures, and so forth. All creatures to be transported must be in contact with one another, and at least one of those creatures must be in contact with you. As with all spells where the range is personal and the target is you, you need not make a saving throw, nor is spell resistance applicable to you. Only objects held or in use (attended) by another person receive saving throws and spell resistance.&lt;/p&gt;&lt;p&gt;You must have some clear idea of the location and layout of the destination. The clearer your mental image, the more likely the teleportation works. Areas of strong physical or magical energy may make teleportation more hazardous or even impossible.&lt;/p&gt;&lt;p&gt;To see how well the teleportation works, roll d% and consult the table at the end of this spell. Refer to the following information for definitions of the terms on the table.&lt;/p&gt;&lt;p&gt;&lt;i&gt;Familiarity:&lt;/i&gt; "Very familiar" is a place where you have been very often and where you feel at home. "Studied carefully" is a place you know well, either because you can currently physically see it or you've been there often. "Seen casually" is a place that you have seen more than once but with which you are not very familiar. "Viewed once" is a place that you have seen once, possibly using magic such as &lt;i&gt;scrying.&lt;/i&gt;&lt;/p&gt;&lt;p&gt;"False destination" is a place that does not truly exist or if you are teleporting to an otherwise familiar location that no longer exists as such or has been so completely altered as to no longer be familiar to you. When traveling to a false destination, roll 1d20+80 to obtain results on the table, rather than rolling d%, since there is no real destination for you to hope to arrive at or even be off target from.&lt;/p&gt;&lt;p&gt;&lt;i&gt;On Target&lt;/i&gt;: You appear where you want to be.&lt;/p&gt;&lt;p&gt;&lt;i&gt;Off Target&lt;/i&gt;: You appear safely a random distance away from the destination in a random direction. Distance off target is d% of the distance that was to be traveled. The direction off target is determined randomly.&lt;/p&gt;&lt;p&gt;&lt;i&gt;Similar Area&lt;/i&gt;: You wind up in an area that's visually or thematically similar to the target area. Generally, you appear in the closest similar place within range. If no such area exists within the spell's range, the spell simply fails instead.&lt;/p&gt;&lt;p&gt;&lt;i&gt;Mishap:&lt;/i&gt; You and anyone else teleporting with you have gotten "scrambled." You each take 1d10 points of damage, and you reroll on the chart to see where you wind up. For these rerolls, roll 1d20+80.&lt;/p&gt;&lt;p&gt;Each time "Mishap" comes up, the characters take more damage and must reroll.&lt;/p&gt;&lt;p&gt; &lt;table&gt;&lt;tr&gt;&lt;th&gt;Familiarity&lt;/th&gt;&lt;th&gt;On Target&lt;/th&gt;&lt;th&gt;Off Target&lt;/th&gt;&lt;th&gt;Similar Area&lt;/th&gt;&lt;th&gt;mishap&lt;/th&gt;&lt;/tr&gt;&lt;tr&gt;&lt;td&gt;Very familiar&lt;/td&gt;&lt;td&gt;01-97&lt;/td&gt;&lt;td&gt;98-99&lt;/td&gt;&lt;td&gt;100&lt;/td&gt;&lt;td&gt;-&lt;/td&gt;&lt;/tr&gt;&lt;tr&gt;&lt;td&gt;Studied carefully&lt;/td&gt;&lt;td&gt;01-94&lt;/td&gt;&lt;td&gt;95-97&lt;/td&gt;&lt;td&gt;98-99&lt;/td&gt;&lt;td&gt;100&lt;/td&gt;&lt;/tr&gt;&lt;tr&gt;&lt;td&gt;Seen casually&lt;/td&gt;&lt;td&gt;01-88&lt;/td&gt;&lt;td&gt;89-94&lt;/td&gt;&lt;td&gt;95-98&lt;/td&gt;&lt;td&gt;99-100&lt;/td&gt;&lt;/tr&gt;&lt;tr&gt;&lt;td&gt;Viewed once&lt;/td&gt;&lt;td&gt;01-76&lt;/td&gt;&lt;td&gt;77-88&lt;/td&gt;&lt;td&gt;89-96&lt;/td&gt;&lt;td&gt;97-100&lt;/td&gt;&lt;/tr&gt;&lt;tr&gt;&lt;td&gt;False destination&lt;/td&gt;&lt;td&gt;-&lt;/td&gt;&lt;td&gt;-&lt;/td&gt;&lt;td&gt;81-92&lt;/td&gt;&lt;td&gt;93-100&lt;/td&gt;&lt;/tr&gt;&lt;/table&gt; &lt;/p&gt;</t>
  </si>
  <si>
    <t>&lt;link rel="stylesheet"href="PF.css"&gt;&lt;div class="heading"&gt;&lt;p class="alignleft"&gt;Teleport&lt;/p&gt;&lt;div style="clear: both;"&gt;&lt;/div&gt;&lt;/div&gt;&lt;div&gt;&lt;h5&gt;&lt;b&gt;School &lt;/b&gt;conjuration (teleportation); &lt;b&gt;Level &lt;/b&gt;sorcerer/wizard 5, summoner 4, witch 5, magus 5&lt;/h5&gt;&lt;/div&gt;&lt;hr/&gt;&lt;div&gt;&lt;h5&gt;&lt;b&gt;CASTING&lt;/b&gt;&lt;/h5&gt;&lt;/div&gt;&lt;hr/&gt;&lt;div&gt;&lt;h5&gt;&lt;b&gt;Casting Time &lt;/b&gt;1 standard action&lt;/h5&gt;&lt;h5&gt;&lt;b&gt;Components &lt;/b&gt;V&lt;/h5&gt;&lt;/div&gt;&lt;hr/&gt;&lt;div&gt;&lt;h5&gt;&lt;b&gt;EFFECT&lt;/b&gt;&lt;/h5&gt;&lt;/div&gt;&lt;hr/&gt;&lt;div&gt;&lt;h5&gt;&lt;b&gt;Range &lt;/b&gt;personal and touch&lt;/h5&gt;&lt;h5&gt;&lt;b&gt;Targets &lt;/b&gt;you and touched objects or other touched willing creatures&lt;/h5&gt;&lt;h5&gt;&lt;b&gt;Duration &lt;/b&gt;instantaneous&lt;/h5&gt;&lt;h5&gt;&lt;b&gt;Saving Throw &lt;/b&gt;none and Will negates (object); &lt;b&gt;Spell Resistance &lt;/b&gt;no and yes (object)&lt;/h5&gt;&lt;/div&gt;&lt;hr/&gt;&lt;div&gt;&lt;h5&gt;&lt;b&gt;DESCRIPTION&lt;/b&gt;&lt;/h5&gt;&lt;/div&gt;&lt;hr/&gt;&lt;div&gt;&lt;h4&gt;&lt;p&gt;This spell instantly transports you to a designated destination, which may be as distant as 100 miles per caster level. Interplanar travel is not possible. You can bring along objects as long as their weight doesn't exceed your maximum load. You may also bring one additional willing Medium or smaller creature (carrying gear or objects up to its maximum load) or its equivalent per three caster levels. A Large creature counts as two Medium creatures, a Huge creature counts as four Medium creatures, and so forth. All creatures to be transported must be in contact with one another, and at least one of those creatures must be in contact with you. As with all spells where the range is personal and the target is you, you need not make a saving throw, nor is spell resistance applicable to you. Only objects held or in use (attended) by another person receive saving throws and spell resistance.&lt;/p&gt;&lt;p&gt;You must have some clear idea of the location and layout of the destination. The clearer your mental image, the more likely the teleportation works. Areas of strong physical or magical energy may make teleportation more hazardous or even impossible.&lt;/p&gt;&lt;p&gt;To see how well the teleportation works, roll d% and consult the table at the end of this spell. Refer to the following information for definitions of the terms on the table.&lt;/p&gt;&lt;p&gt;&lt;i&gt;Familiarity:&lt;/i&gt; "Very familiar" is a place where you have been very often and where you feel at home. "Studied carefully" is a place you know well, either because you can currently physically see it or you've been there often. "Seen casually" is a place that you have seen more than once but with which you are not very familiar. "Viewed once" is a place that you have seen once, possibly using magic such as &lt;i&gt;scrying.&lt;/i&gt;&lt;/p&gt;&lt;p&gt;"False destination" is a place that does not truly exist or if you are teleporting to an otherwise familiar location that no longer exists as such or has been so completely altered as to no longer be familiar to you. When traveling to a false destination, roll 1d20+80 to obtain results on the table, rather than rolling d%, since there is no real destination for you to hope to arrive at or even be off target from.&lt;/p&gt;&lt;p&gt;&lt;i&gt;On Target&lt;/i&gt;: You appear where you want to be.&lt;/p&gt;&lt;p&gt;&lt;i&gt;Off Target&lt;/i&gt;: You appear safely a random distance away from the destination in a random direction. Distance off target is d% of the distance that was to be traveled. The direction off target is determined randomly.&lt;/p&gt;&lt;p&gt;&lt;i&gt;Similar Area&lt;/i&gt;: You wind up in an area that's visually or thematically similar to the target area. Generally, you appear in the closest similar place within range. If no such area exists within the spell's range, the spell simply fails instead.&lt;/p&gt;&lt;p&gt;&lt;i&gt;Mishap:&lt;/i&gt; You and anyone else teleporting with you have gotten "scrambled." You each take 1d10 points of damage, and you reroll on the chart to see where you wind up. For these rerolls, roll 1d20+80.&lt;/p&gt;&lt;p&gt;Each time "Mishap" comes up, the characters take more damage and must reroll.&lt;/p&gt;&lt;p&gt; &lt;table&gt;&lt;tr&gt;&lt;th&gt;Familiarity&lt;/th&gt;&lt;th&gt;On Target&lt;/th&gt;&lt;th&gt;Off Target&lt;/th&gt;&lt;th&gt;Similar Area&lt;/th&gt;&lt;th&gt;mishap&lt;/th&gt;&lt;/tr&gt;&lt;tr&gt;&lt;td&gt;Very familiar&lt;/td&gt;&lt;td&gt;01-97&lt;/td&gt;&lt;td&gt;98-99&lt;/td&gt;&lt;td&gt;100&lt;/td&gt;&lt;td&gt;-&lt;/td&gt;&lt;/tr&gt;&lt;tr&gt;&lt;td&gt;Studied carefully&lt;/td&gt;&lt;td&gt;01-94&lt;/td&gt;&lt;td&gt;95-97&lt;/td&gt;&lt;td&gt;98-99&lt;/td&gt;&lt;td&gt;100&lt;/td&gt;&lt;/tr&gt;&lt;tr&gt;&lt;td&gt;Seen casually&lt;/td&gt;&lt;td&gt;01-88&lt;/td&gt;&lt;td&gt;89-94&lt;/td&gt;&lt;td&gt;95-98&lt;/td&gt;&lt;td&gt;99-100&lt;/td&gt;&lt;/tr&gt;&lt;tr&gt;&lt;td&gt;Viewed once&lt;/td&gt;&lt;td&gt;01-76&lt;/td&gt;&lt;td&gt;77-88&lt;/td&gt;&lt;td&gt;89-96&lt;/td&gt;&lt;td&gt;97-100&lt;/td&gt;&lt;/tr&gt;&lt;tr&gt;&lt;td&gt;False destination&lt;/td&gt;&lt;td&gt;-&lt;/td&gt;&lt;td&gt;-&lt;/td&gt;&lt;td&gt;81-92&lt;/td&gt;&lt;td&gt;93-100&lt;/td&gt;&lt;/tr&gt;&lt;/table&gt; &lt;/p&gt;&lt;/h4&gt;&lt;/div&gt;</t>
  </si>
  <si>
    <t> Instantly transports you as far as 100 miles per level.</t>
  </si>
  <si>
    <t>Teleport, Greater</t>
  </si>
  <si>
    <t>sorcerer/wizard 7, summoner 5, witch 7</t>
  </si>
  <si>
    <t>This spell functions like teleport, except that there is no range limit and there is no chance you arrive off target. In addition, you need not have seen the destination, but in that case you must have at least a reliable description of the place to which you are teleporting. If you attempt to teleport with insufficient information (or with misleading information), you disappear and simply reappear in your original location. Interplanar travel is not possible.</t>
  </si>
  <si>
    <t>&lt;p&gt;This spell functions like &lt;i&gt;teleport,&lt;/i&gt; except that there is no range limit and there is no chance you arrive off target. In addition, you need not have seen the destination, but in that case you must have at least a reliable description of the place to which you are teleporting. If you attempt to teleport with insufficient information (or with misleading information), you disappear and simply reappear in your original location. Interplanar travel is not possible.&lt;/p&gt;</t>
  </si>
  <si>
    <t>&lt;link rel="stylesheet"href="PF.css"&gt;&lt;div class="heading"&gt;&lt;p class="alignleft"&gt;Teleport, Greater&lt;/p&gt;&lt;div style="clear: both;"&gt;&lt;/div&gt;&lt;/div&gt;&lt;div&gt;&lt;h5&gt;&lt;b&gt;School &lt;/b&gt;conjuration (teleportation); &lt;b&gt;Level &lt;/b&gt;sorcerer/wizard 7, summoner 5, witch 7&lt;/h5&gt;&lt;/div&gt;&lt;hr/&gt;&lt;div&gt;&lt;h5&gt;&lt;b&gt;CASTING&lt;/b&gt;&lt;/h5&gt;&lt;/div&gt;&lt;hr/&gt;&lt;div&gt;&lt;h5&gt;&lt;b&gt;Casting Time &lt;/b&gt;1 standard action&lt;/h5&gt;&lt;h5&gt;&lt;b&gt;Components &lt;/b&gt;V&lt;/h5&gt;&lt;/div&gt;&lt;hr/&gt;&lt;div&gt;&lt;h5&gt;&lt;b&gt;EFFECT&lt;/b&gt;&lt;/h5&gt;&lt;/div&gt;&lt;hr/&gt;&lt;div&gt;&lt;h5&gt;&lt;b&gt;Range &lt;/b&gt;personal and touch&lt;/h5&gt;&lt;h5&gt;&lt;b&gt;Targets &lt;/b&gt;you and touched objects or other touched willing creatures&lt;/h5&gt;&lt;h5&gt;&lt;b&gt;Duration &lt;/b&gt;instantaneous&lt;/h5&gt;&lt;h5&gt;&lt;b&gt;Saving Throw &lt;/b&gt;none and Will negates (object); &lt;b&gt;Spell Resistance &lt;/b&gt;no and yes (object)&lt;/h5&gt;&lt;/div&gt;&lt;hr/&gt;&lt;div&gt;&lt;h5&gt;&lt;b&gt;DESCRIPTION&lt;/b&gt;&lt;/h5&gt;&lt;/div&gt;&lt;hr/&gt;&lt;div&gt;&lt;h4&gt;&lt;p&gt;This spell functions like &lt;i&gt;teleport,&lt;/i&gt; except that there is no range limit and there is no chance you arrive off target. In addition, you need not have seen the destination, but in that case you must have at least a reliable description of the place to which you are teleporting. If you attempt to teleport with insufficient information (or with misleading information), you disappear and simply reappear in your original location. Interplanar travel is not possible.&lt;/p&gt;&lt;/h4&gt;&lt;/div&gt;</t>
  </si>
  <si>
    <t> As teleport, but no range limit and no off-target arrival.</t>
  </si>
  <si>
    <t>Abyssal, Arcane, Infernal</t>
  </si>
  <si>
    <t>Teleport Object</t>
  </si>
  <si>
    <t>one touched object of up to 50 lbs./level and 3 cu. ft./level</t>
  </si>
  <si>
    <t>This spell functions like teleport, except that it teleports an object, not you. Creatures and magical forces cannot be teleported. If desired, the target object can be sent to a distant location on the Ethereal Plane. In this case, the point from which the object was teleported remains faintly magical until the item is retrieved. A successful targeted dispel magic spell cast on that point brings the vanished item back from the Ethereal Plane.</t>
  </si>
  <si>
    <t>&lt;p&gt;This spell functions like &lt;i&gt;teleport,&lt;/i&gt; except that it teleports an object, not you. Creatures and magical forces cannot be teleported.&lt;/p&gt;&lt;p&gt;If desired, the target object can be sent to a distant location on the Ethereal Plane. In this case, the point from which the object was teleported remains faintly magical until the item is retrieved. A successful targeted &lt;i&gt;dispel magic&lt;/i&gt; spell cast on that point brings the vanished item back from the Ethereal Plane.&lt;/p&gt;</t>
  </si>
  <si>
    <t>&lt;link rel="stylesheet"href="PF.css"&gt;&lt;div class="heading"&gt;&lt;p class="alignleft"&gt;Teleport Object&lt;/p&gt;&lt;div style="clear: both;"&gt;&lt;/div&gt;&lt;/div&gt;&lt;div&gt;&lt;h5&gt;&lt;b&gt;School &lt;/b&gt;conjuration (teleportation); &lt;b&gt;Level &lt;/b&gt;sorcerer/wizard 7, witch 7&lt;/h5&gt;&lt;/div&gt;&lt;hr/&gt;&lt;div&gt;&lt;h5&gt;&lt;b&gt;CASTING&lt;/b&gt;&lt;/h5&gt;&lt;/div&gt;&lt;hr/&gt;&lt;div&gt;&lt;h5&gt;&lt;b&gt;Casting Time &lt;/b&gt;1 standard action&lt;/h5&gt;&lt;h5&gt;&lt;b&gt;Components &lt;/b&gt;V&lt;/h5&gt;&lt;/div&gt;&lt;hr/&gt;&lt;div&gt;&lt;h5&gt;&lt;b&gt;EFFECT&lt;/b&gt;&lt;/h5&gt;&lt;/div&gt;&lt;hr/&gt;&lt;div&gt;&lt;h5&gt;&lt;b&gt;Range &lt;/b&gt;touch&lt;/h5&gt;&lt;h5&gt;&lt;b&gt;Targets &lt;/b&gt;one touched object of up to 50 lbs./level and 3 cu. ft./level&lt;/h5&gt;&lt;h5&gt;&lt;b&gt;Duration &lt;/b&gt;instantaneous&lt;/h5&gt;&lt;h5&gt;&lt;b&gt;Saving Throw &lt;/b&gt;Will negates (object); &lt;b&gt;Spell Resistance &lt;/b&gt;yes (object)&lt;/h5&gt;&lt;/div&gt;&lt;hr/&gt;&lt;div&gt;&lt;h5&gt;&lt;b&gt;DESCRIPTION&lt;/b&gt;&lt;/h5&gt;&lt;/div&gt;&lt;hr/&gt;&lt;div&gt;&lt;h4&gt;&lt;p&gt;This spell functions like &lt;i&gt;teleport,&lt;/i&gt; except that it teleports an object, not you. Creatures and magical forces cannot be teleported.&lt;/p&gt;&lt;p&gt;If desired, the target object can be sent to a distant location on the Ethereal Plane. In this case, the point from which the object was teleported remains faintly magical until the item is retrieved. A successful targeted &lt;i&gt;dispel magic&lt;/i&gt; spell cast on that point brings the vanished item back from the Ethereal Plane.&lt;/p&gt;&lt;/h4&gt;&lt;/div&gt;</t>
  </si>
  <si>
    <t> As teleport, but affects a touched object.</t>
  </si>
  <si>
    <t>Teleportation Circle</t>
  </si>
  <si>
    <t>V, M (amber dust to cover circle worth 1,000 gp)</t>
  </si>
  <si>
    <t>5-ft.-radius circle that teleports those who activate it</t>
  </si>
  <si>
    <t>You create a circle on the floor or other horizontal surface that teleports, as greater teleport, any creature who stands on it to a designated spot. Once you designate the destination for the circle, you can't change it. The spell fails if you attempt to set the circle to teleport creatures into a solid object, to a place with which you are not familiar and have no clear description, or to another plane. The circle itself is subtle and nearly impossible to notice. If you intend to keep creatures from activating it accidentally, you need to mark the circle in some way. Teleportation circle can be made permanent with a permanency spell. A permanent teleportation circle that is disabled becomes inactive for 10 minutes, then can be triggered again as normal. Magic traps such as teleportation circle are hard to detect and disable. A character with the trapfinding class feature can use the Disable Device to disarm magic traps. The DC in each case is 25 + spell level, or 34 in the case of teleportation circle.</t>
  </si>
  <si>
    <t>&lt;p&gt;You create a circle on the floor or other horizontal surface that teleports, as &lt;i&gt;greater teleport,&lt;/i&gt; any creature who stands on it to a designated spot. Once you designate the destination for the circle, you can't change it. The spell fails if you attempt to set the circle to teleport creatures into a solid object, to a place with which you are not familiar and have no clear description, or to another plane.&lt;/p&gt;&lt;p&gt;The circle itself is subtle and nearly impossible to notice. If you intend to keep creatures from activating it accidentally, you need to mark the circle in some way.&lt;/p&gt;&lt;p&gt;&lt;i&gt;Teleportation circle&lt;/i&gt; can be made permanent with a &lt;i&gt;permanency&lt;/i&gt; spell. A permanent &lt;i&gt;teleportation circle&lt;/i&gt; that is disabled becomes inactive for 10 minutes, then can be triggered again as normal.&lt;/p&gt;&lt;p&gt;Magic traps such as &lt;i&gt;teleportation circle&lt;/i&gt; are hard to detect and disable. A character with the trapfinding class feature can use the Disable Device to disarm magic traps. The DC in each case is 25 + spell level, or 34 in the case of &lt;i&gt;teleportation circle&lt;/i&gt;.&lt;/p&gt;</t>
  </si>
  <si>
    <t>&lt;link rel="stylesheet"href="PF.css"&gt;&lt;div class="heading"&gt;&lt;p class="alignleft"&gt;Teleportation Circle&lt;/p&gt;&lt;div style="clear: both;"&gt;&lt;/div&gt;&lt;/div&gt;&lt;div&gt;&lt;h5&gt;&lt;b&gt;School &lt;/b&gt;conjuration (teleportation); &lt;b&gt;Level &lt;/b&gt;sorcerer/wizard 9, summoner 6, witch 9&lt;/h5&gt;&lt;/div&gt;&lt;hr/&gt;&lt;div&gt;&lt;h5&gt;&lt;b&gt;CASTING&lt;/b&gt;&lt;/h5&gt;&lt;/div&gt;&lt;hr/&gt;&lt;div&gt;&lt;h5&gt;&lt;b&gt;Casting Time &lt;/b&gt;10 minutes&lt;/h5&gt;&lt;h5&gt;&lt;b&gt;Components &lt;/b&gt;V, M (amber dust to cover circle worth 1,000 gp)&lt;/h5&gt;&lt;/div&gt;&lt;hr/&gt;&lt;div&gt;&lt;h5&gt;&lt;b&gt;EFFECT&lt;/b&gt;&lt;/h5&gt;&lt;/div&gt;&lt;hr/&gt;&lt;div&gt;&lt;h5&gt;&lt;b&gt;Range &lt;/b&gt;0 ft.&lt;/h5&gt;&lt;h5&gt;&lt;b&gt;Effect &lt;/b&gt;5-ft.-radius circle that teleports those who activate it&lt;/h5&gt;&lt;h5&gt;&lt;b&gt;Duration &lt;/b&gt;10 min./level (D)&lt;/h5&gt;&lt;h5&gt;&lt;b&gt;Saving Throw &lt;/b&gt;none; &lt;b&gt;Spell Resistance &lt;/b&gt;yes&lt;/h5&gt;&lt;/div&gt;&lt;hr/&gt;&lt;div&gt;&lt;h5&gt;&lt;b&gt;DESCRIPTION&lt;/b&gt;&lt;/h5&gt;&lt;/div&gt;&lt;hr/&gt;&lt;div&gt;&lt;h4&gt;&lt;p&gt;You create a circle on the floor or other horizontal surface that teleports, as &lt;i&gt;greater teleport,&lt;/i&gt; any creature who stands on it to a designated spot. Once you designate the destination for the circle, you can't change it. The spell fails if you attempt to set the circle to teleport creatures into a solid object, to a place with which you are not familiar and have no clear description, or to another plane.&lt;/p&gt;&lt;p&gt;The circle itself is subtle and nearly impossible to notice. If you intend to keep creatures from activating it accidentally, you need to mark the circle in some way.&lt;/p&gt;&lt;p&gt;&lt;i&gt;Teleportation circle&lt;/i&gt; can be made permanent with a &lt;i&gt;permanency&lt;/i&gt; spell. A permanent &lt;i&gt;teleportation circle&lt;/i&gt; that is disabled becomes inactive for 10 minutes, then can be triggered again as normal.&lt;/p&gt;&lt;p&gt;Magic traps such as &lt;i&gt;teleportation circle&lt;/i&gt; are hard to detect and disable. A character with the trapfinding class feature can use the Disable Device to disarm magic traps. The DC in each case is 25 + spell level, or 34 in the case of &lt;i&gt;teleportation circle&lt;/i&gt;.&lt;/p&gt;&lt;/h4&gt;&lt;/div&gt;</t>
  </si>
  <si>
    <t> Teleports creatures inside circle.</t>
  </si>
  <si>
    <t>Temporal Stasis</t>
  </si>
  <si>
    <t>V, S, M (powdered diamond, emerald, ruby, and sapphire dust worth 5,000 gp)</t>
  </si>
  <si>
    <t>You must succeed on a melee touch attack. You place the subject into a state of suspended animation. For the creature, time ceases to flow, and its condition becomes fixed. The creature does not grow older. Its body functions virtually cease, and no force or effect can harm it. This state persists until the magic is removed (such as by a successful dispel magic spell or a freedom spell).</t>
  </si>
  <si>
    <t>&lt;p&gt;You must succeed on a melee touch attack. You place the subject into a state of suspended animation. For the creature, time ceases to flow, and its condition becomes fixed. The creature does not grow older. Its body functions virtually cease, and no force or effect can harm it. This state persists until the magic is removed (such as by a successful &lt;i&gt;dispel magic&lt;/i&gt; spell or a &lt;i&gt;freedom&lt;/i&gt; spell).&lt;/p&gt;</t>
  </si>
  <si>
    <t>&lt;link rel="stylesheet"href="PF.css"&gt;&lt;div class="heading"&gt;&lt;p class="alignleft"&gt;Temporal Stasis&lt;/p&gt;&lt;div style="clear: both;"&gt;&lt;/div&gt;&lt;/div&gt;&lt;div&gt;&lt;h5&gt;&lt;b&gt;School &lt;/b&gt;transmutation; &lt;b&gt;Level &lt;/b&gt;sorcerer/wizard 8&lt;/h5&gt;&lt;/div&gt;&lt;hr/&gt;&lt;div&gt;&lt;h5&gt;&lt;b&gt;CASTING&lt;/b&gt;&lt;/h5&gt;&lt;/div&gt;&lt;hr/&gt;&lt;div&gt;&lt;h5&gt;&lt;b&gt;Casting Time &lt;/b&gt;1 standard action&lt;/h5&gt;&lt;h5&gt;&lt;b&gt;Components &lt;/b&gt;V, S, M (powdered diamond, emerald, ruby, and sapphire dust worth 5,000 gp)&lt;/h5&gt;&lt;/div&gt;&lt;hr/&gt;&lt;div&gt;&lt;h5&gt;&lt;b&gt;EFFECT&lt;/b&gt;&lt;/h5&gt;&lt;/div&gt;&lt;hr/&gt;&lt;div&gt;&lt;h5&gt;&lt;b&gt;Range &lt;/b&gt;touch&lt;/h5&gt;&lt;h5&gt;&lt;b&gt;Targets &lt;/b&gt;creature touched&lt;/h5&gt;&lt;h5&gt;&lt;b&gt;Duration &lt;/b&gt;permanent&lt;/h5&gt;&lt;h5&gt;&lt;b&gt;Saving Throw &lt;/b&gt;Fortitude negates; &lt;b&gt;Spell Resistance &lt;/b&gt;yes&lt;/h5&gt;&lt;/div&gt;&lt;hr/&gt;&lt;div&gt;&lt;h5&gt;&lt;b&gt;DESCRIPTION&lt;/b&gt;&lt;/h5&gt;&lt;/div&gt;&lt;hr/&gt;&lt;div&gt;&lt;h4&gt;&lt;p&gt;You must succeed on a melee touch attack. You place the subject into a state of suspended animation. For the creature, time ceases to flow, and its condition becomes fixed. The creature does not grow older. Its body functions virtually cease, and no force or effect can harm it. This state persists until the magic is removed (such as by a successful &lt;i&gt;dispel magic&lt;/i&gt; spell or a &lt;i&gt;freedom&lt;/i&gt; spell).&lt;/p&gt;&lt;/h4&gt;&lt;/div&gt;</t>
  </si>
  <si>
    <t> Puts subject into suspended animation.</t>
  </si>
  <si>
    <t>Time Stop</t>
  </si>
  <si>
    <t>1d4+1 rounds (apparent time); see text</t>
  </si>
  <si>
    <t>This spell seems to make time cease to flow for everyone but you. In fact, you speed up so greatly that all other creatures seem frozen, though they are actually still moving at their normal speeds. You are free to act for 1d4+1 rounds of apparent time. Normal and magical fire, cold, gas, and the like can still harm you. While the time stop is in effect, other creatures are invulnerable to your attacks and spells; you cannot target such creatures with any attack or spell. A spell that affects an area and has a duration longer than the remaining duration of the time stop have their normal effects on other creatures once the time stop ends. Most spellcasters use the additional time to improve their defenses, summon allies, or flee from combat. You cannot move or harm items held, carried, or worn by a creature stuck in normal time, but you can affect any item that is not in another creature's possession. You are undetectable while time stop lasts. You cannot enter an area protected by an antimagic field while under the effect of time stop.</t>
  </si>
  <si>
    <t>&lt;p&gt;This spell seems to make time cease to flow for everyone but you. In fact, you speed up so greatly that all other creatures seem frozen, though they are actually still moving at their normal speeds. You are free to act for 1d4+1 rounds of apparent time. Normal and magical fire, cold, gas, and the like can still harm you. While the &lt;i&gt;time stop&lt;/i&gt; is in effect, other creatures are invulnerable to your attacks and spells; you cannot target such creatures with any attack or spell. A spell that affects an area and has a duration longer than the remaining duration of the &lt;i&gt;time stop&lt;/i&gt; have their normal effects on other creatures once the &lt;i&gt;time stop&lt;/i&gt; ends. Most spellcasters use the additional time to improve their defenses, summon allies, or flee from combat.&lt;/p&gt;&lt;p&gt;You cannot move or harm items held, carried, or worn by a creature stuck in normal time, but you can affect any item that is not in another creature's possession.&lt;/p&gt;&lt;p&gt;You are undetectable while &lt;i&gt;time stop&lt;/i&gt; lasts. You cannot enter an area protected by an &lt;i&gt;antimagic field&lt;/i&gt; while under the effect of &lt;i&gt;time stop&lt;/i&gt;.&lt;/p&gt;</t>
  </si>
  <si>
    <t>&lt;link rel="stylesheet"href="PF.css"&gt;&lt;div class="heading"&gt;&lt;p class="alignleft"&gt;Time Stop&lt;/p&gt;&lt;div style="clear: both;"&gt;&lt;/div&gt;&lt;/div&gt;&lt;div&gt;&lt;h5&gt;&lt;b&gt;School &lt;/b&gt;transmutation; &lt;b&gt;Level &lt;/b&gt;sorcerer/wizard 9&lt;/h5&gt;&lt;/div&gt;&lt;hr/&gt;&lt;div&gt;&lt;h5&gt;&lt;b&gt;CASTING&lt;/b&gt;&lt;/h5&gt;&lt;/div&gt;&lt;hr/&gt;&lt;div&gt;&lt;h5&gt;&lt;b&gt;Casting Time &lt;/b&gt;1 standard action&lt;/h5&gt;&lt;h5&gt;&lt;b&gt;Components &lt;/b&gt;V&lt;/h5&gt;&lt;/div&gt;&lt;hr/&gt;&lt;div&gt;&lt;h5&gt;&lt;b&gt;EFFECT&lt;/b&gt;&lt;/h5&gt;&lt;/div&gt;&lt;hr/&gt;&lt;div&gt;&lt;h5&gt;&lt;b&gt;Range &lt;/b&gt;personal&lt;/h5&gt;&lt;h5&gt;&lt;b&gt;Targets &lt;/b&gt;you&lt;/h5&gt;&lt;h5&gt;&lt;b&gt;Duration &lt;/b&gt;1d4+1 rounds (apparent time); see text&lt;/h5&gt;&lt;/div&gt;&lt;hr/&gt;&lt;div&gt;&lt;h5&gt;&lt;b&gt;DESCRIPTION&lt;/b&gt;&lt;/h5&gt;&lt;/div&gt;&lt;hr/&gt;&lt;div&gt;&lt;h4&gt;&lt;p&gt;This spell seems to make time cease to flow for everyone but you. In fact, you speed up so greatly that all other creatures seem frozen, though they are actually still moving at their normal speeds. You are free to act for 1d4+1 rounds of apparent time. Normal and magical fire, cold, gas, and the like can still harm you. While the &lt;i&gt;time stop&lt;/i&gt; is in effect, other creatures are invulnerable to your attacks and spells; you cannot target such creatures with any attack or spell. A spell that affects an area and has a duration longer than the remaining duration of the &lt;i&gt;time stop&lt;/i&gt; have their normal effects on other creatures once the &lt;i&gt;time stop&lt;/i&gt; ends. Most spellcasters use the additional time to improve their defenses, summon allies, or flee from combat.&lt;/p&gt;&lt;p&gt;You cannot move or harm items held, carried, or worn by a creature stuck in normal time, but you can affect any item that is not in another creature's possession.&lt;/p&gt;&lt;p&gt;You are undetectable while &lt;i&gt;time stop&lt;/i&gt; lasts. You cannot enter an area protected by an &lt;i&gt;antimagic field&lt;/i&gt; while under the effect of &lt;i&gt;time stop&lt;/i&gt;.&lt;/p&gt;&lt;/h4&gt;&lt;h5&gt;&lt;b&gt;Mythic: &lt;/b&gt;Select a number of creatures equal to half your tier or fewer within close range (25 feet + 5 feet per 2 caster levels). Mythic time stop has the same effect on these creatures as it does on you, allowing them to act for the same number of rounds of apparent time that you can. You and these creatures can all interact with one another normally while time appears to be stopped.&lt;/h5&gt;&lt;h5&gt;&lt;b&gt;Augmented (10th)&lt;/b&gt;: If you expend three uses of mythic power, the duration increases to 1 hour per level of apparent time. You and other affected creatures gain no benefit from rest or sleep while the spell is active.&lt;/h5&gt;&lt;/div&gt;</t>
  </si>
  <si>
    <t> You act freely for 1d4+1 rounds.</t>
  </si>
  <si>
    <t>Deception, Time, Trickery</t>
  </si>
  <si>
    <t>Select a number of creatures equal to half your tier or fewer within close range (25 feet + 5 feet per 2 caster levels). Mythic time stop has the same effect on these creatures as it does on you, allowing them to act for the same number of rounds of apparent time that you can. You and these creatures can all interact with one another normally while time appears to be stopped.</t>
  </si>
  <si>
    <t>Augmented (10th): If you expend three uses of mythic power, the duration increases to 1 hour per level of apparent time. You and other affected creatures gain no benefit from rest or sleep while the spell is active.</t>
  </si>
  <si>
    <t>Tiny Hut</t>
  </si>
  <si>
    <t>V, S, M (a small crystal bead)</t>
  </si>
  <si>
    <t>20-ft.-radius sphere centered on your location</t>
  </si>
  <si>
    <t>You create an unmoving, opaque sphere of force of any color you desire around yourself. Half the sphere projects above the ground, and the lower hemisphere passes through the ground. As many as nine other Medium creatures can fit into the field with you; they can freely pass into and out of the hut without harming it. However, if you remove yourself from the hut, the spell ends. The temperature inside the hut is 70 F if the exterior temperature is between 0 and 100 F. An exterior temperature below 0 or above 100 lowers or raises the interior temperature on a 1-degree-for-1 basis. The hut also provides protection against the elements, such as rain, dust, and sandstorms. The hut withstands any wind of less than hurricane force, but a hurricane (75+ mph wind speed) or greater force destroys it. The interior of the hut is a hemisphere. You can illuminate it dimly upon command or extinguish the light as desired. Although the force field is opaque from the outside, it is transparent from within. Missiles, weapons, and most spell effects can pass through the hut without affecting it, although the occupants cannot be seen from outside the hut (they have total concealment).</t>
  </si>
  <si>
    <t>&lt;p&gt;You create an unmoving, opaque sphere of force of any color you desire around yourself. Half the sphere projects above the ground, and the lower hemisphere passes through the ground. As many as nine other Medium creatures can fit into the field with you; they can freely pass into and out of the hut without harming it. However, if you remove yourself from the hut, the spell ends.&lt;/p&gt;&lt;p&gt;The temperature inside the hut is 70 F if the exterior temperature is between 0 and 100 F. An exterior temperature below 0 or above 100 lowers or raises the interior temperature on a 1-degree-for-1 basis. The hut also provides protection against the elements, such as rain, dust, and sandstorms. The hut withstands any wind of less than hurricane force, but a hurricane (75+ mph wind speed) or greater force destroys it.&lt;/p&gt;&lt;p&gt;The interior of the hut is a hemisphere. You can illuminate it dimly upon command or extinguish the light as desired. Although the force field is opaque from the outside, it is transparent from within. Missiles, weapons, and most spell effects can pass through the hut without affecting it, although the occupants cannot be seen from outside the hut (they have total concealment).&lt;/p&gt;</t>
  </si>
  <si>
    <t>&lt;link rel="stylesheet"href="PF.css"&gt;&lt;div class="heading"&gt;&lt;p class="alignleft"&gt;Tiny Hut&lt;/p&gt;&lt;div style="clear: both;"&gt;&lt;/div&gt;&lt;/div&gt;&lt;div&gt;&lt;h5&gt;&lt;b&gt;School &lt;/b&gt;evocation [force]; &lt;b&gt;Level &lt;/b&gt;bard 3, sorcerer/wizard 3, witch 3, alchemist 2, witch 2, inquisitor 2, witch 8&lt;/h5&gt;&lt;/div&gt;&lt;hr/&gt;&lt;div&gt;&lt;h5&gt;&lt;b&gt;CASTING&lt;/b&gt;&lt;/h5&gt;&lt;/div&gt;&lt;hr/&gt;&lt;div&gt;&lt;h5&gt;&lt;b&gt;Casting Time &lt;/b&gt;1 standard action&lt;/h5&gt;&lt;h5&gt;&lt;b&gt;Components &lt;/b&gt;V, S, M (a small crystal bead)&lt;/h5&gt;&lt;/div&gt;&lt;hr/&gt;&lt;div&gt;&lt;h5&gt;&lt;b&gt;EFFECT&lt;/b&gt;&lt;/h5&gt;&lt;/div&gt;&lt;hr/&gt;&lt;div&gt;&lt;h5&gt;&lt;b&gt;Range &lt;/b&gt;20 ft.&lt;/h5&gt;&lt;h5&gt;&lt;b&gt;Effect &lt;/b&gt;20-ft.-radius sphere centered on your location&lt;/h5&gt;&lt;h5&gt;&lt;b&gt;Duration &lt;/b&gt;2 hours/level (D)&lt;/h5&gt;&lt;h5&gt;&lt;b&gt;Saving Throw &lt;/b&gt;none; &lt;b&gt;Spell Resistance &lt;/b&gt;no&lt;/h5&gt;&lt;/div&gt;&lt;hr/&gt;&lt;div&gt;&lt;h5&gt;&lt;b&gt;DESCRIPTION&lt;/b&gt;&lt;/h5&gt;&lt;/div&gt;&lt;hr/&gt;&lt;div&gt;&lt;h4&gt;&lt;p&gt;You create an unmoving, opaque sphere of force of any color you desire around yourself. Half the sphere projects above the ground, and the lower hemisphere passes through the ground. As many as nine other Medium creatures can fit into the field with you; they can freely pass into and out of the hut without harming it. However, if you remove yourself from the hut, the spell ends.&lt;/p&gt;&lt;p&gt;The temperature inside the hut is 70 F if the exterior temperature is between 0 and 100 F. An exterior temperature below 0 or above 100 lowers or raises the interior temperature on a 1-degree-for-1 basis. The hut also provides protection against the elements, such as rain, dust, and sandstorms. The hut withstands any wind of less than hurricane force, but a hurricane (75+ mph wind speed) or greater force destroys it.&lt;/p&gt;&lt;p&gt;The interior of the hut is a hemisphere. You can illuminate it dimly upon command or extinguish the light as desired. Although the force field is opaque from the outside, it is transparent from within. Missiles, weapons, and most spell effects can pass through the hut without affecting it, although the occupants cannot be seen from outside the hut (they have total concealment).&lt;/p&gt;&lt;/h4&gt;&lt;/div&gt;</t>
  </si>
  <si>
    <t>Creates shelter for 10 creatures.</t>
  </si>
  <si>
    <t>Tongues</t>
  </si>
  <si>
    <t>bard 2, cleric 4/oracle 4, sorcerer/wizard 3, alchemist 3, summoner 3, witch 3, inquisitor 2</t>
  </si>
  <si>
    <t>V, M/DF (a clay model of a ziggurat)</t>
  </si>
  <si>
    <t>This spell grants the creature touched the ability to speak and understand the language of any intelligent creature, whether it is a racial tongue or a regional dialect. The subject can speak only one language at a time, although it may be able to understand several languages. Tongues does not enable the subject to speak with creatures who don't speak. The subject can make itself understood as far as its voice carries. This spell does not predispose any creature addressed toward the subject in any way. Tongues can be made permanent with a permanency spell.</t>
  </si>
  <si>
    <t>&lt;p&gt;This spell grants the creature touched the ability to speak and understand the language of any intelligent creature, whether it is a racial tongue or a regional dialect. The subject can speak only one language at a time, although it may be able to understand several languages. &lt;i&gt;Tongues&lt;/i&gt; does not enable the subject to speak with creatures who don't speak. The subject can make itself understood as far as its voice carries. This spell does not predispose any creature addressed toward the subject in any way.&lt;/p&gt;&lt;p&gt;&lt;i&gt;Tongues&lt;/i&gt; can be made permanent with a &lt;i&gt;permanency&lt;/i&gt; spell.&lt;/p&gt;</t>
  </si>
  <si>
    <t>&lt;link rel="stylesheet"href="PF.css"&gt;&lt;div class="heading"&gt;&lt;p class="alignleft"&gt;Tongues&lt;/p&gt;&lt;div style="clear: both;"&gt;&lt;/div&gt;&lt;/div&gt;&lt;div&gt;&lt;h5&gt;&lt;b&gt;School &lt;/b&gt;divination; &lt;b&gt;Level &lt;/b&gt;bard 2, cleric 4/oracle 4, sorcerer/wizard 3, alchemist 3, summoner 3, witch 3, inquisitor 2, alchemist 3, summoner 3, witch 3, inquisitor 2&lt;/h5&gt;&lt;/div&gt;&lt;hr/&gt;&lt;div&gt;&lt;h5&gt;&lt;b&gt;CASTING&lt;/b&gt;&lt;/h5&gt;&lt;/div&gt;&lt;hr/&gt;&lt;div&gt;&lt;h5&gt;&lt;b&gt;Casting Time &lt;/b&gt;1 standard action&lt;/h5&gt;&lt;h5&gt;&lt;b&gt;Components &lt;/b&gt;V, M/DF (a clay model of a ziggurat)&lt;/h5&gt;&lt;/div&gt;&lt;hr/&gt;&lt;div&gt;&lt;h5&gt;&lt;b&gt;EFFECT&lt;/b&gt;&lt;/h5&gt;&lt;/div&gt;&lt;hr/&gt;&lt;div&gt;&lt;h5&gt;&lt;b&gt;Range &lt;/b&gt;touch&lt;/h5&gt;&lt;h5&gt;&lt;b&gt;Targets &lt;/b&gt;creature touched&lt;/h5&gt;&lt;h5&gt;&lt;b&gt;Duration &lt;/b&gt;10 min./level&lt;/h5&gt;&lt;h5&gt;&lt;b&gt;Saving Throw &lt;/b&gt;Will negates (harmless); &lt;b&gt;Spell Resistance &lt;/b&gt;no&lt;/h5&gt;&lt;/div&gt;&lt;hr/&gt;&lt;div&gt;&lt;h5&gt;&lt;b&gt;DESCRIPTION&lt;/b&gt;&lt;/h5&gt;&lt;/div&gt;&lt;hr/&gt;&lt;div&gt;&lt;h4&gt;&lt;p&gt;This spell grants the creature touched the ability to speak and understand the language of any intelligent creature, whether it is a racial tongue or a regional dialect. The subject can speak only one language at a time, although it may be able to understand several languages. &lt;i&gt;Tongues&lt;/i&gt; does not enable the subject to speak with creatures who don't speak. The subject can make itself understood as far as its voice carries. This spell does not predispose any creature addressed toward the subject in any way.&lt;/p&gt;&lt;p&gt;&lt;i&gt;Tongues&lt;/i&gt; can be made permanent with a &lt;i&gt;permanency&lt;/i&gt; spell.&lt;/p&gt;&lt;/h4&gt;&lt;/div&gt;</t>
  </si>
  <si>
    <t>Agathion, Language</t>
  </si>
  <si>
    <t>Speak and understand any language.</t>
  </si>
  <si>
    <t>Touch of Fatigue</t>
  </si>
  <si>
    <t>sorcerer/wizard 0, witch 0</t>
  </si>
  <si>
    <t>You channel negative energy through your touch, fatiguing the target. You must succeed on a touch attack to strike a target. The subject is immediately fatigued for the spell's duration. This spell has no effect on a creature that is already fatigued. Unlike with normal fatigue, the effect ends as soon as the spell's duration expires.</t>
  </si>
  <si>
    <t>&lt;p&gt;You channel negative energy through your touch, fatiguing the target. You must succeed on a touch attack to strike a target. The subject is immediately fatigued for the spell's duration.&lt;/p&gt;&lt;p&gt;This spell has no effect on a creature that is already fatigued.&lt;/p&gt;&lt;p&gt;Unlike with normal fatigue, the effect ends as soon as the spell's duration expires.&lt;/p&gt;</t>
  </si>
  <si>
    <t>&lt;link rel="stylesheet"href="PF.css"&gt;&lt;div class="heading"&gt;&lt;p class="alignleft"&gt;Touch of Fatigue&lt;/p&gt;&lt;div style="clear: both;"&gt;&lt;/div&gt;&lt;/div&gt;&lt;div&gt;&lt;h5&gt;&lt;b&gt;School &lt;/b&gt;necromancy; &lt;b&gt;Level &lt;/b&gt;sorcerer/wizard 0, witch 0&lt;/h5&gt;&lt;/div&gt;&lt;hr/&gt;&lt;div&gt;&lt;h5&gt;&lt;b&gt;CASTING&lt;/b&gt;&lt;/h5&gt;&lt;/div&gt;&lt;hr/&gt;&lt;div&gt;&lt;h5&gt;&lt;b&gt;Casting Time &lt;/b&gt;1 standard action&lt;/h5&gt;&lt;h5&gt;&lt;b&gt;Components &lt;/b&gt;V, S, M (a drop of sweat)&lt;/h5&gt;&lt;/div&gt;&lt;hr/&gt;&lt;div&gt;&lt;h5&gt;&lt;b&gt;EFFECT&lt;/b&gt;&lt;/h5&gt;&lt;/div&gt;&lt;hr/&gt;&lt;div&gt;&lt;h5&gt;&lt;b&gt;Range &lt;/b&gt;touch&lt;/h5&gt;&lt;h5&gt;&lt;b&gt;Targets &lt;/b&gt;creature touched&lt;/h5&gt;&lt;h5&gt;&lt;b&gt;Duration &lt;/b&gt;1 round/level&lt;/h5&gt;&lt;h5&gt;&lt;b&gt;Saving Throw &lt;/b&gt;Fortitude negates; &lt;b&gt;Spell Resistance &lt;/b&gt;yes&lt;/h5&gt;&lt;/div&gt;&lt;hr/&gt;&lt;div&gt;&lt;h5&gt;&lt;b&gt;DESCRIPTION&lt;/b&gt;&lt;/h5&gt;&lt;/div&gt;&lt;hr/&gt;&lt;div&gt;&lt;h4&gt;&lt;p&gt;You channel negative energy through your touch, fatiguing the target. You must succeed on a touch attack to strike a target. The subject is immediately fatigued for the spell's duration.&lt;/p&gt;&lt;p&gt;This spell has no effect on a creature that is already fatigued.&lt;/p&gt;&lt;p&gt;Unlike with normal fatigue, the effect ends as soon as the spell's duration expires.&lt;/p&gt;&lt;/h4&gt;&lt;/div&gt;</t>
  </si>
  <si>
    <t> Touch attack fatigues target.</t>
  </si>
  <si>
    <t>Touch of Idiocy</t>
  </si>
  <si>
    <t>With a touch, you reduce the target's mental faculties. Your successful melee touch attack applies a 1d6 penalty to the target's Intelligence, Wisdom, and Charisma scores. This penalty can't reduce any of these scores below 1. This spell's effect may make it impossible for the target to cast some or all of its spells, if the requisite ability score drops below the minimum required to cast spells of that level.</t>
  </si>
  <si>
    <t>&lt;p&gt;With a touch, you reduce the target's mental faculties. Your successful melee touch attack applies a 1d6 penalty to the target's Intelligence, Wisdom, and Charisma scores. This penalty can't reduce any of these scores below 1.&lt;/p&gt;&lt;p&gt;This spell's effect may make it impossible for the target to cast some or all of its spells, if the requisite ability score drops below the minimum required to cast spells of that level.&lt;/p&gt;</t>
  </si>
  <si>
    <t>&lt;link rel="stylesheet"href="PF.css"&gt;&lt;div class="heading"&gt;&lt;p class="alignleft"&gt;Touch of Idiocy&lt;/p&gt;&lt;div style="clear: both;"&gt;&lt;/div&gt;&lt;/div&gt;&lt;div&gt;&lt;h5&gt;&lt;b&gt;School &lt;/b&gt;enchantment (compulsion) [mind-affecting]; &lt;b&gt;Level &lt;/b&gt;sorcerer/wizard 2, witch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&lt;/b&gt;living creature touched&lt;/h5&gt;&lt;h5&gt;&lt;b&gt;Duration &lt;/b&gt;10 min./level&lt;/h5&gt;&lt;h5&gt;&lt;b&gt;Saving Throw &lt;/b&gt;none; &lt;b&gt;Spell Resistance &lt;/b&gt;yes&lt;/h5&gt;&lt;/div&gt;&lt;hr/&gt;&lt;div&gt;&lt;h5&gt;&lt;b&gt;DESCRIPTION&lt;/b&gt;&lt;/h5&gt;&lt;/div&gt;&lt;hr/&gt;&lt;div&gt;&lt;h4&gt;&lt;p&gt;With a touch, you reduce the target's mental faculties. Your successful melee touch attack applies a 1d6 penalty to the target's Intelligence, Wisdom, and Charisma scores. This penalty can't reduce any of these scores below 1.&lt;/p&gt;&lt;p&gt;This spell's effect may make it impossible for the target to cast some or all of its spells, if the requisite ability score drops below the minimum required to cast spells of that level.&lt;/p&gt;&lt;/h4&gt;&lt;/div&gt;</t>
  </si>
  <si>
    <t>Lust, Madness</t>
  </si>
  <si>
    <t> Subject takes 1d6 penalty to Int, Wis, and Cha.</t>
  </si>
  <si>
    <t>sorcerer/wizard 6, alchemist 6, witch 6, magus 6</t>
  </si>
  <si>
    <t>V, S, M (a potion of bull's strength, which you drink and whose effects are subsumed by the spell effects)</t>
  </si>
  <si>
    <t>You become a fighting machine- stronger, tougher, faster, and more skilled in combat. Your mindset changes so that you relish combat and you can't cast spells, even from magic items. You gain a +4 enhancement bonus to Strength, Dexterity, and Constitution, a +4 natural armor bonus to AC, a +5 competence bonus on Fortitude saves, and proficiency with all simple and martial weapons. Your base attack bonus equals your character level (which may give you multiple attacks). You lose your spellcasting ability, including your ability to use spell activation or spell completion magic items, just as if the spells were no longer on your class list.</t>
  </si>
  <si>
    <t>&lt;p&gt;You become a fighting machine- stronger, tougher, faster, and more skilled in combat. Your mindset changes so that you relish combat and you can't cast spells, even from magic items.&lt;/p&gt;&lt;p&gt;You gain a +4 enhancement bonus to Strength, Dexterity, and Constitution, a +4 natural armor bonus to AC, a +5 competence bonus on Fortitude saves, and proficiency with all simple and martial weapons. Your base attack bonus equals your character level (which may give you multiple attacks).&lt;/p&gt;&lt;p&gt;You lose your spellcasting ability, including your ability to use spell activation or spell completion magic items, just as if the spells were no longer on your class list.&lt;/p&gt;</t>
  </si>
  <si>
    <t>&lt;link rel="stylesheet"href="PF.css"&gt;&lt;div class="heading"&gt;&lt;p class="alignleft"&gt;Transformation&lt;/p&gt;&lt;div style="clear: both;"&gt;&lt;/div&gt;&lt;/div&gt;&lt;div&gt;&lt;h5&gt;&lt;b&gt;School &lt;/b&gt;transmutation; &lt;b&gt;Level &lt;/b&gt;sorcerer/wizard 6, alchemist 6, witch 6, magus 6&lt;/h5&gt;&lt;/div&gt;&lt;hr/&gt;&lt;div&gt;&lt;h5&gt;&lt;b&gt;CASTING&lt;/b&gt;&lt;/h5&gt;&lt;/div&gt;&lt;hr/&gt;&lt;div&gt;&lt;h5&gt;&lt;b&gt;Casting Time &lt;/b&gt;1 standard action&lt;/h5&gt;&lt;h5&gt;&lt;b&gt;Components &lt;/b&gt;V, S, M (a potion of bull's strength, which you drink and whose effects are subsumed by the spell effects)&lt;/h5&gt;&lt;/div&gt;&lt;hr/&gt;&lt;div&gt;&lt;h5&gt;&lt;b&gt;EFFECT&lt;/b&gt;&lt;/h5&gt;&lt;/div&gt;&lt;hr/&gt;&lt;div&gt;&lt;h5&gt;&lt;b&gt;Range &lt;/b&gt;personal&lt;/h5&gt;&lt;h5&gt;&lt;b&gt;Targets &lt;/b&gt;you&lt;/h5&gt;&lt;h5&gt;&lt;b&gt;Duration &lt;/b&gt;1 round/level&lt;/h5&gt;&lt;/div&gt;&lt;hr/&gt;&lt;div&gt;&lt;h5&gt;&lt;b&gt;DESCRIPTION&lt;/b&gt;&lt;/h5&gt;&lt;/div&gt;&lt;hr/&gt;&lt;div&gt;&lt;h4&gt;&lt;p&gt;You become a fighting machine- stronger, tougher, faster, and more skilled in combat. Your mindset changes so that you relish combat and you can't cast spells, even from magic items.&lt;/p&gt;&lt;p&gt;You gain a +4 enhancement bonus to Strength, Dexterity, and Constitution, a +4 natural armor bonus to AC, a +5 competence bonus on Fortitude saves, and proficiency with all simple and martial weapons. Your base attack bonus equals your character level (which may give you multiple attacks).&lt;/p&gt;&lt;p&gt;You lose your spellcasting ability, including your ability to use spell activation or spell completion magic items, just as if the spells were no longer on your class list.&lt;/p&gt;&lt;/h4&gt;&lt;h5&gt;&lt;b&gt;Mythic: &lt;/b&gt;You can still cast spells and use spell completion and spell trigger items, but the level of the spell you're casting or using must be equal to or less than your tier. You gain a number of temporary hit points equal to your caster level.&lt;/h5&gt;&lt;/div&gt;</t>
  </si>
  <si>
    <t> You gain combat bonuses.</t>
  </si>
  <si>
    <t>You can still cast spells and use spell completion and spell trigger items, but the level of the spell you're casting or using must be equal to or less than your tier. You gain a number of temporary hit points equal to your caster level.</t>
  </si>
  <si>
    <t>Transmute Metal to Wood</t>
  </si>
  <si>
    <t>all metal objects within a 40-ft.-radius burst</t>
  </si>
  <si>
    <t>yes (object; see text)</t>
  </si>
  <si>
    <t>This spell enables you to change all metal objects within its area to wood. Weapons, armor, and other metal objects carried by creatures are affected as well. A magic object made of metal effectively has spell resistance equal to 20 + its caster level against this spell. Artifacts cannot be transmuted. Weapons converted from metal to wood take a -2 penalty on attack and damage rolls. The armor bonus of any armor converted from metal to wood is reduced by 2. Weapons changed by this spell splinter and break on any natural attack roll of 1 or 2, and armor changed by this spell loses an additional point of armor bonus every time it is struck with a natural attack roll of 19 or 20. Only limited wish, miracle, wish, or similar magic can restore a transmuted object to its metallic state.</t>
  </si>
  <si>
    <t>&lt;p&gt;This spell enables you to change all metal objects within its area to wood. Weapons, armor, and other metal objects carried by creatures are affected as well. A magic object made of metal effectively has spell resistance equal to 20 + its caster level against this spell. Artifacts cannot be transmuted. Weapons converted from metal to wood take a -2 penalty on attack and damage rolls.&lt;/p&gt;&lt;p&gt;The armor bonus of any armor converted from metal to wood is reduced by 2. Weapons changed by this spell splinter and break on any natural attack roll of 1 or 2, and armor changed by this spell loses an additional point of armor bonus every time it is struck with a natural attack roll of 19 or 20.&lt;/p&gt;&lt;p&gt;Only &lt;i&gt;limited wish, miracle, wish,&lt;/i&gt; or similar magic can restore a transmuted object to its metallic state.&lt;/p&gt;</t>
  </si>
  <si>
    <t>&lt;link rel="stylesheet"href="PF.css"&gt;&lt;div class="heading"&gt;&lt;p class="alignleft"&gt;Transmute Metal to Wood&lt;/p&gt;&lt;div style="clear: both;"&gt;&lt;/div&gt;&lt;/div&gt;&lt;div&gt;&lt;h5&gt;&lt;b&gt;School &lt;/b&gt;transmutation; &lt;b&gt;Level &lt;/b&gt;druid 7&lt;/h5&gt;&lt;/div&gt;&lt;hr/&gt;&lt;div&gt;&lt;h5&gt;&lt;b&gt;CASTING&lt;/b&gt;&lt;/h5&gt;&lt;/div&gt;&lt;hr/&gt;&lt;div&gt;&lt;h5&gt;&lt;b&gt;Casting Time &lt;/b&gt;1 standard action&lt;/h5&gt;&lt;h5&gt;&lt;b&gt;Components &lt;/b&gt;V, S, DF&lt;/h5&gt;&lt;/div&gt;&lt;hr/&gt;&lt;div&gt;&lt;h5&gt;&lt;b&gt;EFFECT&lt;/b&gt;&lt;/h5&gt;&lt;/div&gt;&lt;hr/&gt;&lt;div&gt;&lt;h5&gt;&lt;b&gt;Range &lt;/b&gt;long (400 ft. + 40 ft./level)&lt;/h5&gt;&lt;h5&gt;&lt;b&gt;Area &lt;/b&gt;all metal objects within a 40-ft.-radius burst&lt;/h5&gt;&lt;h5&gt;&lt;b&gt;Duration &lt;/b&gt;instantaneous&lt;/h5&gt;&lt;h5&gt;&lt;b&gt;Saving Throw &lt;/b&gt;none; &lt;b&gt;Spell Resistance &lt;/b&gt;yes (object; see text)&lt;/h5&gt;&lt;/div&gt;&lt;hr/&gt;&lt;div&gt;&lt;h5&gt;&lt;b&gt;DESCRIPTION&lt;/b&gt;&lt;/h5&gt;&lt;/div&gt;&lt;hr/&gt;&lt;div&gt;&lt;h4&gt;&lt;p&gt;This spell enables you to change all metal objects within its area to wood. Weapons, armor, and other metal objects carried by creatures are affected as well. A magic object made of metal effectively has spell resistance equal to 20 + its caster level against this spell. Artifacts cannot be transmuted. Weapons converted from metal to wood take a -2 penalty on attack and damage rolls.&lt;/p&gt;&lt;p&gt;The armor bonus of any armor converted from metal to wood is reduced by 2. Weapons changed by this spell splinter and break on any natural attack roll of 1 or 2, and armor changed by this spell loses an additional point of armor bonus every time it is struck with a natural attack roll of 19 or 20.&lt;/p&gt;&lt;p&gt;Only &lt;i&gt;limited wish, miracle, wish,&lt;/i&gt; or similar magic can restore a transmuted object to its metallic state.&lt;/p&gt;&lt;/h4&gt;&lt;/div&gt;</t>
  </si>
  <si>
    <t> Metal within 40 ft. becomes wood.</t>
  </si>
  <si>
    <t>Transmute Mud to Rock</t>
  </si>
  <si>
    <t>druid 5, sorcerer/wizard 5</t>
  </si>
  <si>
    <t>V, S, M/DF (sand, lime, and water)</t>
  </si>
  <si>
    <t>up to two 10-ft. cubes/level</t>
  </si>
  <si>
    <t>This spell permanently transforms normal mud or quicksand of any depth into soft stone (sandstone or a similar mineral). Any creature in the mud is allowed a Reflex save to escape before the area is hardened to stone. Transmute mud to rock counters and dispels transmute rock to mud.</t>
  </si>
  <si>
    <t>&lt;p&gt;This spell permanently transforms normal mud or quicksand of any depth into soft stone (sandstone or a similar mineral).&lt;/p&gt;&lt;p&gt;Any creature in the mud is allowed a Reflex save to escape before the area is hardened to stone.&lt;/p&gt;&lt;p&gt;&lt;i&gt;Transmute mud to rock&lt;/i&gt; counters and dispels &lt;i&gt;transmute rock to mud&lt;/i&gt;.&lt;/p&gt;</t>
  </si>
  <si>
    <t>&lt;link rel="stylesheet"href="PF.css"&gt;&lt;div class="heading"&gt;&lt;p class="alignleft"&gt;Transmute Mud to Rock&lt;/p&gt;&lt;div style="clear: both;"&gt;&lt;/div&gt;&lt;/div&gt;&lt;div&gt;&lt;h5&gt;&lt;b&gt;School &lt;/b&gt;transmutation [earth]; &lt;b&gt;Level &lt;/b&gt;druid 5, sorcerer/wizard 5&lt;/h5&gt;&lt;/div&gt;&lt;hr/&gt;&lt;div&gt;&lt;h5&gt;&lt;b&gt;CASTING&lt;/b&gt;&lt;/h5&gt;&lt;/div&gt;&lt;hr/&gt;&lt;div&gt;&lt;h5&gt;&lt;b&gt;Casting Time &lt;/b&gt;1 standard action&lt;/h5&gt;&lt;h5&gt;&lt;b&gt;Components &lt;/b&gt;V, S, M/DF (sand, lime, and water)&lt;/h5&gt;&lt;/div&gt;&lt;hr/&gt;&lt;div&gt;&lt;h5&gt;&lt;b&gt;EFFECT&lt;/b&gt;&lt;/h5&gt;&lt;/div&gt;&lt;hr/&gt;&lt;div&gt;&lt;h5&gt;&lt;b&gt;Range &lt;/b&gt;medium (100 ft. + 10 ft./level)&lt;/h5&gt;&lt;h5&gt;&lt;b&gt;Area &lt;/b&gt;up to two 10-ft. cubes/level (S)&lt;/h5&gt;&lt;h5&gt;&lt;b&gt;Duration &lt;/b&gt;permanent&lt;/h5&gt;&lt;h5&gt;&lt;b&gt;Saving Throw &lt;/b&gt;see text; &lt;b&gt;Spell Resistance &lt;/b&gt;no&lt;/h5&gt;&lt;/div&gt;&lt;hr/&gt;&lt;div&gt;&lt;h5&gt;&lt;b&gt;DESCRIPTION&lt;/b&gt;&lt;/h5&gt;&lt;/div&gt;&lt;hr/&gt;&lt;div&gt;&lt;h4&gt;&lt;p&gt;This spell permanently transforms normal mud or quicksand of any depth into soft stone (sandstone or a similar mineral).&lt;/p&gt;&lt;p&gt;Any creature in the mud is allowed a Reflex save to escape before the area is hardened to stone.&lt;/p&gt;&lt;p&gt;&lt;i&gt;Transmute mud to rock&lt;/i&gt; counters and dispels &lt;i&gt;transmute rock to mud&lt;/i&gt;.&lt;/p&gt;&lt;/h4&gt;&lt;/div&gt;</t>
  </si>
  <si>
    <t>Transforms two 10-ft. cubes per level.</t>
  </si>
  <si>
    <t>Transmute Rock to Mud</t>
  </si>
  <si>
    <t>V, S, M/DF (clay and water)</t>
  </si>
  <si>
    <t>This spell turns natural, uncut, or unworked rock of any sort into an equal volume of mud. Magical stone is not affected by the spell. The depth of the mud created cannot exceed 10 feet. A creature unable to levitate, fly, or otherwise free itself from the mud sinks until hip- or chest-deep, reducing its speed to 5 feet and causing a -2 penalty on attack rolls and AC. Brush or similar material thrown atop the mud can support creatures able to climb on top of it. Creatures large enough to walk on the bottom can wade through the area at a speed of 5 feet. If transmute rock to mud is cast upon the ceiling of a cavern or tunnel, the mud falls to the floor and spreads out in a pool at a depth of 5 feet. The falling mud and the ensuing cave-in deal 8d6 points of bludgeoning damage to anyone caught directly beneath the targeted area, or half damage to those who succeed on Reflex saves. Castles and large stone buildings are generally immune to the effect of the spell, since transmute rock to mud can't affect worked stone and doesn't reach deep enough to undermine such buildings' foundations. However, small buildings or structures often rest upon foundations shallow enough to be damaged or even partially toppled by this spell. The mud remains until a successful dispel magic or transmute mud to rock spell restores its substance-but not necessarily its form. Evaporation turns the mud to normal dirt over a period of days. The exact time depends on exposure to the sun, wind, and normal drainage. Transmute rock to mud counters and dispels transmute mud to rock.</t>
  </si>
  <si>
    <t>&lt;p&gt;This spell turns natural, uncut, or unworked rock of any sort into an equal volume of mud. Magical stone is not affected by the spell. The depth of the mud created cannot exceed 10 feet. A creature unable to levitate, fly, or otherwise free itself from the mud sinks until hip- or chest-deep, reducing its speed to 5 feet and causing a -2 penalty on attack rolls and AC. Brush or similar material thrown atop the mud can support creatures able to climb on top of it. Creatures large enough to walk on the bottom can wade through the area at a speed of 5 feet.&lt;/p&gt;&lt;p&gt;If &lt;i&gt;transmute rock to mud&lt;/i&gt; is cast upon the ceiling of a cavern or tunnel, the mud falls to the floor and spreads out in a pool at a depth of 5 feet. The falling mud and the ensuing cave-in deal 8d6 points of bludgeoning damage to anyone caught directly beneath the targeted area, or half damage to those who succeed on Reflex saves.&lt;/p&gt;&lt;p&gt;Castles and large stone buildings are generally immune to the effect of the spell, since &lt;i&gt;transmute rock to mud&lt;/i&gt; can't affect worked stone and doesn't reach deep enough to undermine such buildings' foundations. However, small buildings or structures often rest upon foundations shallow enough to be damaged or even partially toppled by this spell.&lt;/p&gt;&lt;p&gt;The mud remains until a successful &lt;i&gt;dispel magic&lt;/i&gt; or &lt;i&gt;transmute mud to rock&lt;/i&gt; spell restores its substance-but not necessarily its form. Evaporation turns the mud to normal dirt over a period of days. The exact time depends on exposure to the sun, wind, and normal drainage.&lt;/p&gt;&lt;p&gt;&lt;i&gt;Transmute rock to mud&lt;/i&gt; counters and dispels &lt;i&gt;transmute mud to rock&lt;/i&gt;.&lt;/p&gt;</t>
  </si>
  <si>
    <t>&lt;link rel="stylesheet"href="PF.css"&gt;&lt;div class="heading"&gt;&lt;p class="alignleft"&gt;Transmute Rock to Mud&lt;/p&gt;&lt;div style="clear: both;"&gt;&lt;/div&gt;&lt;/div&gt;&lt;div&gt;&lt;h5&gt;&lt;b&gt;School &lt;/b&gt;transmutation [earth]; &lt;b&gt;Level &lt;/b&gt;druid 5, sorcerer/wizard 5&lt;/h5&gt;&lt;/div&gt;&lt;hr/&gt;&lt;div&gt;&lt;h5&gt;&lt;b&gt;CASTING&lt;/b&gt;&lt;/h5&gt;&lt;/div&gt;&lt;hr/&gt;&lt;div&gt;&lt;h5&gt;&lt;b&gt;Casting Time &lt;/b&gt;1 standard action&lt;/h5&gt;&lt;h5&gt;&lt;b&gt;Components &lt;/b&gt;V, S, M/DF (clay and water)&lt;/h5&gt;&lt;/div&gt;&lt;hr/&gt;&lt;div&gt;&lt;h5&gt;&lt;b&gt;EFFECT&lt;/b&gt;&lt;/h5&gt;&lt;/div&gt;&lt;hr/&gt;&lt;div&gt;&lt;h5&gt;&lt;b&gt;Range &lt;/b&gt;medium (100 ft. + 10 ft./level)&lt;/h5&gt;&lt;h5&gt;&lt;b&gt;Area &lt;/b&gt;up to two 10-ft. cubes/level (S)&lt;/h5&gt;&lt;h5&gt;&lt;b&gt;Duration &lt;/b&gt;permanent; see text&lt;/h5&gt;&lt;h5&gt;&lt;b&gt;Saving Throw &lt;/b&gt;see text; &lt;b&gt;Spell Resistance &lt;/b&gt;no&lt;/h5&gt;&lt;/div&gt;&lt;hr/&gt;&lt;div&gt;&lt;h5&gt;&lt;b&gt;DESCRIPTION&lt;/b&gt;&lt;/h5&gt;&lt;/div&gt;&lt;hr/&gt;&lt;div&gt;&lt;h4&gt;&lt;p&gt;This spell turns natural, uncut, or unworked rock of any sort into an equal volume of mud. Magical stone is not affected by the spell. The depth of the mud created cannot exceed 10 feet. A creature unable to levitate, fly, or otherwise free itself from the mud sinks until hip- or chest-deep, reducing its speed to 5 feet and causing a -2 penalty on attack rolls and AC. Brush or similar material thrown atop the mud can support creatures able to climb on top of it. Creatures large enough to walk on the bottom can wade through the area at a speed of 5 feet.&lt;/p&gt;&lt;p&gt;If &lt;i&gt;transmute rock to mud&lt;/i&gt; is cast upon the ceiling of a cavern or tunnel, the mud falls to the floor and spreads out in a pool at a depth of 5 feet. The falling mud and the ensuing cave-in deal 8d6 points of bludgeoning damage to anyone caught directly beneath the targeted area, or half damage to those who succeed on Reflex saves.&lt;/p&gt;&lt;p&gt;Castles and large stone buildings are generally immune to the effect of the spell, since &lt;i&gt;transmute rock to mud&lt;/i&gt; can't affect worked stone and doesn't reach deep enough to undermine such buildings' foundations. However, small buildings or structures often rest upon foundations shallow enough to be damaged or even partially toppled by this spell.&lt;/p&gt;&lt;p&gt;The mud remains until a successful &lt;i&gt;dispel magic&lt;/i&gt; or &lt;i&gt;transmute mud to rock&lt;/i&gt; spell restores its substance-but not necessarily its form. Evaporation turns the mud to normal dirt over a period of days. The exact time depends on exposure to the sun, wind, and normal drainage.&lt;/p&gt;&lt;p&gt;&lt;i&gt;Transmute rock to mud&lt;/i&gt; counters and dispels &lt;i&gt;transmute mud to rock&lt;/i&gt;.&lt;/p&gt;&lt;/h4&gt;&lt;/div&gt;</t>
  </si>
  <si>
    <t>Transport via Plants</t>
  </si>
  <si>
    <t>You can enter any normal plant (equal to your size or larger) and pass any distance to a plant of the same kind in a single round, regardless of the distance separating the two. The plants must be alive. The destination plant need not be familiar to you. If you are uncertain of the location of a particular kind of destination plant, you need merely designate direction and distance and the transport via plants spell moves you as close as possible to the desired location. If a particular destination plant is desired but the plant is not living, the spell fails and you are ejected from the entry plant. You can bring along objects as long as their weight doesn't exceed your maximum load. You may also bring one additional willing Medium or smaller creature (carrying gear or objects up to its maximum load) or its equivalent per three caster levels. Use the following equivalents to determine the maximum number of larger creatures you can bring along: a Large creature counts as two Medium creatures, a Huge creature counts as four Medium creatures, and so forth. All creatures to be transported by the spell must be in physical contact with one another, and at least one of those creatures must be in contact with you. You can't use this spell to travel through plant creatures. The destruction of an occupied plant slays you and any creatures you have brought along, and ejects the bodies and all carried objects from it.</t>
  </si>
  <si>
    <t>&lt;p&gt;You can enter any normal plant (equal to your size or larger) and pass any distance to a plant of the same kind in a single round, regardless of the distance separating the two. The plants must be alive. The destination plant need not be familiar to you. If you are uncertain of the location of a particular kind of destination plant, you need merely designate direction and distance and the &lt;i&gt;transport via plants&lt;/i&gt; spell moves you as close as possible to the desired location. If a particular destination plant is desired but the plant is not living, the spell fails and you are ejected from the entry plant.&lt;/p&gt;&lt;p&gt;You can bring along objects as long as their weight doesn't exceed your maximum load. You may also bring one additional willing Medium or smaller creature (carrying gear or objects up to its maximum load) or its equivalent per three caster levels. Use the following equivalents to determine the maximum number of larger creatures you can bring along: a Large creature counts as two Medium creatures, a Huge creature counts as four Medium creatures, and so forth. All creatures to be transported by the spell must be in physical contact with one another, and at least one of those creatures must be in contact with you.&lt;/p&gt;&lt;p&gt;You can't use this spell to travel through plant creatures.&lt;/p&gt;&lt;p&gt;The destruction of an occupied plant slays you and any creatures you have brought along, and ejects the bodies and all carried objects from it.&lt;/p&gt;</t>
  </si>
  <si>
    <t>&lt;link rel="stylesheet"href="PF.css"&gt;&lt;div class="heading"&gt;&lt;p class="alignleft"&gt;Transport via Plants&lt;/p&gt;&lt;div style="clear: both;"&gt;&lt;/div&gt;&lt;/div&gt;&lt;div&gt;&lt;h5&gt;&lt;b&gt;School &lt;/b&gt;conjuration (teleportation); &lt;b&gt;Level &lt;/b&gt;druid 6&lt;/h5&gt;&lt;/div&gt;&lt;hr/&gt;&lt;div&gt;&lt;h5&gt;&lt;b&gt;CASTING&lt;/b&gt;&lt;/h5&gt;&lt;/div&gt;&lt;hr/&gt;&lt;div&gt;&lt;h5&gt;&lt;b&gt;Casting Time &lt;/b&gt;1 standard action&lt;/h5&gt;&lt;h5&gt;&lt;b&gt;Components &lt;/b&gt;V, S&lt;/h5&gt;&lt;/div&gt;&lt;hr/&gt;&lt;div&gt;&lt;h5&gt;&lt;b&gt;EFFECT&lt;/b&gt;&lt;/h5&gt;&lt;/div&gt;&lt;hr/&gt;&lt;div&gt;&lt;h5&gt;&lt;b&gt;Range &lt;/b&gt;unlimited&lt;/h5&gt;&lt;h5&gt;&lt;b&gt;Targets &lt;/b&gt;you and touched objects or other touched willing creatures&lt;/h5&gt;&lt;h5&gt;&lt;b&gt;Duration &lt;/b&gt;1 round&lt;/h5&gt;&lt;h5&gt;&lt;b&gt;Saving Throw &lt;/b&gt;none; &lt;b&gt;Spell Resistance &lt;/b&gt;no&lt;/h5&gt;&lt;/div&gt;&lt;hr/&gt;&lt;div&gt;&lt;h5&gt;&lt;b&gt;DESCRIPTION&lt;/b&gt;&lt;/h5&gt;&lt;/div&gt;&lt;hr/&gt;&lt;div&gt;&lt;h4&gt;&lt;p&gt;You can enter any normal plant (equal to your size or larger) and pass any distance to a plant of the same kind in a single round, regardless of the distance separating the two. The plants must be alive. The destination plant need not be familiar to you. If you are uncertain of the location of a particular kind of destination plant, you need merely designate direction and distance and the &lt;i&gt;transport via plants&lt;/i&gt; spell moves you as close as possible to the desired location. If a particular destination plant is desired but the plant is not living, the spell fails and you are ejected from the entry plant.&lt;/p&gt;&lt;p&gt;You can bring along objects as long as their weight doesn't exceed your maximum load. You may also bring one additional willing Medium or smaller creature (carrying gear or objects up to its maximum load) or its equivalent per three caster levels. Use the following equivalents to determine the maximum number of larger creatures you can bring along: a Large creature counts as two Medium creatures, a Huge creature counts as four Medium creatures, and so forth. All creatures to be transported by the spell must be in physical contact with one another, and at least one of those creatures must be in contact with you.&lt;/p&gt;&lt;p&gt;You can't use this spell to travel through plant creatures.&lt;/p&gt;&lt;p&gt;The destruction of an occupied plant slays you and any creatures you have brought along, and ejects the bodies and all carried objects from it.&lt;/p&gt;&lt;/h4&gt;&lt;/div&gt;</t>
  </si>
  <si>
    <t> Move instantly from one plant to another of the same kind.</t>
  </si>
  <si>
    <t>Trap the Soul</t>
  </si>
  <si>
    <t>1 standard action or see text</t>
  </si>
  <si>
    <t>V, S, M (gem worth 1,000 gp per HD of the trapped creature)</t>
  </si>
  <si>
    <t>Trap the soul forces a creature's life force (and its material body) into a gem. The gem holds the trapped entity indefinitely or until the gem is broken and the life force is released, which allows the material body to reform. If the trapped creature is a powerful creature from another plane, it can be required to perform a service immediately upon being freed. Otherwise, the creature can go free once the gem imprisoning it is broken. Depending on the version selected, the spell can be triggered in one of two ways. Spell Completion: First, the spell can be completed by speaking its final word as a standard action as if you were casting a regular spell at the subject. This allows spell resistance (if any) and a Will save to avoid the effect. If the creature's name is spoken as well, any spell resistance is ignored and the save DC increases by 2. If the save or spell resistance is successful, the gem shatters. Trigger Object: The second method is far more insidious, for it tricks the subject into accepting a trigger object inscribed with the final spell word, automatically placing the creature's soul in the trap. To use this method, both the creature's name and the trigger word must be inscribed on the trigger object when the gem is enspelled. A sympathy spell can also be placed on the trigger object. As soon as the subject picks up or accepts the trigger object, its life force is automatically transferred to the gem without the benefit of spell resistance or a save.</t>
  </si>
  <si>
    <t>&lt;p&gt;&lt;i&gt;Trap the soul&lt;/i&gt; forces a creature's life force (and its material body) into a gem. The gem holds the trapped entity indefinitely or until the gem is broken and the life force is released, which allows the material body to reform. If the trapped creature is a powerful creature from another plane, it can be required to perform a service immediately upon being freed. Otherwise, the creature can go free once the gem imprisoning it is broken.&lt;/p&gt;&lt;p&gt;Depending on the version selected, the spell can be triggered in one of two ways.&lt;/p&gt;&lt;p&gt;&lt;i&gt;Spell Completion&lt;/i&gt;: First, the spell can be completed by speaking its final word as a standard action as if you were casting a regular spell at the subject. This allows spell resistance (if any) and a Will save to avoid the effect. If the creature's name is spoken as well, any spell resistance is ignored and the save DC increases by 2. If the save or spell resistance is successful, the gem shatters.&lt;/p&gt;&lt;p&gt;&lt;i&gt;Trigger Object&lt;/i&gt;: The second method is far more insidious, for it tricks the subject into accepting a trigger object inscribed with the final spell word, automatically placing the creature's soul in the trap.&lt;/p&gt;&lt;p&gt;To use this method, both the creature's name and the trigger word must be inscribed on the trigger object when the gem is enspelled.&lt;/p&gt;&lt;p&gt;A &lt;i&gt;sympathy&lt;/i&gt; spell can also be placed on the trigger object. As soon as the subject picks up or accepts the trigger object, its life force is automatically transferred to the gem without the benefit of spell resistance or a save.&lt;/p&gt;</t>
  </si>
  <si>
    <t>&lt;link rel="stylesheet"href="PF.css"&gt;&lt;div class="heading"&gt;&lt;p class="alignleft"&gt;Trap the Soul&lt;/p&gt;&lt;div style="clear: both;"&gt;&lt;/div&gt;&lt;/div&gt;&lt;div&gt;&lt;h5&gt;&lt;b&gt;School &lt;/b&gt;conjuration (summoning); &lt;b&gt;Level &lt;/b&gt;sorcerer/wizard 8, witch 8&lt;/h5&gt;&lt;/div&gt;&lt;hr/&gt;&lt;div&gt;&lt;h5&gt;&lt;b&gt;CASTING&lt;/b&gt;&lt;/h5&gt;&lt;/div&gt;&lt;hr/&gt;&lt;div&gt;&lt;h5&gt;&lt;b&gt;Casting Time &lt;/b&gt;1 standard action or see text&lt;/h5&gt;&lt;h5&gt;&lt;b&gt;Components &lt;/b&gt;V, S, M (gem worth 1,000 gp per HD of the trapped creature)&lt;/h5&gt;&lt;/div&gt;&lt;hr/&gt;&lt;div&gt;&lt;h5&gt;&lt;b&gt;EFFECT&lt;/b&gt;&lt;/h5&gt;&lt;/div&gt;&lt;hr/&gt;&lt;div&gt;&lt;h5&gt;&lt;b&gt;Range &lt;/b&gt;close (25 ft. + 5 ft./2 levels)&lt;/h5&gt;&lt;h5&gt;&lt;b&gt;Targets &lt;/b&gt;one creature&lt;/h5&gt;&lt;h5&gt;&lt;b&gt;Duration &lt;/b&gt;permanent; see text&lt;/h5&gt;&lt;h5&gt;&lt;b&gt;Saving Throw &lt;/b&gt;see text; &lt;b&gt;Spell Resistance &lt;/b&gt;yes; see text&lt;/h5&gt;&lt;/div&gt;&lt;hr/&gt;&lt;div&gt;&lt;h5&gt;&lt;b&gt;DESCRIPTION&lt;/b&gt;&lt;/h5&gt;&lt;/div&gt;&lt;hr/&gt;&lt;div&gt;&lt;h4&gt;&lt;p&gt;&lt;i&gt;Trap the soul&lt;/i&gt; forces a creature's life force (and its material body) into a gem. The gem holds the trapped entity indefinitely or until the gem is broken and the life force is released, which allows the material body to reform. If the trapped creature is a powerful creature from another plane, it can be required to perform a service immediately upon being freed. Otherwise, the creature can go free once the gem imprisoning it is broken.&lt;/p&gt;&lt;p&gt;Depending on the version selected, the spell can be triggered in one of two ways.&lt;/p&gt;&lt;p&gt;&lt;i&gt;Spell Completion&lt;/i&gt;: First, the spell can be completed by speaking its final word as a standard action as if you were casting a regular spell at the subject. This allows spell resistance (if any) and a Will save to avoid the effect. If the creature's name is spoken as well, any spell resistance is ignored and the save DC increases by 2. If the save or spell resistance is successful, the gem shatters.&lt;/p&gt;&lt;p&gt;&lt;i&gt;Trigger Object&lt;/i&gt;: The second method is far more insidious, for it tricks the subject into accepting a trigger object inscribed with the final spell word, automatically placing the creature's soul in the trap.&lt;/p&gt;&lt;p&gt;To use this method, both the creature's name and the trigger word must be inscribed on the trigger object when the gem is enspelled.&lt;/p&gt;&lt;p&gt;A &lt;i&gt;sympathy&lt;/i&gt; spell can also be placed on the trigger object. As soon as the subject picks up or accepts the trigger object, its life force is automatically transferred to the gem without the benefit of spell resistance or a save.&lt;/p&gt;&lt;/h4&gt;&lt;/div&gt;</t>
  </si>
  <si>
    <t>Souls</t>
  </si>
  <si>
    <t> Imprisons subject within gem.</t>
  </si>
  <si>
    <t>Oni</t>
  </si>
  <si>
    <t>Tree Shape</t>
  </si>
  <si>
    <t>This spell allows you to assume the form of a Large living tree or shrub or a Large dead tree trunk with a small number of limbs. The exact type of tree, as well as its appearance, is completely under your control. Even the closest inspection cannot reveal that the tree in question is actually a magically concealed creature. To all normal tests you are, in fact, a tree or shrub, although a detect magic spell reveals a faint transmutation on the tree. While in tree form, you can observe all that transpires around you just as if you were in your normal form, and your hit points and save bonuses remain unaffected. You gain a +10 natural armor bonus to AC but have an effective Dexterity score of 0 and a speed of 0 feet. You are immune to critical hits while in tree form. All clothing and gear carried or worn changes with you. You can dismiss tree shape as a free action (instead of as a standard action).</t>
  </si>
  <si>
    <t>&lt;p&gt;This spell allows you to assume the form of a Large living tree or shrub or a Large dead tree trunk with a small number of limbs. The exact type of tree, as well as its appearance, is completely under your control.&lt;/p&gt;&lt;p&gt;Even the closest inspection cannot reveal that the tree in question is actually a magically concealed creature. To all normal tests you are, in fact, a tree or shrub, although a &lt;i&gt;detect magic&lt;/i&gt; spell reveals a faint transmutation on the tree. While in tree form, you can observe all that transpires around you just as if you were in your normal form, and your hit points and save bonuses remain unaffected. You gain a +10 natural armor bonus to AC but have an effective Dexterity score of 0 and a speed of 0 feet. You are immune to critical hits while in tree form. All clothing and gear carried or worn changes with you. You can dismiss &lt;i&gt;tree shape&lt;/i&gt; as a free action (instead of as a standard action).&lt;/p&gt;</t>
  </si>
  <si>
    <t>&lt;link rel="stylesheet"href="PF.css"&gt;&lt;div class="heading"&gt;&lt;p class="alignleft"&gt;Tree Shape&lt;/p&gt;&lt;div style="clear: both;"&gt;&lt;/div&gt;&lt;/div&gt;&lt;div&gt;&lt;h5&gt;&lt;b&gt;School &lt;/b&gt;transmutation; &lt;b&gt;Level &lt;/b&gt;druid 2, ranger 3&lt;/h5&gt;&lt;/div&gt;&lt;hr/&gt;&lt;div&gt;&lt;h5&gt;&lt;b&gt;CASTING&lt;/b&gt;&lt;/h5&gt;&lt;/div&gt;&lt;hr/&gt;&lt;div&gt;&lt;h5&gt;&lt;b&gt;Casting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&lt;/b&gt;you&lt;/h5&gt;&lt;h5&gt;&lt;b&gt;Duration &lt;/b&gt;1 hour/level (D)&lt;/h5&gt;&lt;/div&gt;&lt;hr/&gt;&lt;div&gt;&lt;h5&gt;&lt;b&gt;DESCRIPTION&lt;/b&gt;&lt;/h5&gt;&lt;/div&gt;&lt;hr/&gt;&lt;div&gt;&lt;h4&gt;&lt;p&gt;This spell allows you to assume the form of a Large living tree or shrub or a Large dead tree trunk with a small number of limbs. The exact type of tree, as well as its appearance, is completely under your control.&lt;/p&gt;&lt;p&gt;Even the closest inspection cannot reveal that the tree in question is actually a magically concealed creature. To all normal tests you are, in fact, a tree or shrub, although a &lt;i&gt;detect magic&lt;/i&gt; spell reveals a faint transmutation on the tree. While in tree form, you can observe all that transpires around you just as if you were in your normal form, and your hit points and save bonuses remain unaffected. You gain a +10 natural armor bonus to AC but have an effective Dexterity score of 0 and a speed of 0 feet. You are immune to critical hits while in tree form. All clothing and gear carried or worn changes with you. You can dismiss &lt;i&gt;tree shape&lt;/i&gt; as a free action (instead of as a standard action).&lt;/p&gt;&lt;/h4&gt;&lt;/div&gt;</t>
  </si>
  <si>
    <t>You look exactly like a tree for 1 hour/level.</t>
  </si>
  <si>
    <t>Tree Stride</t>
  </si>
  <si>
    <t>1 hour/level or until expended; see text</t>
  </si>
  <si>
    <t>When you cast this spell, you gain the ability to step into a tree, magically infusing yourself with the plant. Once within a tree, you can teleport from that particular tree to another tree. The trees you enter must be of the same kind, must be living, and must have girth at least equal to yours. By moving into an oak tree (for example), you instantly know the location of all other oak trees within transport range (see below) and may choose whether you want to pass into one or simply step back out of the tree you moved into. You may choose to pass to any tree of the appropriate kind within the transport range as shown on the following table. Type of Tree Transport Range Oak, ash, yew 3,000 feet Elm, linden 2,000 feet Other deciduous 1,500 feet Any coniferous 1,000 feet You may move into a tree up to one time per caster level (passing from one tree to another counts only as moving into one tree). The spell lasts until the duration expires or you exit a tree. Each transport is a full-round action. You can, at your option, remain within a tree without transporting yourself, but you are forced out when the spell ends. If the tree in which you are concealed is chopped down or burned, you are slain if you do not exit before the process is complete.</t>
  </si>
  <si>
    <t>&lt;p&gt;When you cast this spell, you gain the ability to step into a tree, magically infusing yourself with the plant. Once within a tree, you can teleport from that particular tree to another tree. The trees you enter must be of the same kind, must be living, and must have girth at least equal to yours. By moving into an oak tree (for example), you instantly know the location of all other oak trees within transport range (see below) and may choose whether you want to pass into one or simply step back out of the tree you moved into. You may choose to pass to any tree of the appropriate kind within the transport range as shown on the following table.&lt;/p&gt;&lt;p&gt; &lt;table&gt;&lt;tr&gt;&lt;th&gt;Type of Tree&lt;/th&gt;&lt;th&gt;Transport range&lt;/th&gt;&lt;/tr&gt;&lt;tr&gt;&lt;td&gt;Oak, ash, yew&lt;/td&gt;&lt;td&gt;3,000 feet&lt;/td&gt;&lt;/tr&gt;&lt;tr&gt;&lt;td&gt;Elm, linden&lt;/td&gt;&lt;td&gt;2,000 feet&lt;/td&gt;&lt;/tr&gt;&lt;tr&gt;&lt;td&gt;Other deciduous&lt;/td&gt;&lt;td&gt;1,500 feet&lt;/td&gt;&lt;/tr&gt;&lt;tr&gt;&lt;td&gt;Any coniferous&lt;/td&gt;&lt;td&gt;1,000 feet&lt;/td&gt;&lt;/tr&gt;&lt;/table&gt; You may move into a tree up to one time per caster level (passing from one tree to another counts only as moving into one tree). The spell lasts until the duration expires or you exit a tree. Each transport is a full-round action.&lt;/p&gt;&lt;p&gt;You can, at your option, remain within a tree without transporting yourself, but you are forced out when the spell ends. If the tree in which you are concealed is chopped down or burned, you are slain if you do not exit before the process is complete.&lt;/p&gt;</t>
  </si>
  <si>
    <t>&lt;link rel="stylesheet"href="PF.css"&gt;&lt;div class="heading"&gt;&lt;p class="alignleft"&gt;Tree Stride&lt;/p&gt;&lt;div style="clear: both;"&gt;&lt;/div&gt;&lt;/div&gt;&lt;div&gt;&lt;h5&gt;&lt;b&gt;School &lt;/b&gt;conjuration (teleportation); &lt;b&gt;Level &lt;/b&gt;druid 5, ranger 4&lt;/h5&gt;&lt;/div&gt;&lt;hr/&gt;&lt;div&gt;&lt;h5&gt;&lt;b&gt;CASTING&lt;/b&gt;&lt;/h5&gt;&lt;/div&gt;&lt;hr/&gt;&lt;div&gt;&lt;h5&gt;&lt;b&gt;Casting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&lt;/b&gt;you&lt;/h5&gt;&lt;h5&gt;&lt;b&gt;Duration &lt;/b&gt;1 hour/level or until expended; see text&lt;/h5&gt;&lt;/div&gt;&lt;hr/&gt;&lt;div&gt;&lt;h5&gt;&lt;b&gt;DESCRIPTION&lt;/b&gt;&lt;/h5&gt;&lt;/div&gt;&lt;hr/&gt;&lt;div&gt;&lt;h4&gt;&lt;p&gt;When you cast this spell, you gain the ability to step into a tree, magically infusing yourself with the plant. Once within a tree, you can teleport from that particular tree to another tree. The trees you enter must be of the same kind, must be living, and must have girth at least equal to yours. By moving into an oak tree (for example), you instantly know the location of all other oak trees within transport range (see below) and may choose whether you want to pass into one or simply step back out of the tree you moved into. You may choose to pass to any tree of the appropriate kind within the transport range as shown on the following table.&lt;/p&gt;&lt;p&gt; &lt;table&gt;&lt;tr&gt;&lt;th&gt;Type of Tree&lt;/th&gt;&lt;th&gt;Transport range&lt;/th&gt;&lt;/tr&gt;&lt;tr&gt;&lt;td&gt;Oak, ash, yew&lt;/td&gt;&lt;td&gt;3,000 feet&lt;/td&gt;&lt;/tr&gt;&lt;tr&gt;&lt;td&gt;Elm, linden&lt;/td&gt;&lt;td&gt;2,000 feet&lt;/td&gt;&lt;/tr&gt;&lt;tr&gt;&lt;td&gt;Other deciduous&lt;/td&gt;&lt;td&gt;1,500 feet&lt;/td&gt;&lt;/tr&gt;&lt;tr&gt;&lt;td&gt;Any coniferous&lt;/td&gt;&lt;td&gt;1,000 feet&lt;/td&gt;&lt;/tr&gt;&lt;/table&gt; You may move into a tree up to one time per caster level (passing from one tree to another counts only as moving into one tree). The spell lasts until the duration expires or you exit a tree. Each transport is a full-round action.&lt;/p&gt;&lt;p&gt;You can, at your option, remain within a tree without transporting yourself, but you are forced out when the spell ends. If the tree in which you are concealed is chopped down or burned, you are slain if you do not exit before the process is complete.&lt;/p&gt;&lt;/h4&gt;&lt;/div&gt;</t>
  </si>
  <si>
    <t>Step from one tree to another far away.</t>
  </si>
  <si>
    <t>True Resurrection</t>
  </si>
  <si>
    <t>V, S, M, DF (diamond worth 25,000 gp)</t>
  </si>
  <si>
    <t>This spell functions like raise dead, except that you can resurrect a creature that has been dead for as long as 10 years per caster level. This spell can even bring back creatures whose bodies have been destroyed, provided that you unambiguously identify the deceased in some fashion (reciting the deceased's time and place of birth or death is the most common method). Upon completion of the spell, the creature is immediately restored to full hit points, vigor, and health, with no negative levels (or Constitution points) and all of the prepared spells possessed by the creature when it died. You can revive someone killed by a death effect or someone who has been turned into an undead creature and then destroyed. This spell can also resurrect elementals or outsiders, but it can't resurrect constructs or undead creatures. Even true resurrection can't restore to life a creature who has died of old age.</t>
  </si>
  <si>
    <t>&lt;p&gt;This spell functions like &lt;i&gt;raise dead,&lt;/i&gt; except that you can resurrect a creature that has been dead for as long as 10 years per caster level.&lt;/p&gt;&lt;p&gt;This spell can even bring back creatures whose bodies have been destroyed, provided that you unambiguously identify the deceased in some fashion (reciting the deceased's time and place of birth or death is the most common method).&lt;/p&gt;&lt;p&gt;Upon completion of the spell, the creature is immediately restored to full hit points, vigor, and health, with no negative levels (or Constitution points) and all of the prepared spells possessed by the creature when it died.&lt;/p&gt;&lt;p&gt;You can revive someone killed by a death effect or someone who has been turned into an undead creature and then destroyed.&lt;/p&gt;&lt;p&gt;This spell can also resurrect elementals or outsiders, but it can't resurrect constructs or undead creatures.&lt;/p&gt;&lt;p&gt;Even &lt;i&gt;true resurrection&lt;/i&gt; can't restore to life a creature who has died of old age.&lt;/p&gt;</t>
  </si>
  <si>
    <t>&lt;link rel="stylesheet"href="PF.css"&gt;&lt;div class="heading"&gt;&lt;p class="alignleft"&gt;True Resurrection&lt;/p&gt;&lt;div style="clear: both;"&gt;&lt;/div&gt;&lt;/div&gt;&lt;div&gt;&lt;h5&gt;&lt;b&gt;School &lt;/b&gt;conjuration (healing); &lt;b&gt;Level &lt;/b&gt;cleric 9/oracle 9&lt;/h5&gt;&lt;/div&gt;&lt;hr/&gt;&lt;div&gt;&lt;h5&gt;&lt;b&gt;CASTING&lt;/b&gt;&lt;/h5&gt;&lt;/div&gt;&lt;hr/&gt;&lt;div&gt;&lt;h5&gt;&lt;b&gt;Casting Time &lt;/b&gt;10 minutes&lt;/h5&gt;&lt;h5&gt;&lt;b&gt;Components &lt;/b&gt;V, S, M, DF (diamond worth 25,000 gp)&lt;/h5&gt;&lt;/div&gt;&lt;hr/&gt;&lt;div&gt;&lt;h5&gt;&lt;b&gt;EFFECT&lt;/b&gt;&lt;/h5&gt;&lt;/div&gt;&lt;hr/&gt;&lt;div&gt;&lt;h5&gt;&lt;b&gt;Range &lt;/b&gt;touch&lt;/h5&gt;&lt;h5&gt;&lt;b&gt;Targets &lt;/b&gt;dead creature touched&lt;/h5&gt;&lt;h5&gt;&lt;b&gt;Duration &lt;/b&gt;instantaneous&lt;/h5&gt;&lt;h5&gt;&lt;b&gt;Saving Throw &lt;/b&gt;none; see text; &lt;b&gt;Spell Resistance &lt;/b&gt;yes (harmless)&lt;/h5&gt;&lt;/div&gt;&lt;hr/&gt;&lt;div&gt;&lt;h5&gt;&lt;b&gt;DESCRIPTION&lt;/b&gt;&lt;/h5&gt;&lt;/div&gt;&lt;hr/&gt;&lt;div&gt;&lt;h4&gt;&lt;p&gt;This spell functions like &lt;i&gt;raise dead,&lt;/i&gt; except that you can resurrect a creature that has been dead for as long as 10 years per caster level.&lt;/p&gt;&lt;p&gt;This spell can even bring back creatures whose bodies have been destroyed, provided that you unambiguously identify the deceased in some fashion (reciting the deceased's time and place of birth or death is the most common method).&lt;/p&gt;&lt;p&gt;Upon completion of the spell, the creature is immediately restored to full hit points, vigor, and health, with no negative levels (or Constitution points) and all of the prepared spells possessed by the creature when it died.&lt;/p&gt;&lt;p&gt;You can revive someone killed by a death effect or someone who has been turned into an undead creature and then destroyed.&lt;/p&gt;&lt;p&gt;This spell can also resurrect elementals or outsiders, but it can't resurrect constructs or undead creatures.&lt;/p&gt;&lt;p&gt;Even &lt;i&gt;true resurrection&lt;/i&gt; can't restore to life a creature who has died of old age.&lt;/p&gt;&lt;/h4&gt;&lt;/div&gt;</t>
  </si>
  <si>
    <t> As resurrection, plus remains aren't needed.</t>
  </si>
  <si>
    <t>True Seeing</t>
  </si>
  <si>
    <t>cleric 5/oracle 5, druid 7, sorcerer/wizard 6, alchemist 6, summoner 5, witch 6, inquisitor 5, magus 6</t>
  </si>
  <si>
    <t>V, S, M (an eye ointment that costs 250 gp)</t>
  </si>
  <si>
    <t>You confer on the subject the ability to see all things as they actually are. The subject sees through normal and magical darkness, notices secret doors hidden by magic, sees the exact locations of creatures or objects under blur or displacement effects, sees invisible creatures or objects normally, sees through illusions, and sees the true form of polymorphed, changed, or transmuted things. Further, the subject can focus its vision to see into the Ethereal Plane (but not into extradimensional spaces). The range of true seeing conferred is 120 feet. True seeing, however, does not penetrate solid objects. It in no way confers X-ray vision or its equivalent. It does not negate concealment, including that caused by fog and the like. True seeing does not help the viewer see through mundane disguises, spot creatures who are simply hiding, or notice secret doors hidden by mundane means. In addition, the spell effects cannot be further enhanced with known magic, so one cannot use true seeing through a crystal ball or in conjunction with clairaudience/clairvoyance.</t>
  </si>
  <si>
    <t>&lt;p&gt;You confer on the subject the ability to see all things as they actually are. The subject sees through normal and magical darkness, notices secret doors hidden by magic, sees the exact locations of creatures or objects under &lt;i&gt;blur&lt;/i&gt; or &lt;i&gt;displacement&lt;/i&gt; effects, sees invisible creatures or objects normally, sees through illusions, and sees the true form of polymorphed, changed, or transmuted things. Further, the subject can focus its vision to see into the Ethereal Plane (but not into extradimensional spaces). The range of &lt;i&gt;true seeing&lt;/i&gt; conferred is 120 feet.&lt;/p&gt;&lt;p&gt;&lt;i&gt;True seeing&lt;/i&gt;, however, does not penetrate solid objects. It in no way confers X-ray vision or its equivalent. It does not negate concealment, including that caused by fog and the like. &lt;i&gt;True seeing&lt;/i&gt; does not help the viewer see through mundane disguises, spot creatures who are simply hiding, or notice secret doors hidden by mundane means. In addition, the spell effects cannot be further enhanced with known magic, so one cannot use &lt;i&gt;true seeing&lt;/i&gt; through a &lt;i&gt;crystal ball&lt;/i&gt; or in conjunction with clairaudience/clairvoyance.&lt;/p&gt;</t>
  </si>
  <si>
    <t>&lt;link rel="stylesheet"href="PF.css"&gt;&lt;div class="heading"&gt;&lt;p class="alignleft"&gt;True Seeing&lt;/p&gt;&lt;div style="clear: both;"&gt;&lt;/div&gt;&lt;/div&gt;&lt;div&gt;&lt;h5&gt;&lt;b&gt;School &lt;/b&gt;divination; &lt;b&gt;Level &lt;/b&gt;cleric 5/oracle 5, druid 7, sorcerer/wizard 6, alchemist 6, summoner 5, witch 6, inquisitor 5, magus 6, alchemist 6, summoner 5, witch 6, inquisitor 5&lt;/h5&gt;&lt;/div&gt;&lt;hr/&gt;&lt;div&gt;&lt;h5&gt;&lt;b&gt;CASTING&lt;/b&gt;&lt;/h5&gt;&lt;/div&gt;&lt;hr/&gt;&lt;div&gt;&lt;h5&gt;&lt;b&gt;Casting Time &lt;/b&gt;1 standard action&lt;/h5&gt;&lt;h5&gt;&lt;b&gt;Components &lt;/b&gt;V, S, M (an eye ointment that costs 250 gp)&lt;/h5&gt;&lt;/div&gt;&lt;hr/&gt;&lt;div&gt;&lt;h5&gt;&lt;b&gt;EFFECT&lt;/b&gt;&lt;/h5&gt;&lt;/div&gt;&lt;hr/&gt;&lt;div&gt;&lt;h5&gt;&lt;b&gt;Range &lt;/b&gt;touch&lt;/h5&gt;&lt;h5&gt;&lt;b&gt;Targets &lt;/b&gt;creature touched&lt;/h5&gt;&lt;h5&gt;&lt;b&gt;Duration &lt;/b&gt;1 min./level&lt;/h5&gt;&lt;h5&gt;&lt;b&gt;Saving Throw &lt;/b&gt;Will negates (harmless); &lt;b&gt;Spell Resistance &lt;/b&gt;yes (harmless)&lt;/h5&gt;&lt;/div&gt;&lt;hr/&gt;&lt;div&gt;&lt;h5&gt;&lt;b&gt;DESCRIPTION&lt;/b&gt;&lt;/h5&gt;&lt;/div&gt;&lt;hr/&gt;&lt;div&gt;&lt;h4&gt;&lt;p&gt;You confer on the subject the ability to see all things as they actually are. The subject sees through normal and magical darkness, notices secret doors hidden by magic, sees the exact locations of creatures or objects under &lt;i&gt;blur&lt;/i&gt; or &lt;i&gt;displacement&lt;/i&gt; effects, sees invisible creatures or objects normally, sees through illusions, and sees the true form of polymorphed, changed, or transmuted things. Further, the subject can focus its vision to see into the Ethereal Plane (but not into extradimensional spaces). The range of &lt;i&gt;true seeing&lt;/i&gt; conferred is 120 feet.&lt;/p&gt;&lt;p&gt;&lt;i&gt;True seeing&lt;/i&gt;, however, does not penetrate solid objects. It in no way confers X-ray vision or its equivalent. It does not negate concealment, including that caused by fog and the like. &lt;i&gt;True seeing&lt;/i&gt; does not help the viewer see through mundane disguises, spot creatures who are simply hiding, or notice secret doors hidden by mundane means. In addition, the spell effects cannot be further enhanced with known magic, so one cannot use &lt;i&gt;true seeing&lt;/i&gt; through a &lt;i&gt;crystal ball&lt;/i&gt; or in conjunction with clairaudience/clairvoyance.&lt;/p&gt;&lt;/h4&gt;&lt;/div&gt;</t>
  </si>
  <si>
    <t>Lets you see all things as they really are.</t>
  </si>
  <si>
    <t>True Strike</t>
  </si>
  <si>
    <t>sorcerer/wizard 1, alchemist 1, inquisitor 1, magus 1</t>
  </si>
  <si>
    <t>V, F (small wooden replica of an archery target)</t>
  </si>
  <si>
    <t>You gain temporary, intuitive insight into the immediate future during your next attack. Your next single attack roll (if it is made before the end of the next round) gains a +20 insight bonus. Additionally, you are not affected by the miss chance that applies to attackers trying to strike a concealed target.</t>
  </si>
  <si>
    <t>&lt;p&gt;You gain temporary, intuitive insight into the immediate future during your next attack. Your next single attack roll (if it is made before the end of the next round) gains a +20 insight bonus.&lt;/p&gt;&lt;p&gt;Additionally, you are not affected by the miss chance that applies to attackers trying to strike a concealed target.&lt;/p&gt;</t>
  </si>
  <si>
    <t>&lt;link rel="stylesheet"href="PF.css"&gt;&lt;div class="heading"&gt;&lt;p class="alignleft"&gt;True Strike&lt;/p&gt;&lt;div style="clear: both;"&gt;&lt;/div&gt;&lt;/div&gt;&lt;div&gt;&lt;h5&gt;&lt;b&gt;School &lt;/b&gt;divination; &lt;b&gt;Level &lt;/b&gt;sorcerer/wizard 1, alchemist 1, inquisitor 1, magus 1&lt;/h5&gt;&lt;/div&gt;&lt;hr/&gt;&lt;div&gt;&lt;h5&gt;&lt;b&gt;CASTING&lt;/b&gt;&lt;/h5&gt;&lt;/div&gt;&lt;hr/&gt;&lt;div&gt;&lt;h5&gt;&lt;b&gt;Casting Time &lt;/b&gt;1 standard action&lt;/h5&gt;&lt;h5&gt;&lt;b&gt;Components &lt;/b&gt;V, F (small wooden replica of an archery target)&lt;/h5&gt;&lt;/div&gt;&lt;hr/&gt;&lt;div&gt;&lt;h5&gt;&lt;b&gt;EFFECT&lt;/b&gt;&lt;/h5&gt;&lt;/div&gt;&lt;hr/&gt;&lt;div&gt;&lt;h5&gt;&lt;b&gt;Range &lt;/b&gt;personal&lt;/h5&gt;&lt;h5&gt;&lt;b&gt;Targets &lt;/b&gt;you&lt;/h5&gt;&lt;h5&gt;&lt;b&gt;Duration &lt;/b&gt;see text&lt;/h5&gt;&lt;/div&gt;&lt;hr/&gt;&lt;div&gt;&lt;h5&gt;&lt;b&gt;DESCRIPTION&lt;/b&gt;&lt;/h5&gt;&lt;/div&gt;&lt;hr/&gt;&lt;div&gt;&lt;h4&gt;&lt;p&gt;You gain temporary, intuitive insight into the immediate future during your next attack. Your next single attack roll (if it is made before the end of the next round) gains a +20 insight bonus.&lt;/p&gt;&lt;p&gt;Additionally, you are not affected by the miss chance that applies to attackers trying to strike a concealed target.&lt;/p&gt;&lt;/h4&gt;&lt;h5&gt;&lt;b&gt;Mythic: &lt;/b&gt;The affected attack bypasses all damage reduction.&lt;/h5&gt;&lt;h5&gt;&lt;b&gt;Augmented (2nd)&lt;/b&gt;: If you expend two uses of mythic power, you gain a +10 insight bonus on your second attack that round and a +5 insight bonus on your third attack that round. The second and third attacks can be on your turn or on another creature's turn before your next turn (such as when you attempt an attack of opportunity).&lt;/h5&gt;&lt;/div&gt;</t>
  </si>
  <si>
    <t>Destruction, Luck</t>
  </si>
  <si>
    <t> +20 on your next attack roll.</t>
  </si>
  <si>
    <t>The affected attack bypasses all damage reduction.</t>
  </si>
  <si>
    <t>Augmented (2nd): If you expend two uses of mythic power, you gain a +10 insight bonus on your second attack that round and a +5 insight bonus on your third attack that round. The second and third attacks can be on your turn or on another creature's turn before your next turn (such as when you attempt an attack of opportunity).</t>
  </si>
  <si>
    <t>Undeath to Death</t>
  </si>
  <si>
    <t>cleric 6/oracle 6, sorcerer/wizard 6, inquisitor 6</t>
  </si>
  <si>
    <t>V, S, M/DF (diamond powder worth 500 gp)</t>
  </si>
  <si>
    <t>several undead creatures within a 40-ft.-radius burst</t>
  </si>
  <si>
    <t>This spell functions like circle of death, except that it destroys undead creatures as noted above.</t>
  </si>
  <si>
    <t>&lt;p&gt;This spell functions like &lt;i&gt;circle of&lt;/i&gt; &lt;i&gt;death,&lt;/i&gt; except that it destroys undead creatures as noted above.&lt;/p&gt;</t>
  </si>
  <si>
    <t>&lt;link rel="stylesheet"href="PF.css"&gt;&lt;div class="heading"&gt;&lt;p class="alignleft"&gt;Undeath to Death&lt;/p&gt;&lt;div style="clear: both;"&gt;&lt;/div&gt;&lt;/div&gt;&lt;div&gt;&lt;h5&gt;&lt;b&gt;School &lt;/b&gt;necromancy; &lt;b&gt;Level &lt;/b&gt;cleric 6/oracle 6, sorcerer/wizard 6, inquisitor 6&lt;/h5&gt;&lt;/div&gt;&lt;hr/&gt;&lt;div&gt;&lt;h5&gt;&lt;b&gt;CASTING&lt;/b&gt;&lt;/h5&gt;&lt;/div&gt;&lt;hr/&gt;&lt;div&gt;&lt;h5&gt;&lt;b&gt;Casting Time &lt;/b&gt;1 standard action&lt;/h5&gt;&lt;h5&gt;&lt;b&gt;Components &lt;/b&gt;V, S, M/DF (diamond powder worth 500 gp)&lt;/h5&gt;&lt;/div&gt;&lt;hr/&gt;&lt;div&gt;&lt;h5&gt;&lt;b&gt;EFFECT&lt;/b&gt;&lt;/h5&gt;&lt;/div&gt;&lt;hr/&gt;&lt;div&gt;&lt;h5&gt;&lt;b&gt;Range &lt;/b&gt;medium (100 ft. + 10 ft./level)&lt;/h5&gt;&lt;h5&gt;&lt;b&gt;Area &lt;/b&gt;several undead creatures within a 40-ft.-radius burst&lt;/h5&gt;&lt;h5&gt;&lt;b&gt;Duration &lt;/b&gt;instantaneous&lt;/h5&gt;&lt;h5&gt;&lt;b&gt;Saving Throw &lt;/b&gt;Will negates; &lt;b&gt;Spell Resistance &lt;/b&gt;yes&lt;/h5&gt;&lt;/div&gt;&lt;hr/&gt;&lt;div&gt;&lt;h5&gt;&lt;b&gt;DESCRIPTION&lt;/b&gt;&lt;/h5&gt;&lt;/div&gt;&lt;hr/&gt;&lt;div&gt;&lt;h4&gt;&lt;p&gt;This spell functions like &lt;i&gt;circle of&lt;/i&gt; &lt;i&gt;death,&lt;/i&gt; except that it destroys undead creatures as noted above.&lt;/p&gt;&lt;/h4&gt;&lt;/div&gt;</t>
  </si>
  <si>
    <t>Glory, Repose</t>
  </si>
  <si>
    <t>Destroys 1d4 HD/level undead (max. 20d4).</t>
  </si>
  <si>
    <t>Undetectable Alignment</t>
  </si>
  <si>
    <t>bard 1, cleric 2/oracle 2, paladin 2, alchemist 2, inquisitor 2, antipaladin 2</t>
  </si>
  <si>
    <t>An undetectable alignment spell conceals the alignment of an object or a creature from all forms of divination.</t>
  </si>
  <si>
    <t>&lt;p&gt;An &lt;i&gt;undetectable alignment&lt;/i&gt; spell conceals the alignment of an object or a creature from all forms of divination.&lt;/p&gt;</t>
  </si>
  <si>
    <t>&lt;link rel="stylesheet"href="PF.css"&gt;&lt;div class="heading"&gt;&lt;p class="alignleft"&gt;Undetectable Alignment&lt;/p&gt;&lt;div style="clear: both;"&gt;&lt;/div&gt;&lt;/div&gt;&lt;div&gt;&lt;h5&gt;&lt;b&gt;School &lt;/b&gt;abjuration; &lt;b&gt;Level &lt;/b&gt;bard 1, cleric 2/oracle 2, paladin 2, alchemist 2, inquisitor 2, antipaladin 2&lt;/h5&gt;&lt;/div&gt;&lt;hr/&gt;&lt;div&gt;&lt;h5&gt;&lt;b&gt;CASTING&lt;/b&gt;&lt;/h5&gt;&lt;/div&gt;&lt;hr/&gt;&lt;div&gt;&lt;h5&gt;&lt;b&gt;Casting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 or object&lt;/h5&gt;&lt;h5&gt;&lt;b&gt;Duration &lt;/b&gt;24 hours&lt;/h5&gt;&lt;h5&gt;&lt;b&gt;Saving Throw &lt;/b&gt;Will negates (object); &lt;b&gt;Spell Resistance &lt;/b&gt;yes (object)&lt;/h5&gt;&lt;/div&gt;&lt;hr/&gt;&lt;div&gt;&lt;h5&gt;&lt;b&gt;DESCRIPTION&lt;/b&gt;&lt;/h5&gt;&lt;/div&gt;&lt;hr/&gt;&lt;div&gt;&lt;h4&gt;&lt;p&gt;An &lt;i&gt;undetectable alignment&lt;/i&gt; spell conceals the alignment of an object or a creature from all forms of divination.&lt;/p&gt;&lt;/h4&gt;&lt;/div&gt;</t>
  </si>
  <si>
    <t>Conceals alignment for 24 hours.</t>
  </si>
  <si>
    <t>Unhallow</t>
  </si>
  <si>
    <t>V, S, M (herbs, oils, and incense worth at least 1,000 gp, plus 1,000 gp per level of the spell to be tied to the unhallowed area)</t>
  </si>
  <si>
    <t>Unhallow makes a particular site, building, or structure an unholy site. This has three major effects. First, the site or structure is guarded by a magic circle against good effect. Second, the DC to resist negative channeled energy within the spell's area of effect gains a +4 sacred bonus and the DC to resist positive energy is reduced by 4. Spell resistance does not apply to this effect. This provision does not apply to the druid version of the spell. Finally, you may choose to fix a single spell effect to the unhallowed site. The spell effect lasts for 1 year and functions throughout the entire site, regardless of its normal duration and area or effect. You may designate whether the effect applies to all creatures, creatures that share your faith or alignment, or creatures that adhere to another faith or alignment. At the end of the year, the chosen effect lapses, but it can be renewed or replaced simply by casting unhallow again. Spell effects that may be tied to an unhallowed site include aid, bane, bless, cause fear, darkness, daylight, death ward, deeper darkness, detect magic, detect good, dimensional anchor, discern lies, dispel magic, endure elements, freedom of movement, invisibility purge, protection from energy, remove fear, resist energy, silence, tongues, and zone of truth. Saving throws and spell resistance might apply to these spells' effects. (See the individual spell descriptions for details.) An area can receive only one unhallow spell (and its associated spell effect) at a time. Unhallow counters but does not dispel hallow.</t>
  </si>
  <si>
    <t>&lt;p&gt;&lt;i&gt;Unhallow&lt;/i&gt; makes a particular site, building, or structure an unholy site. This has three major effects.&lt;/p&gt;&lt;p&gt;First, the site or structure is guarded by a &lt;i&gt;magic circle against good&lt;/i&gt; effect.&lt;/p&gt;&lt;p&gt;Second, the DC to resist negative channeled energy within the spell's area of effect gains a +4 sacred bonus and the DC to resist positive energy is reduced by 4. Spell resistance does not apply to this effect. This provision does not apply to the druid version of the spell.&lt;/p&gt;&lt;p&gt;Finally, you may choose to fix a single spell effect to the &lt;i&gt;&lt;i&gt;unhallow&lt;/i&gt;ed&lt;/i&gt; site. The spell effect lasts for 1 year and functions throughout the entire site, regardless of its normal duration and area or effect. You may designate whether the effect applies to all creatures, creatures that share your faith or alignment, or creatures that adhere to another faith or alignment. At the end of the year, the chosen effect lapses, but it can be renewed or replaced simply by casting &lt;i&gt;unhallow&lt;/i&gt; again.&lt;/p&gt;&lt;p&gt;Spell effects that may be tied to an &lt;i&gt;&lt;i&gt;unhallow&lt;/i&gt;ed&lt;/i&gt; site include &lt;i&gt;aid, bane, bless, cause fear, darkness, daylight, death ward, deeper darkness, detect magic, detect good, dimensional anchor, discern lies, dispel magic, endure elements, freedom of movement, invisibility purge, protection from energy, remove fear, resist energy, silence, tongues,&lt;/i&gt; and &lt;i&gt;zone of truth&lt;/i&gt;.&lt;/p&gt;&lt;p&gt;Saving throws and spell resistance might apply to these spells' effects. (See the individual spell descriptions for details.) An area can receive only one &lt;i&gt;unhallow&lt;/i&gt; spell (and its associated spell effect) at a time.&lt;/p&gt;&lt;p&gt;&lt;i&gt;Unhallow&lt;/i&gt; counters but does not dispel hallow.&lt;/p&gt;</t>
  </si>
  <si>
    <t>&lt;link rel="stylesheet"href="PF.css"&gt;&lt;div class="heading"&gt;&lt;p class="alignleft"&gt;Unhallow&lt;/p&gt;&lt;div style="clear: both;"&gt;&lt;/div&gt;&lt;/div&gt;&lt;div&gt;&lt;h5&gt;&lt;b&gt;School &lt;/b&gt;evocation [evil]; &lt;b&gt;Level &lt;/b&gt;cleric 5/oracle 5, druid 5, inquisitor 5&lt;/h5&gt;&lt;/div&gt;&lt;hr/&gt;&lt;div&gt;&lt;h5&gt;&lt;b&gt;CASTING&lt;/b&gt;&lt;/h5&gt;&lt;/div&gt;&lt;hr/&gt;&lt;div&gt;&lt;h5&gt;&lt;b&gt;Casting Time &lt;/b&gt;24 hours&lt;/h5&gt;&lt;h5&gt;&lt;b&gt;Components &lt;/b&gt;V, S, M (herbs, oils, and incense worth at least 1,000 gp, plus 1,000 gp per level of the spell to be tied to the unhallowed area)&lt;/h5&gt;&lt;/div&gt;&lt;hr/&gt;&lt;div&gt;&lt;h5&gt;&lt;b&gt;EFFECT&lt;/b&gt;&lt;/h5&gt;&lt;/div&gt;&lt;hr/&gt;&lt;div&gt;&lt;h5&gt;&lt;b&gt;Range &lt;/b&gt;touch&lt;/h5&gt;&lt;h5&gt;&lt;b&gt;Area &lt;/b&gt;40-ft. radius emanating from the touched point&lt;/h5&gt;&lt;h5&gt;&lt;b&gt;Duration &lt;/b&gt;instantaneous&lt;/h5&gt;&lt;h5&gt;&lt;b&gt;Saving Throw &lt;/b&gt;see text; &lt;b&gt;Spell Resistance &lt;/b&gt;see text&lt;/h5&gt;&lt;/div&gt;&lt;hr/&gt;&lt;div&gt;&lt;h5&gt;&lt;b&gt;DESCRIPTION&lt;/b&gt;&lt;/h5&gt;&lt;/div&gt;&lt;hr/&gt;&lt;div&gt;&lt;h4&gt;&lt;p&gt;&lt;i&gt;Unhallow&lt;/i&gt; makes a particular site, building, or structure an unholy site. This has three major effects.&lt;/p&gt;&lt;p&gt;First, the site or structure is guarded by a &lt;i&gt;magic circle against good&lt;/i&gt; effect.&lt;/p&gt;&lt;p&gt;Second, the DC to resist negative channeled energy within the spell's area of effect gains a +4 sacred bonus and the DC to resist positive energy is reduced by 4. Spell resistance does not apply to this effect. This provision does not apply to the druid version of the spell.&lt;/p&gt;&lt;p&gt;Finally, you may choose to fix a single spell effect to the &lt;i&gt;&lt;i&gt;unhallow&lt;/i&gt;ed&lt;/i&gt; site. The spell effect lasts for 1 year and functions throughout the entire site, regardless of its normal duration and area or effect. You may designate whether the effect applies to all creatures, creatures that share your faith or alignment, or creatures that adhere to another faith or alignment. At the end of the year, the chosen effect lapses, but it can be renewed or replaced simply by casting &lt;i&gt;unhallow&lt;/i&gt; again.&lt;/p&gt;&lt;p&gt;Spell effects that may be tied to an &lt;i&gt;&lt;i&gt;unhallow&lt;/i&gt;ed&lt;/i&gt; site include &lt;i&gt;aid, bane, bless, cause fear, darkness, daylight, death ward, deeper darkness, detect magic, detect good, dimensional anchor, discern lies, dispel magic, endure elements, freedom of movement, invisibility purge, protection from energy, remove fear, resist energy, silence, tongues,&lt;/i&gt; and &lt;i&gt;zone of truth&lt;/i&gt;.&lt;/p&gt;&lt;p&gt;Saving throws and spell resistance might apply to these spells' effects. (See the individual spell descriptions for details.) An area can receive only one &lt;i&gt;unhallow&lt;/i&gt; spell (and its associated spell effect) at a time.&lt;/p&gt;&lt;p&gt;&lt;i&gt;Unhallow&lt;/i&gt; counters but does not dispel hallow.&lt;/p&gt;&lt;/h4&gt;&lt;/div&gt;</t>
  </si>
  <si>
    <t>Designates location as unholy.</t>
  </si>
  <si>
    <t>Unholy Aura</t>
  </si>
  <si>
    <t>A malevolent darkness surrounds the subjects, protecting them from attacks, granting them resistance to spells cast by good creatures, and weakening good creatures when they strike the subjects. This abjuration has four effects. First, each warded creature gains a +4 deflection bonus to AC and a +4 resistance bonus on saves. Unlike the effect of protection from good, this benefit applies against all attacks, not just against attacks by good creatures. Second, a warded creature gains SR 25 against good spells and spells cast by good creatures. Third, the abjuration protects the subjects from possession and mental influence, just as protection from good does. Finally, if a good creature succeeds on a melee attack against a warded creature, the offending attacker takes 1d6 points of Strength damage (Fortitude negates).</t>
  </si>
  <si>
    <t>&lt;p&gt;A malevolent darkness surrounds the subjects, protecting them from attacks, granting them resistance to spells cast by good creatures, and weakening good creatures when they strike the subjects. This abjuration has four effects.&lt;/p&gt;&lt;p&gt;First, each warded creature gains a +4 deflection bonus to AC and a +4 resistance bonus on saves. Unlike the effect of &lt;i&gt;protection from good&lt;/i&gt;, this benefit applies against all attacks, not just against attacks by good creatures.&lt;/p&gt;&lt;p&gt;Second, a warded creature gains SR 25 against good spells and spells cast by good creatures.&lt;/p&gt;&lt;p&gt;Third, the abjuration protects the subjects from possession and mental influence, just as &lt;i&gt;protection from good&lt;/i&gt; does.&lt;/p&gt;&lt;p&gt;Finally, if a good creature succeeds on a melee attack against a warded creature, the offending attacker takes 1d6 points of Strength damage (Fortitude negates).&lt;/p&gt;</t>
  </si>
  <si>
    <t>&lt;link rel="stylesheet"href="PF.css"&gt;&lt;div class="heading"&gt;&lt;p class="alignleft"&gt;Unholy Aura&lt;/p&gt;&lt;div style="clear: both;"&gt;&lt;/div&gt;&lt;/div&gt;&lt;div&gt;&lt;h5&gt;&lt;b&gt;School &lt;/b&gt;abjuration [evil]; &lt;b&gt;Level &lt;/b&gt;cleric 8/oracle 8&lt;/h5&gt;&lt;/div&gt;&lt;hr/&gt;&lt;div&gt;&lt;h5&gt;&lt;b&gt;CASTING&lt;/b&gt;&lt;/h5&gt;&lt;/div&gt;&lt;hr/&gt;&lt;div&gt;&lt;h5&gt;&lt;b&gt;Casting Time &lt;/b&gt;1 standard action&lt;/h5&gt;&lt;h5&gt;&lt;b&gt;Components &lt;/b&gt;V, S, F (a tiny reliquary worth 500 gp)&lt;/h5&gt;&lt;/div&gt;&lt;hr/&gt;&lt;div&gt;&lt;h5&gt;&lt;b&gt;EFFECT&lt;/b&gt;&lt;/h5&gt;&lt;/div&gt;&lt;hr/&gt;&lt;div&gt;&lt;h5&gt;&lt;b&gt;Range &lt;/b&gt;20 ft.&lt;/h5&gt;&lt;h5&gt;&lt;b&gt;Targets &lt;/b&gt;one creature/level in a 20-ft.-radius burst centered on you&lt;/h5&gt;&lt;h5&gt;&lt;b&gt;Duration &lt;/b&gt;1 round/level (D)&lt;/h5&gt;&lt;h5&gt;&lt;b&gt;Saving Throw &lt;/b&gt;see text; &lt;b&gt;Spell Resistance &lt;/b&gt;yes (harmless)&lt;/h5&gt;&lt;/div&gt;&lt;hr/&gt;&lt;div&gt;&lt;h5&gt;&lt;b&gt;DESCRIPTION&lt;/b&gt;&lt;/h5&gt;&lt;/div&gt;&lt;hr/&gt;&lt;div&gt;&lt;h4&gt;&lt;p&gt;A malevolent darkness surrounds the subjects, protecting them from attacks, granting them resistance to spells cast by good creatures, and weakening good creatures when they strike the subjects. This abjuration has four effects.&lt;/p&gt;&lt;p&gt;First, each warded creature gains a +4 deflection bonus to AC and a +4 resistance bonus on saves. Unlike the effect of &lt;i&gt;protection from good&lt;/i&gt;, this benefit applies against all attacks, not just against attacks by good creatures.&lt;/p&gt;&lt;p&gt;Second, a warded creature gains SR 25 against good spells and spells cast by good creatures.&lt;/p&gt;&lt;p&gt;Third, the abjuration protects the subjects from possession and mental influence, just as &lt;i&gt;protection from good&lt;/i&gt; does.&lt;/p&gt;&lt;p&gt;Finally, if a good creature succeeds on a melee attack against a warded creature, the offending attacker takes 1d6 points of Strength damage (Fortitude negates).&lt;/p&gt;&lt;/h4&gt;&lt;/div&gt;</t>
  </si>
  <si>
    <t> +4 to AC, +4 resistance, and SR 25 against good spells.</t>
  </si>
  <si>
    <t>Unholy Blight</t>
  </si>
  <si>
    <t>instantaneous (1d4 rounds); see text</t>
  </si>
  <si>
    <t>You call up unholy power to smite your enemies. The power takes the form of a cold, cloying miasma of greasy darkness. Only good and neutral (not evil) creatures are harmed by the spell. The spell deals 1d8 points of damage per two caster levels (maximum 5d8) to a good creature (or 1d6 per caster level, maximum 10d6, to a good outsider) and causes it to be sickened for 1d4 rounds. A successful Will save reduces damage to half and negates the sickened effect. The effects cannot be negated by remove disease or heal, but remove curse is effective. The spell deals only half damage to creatures who are neither evil nor good, and they are not sickened. Such a creature can reduce the damage by half again (down to one-quarter) with a successful Will save.</t>
  </si>
  <si>
    <t>&lt;p&gt;You call up unholy power to smite your enemies. The power takes the form of a cold, cloying miasma of greasy darkness. Only good and neutral (not evil) creatures are harmed by the spell.&lt;/p&gt;&lt;p&gt;The spell deals 1d8 points of damage per two caster levels (maximum 5d8) to a good creature (or 1d6 per caster level, maximum 10d6, to a good outsider) and causes it to be sickened for 1d4 rounds. A successful Will save reduces damage to half and negates the sickened effect. The effects cannot be negated by &lt;i&gt;remove disease&lt;/i&gt; or &lt;i&gt;heal&lt;/i&gt;, but &lt;i&gt;remove curse&lt;/i&gt; is effective.&lt;/p&gt;&lt;p&gt;The spell deals only half damage to creatures who are neither evil nor good, and they are not sickened. Such a creature can reduce the damage by half again (down to one-quarter) with a successful Will save.&lt;/p&gt;</t>
  </si>
  <si>
    <t>&lt;link rel="stylesheet"href="PF.css"&gt;&lt;div class="heading"&gt;&lt;p class="alignleft"&gt;Unholy Blight&lt;/p&gt;&lt;div style="clear: both;"&gt;&lt;/div&gt;&lt;/div&gt;&lt;div&gt;&lt;h5&gt;&lt;b&gt;School &lt;/b&gt;evocation [evil]; &lt;b&gt;Level &lt;/b&gt;cleric/oracle 4, inquisitor 4&lt;/h5&gt;&lt;/div&gt;&lt;hr/&gt;&lt;div&gt;&lt;h5&gt;&lt;b&gt;CASTING&lt;/b&gt;&lt;/h5&gt;&lt;/div&gt;&lt;hr/&gt;&lt;div&gt;&lt;h5&gt;&lt;b&gt;Casting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ft./level)&lt;/h5&gt;&lt;h5&gt;&lt;b&gt;Area &lt;/b&gt;20-ft.-radius spread&lt;/h5&gt;&lt;h5&gt;&lt;b&gt;Duration &lt;/b&gt;instantaneous (1d4 rounds); see text&lt;/h5&gt;&lt;h5&gt;&lt;b&gt;Saving Throw &lt;/b&gt;Will partial; &lt;b&gt;Spell Resistance &lt;/b&gt;yes&lt;/h5&gt;&lt;/div&gt;&lt;hr/&gt;&lt;div&gt;&lt;h5&gt;&lt;b&gt;DESCRIPTION&lt;/b&gt;&lt;/h5&gt;&lt;/div&gt;&lt;hr/&gt;&lt;div&gt;&lt;h4&gt;&lt;p&gt;You call up unholy power to smite your enemies. The power takes the form of a cold, cloying miasma of greasy darkness. Only good and neutral (not evil) creatures are harmed by the spell.&lt;/p&gt;&lt;p&gt;The spell deals 1d8 points of damage per two caster levels (maximum 5d8) to a good creature (or 1d6 per caster level, maximum 10d6, to a good outsider) and causes it to be sickened for 1d4 rounds. A successful Will save reduces damage to half and negates the sickened effect. The effects cannot be negated by &lt;i&gt;remove disease&lt;/i&gt; or &lt;i&gt;heal&lt;/i&gt;, but &lt;i&gt;remove curse&lt;/i&gt; is effective.&lt;/p&gt;&lt;p&gt;The spell deals only half damage to creatures who are neither evil nor good, and they are not sickened. Such a creature can reduce the damage by half again (down to one-quarter) with a successful Will save.&lt;/p&gt;&lt;/h4&gt;&lt;h5&gt;&lt;b&gt;Mythic: &lt;/b&gt;The damage dealt to good outsiders increases to 1d10 points of damage per caster level (maximum 10d10) and the damage dealt to other good creatures increases to 1d12 points of damage per 2 caster levels (maximum 5d12). The duration that creatures within the area are sickened increases to 2d4 rounds. On a successful save, a good creature is slowed for 1 round.&lt;/h5&gt;&lt;/div&gt;</t>
  </si>
  <si>
    <t> Harms and sickens good creatures (1d8 damage/2 levels).</t>
  </si>
  <si>
    <t>The damage dealt to good outsiders increases to 1d10 points of damage per caster level (maximum 10d10) and the damage dealt to other good creatures increases to 1d12 points of damage per 2 caster levels (maximum 5d12). The duration that creatures within the area are sickened increases to 2d4 rounds. On a successful save, a good creature is slowed for 1 round.</t>
  </si>
  <si>
    <t>Unseen Servant</t>
  </si>
  <si>
    <t>bard 1, sorcerer/wizard 1, summoner 1, witch 1, magus 1</t>
  </si>
  <si>
    <t>V, S, M (a piece of string and a bit of wood)</t>
  </si>
  <si>
    <t>one invisible, mindless, shapeless servant</t>
  </si>
  <si>
    <t>An unseen servant is an invisible, mindless, shapeless force that performs simple tasks at your command. It can run and fetch things, open unstuck doors, and hold chairs, as well as clean and mend. The servant can perform only one activity at a time, but it repeats the same activity over and over again if told to do so as long as you remain within range. It can open only normal doors, drawers, lids, and the like. It has an effective Strength score of 2 (so it can lift 20 pounds or drag 100 pounds). It can trigger traps and such, but it can exert only 20 pounds of force, which is not enough to activate certain pressure plates and other devices. It can't perform any task that requires a skill check with a DC higher than 10 or that requires a check using a skill that can't be used untrained. This servant cannot fly, climb, or even swim (though it can walk on water). Its base speed is 15 feet. The servant cannot attack in any way; it is never allowed an attack roll. It cannot be killed, but it dissipates if it takes 6 points of damage from area attacks. (It gets no saves against attacks.) If you attempt to send it beyond the spell's range (measured from your current position), the servant ceases to exist.</t>
  </si>
  <si>
    <t>&lt;p&gt;An &lt;i&gt;unseen servant&lt;/i&gt; is an invisible, mindless, shapeless force that performs simple tasks at your command. It can run and fetch things, open unstuck doors, and hold chairs, as well as clean and mend. The servant can perform only one activity at a time, but it repeats the same activity over and over again if told to do so as long as you remain within range. It can open only normal doors, drawers, lids, and the like. It has an effective Strength score of 2 (so it can lift 20 pounds or drag 100 pounds). It can trigger traps and such, but it can exert only 20 pounds of force, which is not enough to activate certain pressure plates and other devices. It can't perform any task that requires a skill check with a DC higher than 10 or that requires a check using a skill that can't be used untrained. This servant cannot fly, climb, or even swim (though it can walk on water). Its base speed is 15 feet.&lt;/p&gt;&lt;p&gt;The servant cannot attack in any way; it is never allowed an attack roll. It cannot be killed, but it dissipates if it takes 6 points of damage from area attacks. (It gets no saves against attacks.) If you attempt to send it beyond the spell's range (measured from your current position), the servant ceases to exist.&lt;/p&gt;</t>
  </si>
  <si>
    <t>&lt;link rel="stylesheet"href="PF.css"&gt;&lt;div class="heading"&gt;&lt;p class="alignleft"&gt;Unseen Servant&lt;/p&gt;&lt;div style="clear: both;"&gt;&lt;/div&gt;&lt;/div&gt;&lt;div&gt;&lt;h5&gt;&lt;b&gt;School &lt;/b&gt;conjuration (creation); &lt;b&gt;Level &lt;/b&gt;bard 1, sorcerer/wizard 1, summoner 1, witch 1, magus 1&lt;/h5&gt;&lt;/div&gt;&lt;hr/&gt;&lt;div&gt;&lt;h5&gt;&lt;b&gt;CASTING&lt;/b&gt;&lt;/h5&gt;&lt;/div&gt;&lt;hr/&gt;&lt;div&gt;&lt;h5&gt;&lt;b&gt;Casting Time &lt;/b&gt;1 standard action&lt;/h5&gt;&lt;h5&gt;&lt;b&gt;Components &lt;/b&gt;V, S, M (a piece of string and a bit of wood)&lt;/h5&gt;&lt;/div&gt;&lt;hr/&gt;&lt;div&gt;&lt;h5&gt;&lt;b&gt;EFFECT&lt;/b&gt;&lt;/h5&gt;&lt;/div&gt;&lt;hr/&gt;&lt;div&gt;&lt;h5&gt;&lt;b&gt;Range &lt;/b&gt;close (25 ft. + 5 ft./2 levels)&lt;/h5&gt;&lt;h5&gt;&lt;b&gt;Effect &lt;/b&gt;one invisible, mindless, shapeless servant&lt;/h5&gt;&lt;h5&gt;&lt;b&gt;Duration &lt;/b&gt;1 hour/level&lt;/h5&gt;&lt;h5&gt;&lt;b&gt;Saving Throw &lt;/b&gt;none; &lt;b&gt;Spell Resistance &lt;/b&gt;no&lt;/h5&gt;&lt;/div&gt;&lt;hr/&gt;&lt;div&gt;&lt;h5&gt;&lt;b&gt;DESCRIPTION&lt;/b&gt;&lt;/h5&gt;&lt;/div&gt;&lt;hr/&gt;&lt;div&gt;&lt;h4&gt;&lt;p&gt;An &lt;i&gt;unseen servant&lt;/i&gt; is an invisible, mindless, shapeless force that performs simple tasks at your command. It can run and fetch things, open unstuck doors, and hold chairs, as well as clean and mend. The servant can perform only one activity at a time, but it repeats the same activity over and over again if told to do so as long as you remain within range. It can open only normal doors, drawers, lids, and the like. It has an effective Strength score of 2 (so it can lift 20 pounds or drag 100 pounds). It can trigger traps and such, but it can exert only 20 pounds of force, which is not enough to activate certain pressure plates and other devices. It can't perform any task that requires a skill check with a DC higher than 10 or that requires a check using a skill that can't be used untrained. This servant cannot fly, climb, or even swim (though it can walk on water). Its base speed is 15 feet.&lt;/p&gt;&lt;p&gt;The servant cannot attack in any way; it is never allowed an attack roll. It cannot be killed, but it dissipates if it takes 6 points of damage from area attacks. (It gets no saves against attacks.) If you attempt to send it beyond the spell's range (measured from your current position), the servant ceases to exist.&lt;/p&gt;&lt;/h4&gt;&lt;/div&gt;</t>
  </si>
  <si>
    <t>Invisible force obeys your commands.</t>
  </si>
  <si>
    <t>Vampiric Touch</t>
  </si>
  <si>
    <t>sorcerer/wizard 3, witch 3, antipaladin 3, magus 3</t>
  </si>
  <si>
    <t>instantaneous/1 hour; see text</t>
  </si>
  <si>
    <t>You must succeed on a melee touch attack. Your touch deals 1d6 points of damage per two caster levels (maximum 10d6). You gain temporary hit points equal to the damage you deal. You can't gain more than the subject's current hit points + the subject's Constitution score (which is enough to kill the subject). The temporary hit points disappear 1 hour later.</t>
  </si>
  <si>
    <t>&lt;p&gt;You must succeed on a melee touch attack. Your touch deals 1d6 points of damage per two caster levels (maximum 10d6). You gain temporary hit points equal to the damage you deal. You can't gain more than the subject's current hit points + the subject's Constitution score (which is enough to kill the subject). The temporary hit points disappear 1 hour later.&lt;/p&gt;</t>
  </si>
  <si>
    <t>&lt;link rel="stylesheet"href="PF.css"&gt;&lt;div class="heading"&gt;&lt;p class="alignleft"&gt;Vampiric Touch&lt;/p&gt;&lt;div style="clear: both;"&gt;&lt;/div&gt;&lt;/div&gt;&lt;div&gt;&lt;h5&gt;&lt;b&gt;School &lt;/b&gt;necromancy; &lt;b&gt;Level &lt;/b&gt;sorcerer/wizard 3, witch 3, antipaladin 3, magus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&lt;/b&gt;living creature touched&lt;/h5&gt;&lt;h5&gt;&lt;b&gt;Duration &lt;/b&gt;instantaneous/1 hour; see text&lt;/h5&gt;&lt;h5&gt;&lt;b&gt;Saving Throw &lt;/b&gt;none; &lt;b&gt;Spell Resistance &lt;/b&gt;yes&lt;/h5&gt;&lt;/div&gt;&lt;hr/&gt;&lt;div&gt;&lt;h5&gt;&lt;b&gt;DESCRIPTION&lt;/b&gt;&lt;/h5&gt;&lt;/div&gt;&lt;hr/&gt;&lt;div&gt;&lt;h4&gt;&lt;p&gt;You must succeed on a melee touch attack. Your touch deals 1d6 points of damage per two caster levels (maximum 10d6). You gain temporary hit points equal to the damage you deal. You can't gain more than the subject's current hit points + the subject's Constitution score (which is enough to kill the subject). The temporary hit points disappear 1 hour later.&lt;/p&gt;&lt;/h4&gt;&lt;h5&gt;&lt;b&gt;Mythic: &lt;/b&gt;The spell's damage increases to 1d8 points of damage per 2 caster levels (maximum 10d8). Your melee touch attack to deliver the spell threatens a critical hit on a 19 or 20. This expanded threat range doesn't stack with other effects or abilities that increase the threat range. If the damage kills the target, you gain fast healing 5 for a number of rounds equal to the Hit Dice of the target.&lt;/h5&gt;&lt;/div&gt;</t>
  </si>
  <si>
    <t>Blood, Daemon</t>
  </si>
  <si>
    <t> Touch deals 1d6 damage per two levels; caster gains damage as temporary hp.</t>
  </si>
  <si>
    <t>The spell's damage increases to 1d8 points of damage per 2 caster levels (maximum 10d8). Your melee touch attack to deliver the spell threatens a critical hit on a 19 or 20. This expanded threat range doesn't stack with other effects or abilities that increase the threat range. If the damage kills the target, you gain fast healing 5 for a number of rounds equal to the Hit Dice of the target.</t>
  </si>
  <si>
    <t>Veil</t>
  </si>
  <si>
    <t>concentration + 1 hour/level</t>
  </si>
  <si>
    <t>You instantly change the appearance of the subjects and then maintain that appearance for the spell's duration. You can make the subjects appear to be anything you wish. The subjects look, feel, and smell just like the creatures the spell makes them resemble. Affected creatures resume their normal appearances if slain. You must succeed on a Disguise check to duplicate the appearance of a specific individual. This spell gives you a +10 bonus on the check. Unwilling targets can negate the spell's effect on them by making Will saves or with spell resistance. Those who interact with the subjects can attempt Will disbelief saves to see through the glamer, but spell resistance doesn't help.</t>
  </si>
  <si>
    <t>&lt;p&gt;You instantly change the appearance of the subjects and then maintain that appearance for the spell's duration. You can make the subjects appear to be anything you wish. The subjects look, feel, and smell just like the creatures the spell makes them resemble. Affected creatures resume their normal appearances if slain. You must succeed on a Disguise check to duplicate the appearance of a specific individual. This spell gives you a +10 bonus on the check.&lt;/p&gt;&lt;p&gt;Unwilling targets can negate the spell's effect on them by making Will saves or with spell resistance. Those who interact with the subjects can attempt Will disbelief saves to see through the glamer, but spell resistance doesn't help.&lt;/p&gt;</t>
  </si>
  <si>
    <t>&lt;link rel="stylesheet"href="PF.css"&gt;&lt;div class="heading"&gt;&lt;p class="alignleft"&gt;Veil&lt;/p&gt;&lt;div style="clear: both;"&gt;&lt;/div&gt;&lt;/div&gt;&lt;div&gt;&lt;h5&gt;&lt;b&gt;School &lt;/b&gt;illusion (glamer); &lt;b&gt;Level &lt;/b&gt;bard 6, sorcerer/wizard 6&lt;/h5&gt;&lt;/div&gt;&lt;hr/&gt;&lt;div&gt;&lt;h5&gt;&lt;b&gt;CASTING&lt;/b&gt;&lt;/h5&gt;&lt;/div&gt;&lt;hr/&gt;&lt;div&gt;&lt;h5&gt;&lt;b&gt;Casting Time &lt;/b&gt;1 standard action&lt;/h5&gt;&lt;h5&gt;&lt;b&gt;Components &lt;/b&gt;V, S&lt;/h5&gt;&lt;/div&gt;&lt;hr/&gt;&lt;div&gt;&lt;h5&gt;&lt;b&gt;EFFECT&lt;/b&gt;&lt;/h5&gt;&lt;/div&gt;&lt;hr/&gt;&lt;div&gt;&lt;h5&gt;&lt;b&gt;Range &lt;/b&gt;long (400 ft. + 40 ft./level)&lt;/h5&gt;&lt;h5&gt;&lt;b&gt;Targets &lt;/b&gt;one or more creatures, no two of which can be more than 30 ft. apart&lt;/h5&gt;&lt;h5&gt;&lt;b&gt;Duration &lt;/b&gt;concentration + 1 hour/level (D)&lt;/h5&gt;&lt;h5&gt;&lt;b&gt;Saving Throw &lt;/b&gt;Will negates; see text; &lt;b&gt;Spell Resistance &lt;/b&gt;yes; see text&lt;/h5&gt;&lt;/div&gt;&lt;hr/&gt;&lt;div&gt;&lt;h5&gt;&lt;b&gt;DESCRIPTION&lt;/b&gt;&lt;/h5&gt;&lt;/div&gt;&lt;hr/&gt;&lt;div&gt;&lt;h4&gt;&lt;p&gt;You instantly change the appearance of the subjects and then maintain that appearance for the spell's duration. You can make the subjects appear to be anything you wish. The subjects look, feel, and smell just like the creatures the spell makes them resemble. Affected creatures resume their normal appearances if slain. You must succeed on a Disguise check to duplicate the appearance of a specific individual. This spell gives you a +10 bonus on the check.&lt;/p&gt;&lt;p&gt;Unwilling targets can negate the spell's effect on them by making Will saves or with spell resistance. Those who interact with the subjects can attempt Will disbelief saves to see through the glamer, but spell resistance doesn't help.&lt;/p&gt;&lt;/h4&gt;&lt;/div&gt;</t>
  </si>
  <si>
    <t>Changes appearance of group of creatures.</t>
  </si>
  <si>
    <t>Ventriloquism</t>
  </si>
  <si>
    <t>bard 1, sorcerer/wizard 1, summoner 1</t>
  </si>
  <si>
    <t>V, F (parchment rolled into cone)</t>
  </si>
  <si>
    <t>intelligible sound, usually speech</t>
  </si>
  <si>
    <t>You can make your voice (or any sound that you can normally make vocally) seem to issue from someplace else. You can speak in any language you know. With respect to such voices and sounds, anyone who hears the sound and rolls a successful save recognizes it as illusory (but still hears it).</t>
  </si>
  <si>
    <t>&lt;p&gt;You can make your voice (or any sound that you can normally make vocally) seem to issue from someplace else. You can speak in any language you know. With respect to such voices and sounds, anyone who hears the sound and rolls a successful save recognizes it as illusory (but still hears it).&lt;/p&gt;</t>
  </si>
  <si>
    <t>&lt;link rel="stylesheet"href="PF.css"&gt;&lt;div class="heading"&gt;&lt;p class="alignleft"&gt;Ventriloquism&lt;/p&gt;&lt;div style="clear: both;"&gt;&lt;/div&gt;&lt;/div&gt;&lt;div&gt;&lt;h5&gt;&lt;b&gt;School &lt;/b&gt;illusion (figment); &lt;b&gt;Level &lt;/b&gt;bard 1, sorcerer/wizard 1, summoner 1&lt;/h5&gt;&lt;/div&gt;&lt;hr/&gt;&lt;div&gt;&lt;h5&gt;&lt;b&gt;CASTING&lt;/b&gt;&lt;/h5&gt;&lt;/div&gt;&lt;hr/&gt;&lt;div&gt;&lt;h5&gt;&lt;b&gt;Casting Time &lt;/b&gt;1 standard action&lt;/h5&gt;&lt;h5&gt;&lt;b&gt;Components &lt;/b&gt;V, F (parchment rolled into cone)&lt;/h5&gt;&lt;/div&gt;&lt;hr/&gt;&lt;div&gt;&lt;h5&gt;&lt;b&gt;EFFECT&lt;/b&gt;&lt;/h5&gt;&lt;/div&gt;&lt;hr/&gt;&lt;div&gt;&lt;h5&gt;&lt;b&gt;Range &lt;/b&gt;close (25 ft. + 5 ft./2 levels)&lt;/h5&gt;&lt;h5&gt;&lt;b&gt;Effect &lt;/b&gt;intelligible sound, usually speech&lt;/h5&gt;&lt;h5&gt;&lt;b&gt;Duration &lt;/b&gt;1 min./level (D)&lt;/h5&gt;&lt;h5&gt;&lt;b&gt;Saving Throw &lt;/b&gt;Will disbelief (if interacted with); &lt;b&gt;Spell Resistance &lt;/b&gt;no&lt;/h5&gt;&lt;/div&gt;&lt;hr/&gt;&lt;div&gt;&lt;h5&gt;&lt;b&gt;DESCRIPTION&lt;/b&gt;&lt;/h5&gt;&lt;/div&gt;&lt;hr/&gt;&lt;div&gt;&lt;h4&gt;&lt;p&gt;You can make your voice (or any sound that you can normally make vocally) seem to issue from someplace else. You can speak in any language you know. With respect to such voices and sounds, anyone who hears the sound and rolls a successful save recognizes it as illusory (but still hears it).&lt;/p&gt;&lt;/h4&gt;&lt;/div&gt;</t>
  </si>
  <si>
    <t>Throws voice for 1 min./level.</t>
  </si>
  <si>
    <t>Deception, Time</t>
  </si>
  <si>
    <t>Virtue</t>
  </si>
  <si>
    <t>1 min.</t>
  </si>
  <si>
    <t>With a touch, you infuse a creature with a tiny surge of life, granting the subject 1 temporary hit point.</t>
  </si>
  <si>
    <t>&lt;p&gt;With a touch, you infuse a creature with a tiny surge of life, granting the subject 1 temporary hit point.&lt;/p&gt;</t>
  </si>
  <si>
    <t>&lt;link rel="stylesheet"href="PF.css"&gt;&lt;div class="heading"&gt;&lt;p class="alignleft"&gt;Virtue&lt;/p&gt;&lt;div style="clear: both;"&gt;&lt;/div&gt;&lt;/div&gt;&lt;div&gt;&lt;h5&gt;&lt;b&gt;School &lt;/b&gt;transmutation; &lt;b&gt;Level &lt;/b&gt;cleric 0/oracle 0, druid 0, paladin 1, inquisitor 0&lt;/h5&gt;&lt;/div&gt;&lt;hr/&gt;&lt;div&gt;&lt;h5&gt;&lt;b&gt;CASTING&lt;/b&gt;&lt;/h5&gt;&lt;/div&gt;&lt;hr/&gt;&lt;div&gt;&lt;h5&gt;&lt;b&gt;Casting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 touched&lt;/h5&gt;&lt;h5&gt;&lt;b&gt;Duration &lt;/b&gt;1 min.&lt;/h5&gt;&lt;h5&gt;&lt;b&gt;Saving Throw &lt;/b&gt;none; &lt;b&gt;Spell Resistance &lt;/b&gt;yes (harmless)&lt;/h5&gt;&lt;/div&gt;&lt;hr/&gt;&lt;div&gt;&lt;h5&gt;&lt;b&gt;DESCRIPTION&lt;/b&gt;&lt;/h5&gt;&lt;/div&gt;&lt;hr/&gt;&lt;div&gt;&lt;h4&gt;&lt;p&gt;With a touch, you infuse a creature with a tiny surge of life, granting the subject 1 temporary hit point.&lt;/p&gt;&lt;/h4&gt;&lt;/div&gt;</t>
  </si>
  <si>
    <t>Subject gains 1 temporary hp.</t>
  </si>
  <si>
    <t>Vision</t>
  </si>
  <si>
    <t>This spell functions like legend lore, except that it works more quickly and produces some strain on you. You pose a question about some person, place, or object, then cast the spell. If the person or object is at hand or if you are in the place in question, you receive a vision about it by succeeding on a caster level check (1d20 + 1 per caster level; maximum +25) against DC 20. If only detailed information on the person, place, or object is known, the DC is 25, and the information gained is incomplete. If only rumors are known, the DC is 30, and the information gained is vague. After this spell is complete, you are fatigued.</t>
  </si>
  <si>
    <t>&lt;p&gt;This spell functions like &lt;i&gt;legend lore,&lt;/i&gt; except that it works more quickly and produces some strain on you. You pose a question about some person, place, or object, then cast the spell. If the person or object is at hand or if you are in the place in question, you receive a vision about it by succeeding on a caster level check (1d20 + 1 per caster level; maximum +25) against DC 20. If only detailed information on the person, place, or object is known, the DC is 25, and the information gained is incomplete. If only rumors are known, the DC is 30, and the information gained is vague. After this spell is complete, you are fatigued.&lt;/p&gt;</t>
  </si>
  <si>
    <t>&lt;link rel="stylesheet"href="PF.css"&gt;&lt;div class="heading"&gt;&lt;p class="alignleft"&gt;Vision&lt;/p&gt;&lt;div style="clear: both;"&gt;&lt;/div&gt;&lt;/div&gt;&lt;div&gt;&lt;h5&gt;&lt;b&gt;School &lt;/b&gt;divination; &lt;b&gt;Level &lt;/b&gt;sorcerer/wizard 7, witch 7&lt;/h5&gt;&lt;/div&gt;&lt;hr/&gt;&lt;div&gt;&lt;h5&gt;&lt;b&gt;CASTING&lt;/b&gt;&lt;/h5&gt;&lt;/div&gt;&lt;hr/&gt;&lt;div&gt;&lt;h5&gt;&lt;b&gt;Casting Time &lt;/b&gt;1 standard action&lt;/h5&gt;&lt;h5&gt;&lt;b&gt;Components &lt;/b&gt;V, S, M (incense worth 250 gp), F (four pieces of ivory worth 50 gp each)&lt;/h5&gt;&lt;/div&gt;&lt;hr/&gt;&lt;div&gt;&lt;h5&gt;&lt;b&gt;EFFECT&lt;/b&gt;&lt;/h5&gt;&lt;/div&gt;&lt;hr/&gt;&lt;div&gt;&lt;h5&gt;&lt;b&gt;Range &lt;/b&gt;personal&lt;/h5&gt;&lt;h5&gt;&lt;b&gt;Targets &lt;/b&gt;you&lt;/h5&gt;&lt;h5&gt;&lt;b&gt;Duration &lt;/b&gt;see text&lt;/h5&gt;&lt;/div&gt;&lt;hr/&gt;&lt;div&gt;&lt;h5&gt;&lt;b&gt;DESCRIPTION&lt;/b&gt;&lt;/h5&gt;&lt;/div&gt;&lt;hr/&gt;&lt;div&gt;&lt;h4&gt;&lt;p&gt;This spell functions like &lt;i&gt;legend lore,&lt;/i&gt; except that it works more quickly and produces some strain on you. You pose a question about some person, place, or object, then cast the spell. If the person or object is at hand or if you are in the place in question, you receive a vision about it by succeeding on a caster level check (1d20 + 1 per caster level; maximum +25) against DC 20. If only detailed information on the person, place, or object is known, the DC is 25, and the information gained is incomplete. If only rumors are known, the DC is 30, and the information gained is vague. After this spell is complete, you are fatigued.&lt;/p&gt;&lt;/h4&gt;&lt;/div&gt;</t>
  </si>
  <si>
    <t> As legend lore, but quicker.</t>
  </si>
  <si>
    <t>Wail of the Banshee</t>
  </si>
  <si>
    <t>death, sonic</t>
  </si>
  <si>
    <t>one living creature/level within a 40-ft.-radius spread</t>
  </si>
  <si>
    <t>When you cast this spell, you emit a terrible, soul-chilling scream that possibly kills creatures that hear it (except for yourself ). The spell affects up to one creature per caster level, inflicting 10 points of damage per caster level. Creatures closest to the point of origin are affected first.</t>
  </si>
  <si>
    <t>&lt;p&gt;When you cast this spell, you emit a terrible, soul-chilling scream that possibly kills creatures that hear it (except for yourself ). The spell affects up to one creature per caster level, inflicting 10 points of damage per caster level. Creatures closest to the point of origin are affected first.&lt;/p&gt;</t>
  </si>
  <si>
    <t>&lt;link rel="stylesheet"href="PF.css"&gt;&lt;div class="heading"&gt;&lt;p class="alignleft"&gt;Wail of the Banshee&lt;/p&gt;&lt;div style="clear: both;"&gt;&lt;/div&gt;&lt;/div&gt;&lt;div&gt;&lt;h5&gt;&lt;b&gt;School &lt;/b&gt;necromancy [death, sonic]; &lt;b&gt;Level &lt;/b&gt;sorcerer/wizard 9, witch 9&lt;/h5&gt;&lt;/div&gt;&lt;hr/&gt;&lt;div&gt;&lt;h5&gt;&lt;b&gt;CASTING&lt;/b&gt;&lt;/h5&gt;&lt;/div&gt;&lt;hr/&gt;&lt;div&gt;&lt;h5&gt;&lt;b&gt;Casting Time &lt;/b&gt;1 standard action&lt;/h5&gt;&lt;h5&gt;&lt;b&gt;Components &lt;/b&gt;V&lt;/h5&gt;&lt;/div&gt;&lt;hr/&gt;&lt;div&gt;&lt;h5&gt;&lt;b&gt;EFFECT&lt;/b&gt;&lt;/h5&gt;&lt;/div&gt;&lt;hr/&gt;&lt;div&gt;&lt;h5&gt;&lt;b&gt;Range &lt;/b&gt;close (25 ft. + 5 ft./2 levels)&lt;/h5&gt;&lt;h5&gt;&lt;b&gt;Targets &lt;/b&gt;one living creature/level within a 40-ft.-radius spread&lt;/h5&gt;&lt;h5&gt;&lt;b&gt;Duration &lt;/b&gt;instantaneous&lt;/h5&gt;&lt;h5&gt;&lt;b&gt;Saving Throw &lt;/b&gt;Fortitude negates; &lt;b&gt;Spell Resistance &lt;/b&gt;yes&lt;/h5&gt;&lt;/div&gt;&lt;hr/&gt;&lt;div&gt;&lt;h5&gt;&lt;b&gt;DESCRIPTION&lt;/b&gt;&lt;/h5&gt;&lt;/div&gt;&lt;hr/&gt;&lt;div&gt;&lt;h4&gt;&lt;p&gt;When you cast this spell, you emit a terrible, soul-chilling scream that possibly kills creatures that hear it (except for yourself ). The spell affects up to one creature per caster level, inflicting 10 points of damage per caster level. Creatures closest to the point of origin are affected first.&lt;/p&gt;&lt;/h4&gt;&lt;/div&gt;</t>
  </si>
  <si>
    <t> Deals 10 damage/level to 1 creature/level.</t>
  </si>
  <si>
    <t>Wall Of Fire</t>
  </si>
  <si>
    <t>druid 5, sorcerer/wizard 4, summoner 3, magus 4</t>
  </si>
  <si>
    <t>V, S, M/DF (a piece of phosphor)</t>
  </si>
  <si>
    <t>opaque sheet of flame up to 20 ft. long/level or a ring of fire with a radius of up to 5 ft./two levels; either form 20 ft. high</t>
  </si>
  <si>
    <t>An immobile, blazing curtain of shimmering violet fire springs into existence. One side of the wall, selected by you, sends forth waves of heat, dealing 2d4 points of fire damage to creatures within 10 feet and 1d4 points of fire damage to those past 10 feet but within 20 feet. The wall deals this damage when it appears, and to all creatures in the area on your turn each round. In addition, the wall deals 2d6 points of fire damage + 1 point of fire damage per caster level (maximum +20) to any creature passing through it. The wall deals double damage to undead creatures. If you evoke the wall so that it appears where creatures are, each creature takes damage as if passing through the wall. If any 5-foot length of wall takes 20 points or more of cold damage in 1 round, that length goes away. (Do not divide cold damage by 2, as normal for objects.) Wall of fire can be made permanent with a permanency spell. A permanent wall of fire that is extinguished by cold damage becomes inactive for 10 minutes, then reforms at normal strength.</t>
  </si>
  <si>
    <t>&lt;p&gt;An immobile, blazing curtain of shimmering violet fire springs into existence. One side of the wall, selected by you, sends forth waves of heat, dealing 2d4 points of fire damage to creatures within 10 feet and 1d4 points of fire damage to those past 10 feet but within 20 feet. The wall deals this damage when it appears, and to all creatures in the area on your turn each round. In addition, the wall deals 2d6 points of fire damage + 1 point of fire damage per caster level (maximum +20) to any creature passing through it. The wall deals double damage to undead creatures.&lt;/p&gt;&lt;p&gt;If you evoke the wall so that it appears where creatures are, each creature takes damage as if passing through the wall. If any 5-foot length of wall takes 20 points or more of cold damage in 1 round, that length goes away. (Do not divide cold damage by 2, as normal for objects.) &lt;i&gt;Wall of fire&lt;/i&gt; can be made permanent with a &lt;i&gt;permanency&lt;/i&gt; spell. A permanent &lt;i&gt;wall of fire&lt;/i&gt; that is extinguished by cold damage becomes inactive for 10 minutes, then reforms at normal strength.&lt;/p&gt;</t>
  </si>
  <si>
    <t>&lt;link rel="stylesheet"href="PF.css"&gt;&lt;div class="heading"&gt;&lt;p class="alignleft"&gt;Wall Of Fire&lt;/p&gt;&lt;div style="clear: both;"&gt;&lt;/div&gt;&lt;/div&gt;&lt;div&gt;&lt;h5&gt;&lt;b&gt;School &lt;/b&gt;evocation [fire]; &lt;b&gt;Level &lt;/b&gt;druid 5, sorcerer/wizard 4, summoner 3, magus 4&lt;/h5&gt;&lt;/div&gt;&lt;hr/&gt;&lt;div&gt;&lt;h5&gt;&lt;b&gt;CASTING&lt;/b&gt;&lt;/h5&gt;&lt;/div&gt;&lt;hr/&gt;&lt;div&gt;&lt;h5&gt;&lt;b&gt;Casting Time &lt;/b&gt;1 standard action&lt;/h5&gt;&lt;h5&gt;&lt;b&gt;Components &lt;/b&gt;V, S, M/DF (a piece of phosphor)&lt;/h5&gt;&lt;/div&gt;&lt;hr/&gt;&lt;div&gt;&lt;h5&gt;&lt;b&gt;EFFECT&lt;/b&gt;&lt;/h5&gt;&lt;/div&gt;&lt;hr/&gt;&lt;div&gt;&lt;h5&gt;&lt;b&gt;Range &lt;/b&gt;medium (100 ft. + 10 ft./level)&lt;/h5&gt;&lt;h5&gt;&lt;b&gt;Effect &lt;/b&gt;opaque sheet of flame up to 20 ft. long/level or a ring of fire with a radius of up to 5 ft./two levels; either form 20 ft. high&lt;/h5&gt;&lt;h5&gt;&lt;b&gt;Duration &lt;/b&gt;concentration + 1 round/level&lt;/h5&gt;&lt;h5&gt;&lt;b&gt;Saving Throw &lt;/b&gt;none; &lt;b&gt;Spell Resistance &lt;/b&gt;yes&lt;/h5&gt;&lt;/div&gt;&lt;hr/&gt;&lt;div&gt;&lt;h5&gt;&lt;b&gt;DESCRIPTION&lt;/b&gt;&lt;/h5&gt;&lt;/div&gt;&lt;hr/&gt;&lt;div&gt;&lt;h4&gt;&lt;p&gt;An immobile, blazing curtain of shimmering violet fire springs into existence. One side of the wall, selected by you, sends forth waves of heat, dealing 2d4 points of fire damage to creatures within 10 feet and 1d4 points of fire damage to those past 10 feet but within 20 feet. The wall deals this damage when it appears, and to all creatures in the area on your turn each round. In addition, the wall deals 2d6 points of fire damage + 1 point of fire damage per caster level (maximum +20) to any creature passing through it. The wall deals double damage to undead creatures.&lt;/p&gt;&lt;p&gt;If you evoke the wall so that it appears where creatures are, each creature takes damage as if passing through the wall. If any 5-foot length of wall takes 20 points or more of cold damage in 1 round, that length goes away. (Do not divide cold damage by 2, as normal for objects.) &lt;i&gt;Wall of fire&lt;/i&gt; can be made permanent with a &lt;i&gt;permanency&lt;/i&gt; spell. A permanent &lt;i&gt;wall of fire&lt;/i&gt; that is extinguished by cold damage becomes inactive for 10 minutes, then reforms at normal strength.&lt;/p&gt;&lt;/h4&gt;&lt;h5&gt;&lt;b&gt;Mythic: &lt;/b&gt;The wall's damage increases to 2d6 points of fire damage to creatures within 10 feet, 1d6 points of fire damage to those past 10 feet but within 20 feet, and 2d8 points of fire damage + 1 point of fire damage per caster level (maximum +20) to any creature passing through it. Any creature that passes through the wall or is within 5 feet of the wall when it's created must succeed at a Reflex save or catch fire. Attempts to extinguish this fire use the spell's save DC.&lt;/h5&gt;&lt;h5&gt;&lt;b&gt;Augmented (5th)&lt;/b&gt;: If you expend two uses of mythic power, you may move the wall 5 feet in any direction as a move action on your turn. Moving the wall into a fireproof barrier (such as a stone wall) destroys the part of the wall that overlaps the barrier.&lt;/h5&gt;&lt;/div&gt;</t>
  </si>
  <si>
    <t>Deals 2d4 fire damage out to 10 ft. and 1d4 out to 20 ft. Passing through wall deals 2d6 damage +1/level.</t>
  </si>
  <si>
    <t>Efreeti, Orc</t>
  </si>
  <si>
    <t>The wall's damage increases to 2d6 points of fire damage to creatures within 10 feet, 1d6 points of fire damage to those past 10 feet but within 20 feet, and 2d8 points of fire damage + 1 point of fire damage per caster level (maximum +20) to any creature passing through it. Any creature that passes through the wall or is within 5 feet of the wall when it's created must succeed at a Reflex save or catch fire. Attempts to extinguish this fire use the spell's save DC.</t>
  </si>
  <si>
    <t>Augmented (5th): If you expend two uses of mythic power, you may move the wall 5 feet in any direction as a move action on your turn. Moving the wall into a fireproof barrier (such as a stone wall) destroys the part of the wall that overlaps the barrier.</t>
  </si>
  <si>
    <t>Wall Of Force</t>
  </si>
  <si>
    <t>V, S, M (powdered quartz)</t>
  </si>
  <si>
    <t>wall whose area is up to one 10-ft. square/level</t>
  </si>
  <si>
    <t>1 round /level (D)</t>
  </si>
  <si>
    <t>A wall of force creates an invisible wall of pure force. The wall cannot move and is not easily destroyed. A wall of force is immune to dispel magic, although a mage's disjunction can still dispel it. A wall of force can be damaged by spells as normal, except for disintegrate, which automatically destroys it. It can be damaged by weapons and supernatural abilities, but a wall of force has hardness 30 and a number of hit points equal to 20 per caster level. Contact with a sphere of annihilation or rod of cancellation instantly destroys a wall of force. Breath weapons and spells cannot pass through a wall of force in either direction, although dimension door, teleport, and similar effects can bypass the barrier. It blocks ethereal creatures as well as material ones (though ethereal creatures can usually circumvent the wall by going around it, through material floors and ceilings). Gaze attacks can operate through a wall of force. The caster can form the wall into a flat, vertical plane whose area is up to one 10-foot square per level. The wall must be continuous and unbroken when formed. If its surface is broken by any object or creature, the spell fails. Wall of force can be made permanent with a permanency spell.</t>
  </si>
  <si>
    <t>&lt;p&gt;A &lt;i&gt;wall of force&lt;/i&gt; creates an invisible wall of pure force. The wall cannot move and is not easily destroyed. A &lt;i&gt;wall of force&lt;/i&gt; is immune to &lt;i&gt;dispel magic&lt;/i&gt;, although a mage's disjunction can still dispel it.&lt;/p&gt;&lt;p&gt;A &lt;i&gt;wall of force&lt;/i&gt; can be damaged by spells as normal, except for &lt;i&gt;disintegrate&lt;/i&gt;, which automatically destroys it. It can be damaged by weapons and supernatural abilities, but a &lt;i&gt;wall of force&lt;/i&gt; has hardness 30 and a number of hit points equal to 20 per caster level. Contact with a &lt;i&gt;sphere of annihilation&lt;/i&gt; or &lt;i&gt;rod of cancellation&lt;/i&gt; instantly destroys a &lt;i&gt;wall of force&lt;/i&gt;.&lt;/p&gt;&lt;p&gt;Breath weapons and spells cannot pass through a &lt;i&gt;wall of force&lt;/i&gt; in either direction, although &lt;i&gt;dimension door&lt;/i&gt;, &lt;i&gt;teleport&lt;/i&gt;, and similar effects can bypass the barrier. It blocks ethereal creatures as well as material ones (though ethereal creatures can usually circumvent the wall by going around it, through material floors and ceilings). Gaze attacks can operate through a &lt;i&gt;wall of force&lt;/i&gt;.&lt;/p&gt;&lt;p&gt;The caster can form the wall into a flat, vertical plane whose area is up to one 10-foot square per level. The wall must be continuous and unbroken when formed. If its surface is broken by any object or creature, the spell fails.&lt;/p&gt;&lt;p&gt;&lt;i&gt;Wall of force&lt;/i&gt; can be made permanent with a &lt;i&gt;permanency&lt;/i&gt; spell.&lt;/p&gt;</t>
  </si>
  <si>
    <t>&lt;link rel="stylesheet"href="PF.css"&gt;&lt;div class="heading"&gt;&lt;p class="alignleft"&gt;Wall Of Force&lt;/p&gt;&lt;div style="clear: both;"&gt;&lt;/div&gt;&lt;/div&gt;&lt;div&gt;&lt;h5&gt;&lt;b&gt;School &lt;/b&gt;evocation [force]; &lt;b&gt;Level &lt;/b&gt;sorcerer/wizard 5, magus 5&lt;/h5&gt;&lt;/div&gt;&lt;hr/&gt;&lt;div&gt;&lt;h5&gt;&lt;b&gt;CASTING&lt;/b&gt;&lt;/h5&gt;&lt;/div&gt;&lt;hr/&gt;&lt;div&gt;&lt;h5&gt;&lt;b&gt;Casting Time &lt;/b&gt;1 standard action&lt;/h5&gt;&lt;h5&gt;&lt;b&gt;Components &lt;/b&gt;V, S, M (powdered quartz)&lt;/h5&gt;&lt;/div&gt;&lt;hr/&gt;&lt;div&gt;&lt;h5&gt;&lt;b&gt;EFFECT&lt;/b&gt;&lt;/h5&gt;&lt;/div&gt;&lt;hr/&gt;&lt;div&gt;&lt;h5&gt;&lt;b&gt;Range &lt;/b&gt;close (25 ft. + 5 ft./2 levels)&lt;/h5&gt;&lt;h5&gt;&lt;b&gt;Effect &lt;/b&gt;wall whose area is up to one 10-ft. square/level&lt;/h5&gt;&lt;h5&gt;&lt;b&gt;Duration &lt;/b&gt;1 round /level (D)&lt;/h5&gt;&lt;h5&gt;&lt;b&gt;Saving Throw &lt;/b&gt;none; &lt;b&gt;Spell Resistance &lt;/b&gt;no&lt;/h5&gt;&lt;/div&gt;&lt;hr/&gt;&lt;div&gt;&lt;h5&gt;&lt;b&gt;DESCRIPTION&lt;/b&gt;&lt;/h5&gt;&lt;/div&gt;&lt;hr/&gt;&lt;div&gt;&lt;h4&gt;&lt;p&gt;A &lt;i&gt;wall of force&lt;/i&gt; creates an invisible wall of pure force. The wall cannot move and is not easily destroyed. A &lt;i&gt;wall of force&lt;/i&gt; is immune to &lt;i&gt;dispel magic&lt;/i&gt;, although a mage's disjunction can still dispel it.&lt;/p&gt;&lt;p&gt;A &lt;i&gt;wall of force&lt;/i&gt; can be damaged by spells as normal, except for &lt;i&gt;disintegrate&lt;/i&gt;, which automatically destroys it. It can be damaged by weapons and supernatural abilities, but a &lt;i&gt;wall of force&lt;/i&gt; has hardness 30 and a number of hit points equal to 20 per caster level. Contact with a &lt;i&gt;sphere of annihilation&lt;/i&gt; or &lt;i&gt;rod of cancellation&lt;/i&gt; instantly destroys a &lt;i&gt;wall of force&lt;/i&gt;.&lt;/p&gt;&lt;p&gt;Breath weapons and spells cannot pass through a &lt;i&gt;wall of force&lt;/i&gt; in either direction, although &lt;i&gt;dimension door&lt;/i&gt;, &lt;i&gt;teleport&lt;/i&gt;, and similar effects can bypass the barrier. It blocks ethereal creatures as well as material ones (though ethereal creatures can usually circumvent the wall by going around it, through material floors and ceilings). Gaze attacks can operate through a &lt;i&gt;wall of force&lt;/i&gt;.&lt;/p&gt;&lt;p&gt;The caster can form the wall into a flat, vertical plane whose area is up to one 10-foot square per level. The wall must be continuous and unbroken when formed. If its surface is broken by any object or creature, the spell fails.&lt;/p&gt;&lt;p&gt;&lt;i&gt;Wall of force&lt;/i&gt; can be made permanent with a &lt;i&gt;permanency&lt;/i&gt; spell.&lt;/p&gt;&lt;/h4&gt;&lt;h5&gt;&lt;b&gt;Mythic: &lt;/b&gt;The wall's hardness increases to 40, and its hit points increase to 30 per caster level. A non-mythic disintegrate spell or rod of cancellation negates a 10-foot-square section of a mythic wall of force for 1 round, after which the wall reforms at full strength. One side of the wall (chosen by you) repels creatures within 5 feet as a repulsion spell (using the DC wall of force would have if it allowed a saving throw).&lt;/h5&gt;&lt;/div&gt;</t>
  </si>
  <si>
    <t> Wall is immune to damage.</t>
  </si>
  <si>
    <t>The wall's hardness increases to 40, and its hit points increase to 30 per caster level. A non-mythic disintegrate spell or rod of cancellation negates a 10-foot-square section of a mythic wall of force for 1 round, after which the wall reforms at full strength. One side of the wall (chosen by you) repels creatures within 5 feet as a repulsion spell (using the DC wall of force would have if it allowed a saving throw).</t>
  </si>
  <si>
    <t>Wall Of Ice</t>
  </si>
  <si>
    <t>sorcerer/wizard 4, summoner 3, magus 4</t>
  </si>
  <si>
    <t>V, S, M (a piece of quartz or rock crystal)</t>
  </si>
  <si>
    <t>anchored plane of ice, up to one 10-ft. square/level, or hemisphere of ice with a radius of up to 3 ft. + 1 ft./level</t>
  </si>
  <si>
    <t>Reflex negates; see text</t>
  </si>
  <si>
    <t>This spell creates an anchored plane of ice or a hemisphere of ice, depending on the version selected. A wall of ice cannot form in an area occupied by physical objects or creatures. Its surface must be smooth and unbroken when created. Any creature adjacent to the wall when it is created may attempt a Reflex save to disrupt the wall as it is being formed. A successful save indicates that the spell automatically fails. Fire can melt a wall of ice, and it deals full damage to the wall (instead of the normal half damage taken by objects). Suddenly melting a wall of ice creates a great cloud of steamy fog that lasts for 10 minutes. Ice Plane: A sheet of strong, hard ice appears. The wall is 1 inch thick per caster level. It covers up to a 10-foot-square area per caster level (so a 10th-level wizard can create a wall of ice 100 feet long and 10 feet high, a wall 50 feet long and 20 feet high, or any other combination of length and height that does not exceed 1,000 square feet). The plane can be oriented in any fashion as long as it is anchored. A vertical wall need only be anchored on the floor, while a horizontal or slanting wall must be anchored on two opposite sides. Each 10-foot square of wall has 3 hit points per inch of thickness. Creatures can hit the wall automatically. A section of wall whose hit points drop to 0 is breached. If a creature tries to break through the wall with a single attack, the DC for the Strength check is 15 + caster level. Even when the ice has been broken through, a sheet of frigid air remains. Any creature stepping through it (including the one who broke through the wall) takes 1d6 points of cold damage + 1 point per caster level (no save). Hemisphere: The wall takes the form of a hemisphere whose maximum radius is 3 feet + 1 foot per caster level. The hemisphere is as hard to break through as the ice plane form, but it does not deal damage to those who go through a breach.</t>
  </si>
  <si>
    <t>&lt;p&gt;This spell creates an anchored plane of ice or a &lt;i&gt;hemisphere&lt;/i&gt; of ice, depending on the version selected. A &lt;i&gt;wall of ice&lt;/i&gt; cannot form in an area occupied by physical objects or creatures. Its surface must be smooth and unbroken when created. Any creature adjacent to the wall when it is created may attempt a Reflex save to disrupt the wall as it is being formed. A successful save indicates that the spell automatically fails.&lt;/p&gt;&lt;p&gt;Fire can melt a &lt;i&gt;wall of ice&lt;/i&gt;, and it deals full damage to the wall (instead of the normal half damage taken by objects). Suddenly melting a &lt;i&gt;wall of ice&lt;/i&gt; creates a great cloud of steamy fog that lasts for 10 minutes.&lt;/p&gt;&lt;p&gt;&lt;i&gt;Ice Plane&lt;/i&gt;: A sheet of strong, hard ice appears. The wall is 1 inch thick per caster level. It covers up to a 10-foot-square area per caster level (so a 10th-level wizard can create a &lt;i&gt;wall of ice&lt;/i&gt; 100 feet long and 10 feet high, a wall 50 feet long and 20 feet high, or any other combination of length and height that does not exceed 1,000 square feet). The plane can be oriented in any fashion as long as it is anchored. A vertical wall need only be anchored on the floor, while a horizontal or slanting wall must be anchored on two opposite sides.&lt;/p&gt;&lt;p&gt;Each 10-foot square of wall has 3 hit points per inch of thickness.&lt;/p&gt;&lt;p&gt;Creatures can hit the wall automatically. A section of wall whose hit points drop to 0 is breached. If a creature tries to break through the wall with a single attack, the DC for the Strength check is 15 + caster level.&lt;/p&gt;&lt;p&gt;Even when the ice has been broken through, a sheet of frigid air remains. Any creature stepping through it (including the one who broke through the wall) takes 1d6 points of cold damage + 1 point per caster level (no save).&lt;/p&gt;&lt;p&gt;&lt;i&gt;Hemisphere&lt;/i&gt;: The wall takes the form of a &lt;i&gt;hemisphere&lt;/i&gt; whose maximum radius is 3 feet + 1 foot per caster level. The &lt;i&gt;hemisphere&lt;/i&gt; is as hard to break through as the &lt;i&gt;ice plane&lt;/i&gt; form, but it does not deal damage to those who go through a breach.&lt;/p&gt;</t>
  </si>
  <si>
    <t>&lt;link rel="stylesheet"href="PF.css"&gt;&lt;div class="heading"&gt;&lt;p class="alignleft"&gt;Wall Of Ice&lt;/p&gt;&lt;div style="clear: both;"&gt;&lt;/div&gt;&lt;/div&gt;&lt;div&gt;&lt;h5&gt;&lt;b&gt;School &lt;/b&gt;evocation [cold]; &lt;b&gt;Level &lt;/b&gt;sorcerer/wizard 4, summoner 3, magus 4&lt;/h5&gt;&lt;/div&gt;&lt;hr/&gt;&lt;div&gt;&lt;h5&gt;&lt;b&gt;CASTING&lt;/b&gt;&lt;/h5&gt;&lt;/div&gt;&lt;hr/&gt;&lt;div&gt;&lt;h5&gt;&lt;b&gt;Casting Time &lt;/b&gt;1 standard action&lt;/h5&gt;&lt;h5&gt;&lt;b&gt;Components &lt;/b&gt;V, S, M (a piece of quartz or rock crystal)&lt;/h5&gt;&lt;/div&gt;&lt;hr/&gt;&lt;div&gt;&lt;h5&gt;&lt;b&gt;EFFECT&lt;/b&gt;&lt;/h5&gt;&lt;/div&gt;&lt;hr/&gt;&lt;div&gt;&lt;h5&gt;&lt;b&gt;Range &lt;/b&gt;medium (100 ft. + 10 ft./level)&lt;/h5&gt;&lt;h5&gt;&lt;b&gt;Effect &lt;/b&gt;anchored plane of ice, up to one 10-ft. square/level, or hemisphere of ice with a radius of up to 3 ft. + 1 ft./level&lt;/h5&gt;&lt;h5&gt;&lt;b&gt;Duration &lt;/b&gt;1 min./level&lt;/h5&gt;&lt;h5&gt;&lt;b&gt;Saving Throw &lt;/b&gt;Reflex negates; see text; &lt;b&gt;Spell Resistance &lt;/b&gt;yes&lt;/h5&gt;&lt;/div&gt;&lt;hr/&gt;&lt;div&gt;&lt;h5&gt;&lt;b&gt;DESCRIPTION&lt;/b&gt;&lt;/h5&gt;&lt;/div&gt;&lt;hr/&gt;&lt;div&gt;&lt;h4&gt;&lt;p&gt;This spell creates an anchored plane of ice or a &lt;i&gt;hemisphere&lt;/i&gt; of ice, depending on the version selected. A &lt;i&gt;wall of ice&lt;/i&gt; cannot form in an area occupied by physical objects or creatures. Its surface must be smooth and unbroken when created. Any creature adjacent to the wall when it is created may attempt a Reflex save to disrupt the wall as it is being formed. A successful save indicates that the spell automatically fails.&lt;/p&gt;&lt;p&gt;Fire can melt a &lt;i&gt;wall of ice&lt;/i&gt;, and it deals full damage to the wall (instead of the normal half damage taken by objects). Suddenly melting a &lt;i&gt;wall of ice&lt;/i&gt; creates a great cloud of steamy fog that lasts for 10 minutes.&lt;/p&gt;&lt;p&gt;&lt;i&gt;Ice Plane&lt;/i&gt;: A sheet of strong, hard ice appears. The wall is 1 inch thick per caster level. It covers up to a 10-foot-square area per caster level (so a 10th-level wizard can create a &lt;i&gt;wall of ice&lt;/i&gt; 100 feet long and 10 feet high, a wall 50 feet long and 20 feet high, or any other combination of length and height that does not exceed 1,000 square feet). The plane can be oriented in any fashion as long as it is anchored. A vertical wall need only be anchored on the floor, while a horizontal or slanting wall must be anchored on two opposite sides.&lt;/p&gt;&lt;p&gt;Each 10-foot square of wall has 3 hit points per inch of thickness.&lt;/p&gt;&lt;p&gt;Creatures can hit the wall automatically. A section of wall whose hit points drop to 0 is breached. If a creature tries to break through the wall with a single attack, the DC for the Strength check is 15 + caster level.&lt;/p&gt;&lt;p&gt;Even when the ice has been broken through, a sheet of frigid air remains. Any creature stepping through it (including the one who broke through the wall) takes 1d6 points of cold damage + 1 point per caster level (no save).&lt;/p&gt;&lt;p&gt;&lt;i&gt;Hemisphere&lt;/i&gt;: The wall takes the form of a &lt;i&gt;hemisphere&lt;/i&gt; whose maximum radius is 3 feet + 1 foot per caster level. The &lt;i&gt;hemisphere&lt;/i&gt; is as hard to break through as the &lt;i&gt;ice plane&lt;/i&gt; form, but it does not deal damage to those who go through a breach.&lt;/p&gt;&lt;/h4&gt;&lt;h5&gt;&lt;b&gt;Mythic: &lt;/b&gt;The wall's hit points increase to 5 hit points per inch of thickness. Add your tier to the Strength check DC to break through the wall. The damage dealt to those that step through the wall increases to 1d8 points of cold damage + 1 point per caster level. Any creature that passes through the wall must succeed at a Fortitude save or be staggered for 1d4 rounds; this is a cold effect.&lt;/h5&gt;&lt;h5&gt;&lt;b&gt;Augmented (5th)&lt;/b&gt;: If you expend two uses of mythic power, you cover the wall in sharp, protruding icicles. Any creature that touches, strikes, or breaks through the wall takes 1d6 points of cold damage, 1d6 points of piercing damage, and 1 point of bleed damage.&lt;/h5&gt;&lt;/div&gt;</t>
  </si>
  <si>
    <t> Ice plane creates wall or hemisphere creates dome.</t>
  </si>
  <si>
    <t>The wall's hit points increase to 5 hit points per inch of thickness. Add your tier to the Strength check DC to break through the wall. The damage dealt to those that step through the wall increases to 1d8 points of cold damage + 1 point per caster level. Any creature that passes through the wall must succeed at a Fortitude save or be staggered for 1d4 rounds; this is a cold effect.</t>
  </si>
  <si>
    <t>Augmented (5th): If you expend two uses of mythic power, you cover the wall in sharp, protruding icicles. Any creature that touches, strikes, or breaks through the wall takes 1d6 points of cold damage, 1d6 points of piercing damage, and 1 point of bleed damage.</t>
  </si>
  <si>
    <t>Wall of Iron</t>
  </si>
  <si>
    <t>sorcerer/wizard 6, summoner 5, magus 6</t>
  </si>
  <si>
    <t>V, S, M (a small iron sheet plus gold dust worth 50 gp)</t>
  </si>
  <si>
    <t>iron wall whose area is up to one 5-ft. square/level; see text</t>
  </si>
  <si>
    <t>You cause a flat, vertical iron wall to spring into being. The wall inserts itself into any surrounding nonliving material if its area is sufficient to do so. The wall cannot be conjured so that it occupies the same space as a creature or another object. It must always be a flat plane, though you can shape its edges to fit the available space. A wall of iron is 1 inch thick per four caster levels. You can double the wall's area by halving its thickness. Each 5-foot square of the wall has 30 hit points per inch of thickness and hardness 10. A section of wall whose hit points drop to 0 is breached. If a creature tries to break through the wall with a single attack, the DC for the Strength check is 25 + 2 per inch of thickness. If you desire, the wall can be created vertically resting on a flat surface but not attached to the surface, so that it can be tipped over to fall on and crush creatures beneath it. The wall is 50% likely to tip in either direction if left unpushed. Creatures can push the wall in one direction rather than letting it fall randomly. A creature must make a DC 40 Strength check to push the wall over. Creatures with room to flee the falling wall may do so by making successful Reflex saves. Any Large or smaller creature that fails takes 10d6 points of damage while fleeing from the wall. The wall cannot crush Huge and larger creatures. Like any iron wall, this wall is subject to rust, perforation, and other natural phenomena. Iron created by this spell is not suitable for use in the creation of other objects and cannot be sold.</t>
  </si>
  <si>
    <t>&lt;p&gt;You cause a flat, vertical iron wall to spring into being. The wall inserts itself into any surrounding nonliving material if its area is sufficient to do so. The wall cannot be conjured so that it occupies the same space as a creature or another object. It must always be a flat plane, though you can shape its edges to fit the available space.&lt;/p&gt;&lt;p&gt;A &lt;i&gt;wall of iron&lt;/i&gt; is 1 inch thick per four caster levels. You can double the wall's area by halving its thickness. Each 5-foot square of the wall has 30 hit points per inch of thickness and hardness 10. A section of wall whose hit points drop to 0 is breached. If a creature tries to break through the wall with a single attack, the DC for the Strength check is 25 + 2 per inch of thickness.&lt;/p&gt;&lt;p&gt;If you desire, the wall can be created vertically resting on a flat surface but not attached to the surface, so that it can be tipped over to fall on and crush creatures beneath it. The wall is 50% likely to tip in either direction if left unpushed. Creatures can push the wall in one direction rather than letting it fall randomly. A creature must make a DC 40 Strength check to push the wall over. Creatures with room to flee the falling wall may do so by making successful Reflex saves. Any Large or smaller creature that fails takes 10d6 points of damage while fleeing from the wall. The wall cannot crush Huge and larger creatures.&lt;/p&gt;&lt;p&gt;Like any iron wall, this wall is subject to rust, perforation, and other natural phenomena. Iron created by this spell is not suitable for use in the creation of other objects and cannot be sold.&lt;/p&gt;</t>
  </si>
  <si>
    <t>&lt;link rel="stylesheet"href="PF.css"&gt;&lt;div class="heading"&gt;&lt;p class="alignleft"&gt;Wall of Iron&lt;/p&gt;&lt;div style="clear: both;"&gt;&lt;/div&gt;&lt;/div&gt;&lt;div&gt;&lt;h5&gt;&lt;b&gt;School &lt;/b&gt;conjuration (creation); &lt;b&gt;Level &lt;/b&gt;sorcerer/wizard 6, summoner 5, magus 6&lt;/h5&gt;&lt;/div&gt;&lt;hr/&gt;&lt;div&gt;&lt;h5&gt;&lt;b&gt;CASTING&lt;/b&gt;&lt;/h5&gt;&lt;/div&gt;&lt;hr/&gt;&lt;div&gt;&lt;h5&gt;&lt;b&gt;Casting Time &lt;/b&gt;1 standard action&lt;/h5&gt;&lt;h5&gt;&lt;b&gt;Components &lt;/b&gt;V, S, M (a small iron sheet plus gold dust worth 50 gp)&lt;/h5&gt;&lt;/div&gt;&lt;hr/&gt;&lt;div&gt;&lt;h5&gt;&lt;b&gt;EFFECT&lt;/b&gt;&lt;/h5&gt;&lt;/div&gt;&lt;hr/&gt;&lt;div&gt;&lt;h5&gt;&lt;b&gt;Range &lt;/b&gt;medium (100 ft. + 10 ft./level)&lt;/h5&gt;&lt;h5&gt;&lt;b&gt;Effect &lt;/b&gt;iron wall whose area is up to one 5-ft. square/level; see text&lt;/h5&gt;&lt;h5&gt;&lt;b&gt;Duration &lt;/b&gt;instantaneous&lt;/h5&gt;&lt;h5&gt;&lt;b&gt;Saving Throw &lt;/b&gt;see text; &lt;b&gt;Spell Resistance &lt;/b&gt;no&lt;/h5&gt;&lt;/div&gt;&lt;hr/&gt;&lt;div&gt;&lt;h5&gt;&lt;b&gt;DESCRIPTION&lt;/b&gt;&lt;/h5&gt;&lt;/div&gt;&lt;hr/&gt;&lt;div&gt;&lt;h4&gt;&lt;p&gt;You cause a flat, vertical iron wall to spring into being. The wall inserts itself into any surrounding nonliving material if its area is sufficient to do so. The wall cannot be conjured so that it occupies the same space as a creature or another object. It must always be a flat plane, though you can shape its edges to fit the available space.&lt;/p&gt;&lt;p&gt;A &lt;i&gt;wall of iron&lt;/i&gt; is 1 inch thick per four caster levels. You can double the wall's area by halving its thickness. Each 5-foot square of the wall has 30 hit points per inch of thickness and hardness 10. A section of wall whose hit points drop to 0 is breached. If a creature tries to break through the wall with a single attack, the DC for the Strength check is 25 + 2 per inch of thickness.&lt;/p&gt;&lt;p&gt;If you desire, the wall can be created vertically resting on a flat surface but not attached to the surface, so that it can be tipped over to fall on and crush creatures beneath it. The wall is 50% likely to tip in either direction if left unpushed. Creatures can push the wall in one direction rather than letting it fall randomly. A creature must make a DC 40 Strength check to push the wall over. Creatures with room to flee the falling wall may do so by making successful Reflex saves. Any Large or smaller creature that fails takes 10d6 points of damage while fleeing from the wall. The wall cannot crush Huge and larger creatures.&lt;/p&gt;&lt;p&gt;Like any iron wall, this wall is subject to rust, perforation, and other natural phenomena. Iron created by this spell is not suitable for use in the creation of other objects and cannot be sold.&lt;/p&gt;&lt;/h4&gt;&lt;/div&gt;</t>
  </si>
  <si>
    <t>Artifice, Metal</t>
  </si>
  <si>
    <t> 30 hp/four levels; can topple onto foes.</t>
  </si>
  <si>
    <t>Wall Of Thorns</t>
  </si>
  <si>
    <t>wall of thorny brush, up to one 10-ft. cube/level (S)</t>
  </si>
  <si>
    <t>A wall of thorns spell creates a barrier of very tough, pliable, tangled brush bearing needle-sharp thorns as long as a human's finger. Any creature forced into or attempting to move through a wall of thorns takes piercing damage per round of movement equal to 25 minus the creature's AC. Dexterity and dodge bonuses to AC do not count for this calculation. (Creatures with an AC of 25 or higher, without considering Dexterity and dodge bonuses, take no damage from contact with the wall.) You can make the wall as thin as 5 feet thick, which allows you to shape the wall as a number of 10-by-10-by-5-foot blocks equal to twice your caster level. This has no effect on the damage dealt by the thorns, but any creature attempting to break through takes that much less time to force its way through the barrier. Creatures can force their way slowly through the wall by making a Strength check as a full-round action. For every 5 points by which the check exceeds 20, a creature moves 5 feet (up to a maximum distance equal to its normal land speed). Of course, moving or attempting to move through the thorns incurs damage as described above. A creature trapped in the thorns can choose to remain motionless in order to avoid taking any more damage. Any creature within the area of the spell when it is cast takes damage as if it had moved into the wall and is caught inside. In order to escape, it must attempt to push its way free, or it can wait until the spell ends. Creatures with the ability to pass through overgrown areas unhindered can pass through a wall of thorns at normal speed without taking damage. A wall of thorns can be breached by slow work with edged weapons. Chopping away at the wall creates a safe passage 1 foot deep for every 10 minutes of work. Normal fire cannot harm the barrier, but magical fire burns it away in 10 minutes.</t>
  </si>
  <si>
    <t>&lt;p&gt;A &lt;i&gt;wall of thorns&lt;/i&gt; spell creates a barrier of very tough, pliable, tangled brush bearing needle-sharp thorns as long as a human's finger. Any creature forced into or attempting to move through a &lt;i&gt;wall of thorns&lt;/i&gt; takes piercing damage per round of movement equal to 25 minus the creature's AC. Dexterity and dodge bonuses to AC do not count for this calculation. (Creatures with an AC of 25 or higher, without considering Dexterity and dodge bonuses, take no damage from contact with the wall.) You can make the wall as thin as 5 feet thick, which allows you to shape the wall as a number of 10-by-10-by-5-foot blocks equal to twice your caster level. This has no effect on the damage dealt by the thorns, but any creature attempting to break through takes that much less time to force its way through the barrier.&lt;/p&gt;&lt;p&gt;Creatures can force their way slowly through the wall by making a Strength check as a full-round action. For every 5 points by which the check exceeds 20, a creature moves 5 feet (up to a maximum distance equal to its normal land speed). Of course, moving or attempting to move through the thorns incurs damage as described above. A creature trapped in the thorns can choose to remain motionless in order to avoid taking any more damage.&lt;/p&gt;&lt;p&gt;Any creature within the area of the spell when it is cast takes damage as if it had moved into the wall and is caught inside. In order to escape, it must attempt to push its way free, or it can wait until the spell ends. Creatures with the ability to pass through overgrown areas unhindered can pass through a &lt;i&gt;wall of thorns&lt;/i&gt; at normal speed without taking damage.&lt;/p&gt;&lt;p&gt;A &lt;i&gt;wall of thorns&lt;/i&gt; can be breached by slow work with edged weapons. Chopping away at the wall creates a safe passage 1 foot deep for every 10 minutes of work. Normal fire cannot harm the barrier, but magical fire burns it away in 10 minutes.&lt;/p&gt;</t>
  </si>
  <si>
    <t>&lt;link rel="stylesheet"href="PF.css"&gt;&lt;div class="heading"&gt;&lt;p class="alignleft"&gt;Wall Of Thorns&lt;/p&gt;&lt;div style="clear: both;"&gt;&lt;/div&gt;&lt;/div&gt;&lt;div&gt;&lt;h5&gt;&lt;b&gt;School &lt;/b&gt;conjuration (creation); &lt;b&gt;Level &lt;/b&gt;druid 5&lt;/h5&gt;&lt;/div&gt;&lt;hr/&gt;&lt;div&gt;&lt;h5&gt;&lt;b&gt;CASTING&lt;/b&gt;&lt;/h5&gt;&lt;/div&gt;&lt;hr/&gt;&lt;div&gt;&lt;h5&gt;&lt;b&gt;Casting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ft./level)&lt;/h5&gt;&lt;h5&gt;&lt;b&gt;Effect &lt;/b&gt;wall of thorny brush, up to one 10-ft. cube/level (S)&lt;/h5&gt;&lt;h5&gt;&lt;b&gt;Duration &lt;/b&gt;10 min./level (D)&lt;/h5&gt;&lt;h5&gt;&lt;b&gt;Saving Throw &lt;/b&gt;none; &lt;b&gt;Spell Resistance &lt;/b&gt;no&lt;/h5&gt;&lt;/div&gt;&lt;hr/&gt;&lt;div&gt;&lt;h5&gt;&lt;b&gt;DESCRIPTION&lt;/b&gt;&lt;/h5&gt;&lt;/div&gt;&lt;hr/&gt;&lt;div&gt;&lt;h4&gt;&lt;p&gt;A &lt;i&gt;wall of thorns&lt;/i&gt; spell creates a barrier of very tough, pliable, tangled brush bearing needle-sharp thorns as long as a human's finger. Any creature forced into or attempting to move through a &lt;i&gt;wall of thorns&lt;/i&gt; takes piercing damage per round of movement equal to 25 minus the creature's AC. Dexterity and dodge bonuses to AC do not count for this calculation. (Creatures with an AC of 25 or higher, without considering Dexterity and dodge bonuses, take no damage from contact with the wall.) You can make the wall as thin as 5 feet thick, which allows you to shape the wall as a number of 10-by-10-by-5-foot blocks equal to twice your caster level. This has no effect on the damage dealt by the thorns, but any creature attempting to break through takes that much less time to force its way through the barrier.&lt;/p&gt;&lt;p&gt;Creatures can force their way slowly through the wall by making a Strength check as a full-round action. For every 5 points by which the check exceeds 20, a creature moves 5 feet (up to a maximum distance equal to its normal land speed). Of course, moving or attempting to move through the thorns incurs damage as described above. A creature trapped in the thorns can choose to remain motionless in order to avoid taking any more damage.&lt;/p&gt;&lt;p&gt;Any creature within the area of the spell when it is cast takes damage as if it had moved into the wall and is caught inside. In order to escape, it must attempt to push its way free, or it can wait until the spell ends. Creatures with the ability to pass through overgrown areas unhindered can pass through a &lt;i&gt;wall of thorns&lt;/i&gt; at normal speed without taking damage.&lt;/p&gt;&lt;p&gt;A &lt;i&gt;wall of thorns&lt;/i&gt; can be breached by slow work with edged weapons. Chopping away at the wall creates a safe passage 1 foot deep for every 10 minutes of work. Normal fire cannot harm the barrier, but magical fire burns it away in 10 minutes.&lt;/p&gt;&lt;/h4&gt;&lt;h5&gt;&lt;b&gt;Mythic: &lt;/b&gt;The damage dealt increases to 30 minus the creature's AC. Any creature adjacent to the wall is automatically grappled by it. Any creature that begins its turn grappled by the wall takes 2d6 points of damage. Half of this damage is bludgeoning, and the other half is piercing. For the purpose of escaping this grapple, the wall's CMD is 10 + your caster level + your tier.&lt;/h5&gt;&lt;h5&gt;&lt;b&gt;Augmented (6th)&lt;/b&gt;: If you expend two uses of mythic power, the wall automatically grapples creatures other than you within 10 feet. Any creature grappled by the wall takes 2d6 points of bleed damage. If a creature doesn't escape the wall's grapple, on its next turn the wall automatically pins it.&lt;/h5&gt;&lt;/div&gt;</t>
  </si>
  <si>
    <t>Blood, Plant</t>
  </si>
  <si>
    <t> Thorns damage anyone who tries to pass.</t>
  </si>
  <si>
    <t>The damage dealt increases to 30 minus the creature's AC. Any creature adjacent to the wall is automatically grappled by it. Any creature that begins its turn grappled by the wall takes 2d6 points of damage. Half of this damage is bludgeoning, and the other half is piercing. For the purpose of escaping this grapple, the wall's CMD is 10 + your caster level + your tier.</t>
  </si>
  <si>
    <t>Augmented (6th): If you expend two uses of mythic power, the wall automatically grapples creatures other than you within 10 feet. Any creature grappled by the wall takes 2d6 points of bleed damage. If a creature doesn't escape the wall's grapple, on its next turn the wall automatically pins it.</t>
  </si>
  <si>
    <t>Warp Wood</t>
  </si>
  <si>
    <t>1 Small wooden object/level, all within a 20-ft. radius</t>
  </si>
  <si>
    <t>You cause wood to bend and warp, permanently destroying its straightness, form, and strength. A warped door springs open (or becomes stuck, requiring a Strength check to open, at your option). A boat or ship springs a leak. Warped ranged weapons are useless. A warped melee weapon causes a -4 penalty on attack rolls. You may warp one Small or smaller object or its equivalent per caster level. A Medium object counts as two Small objects, a Large object as four, a Huge object as eight, a Gargantuan object as 16, and a Colossal object as 32. Alternatively, you can unwarp wood (effectively warping it back to normal) with this spell. Make whole, on the other hand, does no good in repairing a warped item. You can combine multiple consecutive warp wood spells to warp (or unwarp) an object that is too large for you to warp with a single spell. Until the object is completely warped, it suffers no ill effects.</t>
  </si>
  <si>
    <t>&lt;p&gt;You cause wood to bend and warp, permanently destroying its straightness, form, and strength. A warped door springs open (or becomes stuck, requiring a Strength check to open, at your option). A boat or ship springs a leak. Warped ranged weapons are useless. A warped melee weapon causes a -4 penalty on attack rolls.&lt;/p&gt;&lt;p&gt;You may warp one Small or smaller object or its equivalent per caster level. A Medium object counts as two Small objects, a Large object as four, a Huge object as eight, a Gargantuan object as 16, and a Colossal object as 32.&lt;/p&gt;&lt;p&gt;Alternatively, you can un&lt;i&gt;warp wood&lt;/i&gt; (effectively warping it back to normal) with this spell. &lt;i&gt;Make whole&lt;/i&gt;, on the other hand, does no good in repairing a warped item.&lt;/p&gt;&lt;p&gt;You can combine multiple consecutive &lt;i&gt;warp wood&lt;/i&gt; spells to warp (or unwarp) an object that is too large for you to warp with a single spell. Until the object is completely warped, it suffers no ill effects.&lt;/p&gt;</t>
  </si>
  <si>
    <t>&lt;link rel="stylesheet"href="PF.css"&gt;&lt;div class="heading"&gt;&lt;p class="alignleft"&gt;Warp Wood&lt;/p&gt;&lt;div style="clear: both;"&gt;&lt;/div&gt;&lt;/div&gt;&lt;div&gt;&lt;h5&gt;&lt;b&gt;School &lt;/b&gt;transmutation; &lt;b&gt;Level &lt;/b&gt;druid 2&lt;/h5&gt;&lt;/div&gt;&lt;hr/&gt;&lt;div&gt;&lt;h5&gt;&lt;b&gt;CASTING&lt;/b&gt;&lt;/h5&gt;&lt;/div&gt;&lt;hr/&gt;&lt;div&gt;&lt;h5&gt;&lt;b&gt;Casting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&lt;/b&gt;1 Small wooden object/level, all within a 20-ft. radius&lt;/h5&gt;&lt;h5&gt;&lt;b&gt;Duration &lt;/b&gt;instantaneous&lt;/h5&gt;&lt;h5&gt;&lt;b&gt;Saving Throw &lt;/b&gt;Will negates (object); &lt;b&gt;Spell Resistance &lt;/b&gt;yes (object)&lt;/h5&gt;&lt;/div&gt;&lt;hr/&gt;&lt;div&gt;&lt;h5&gt;&lt;b&gt;DESCRIPTION&lt;/b&gt;&lt;/h5&gt;&lt;/div&gt;&lt;hr/&gt;&lt;div&gt;&lt;h4&gt;&lt;p&gt;You cause wood to bend and warp, permanently destroying its straightness, form, and strength. A warped door springs open (or becomes stuck, requiring a Strength check to open, at your option). A boat or ship springs a leak. Warped ranged weapons are useless. A warped melee weapon causes a -4 penalty on attack rolls.&lt;/p&gt;&lt;p&gt;You may warp one Small or smaller object or its equivalent per caster level. A Medium object counts as two Small objects, a Large object as four, a Huge object as eight, a Gargantuan object as 16, and a Colossal object as 32.&lt;/p&gt;&lt;p&gt;Alternatively, you can un&lt;i&gt;warp wood&lt;/i&gt; (effectively warping it back to normal) with this spell. &lt;i&gt;Make whole&lt;/i&gt;, on the other hand, does no good in repairing a warped item.&lt;/p&gt;&lt;p&gt;You can combine multiple consecutive &lt;i&gt;warp wood&lt;/i&gt; spells to warp (or unwarp) an object that is too large for you to warp with a single spell. Until the object is completely warped, it suffers no ill effects.&lt;/p&gt;&lt;/h4&gt;&lt;/div&gt;</t>
  </si>
  <si>
    <t> Bends wood.</t>
  </si>
  <si>
    <t>Water Breathing</t>
  </si>
  <si>
    <t>cleric 3/oracle 3, druid 3, sorcerer/wizard 3, alchemist 3, summoner 3, alchemist 3, summoner 3, magus 3</t>
  </si>
  <si>
    <t>V, S, M/DF (short reed or piece of straw)</t>
  </si>
  <si>
    <t>living creatures touched</t>
  </si>
  <si>
    <t>2 hours/level; see text</t>
  </si>
  <si>
    <t>The transmuted creatures can breathe water freely. Divide the duration evenly among all the creatures you touch. The spell does not make creatures unable to breathe air.</t>
  </si>
  <si>
    <t>&lt;p&gt;The transmuted creatures can breathe water freely. Divide the duration evenly among all the creatures you touch. The spell does not make creatures unable to breathe air.&lt;/p&gt;</t>
  </si>
  <si>
    <t>&lt;link rel="stylesheet"href="PF.css"&gt;&lt;div class="heading"&gt;&lt;p class="alignleft"&gt;Water Breathing&lt;/p&gt;&lt;div style="clear: both;"&gt;&lt;/div&gt;&lt;/div&gt;&lt;div&gt;&lt;h5&gt;&lt;b&gt;School &lt;/b&gt;transmutation; &lt;b&gt;Level &lt;/b&gt;cleric 3/oracle 3, druid 3, sorcerer/wizard 3, alchemist 3, summoner 3, alchemist 3, summoner 3, magus 3&lt;/h5&gt;&lt;/div&gt;&lt;hr/&gt;&lt;div&gt;&lt;h5&gt;&lt;b&gt;CASTING&lt;/b&gt;&lt;/h5&gt;&lt;/div&gt;&lt;hr/&gt;&lt;div&gt;&lt;h5&gt;&lt;b&gt;Casting Time &lt;/b&gt;1 standard action&lt;/h5&gt;&lt;h5&gt;&lt;b&gt;Components &lt;/b&gt;V, S, M/DF (short reed or piece of straw)&lt;/h5&gt;&lt;/div&gt;&lt;hr/&gt;&lt;div&gt;&lt;h5&gt;&lt;b&gt;EFFECT&lt;/b&gt;&lt;/h5&gt;&lt;/div&gt;&lt;hr/&gt;&lt;div&gt;&lt;h5&gt;&lt;b&gt;Range &lt;/b&gt;touch&lt;/h5&gt;&lt;h5&gt;&lt;b&gt;Targets &lt;/b&gt;living creatures touched&lt;/h5&gt;&lt;h5&gt;&lt;b&gt;Duration &lt;/b&gt;2 hours/level; see text&lt;/h5&gt;&lt;h5&gt;&lt;b&gt;Saving Throw &lt;/b&gt;Will negates (harmless); &lt;b&gt;Spell Resistance &lt;/b&gt;yes (harmless)&lt;/h5&gt;&lt;/div&gt;&lt;hr/&gt;&lt;div&gt;&lt;h5&gt;&lt;b&gt;DESCRIPTION&lt;/b&gt;&lt;/h5&gt;&lt;/div&gt;&lt;hr/&gt;&lt;div&gt;&lt;h4&gt;&lt;p&gt;The transmuted creatures can breathe water freely. Divide the duration evenly among all the creatures you touch. The spell does not make creatures unable to breathe air.&lt;/p&gt;&lt;/h4&gt;&lt;/div&gt;</t>
  </si>
  <si>
    <t>Subjects can breathe underwater.</t>
  </si>
  <si>
    <t>Water Walk</t>
  </si>
  <si>
    <t>cleric 3/oracle 3, ranger 3, witch 3</t>
  </si>
  <si>
    <t>The transmuted creatures can tread on any liquid as if it were firm ground. Mud, oil, snow, quicksand, running water, ice, and even lava can be traversed easily, since the subjects' feet hover an inch or two above the surface. Creatures crossing molten lava still take damage from the heat because they are near it. The subjects can walk, run, charge, or otherwise move across the surface as if it were normal ground. If the spell is cast underwater (or while the subjects are partially or wholly submerged in whatever liquid they are in), the subjects are borne toward the surface at 60 feet per round until they can stand on it.</t>
  </si>
  <si>
    <t>&lt;p&gt;The transmuted creatures can tread on any liquid as if it were firm ground. Mud, oil, snow, quicksand, running water, ice, and even lava can be traversed easily, since the subjects' feet hover an inch or two above the surface. Creatures crossing molten lava still take damage from the heat because they are near it. The subjects can walk, run, charge, or otherwise move across the surface as if it were normal ground.&lt;/p&gt;&lt;p&gt;If the spell is cast underwater (or while the subjects are partially or wholly submerged in whatever liquid they are in), the subjects are borne toward the surface at 60 feet per round until they can stand on it.&lt;/p&gt;</t>
  </si>
  <si>
    <t>&lt;link rel="stylesheet"href="PF.css"&gt;&lt;div class="heading"&gt;&lt;p class="alignleft"&gt;Water Walk&lt;/p&gt;&lt;div style="clear: both;"&gt;&lt;/div&gt;&lt;/div&gt;&lt;div&gt;&lt;h5&gt;&lt;b&gt;School &lt;/b&gt;transmutation [water]; &lt;b&gt;Level &lt;/b&gt;cleric 3/oracle 3, ranger 3, witch 3&lt;/h5&gt;&lt;/div&gt;&lt;hr/&gt;&lt;div&gt;&lt;h5&gt;&lt;b&gt;CASTING&lt;/b&gt;&lt;/h5&gt;&lt;/div&gt;&lt;hr/&gt;&lt;div&gt;&lt;h5&gt;&lt;b&gt;Casting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&lt;/b&gt;one touched creature/level&lt;/h5&gt;&lt;h5&gt;&lt;b&gt;Duration &lt;/b&gt;10 min./level (D)&lt;/h5&gt;&lt;h5&gt;&lt;b&gt;Saving Throw &lt;/b&gt;Will negates (harmless); &lt;b&gt;Spell Resistance &lt;/b&gt;yes (harmless)&lt;/h5&gt;&lt;/div&gt;&lt;hr/&gt;&lt;div&gt;&lt;h5&gt;&lt;b&gt;DESCRIPTION&lt;/b&gt;&lt;/h5&gt;&lt;/div&gt;&lt;hr/&gt;&lt;div&gt;&lt;h4&gt;&lt;p&gt;The transmuted creatures can tread on any liquid as if it were firm ground. Mud, oil, snow, quicksand, running water, ice, and even lava can be traversed easily, since the subjects' feet hover an inch or two above the surface. Creatures crossing molten lava still take damage from the heat because they are near it. The subjects can walk, run, charge, or otherwise move across the surface as if it were normal ground.&lt;/p&gt;&lt;p&gt;If the spell is cast underwater (or while the subjects are partially or wholly submerged in whatever liquid they are in), the subjects are borne toward the surface at 60 feet per round until they can stand on it.&lt;/p&gt;&lt;/h4&gt;&lt;/div&gt;</t>
  </si>
  <si>
    <t>Oceans</t>
  </si>
  <si>
    <t>Subject treads on water as if solid.</t>
  </si>
  <si>
    <t>Waves of Exhaustion</t>
  </si>
  <si>
    <t>Waves of negative energy cause all living creatures in the spell's area to become exhausted. This spell has no effect on a creature that is already exhausted.</t>
  </si>
  <si>
    <t>&lt;p&gt;Waves of negative energy cause all living creatures in the spell's area to become exhausted. This spell has no effect on a creature that is already exhausted.&lt;/p&gt;</t>
  </si>
  <si>
    <t>&lt;link rel="stylesheet"href="PF.css"&gt;&lt;div class="heading"&gt;&lt;p class="alignleft"&gt;Waves of Exhaustion&lt;/p&gt;&lt;div style="clear: both;"&gt;&lt;/div&gt;&lt;/div&gt;&lt;div&gt;&lt;h5&gt;&lt;b&gt;School &lt;/b&gt;necromancy; &lt;b&gt;Level &lt;/b&gt;sorcerer/wizard 7, witch 7&lt;/h5&gt;&lt;/div&gt;&lt;hr/&gt;&lt;div&gt;&lt;h5&gt;&lt;b&gt;CASTING&lt;/b&gt;&lt;/h5&gt;&lt;/div&gt;&lt;hr/&gt;&lt;div&gt;&lt;h5&gt;&lt;b&gt;Casting Time &lt;/b&gt;1 standard action&lt;/h5&gt;&lt;h5&gt;&lt;b&gt;Components &lt;/b&gt;V, S&lt;/h5&gt;&lt;/div&gt;&lt;hr/&gt;&lt;div&gt;&lt;h5&gt;&lt;b&gt;EFFECT&lt;/b&gt;&lt;/h5&gt;&lt;/div&gt;&lt;hr/&gt;&lt;div&gt;&lt;h5&gt;&lt;b&gt;Range &lt;/b&gt;60 ft.&lt;/h5&gt;&lt;h5&gt;&lt;b&gt;Area &lt;/b&gt;cone-shaped burst&lt;/h5&gt;&lt;h5&gt;&lt;b&gt;Duration &lt;/b&gt;instantaneous&lt;/h5&gt;&lt;h5&gt;&lt;b&gt;Saving Throw &lt;/b&gt;none; &lt;b&gt;Spell Resistance &lt;/b&gt;yes&lt;/h5&gt;&lt;/div&gt;&lt;hr/&gt;&lt;div&gt;&lt;h5&gt;&lt;b&gt;DESCRIPTION&lt;/b&gt;&lt;/h5&gt;&lt;/div&gt;&lt;hr/&gt;&lt;div&gt;&lt;h4&gt;&lt;p&gt;Waves of negative energy cause all living creatures in the spell's area to become exhausted. This spell has no effect on a creature that is already exhausted.&lt;/p&gt;&lt;/h4&gt;&lt;/div&gt;</t>
  </si>
  <si>
    <t>Repose, Toil</t>
  </si>
  <si>
    <t> Several targets become exhausted.</t>
  </si>
  <si>
    <t>Waves of Fatigue</t>
  </si>
  <si>
    <t>Waves of negative energy render all living creatures in the spell's area fatigued. This spell has no effect on a creature that is already fatigued.</t>
  </si>
  <si>
    <t>&lt;p&gt;Waves of negative energy render all living creatures in the spell's area fatigued. This spell has no effect on a creature that is already fatigued.&lt;/p&gt;</t>
  </si>
  <si>
    <t>&lt;link rel="stylesheet"href="PF.css"&gt;&lt;div class="heading"&gt;&lt;p class="alignleft"&gt;Waves of Fatigue&lt;/p&gt;&lt;div style="clear: both;"&gt;&lt;/div&gt;&lt;/div&gt;&lt;div&gt;&lt;h5&gt;&lt;b&gt;School &lt;/b&gt;necromancy; &lt;b&gt;Level &lt;/b&gt;sorcerer/wizard 5, witch 5&lt;/h5&gt;&lt;/div&gt;&lt;hr/&gt;&lt;div&gt;&lt;h5&gt;&lt;b&gt;CASTING&lt;/b&gt;&lt;/h5&gt;&lt;/div&gt;&lt;hr/&gt;&lt;div&gt;&lt;h5&gt;&lt;b&gt;Casting Time &lt;/b&gt;1 standard action&lt;/h5&gt;&lt;h5&gt;&lt;b&gt;Components &lt;/b&gt;V, S&lt;/h5&gt;&lt;/div&gt;&lt;hr/&gt;&lt;div&gt;&lt;h5&gt;&lt;b&gt;EFFECT&lt;/b&gt;&lt;/h5&gt;&lt;/div&gt;&lt;hr/&gt;&lt;div&gt;&lt;h5&gt;&lt;b&gt;Range &lt;/b&gt;30 ft.&lt;/h5&gt;&lt;h5&gt;&lt;b&gt;Area &lt;/b&gt;cone-shaped burst&lt;/h5&gt;&lt;h5&gt;&lt;b&gt;Duration &lt;/b&gt;instantaneous&lt;/h5&gt;&lt;h5&gt;&lt;b&gt;Saving Throw &lt;/b&gt;none; &lt;b&gt;Spell Resistance &lt;/b&gt;yes&lt;/h5&gt;&lt;/div&gt;&lt;hr/&gt;&lt;div&gt;&lt;h5&gt;&lt;b&gt;DESCRIPTION&lt;/b&gt;&lt;/h5&gt;&lt;/div&gt;&lt;hr/&gt;&lt;div&gt;&lt;h4&gt;&lt;p&gt;Waves of negative energy render all living creatures in the spell's area fatigued. This spell has no effect on a creature that is already fatigued.&lt;/p&gt;&lt;/h4&gt;&lt;/div&gt;</t>
  </si>
  <si>
    <t>Toil</t>
  </si>
  <si>
    <t> Several targets become fatigued.</t>
  </si>
  <si>
    <t>Web</t>
  </si>
  <si>
    <t>sorcerer/wizard 2, witch 2, magus 2</t>
  </si>
  <si>
    <t>V, S, M (spider web)</t>
  </si>
  <si>
    <t>webs in a 20-ft.-radius spread</t>
  </si>
  <si>
    <t>Web creates a many-layered mass of strong, sticky strands. These strands trap those caught in them. The strands are similar to spiderwebs but far larger and tougher. These masses must be anchored to two or more solid and diametrically opposed points or else the web collapses upon itself and disappears. Creatures caught within a web become grappled by the sticky fibers. Attacking a creature in a web doesn't cause you to become grappled. Anyone in the effect's area when the spell is cast must make a Reflex save. If this save succeeds, the creature is inside the web but is otherwise unaffected. If the save fails, the creature gains the grappled condition, but can break free by making a combat maneuver check or Escape Artist check as a standard action against the DC of this spell. The entire area of the web is considered difficult terrain. Anyone moving through the webs must make a combat maneuver check or Escape Artist check as part of their move action, with a DC equal to the spell's DC. Creatures that fail lose their movement and become grappled in the first square of webbing that they enter. If you have at least 5 feet of web between you and an opponent, it provides cover. If you have at least 20 feet of web between you, it provides total cover. The strands of a web spell are flammable. A flaming weapon can slash them away as easily as a hand brushes away cobwebs. Any fire can set the webs alight and burn away one 5-foot square in 1 round. All creatures within flaming webs take 2d4 points of fire damage from the flames. Web can be made permanent with a permanency spell. A permanent web that is damaged (but not destroyed) regrows in 10 minutes.</t>
  </si>
  <si>
    <t>&lt;p&gt;&lt;i&gt;Web&lt;/i&gt; creates a many-layered mass of strong, sticky strands. These strands trap those caught in them. The strands are similar to spider&lt;i&gt;web&lt;/i&gt;s but far larger and tougher. These masses must be anchored to two or more solid and diametrically opposed points or else the &lt;i&gt;web&lt;/i&gt; collapses upon itself and disappears. Creatures caught within a &lt;i&gt;web&lt;/i&gt; become grappled by the sticky fibers. Attacking a creature in a &lt;i&gt;web&lt;/i&gt; doesn't cause you to become grappled.&lt;/p&gt;&lt;p&gt;Anyone in the effect's area when the spell is cast must make a Reflex save. If this save succeeds, the creature is inside the &lt;i&gt;web&lt;/i&gt; but is otherwise unaffected. If the save fails, the creature gains the grappled condition, but can break free by making a combat maneuver check or Escape Artist check as a standard action against the DC of this spell. The entire area of the &lt;i&gt;web&lt;/i&gt; is considered difficult terrain. Anyone moving through the &lt;i&gt;web&lt;/i&gt;s must make a combat maneuver check or Escape Artist check as part of their move action, with a DC equal to the spell's DC. Creatures that fail lose their movement and become grappled in the first square of &lt;i&gt;web&lt;/i&gt;bing that they enter.&lt;/p&gt;&lt;p&gt;If you have at least 5 feet of &lt;i&gt;web&lt;/i&gt; between you and an opponent, it provides cover. If you have at least 20 feet of &lt;i&gt;web&lt;/i&gt; between you, it provides total cover.&lt;/p&gt;&lt;p&gt;The strands of a &lt;i&gt;web&lt;/i&gt; spell are flammable. A &lt;i&gt;flaming weapon&lt;/i&gt; can slash them away as easily as a hand brushes away cob&lt;i&gt;web&lt;/i&gt;s. Any fire can set the &lt;i&gt;web&lt;/i&gt;s alight and burn away one 5-foot square in 1 round. All creatures within flaming &lt;i&gt;web&lt;/i&gt;s take 2d4 points of fire damage from the flames.&lt;/p&gt;&lt;p&gt;&lt;i&gt;Web&lt;/i&gt; can be made permanent with a &lt;i&gt;permanency&lt;/i&gt; spell. A permanent &lt;i&gt;web&lt;/i&gt; that is damaged (but not destroyed) regrows in 10 minutes.&lt;/p&gt;</t>
  </si>
  <si>
    <t>&lt;link rel="stylesheet"href="PF.css"&gt;&lt;div class="heading"&gt;&lt;p class="alignleft"&gt;Web&lt;/p&gt;&lt;div style="clear: both;"&gt;&lt;/div&gt;&lt;/div&gt;&lt;div&gt;&lt;h5&gt;&lt;b&gt;School &lt;/b&gt;conjuration (creation); &lt;b&gt;Level &lt;/b&gt;sorcerer/wizard 2, witch 2, magus 2&lt;/h5&gt;&lt;/div&gt;&lt;hr/&gt;&lt;div&gt;&lt;h5&gt;&lt;b&gt;CASTING&lt;/b&gt;&lt;/h5&gt;&lt;/div&gt;&lt;hr/&gt;&lt;div&gt;&lt;h5&gt;&lt;b&gt;Casting Time &lt;/b&gt;1 standard action&lt;/h5&gt;&lt;h5&gt;&lt;b&gt;Components &lt;/b&gt;V, S, M (spider web)&lt;/h5&gt;&lt;/div&gt;&lt;hr/&gt;&lt;div&gt;&lt;h5&gt;&lt;b&gt;EFFECT&lt;/b&gt;&lt;/h5&gt;&lt;/div&gt;&lt;hr/&gt;&lt;div&gt;&lt;h5&gt;&lt;b&gt;Range &lt;/b&gt;medium (100 ft. + 10 ft./level)&lt;/h5&gt;&lt;h5&gt;&lt;b&gt;Effect &lt;/b&gt;webs in a 20-ft.-radius spread&lt;/h5&gt;&lt;h5&gt;&lt;b&gt;Duration &lt;/b&gt;10 min./level (D)&lt;/h5&gt;&lt;h5&gt;&lt;b&gt;Saving Throw &lt;/b&gt;Reflex negates; see text; &lt;b&gt;Spell Resistance &lt;/b&gt;no&lt;/h5&gt;&lt;/div&gt;&lt;hr/&gt;&lt;div&gt;&lt;h5&gt;&lt;b&gt;DESCRIPTION&lt;/b&gt;&lt;/h5&gt;&lt;/div&gt;&lt;hr/&gt;&lt;div&gt;&lt;h4&gt;&lt;p&gt;&lt;i&gt;Web&lt;/i&gt; creates a many-layered mass of strong, sticky strands. These strands trap those caught in them. The strands are similar to spider&lt;i&gt;web&lt;/i&gt;s but far larger and tougher. These masses must be anchored to two or more solid and diametrically opposed points or else the &lt;i&gt;web&lt;/i&gt; collapses upon itself and disappears. Creatures caught within a &lt;i&gt;web&lt;/i&gt; become grappled by the sticky fibers. Attacking a creature in a &lt;i&gt;web&lt;/i&gt; doesn't cause you to become grappled.&lt;/p&gt;&lt;p&gt;Anyone in the effect's area when the spell is cast must make a Reflex save. If this save succeeds, the creature is inside the &lt;i&gt;web&lt;/i&gt; but is otherwise unaffected. If the save fails, the creature gains the grappled condition, but can break free by making a combat maneuver check or Escape Artist check as a standard action against the DC of this spell. The entire area of the &lt;i&gt;web&lt;/i&gt; is considered difficult terrain. Anyone moving through the &lt;i&gt;web&lt;/i&gt;s must make a combat maneuver check or Escape Artist check as part of their move action, with a DC equal to the spell's DC. Creatures that fail lose their movement and become grappled in the first square of webbing that they enter.&lt;/p&gt;&lt;p&gt;If you have at least 5 feet of &lt;i&gt;web&lt;/i&gt; between you and an opponent, it provides cover. If you have at least 20 feet of &lt;i&gt;web&lt;/i&gt; between you, it provides total cover.&lt;/p&gt;&lt;p&gt;The strands of a &lt;i&gt;web&lt;/i&gt; spell are flammable. A &lt;i&gt;flaming weapon&lt;/i&gt; can slash them away as easily as a hand brushes away cob&lt;i&gt;web&lt;/i&gt;s. Any fire can set the &lt;i&gt;web&lt;/i&gt;s alight and burn away one 5-foot square in 1 round. All creatures within flaming &lt;i&gt;web&lt;/i&gt;s take 2d4 points of fire damage from the flames.&lt;/p&gt;&lt;p&gt;&lt;i&gt;Web&lt;/i&gt; can be made permanent with a &lt;i&gt;permanency&lt;/i&gt; spell. A permanent &lt;i&gt;web&lt;/i&gt; that is damaged (but not destroyed) regrows in 10 minutes.&lt;/p&gt;&lt;/h4&gt;&lt;h5&gt;&lt;b&gt;Mythic: &lt;/b&gt;The webs are filled with spider swarms (one spider swarm for each 10-foot-by-10-foot area covered in webs). Any creature caught in or moving through the webs is attacked by a spider swarm (or multiple swarms, if it passes through the space of more than one swarm). The spiders don't leave the area of webbing. Destroying the web in an area destroys the swarm there as well, and completely destroying the web destroys all the swarms.&lt;/h5&gt;&lt;h5&gt;&lt;b&gt;Augmented (5th)&lt;/b&gt;: If you expend two uses of mythic power, the webs increase to a 50-foot-radius spread. Webs span any gaps between available anchor points in the area, possibly creating multiple non-contiguous webbed areas. Non-mythic abilities that make creatures immune to webs (such as freedom of movement) instead give them a +5 bonus on saves, combat maneuver checks, and Escape Artist checks against mythic web.&lt;/h5&gt;&lt;/div&gt;</t>
  </si>
  <si>
    <t> Fills 20-ft.-radius spread with sticky spiderwebs that can grapple foes and impair movement.</t>
  </si>
  <si>
    <t>The webs are filled with spider swarms (one spider swarm for each 10-foot-by-10-foot area covered in webs). Any creature caught in or moving through the webs is attacked by a spider swarm (or multiple swarms, if it passes through the space of more than one swarm). The spiders don't leave the area of webbing. Destroying the web in an area destroys the swarm there as well, and completely destroying the web destroys all the swarms.</t>
  </si>
  <si>
    <t>Augmented (5th): If you expend two uses of mythic power, the webs increase to a 50-foot-radius spread. Webs span any gaps between available anchor points in the area, possibly creating multiple non-contiguous webbed areas. Non-mythic abilities that make creatures immune to webs (such as freedom of movement) instead give them a +5 bonus on saves, combat maneuver checks, and Escape Artist checks against mythic web.</t>
  </si>
  <si>
    <t>Weird</t>
  </si>
  <si>
    <t>any number of creatures, no two of which can be more than 30 ft. apart</t>
  </si>
  <si>
    <t>This spell functions like phantasmal killer, except it can affect more than one creature. Only the affected creatures see the phantasmal creatures attacking them, though you see the attackers as shadowy shapes. If a subject's Fortitude save succeeds, it still takes 3d6 points of damage and is stunned for 1 round. The subject also takes 1d4 points of Strength damage.</t>
  </si>
  <si>
    <t>&lt;p&gt;This spell functions like &lt;i&gt;phantasmal killer&lt;/i&gt;, except it can affect more than one creature. Only the affected creatures see the phantasmal creatures attacking them, though you see the attackers as shadowy shapes.&lt;/p&gt;&lt;p&gt;If a subject's Fortitude save succeeds, it still takes 3d6 points of damage and is stunned for 1 round. The subject also takes 1d4 points of Strength damage.&lt;/p&gt;</t>
  </si>
  <si>
    <t>&lt;link rel="stylesheet"href="PF.css"&gt;&lt;div class="heading"&gt;&lt;p class="alignleft"&gt;Weird&lt;/p&gt;&lt;div style="clear: both;"&gt;&lt;/div&gt;&lt;/div&gt;&lt;div&gt;&lt;h5&gt;&lt;b&gt;School &lt;/b&gt;illusion (phantasm) [fear, mind-affecting, emotion]; &lt;b&gt;Level &lt;/b&gt;sorcerer/wizard 9&lt;/h5&gt;&lt;/div&gt;&lt;hr/&gt;&lt;div&gt;&lt;h5&gt;&lt;b&gt;CASTING&lt;/b&gt;&lt;/h5&gt;&lt;/div&gt;&lt;hr/&gt;&lt;div&gt;&lt;h5&gt;&lt;b&gt;Casting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ft./level)&lt;/h5&gt;&lt;h5&gt;&lt;b&gt;Targets &lt;/b&gt;any number of creatures, no two of which can be more than 30 ft. apart&lt;/h5&gt;&lt;h5&gt;&lt;b&gt;Duration &lt;/b&gt;instantaneous&lt;/h5&gt;&lt;h5&gt;&lt;b&gt;Saving Throw &lt;/b&gt;Will disbelief, then Fortitude partial; see text; &lt;b&gt;Spell Resistance &lt;/b&gt;yes&lt;/h5&gt;&lt;/div&gt;&lt;hr/&gt;&lt;div&gt;&lt;h5&gt;&lt;b&gt;DESCRIPTION&lt;/b&gt;&lt;/h5&gt;&lt;/div&gt;&lt;hr/&gt;&lt;div&gt;&lt;h4&gt;&lt;p&gt;This spell functions like &lt;i&gt;phantasmal killer&lt;/i&gt;, except it can affect more than one creature. Only the affected creatures see the phantasmal creatures attacking them, though you see the attackers as shadowy shapes.&lt;/p&gt;&lt;p&gt;If a subject's Fortitude save succeeds, it still takes 3d6 points of damage and is stunned for 1 round. The subject also takes 1d4 points of Strength damage.&lt;/p&gt;&lt;/h4&gt;&lt;/div&gt;</t>
  </si>
  <si>
    <t> As phantasmal killer, but affects all within 30 ft.</t>
  </si>
  <si>
    <t>Whirlwind</t>
  </si>
  <si>
    <t>cyclone 10 ft. wide at base, 30 ft. wide at top, and 30 ft. tall</t>
  </si>
  <si>
    <t>This spell creates a powerful cyclone of raging wind that moves through the air, along the ground, or over water at a speed of 60 feet per round. You can concentrate on controlling the cyclone's every movement or specify a simple program. Directing the cyclone's movement or changing its programmed movement is a standard action for you. The cyclone always moves during your turn. If the cyclone exceeds the spell's range, it moves in a random, uncontrolled fashion for 1d3 rounds and then dissipates. (You can't regain control of the cyclone, even if it comes back within range.) Any Large or smaller creature that comes in contact with the spell effect must succeed on a Reflex save or take 3d6 points of damage. A Medium or smaller creature that fails its first save must succeed on a second one or be picked up bodily by the cyclone and held suspended in its powerful winds, taking 1d8 points of damage each round on your turn with no save allowed. You may direct the cyclone to eject any carried creatures whenever you wish, depositing the hapless souls wherever the cyclone happens to be when they are released.</t>
  </si>
  <si>
    <t>&lt;p&gt;This spell creates a powerful cyclone of raging wind that moves through the air, along the ground, or over water at a speed of 60 feet per round. You can concentrate on controlling the cyclone's every movement or specify a simple program. Directing the cyclone's movement or changing its programmed movement is a standard action for you. The cyclone always moves during your turn. If the cyclone exceeds the spell's range, it moves in a random, uncontrolled fashion for 1d3 rounds and then dissipates. (You can't regain control of the cyclone, even if it comes back within range.) Any Large or smaller creature that comes in contact with the spell effect must succeed on a Reflex save or take 3d6 points of damage. A Medium or smaller creature that fails its first save must succeed on a second one or be picked up bodily by the cyclone and held suspended in its powerful winds, taking 1d8 points of damage each round on your turn with no save allowed. You may direct the cyclone to eject any carried creatures whenever you wish, depositing the hapless souls wherever the cyclone happens to be when they are released.&lt;/p&gt;</t>
  </si>
  <si>
    <t>&lt;link rel="stylesheet"href="PF.css"&gt;&lt;div class="heading"&gt;&lt;p class="alignleft"&gt;Whirlwind&lt;/p&gt;&lt;div style="clear: both;"&gt;&lt;/div&gt;&lt;/div&gt;&lt;div&gt;&lt;h5&gt;&lt;b&gt;School &lt;/b&gt;evocation [air]; &lt;b&gt;Level &lt;/b&gt;druid 8&lt;/h5&gt;&lt;/div&gt;&lt;hr/&gt;&lt;div&gt;&lt;h5&gt;&lt;b&gt;CASTING&lt;/b&gt;&lt;/h5&gt;&lt;/div&gt;&lt;hr/&gt;&lt;div&gt;&lt;h5&gt;&lt;b&gt;Casting Time &lt;/b&gt;1 standard action&lt;/h5&gt;&lt;h5&gt;&lt;b&gt;Components &lt;/b&gt;V, S, DF&lt;/h5&gt;&lt;/div&gt;&lt;hr/&gt;&lt;div&gt;&lt;h5&gt;&lt;b&gt;EFFECT&lt;/b&gt;&lt;/h5&gt;&lt;/div&gt;&lt;hr/&gt;&lt;div&gt;&lt;h5&gt;&lt;b&gt;Range &lt;/b&gt;long (400 ft. + 40 ft./level)&lt;/h5&gt;&lt;h5&gt;&lt;b&gt;Effect &lt;/b&gt;cyclone 10 ft. wide at base, 30 ft. wide at top, and 30 ft. tall&lt;/h5&gt;&lt;h5&gt;&lt;b&gt;Duration &lt;/b&gt;1 round/level (D)&lt;/h5&gt;&lt;h5&gt;&lt;b&gt;Saving Throw &lt;/b&gt;Reflex negates; see text; &lt;b&gt;Spell Resistance &lt;/b&gt;yes&lt;/h5&gt;&lt;/div&gt;&lt;hr/&gt;&lt;div&gt;&lt;h5&gt;&lt;b&gt;DESCRIPTION&lt;/b&gt;&lt;/h5&gt;&lt;/div&gt;&lt;hr/&gt;&lt;div&gt;&lt;h4&gt;&lt;p&gt;This spell creates a powerful cyclone of raging wind that moves through the air, along the ground, or over water at a speed of 60 feet per round. You can concentrate on controlling the cyclone's every movement or specify a simple program. Directing the cyclone's movement or changing its programmed movement is a standard action for you. The cyclone always moves during your turn. If the cyclone exceeds the spell's range, it moves in a random, uncontrolled fashion for 1d3 rounds and then dissipates. (You can't regain control of the cyclone, even if it comes back within range.) Any Large or smaller creature that comes in contact with the spell effect must succeed on a Reflex save or take 3d6 points of damage. A Medium or smaller creature that fails its first save must succeed on a second one or be picked up bodily by the cyclone and held suspended in its powerful winds, taking 1d8 points of damage each round on your turn with no save allowed. You may direct the cyclone to eject any carried creatures whenever you wish, depositing the hapless souls wherever the cyclone happens to be when they are released.&lt;/p&gt;&lt;/h4&gt;&lt;/div&gt;</t>
  </si>
  <si>
    <t> Cyclone deals damage and can pick up creatures.</t>
  </si>
  <si>
    <t>Whispering Wind</t>
  </si>
  <si>
    <t>bard 2, sorcerer/wizard 2, inquisitor 2</t>
  </si>
  <si>
    <t>1 mile/level</t>
  </si>
  <si>
    <t>no more than 1 hour/level or until discharged (destination is reached)</t>
  </si>
  <si>
    <t>You send a message or sound on the wind to a designated spot. The whispering wind travels to a specific location within range that is familiar to you, provided that it can find a way to the location. A whispering wind is as gentle and unnoticed as a zephyr until it reaches the location. It then delivers its whisper-quiet message or other sound. Note that the message is delivered regardless of whether anyone is present to hear it. The wind then dissipates. You can prepare the spell to bear a message of no more than 25 words, cause the spell to deliver other sounds for 1 round, or merely have the whispering wind seem to be a faint stirring of the air. You can likewise cause the whispering wind to move as slowly as 1 mile per hour or as quickly as 1 mile per 10 minutes. When the spell reaches its objective, it swirls and remains in place until the message is delivered. As with magic mouth, whispering wind cannot speak verbal components, use command words, or activate magical effects.</t>
  </si>
  <si>
    <t>&lt;p&gt;You send a message or sound on the wind to a designated spot. The &lt;i&gt;whispering wind&lt;/i&gt; travels to a specific location within range that is familiar to you, provided that it can find a way to the location. A &lt;i&gt;whispering wind&lt;/i&gt; is as gentle and unnoticed as a zephyr until it reaches the location. It then delivers its whisper-quiet message or other sound. Note that the message is delivered regardless of whether anyone is present to hear it. The wind then dissipates.&lt;/p&gt;&lt;p&gt;You can prepare the spell to bear a message of no more than 25 words, cause the spell to deliver other sounds for 1 round, or merely have the &lt;i&gt;whispering wind&lt;/i&gt; seem to be a faint stirring of the air. You can likewise cause the &lt;i&gt;whispering wind&lt;/i&gt; to move as slowly as 1 mile per hour or as quickly as 1 mile per 10 minutes.&lt;/p&gt;&lt;p&gt;When the spell reaches its objective, it swirls and remains in place until the message is delivered. As with magic mouth, &lt;i&gt;whispering wind&lt;/i&gt; cannot speak verbal components, use command words, or activate magical effects.&lt;/p&gt;</t>
  </si>
  <si>
    <t>&lt;link rel="stylesheet"href="PF.css"&gt;&lt;div class="heading"&gt;&lt;p class="alignleft"&gt;Whispering Wind&lt;/p&gt;&lt;div style="clear: both;"&gt;&lt;/div&gt;&lt;/div&gt;&lt;div&gt;&lt;h5&gt;&lt;b&gt;School &lt;/b&gt;transmutation [air]; &lt;b&gt;Level &lt;/b&gt;bard 2, sorcerer/wizard 2, inquisitor 2&lt;/h5&gt;&lt;/div&gt;&lt;hr/&gt;&lt;div&gt;&lt;h5&gt;&lt;b&gt;CASTING&lt;/b&gt;&lt;/h5&gt;&lt;/div&gt;&lt;hr/&gt;&lt;div&gt;&lt;h5&gt;&lt;b&gt;Casting Time &lt;/b&gt;1 standard action&lt;/h5&gt;&lt;h5&gt;&lt;b&gt;Components &lt;/b&gt;V, S&lt;/h5&gt;&lt;/div&gt;&lt;hr/&gt;&lt;div&gt;&lt;h5&gt;&lt;b&gt;EFFECT&lt;/b&gt;&lt;/h5&gt;&lt;/div&gt;&lt;hr/&gt;&lt;div&gt;&lt;h5&gt;&lt;b&gt;Range &lt;/b&gt;1 mile/level&lt;/h5&gt;&lt;h5&gt;&lt;b&gt;Area &lt;/b&gt;10-ft.-radius spread&lt;/h5&gt;&lt;h5&gt;&lt;b&gt;Duration &lt;/b&gt;no more than 1 hour/level or until discharged (destination is reached)&lt;/h5&gt;&lt;h5&gt;&lt;b&gt;Saving Throw &lt;/b&gt;none; &lt;b&gt;Spell Resistance &lt;/b&gt;no&lt;/h5&gt;&lt;/div&gt;&lt;hr/&gt;&lt;div&gt;&lt;h5&gt;&lt;b&gt;DESCRIPTION&lt;/b&gt;&lt;/h5&gt;&lt;/div&gt;&lt;hr/&gt;&lt;div&gt;&lt;h4&gt;&lt;p&gt;You send a message or sound on the wind to a designated spot. The &lt;i&gt;whispering wind&lt;/i&gt; travels to a specific location within range that is familiar to you, provided that it can find a way to the location. A &lt;i&gt;whispering wind&lt;/i&gt; is as gentle and unnoticed as a zephyr until it reaches the location. It then delivers its whisper-quiet message or other sound. Note that the message is delivered regardless of whether anyone is present to hear it. The wind then dissipates.&lt;/p&gt;&lt;p&gt;You can prepare the spell to bear a message of no more than 25 words, cause the spell to deliver other sounds for 1 round, or merely have the &lt;i&gt;whispering wind&lt;/i&gt; seem to be a faint stirring of the air. You can likewise cause the &lt;i&gt;whispering wind&lt;/i&gt; to move as slowly as 1 mile per hour or as quickly as 1 mile per 10 minutes.&lt;/p&gt;&lt;p&gt;When the spell reaches its objective, it swirls and remains in place until the message is delivered. As with magic mouth, &lt;i&gt;whispering wind&lt;/i&gt; cannot speak verbal components, use command words, or activate magical effects.&lt;/p&gt;&lt;/h4&gt;&lt;/div&gt;</t>
  </si>
  <si>
    <t>Wind</t>
  </si>
  <si>
    <t>Sends a short message 1 mile/level.</t>
  </si>
  <si>
    <t>Wind Walk</t>
  </si>
  <si>
    <t>cleric 6/oracle 6, druid 7, alchemist 6</t>
  </si>
  <si>
    <t>you and one touched creature per three levels</t>
  </si>
  <si>
    <t>1 hour/level ; see text</t>
  </si>
  <si>
    <t>none and Will negates (harmless)</t>
  </si>
  <si>
    <t>no and yes (harmless)</t>
  </si>
  <si>
    <t>You alter the substance of your body to a cloudlike vapor (as the gaseous form spell) and move through the air, possibly at great speed. You can take other creatures with you, each of which acts independently. Normally, a wind walker flies at a speed of 10 feet with perfect maneuverability. If desired by the subject, a magical wind wafts a wind walker along at up to 600 feet per round (60 mph) with poor maneuverability. Wind walkers are not invisible but rather appear misty and translucent. If fully clothed in white, they are 80% likely to be mistaken for clouds, fog, vapors, or the like. A wind walker can regain its physical form as desired and later resume the cloud form. Each change to and from vaporous form takes 5 rounds, which counts toward the duration of the spell (as does any time spent in physical form). As noted above, you can dismiss the spell, and you can even dismiss it for individual wind walkers and not others. For the last minute of the spell's duration, a wind walker in cloud form automatically descends 60 feet per round (for a total of 600 feet), though it may descend faster if it wishes. This descent serves as a warning that the spell is about to end.</t>
  </si>
  <si>
    <t>&lt;p&gt;You alter the substance of your body to a cloudlike vapor (as the &lt;i&gt;gaseous form&lt;/i&gt; spell) and move through the air, possibly at great speed. You can take other creatures with you, each of which acts independently.&lt;/p&gt;&lt;p&gt;Normally, a wind walker flies at a speed of 10 feet with perfect maneuverability. If desired by the subject, a magical wind wafts a wind walker along at up to 600 feet per round (60 mph) with poor maneuverability. Wind walkers are not invisible but rather appear misty and translucent. If fully clothed in white, they are 80% likely to be mistaken for clouds, fog, vapors, or the like.&lt;/p&gt;&lt;p&gt;A wind walker can regain its physical form as desired and later resume the cloud form. Each change to and from vaporous form takes 5 rounds, which counts toward the duration of the spell (as does any time spent in physical form). As noted above, you can dismiss the spell, and you can even dismiss it for individual wind walkers and not others.&lt;/p&gt;&lt;p&gt;For the last minute of the spell's duration, a wind walker in cloud form automatically descends 60 feet per round (for a total of 600 feet), though it may descend faster if it wishes. This descent serves as a warning that the spell is about to end.&lt;/p&gt;</t>
  </si>
  <si>
    <t>&lt;link rel="stylesheet"href="PF.css"&gt;&lt;div class="heading"&gt;&lt;p class="alignleft"&gt;Wind Walk&lt;/p&gt;&lt;div style="clear: both;"&gt;&lt;/div&gt;&lt;/div&gt;&lt;div&gt;&lt;h5&gt;&lt;b&gt;School &lt;/b&gt;transmutation [air]; &lt;b&gt;Level &lt;/b&gt;cleric 6/oracle 6, druid 7, alchemist 6&lt;/h5&gt;&lt;/div&gt;&lt;hr/&gt;&lt;div&gt;&lt;h5&gt;&lt;b&gt;CASTING&lt;/b&gt;&lt;/h5&gt;&lt;/div&gt;&lt;hr/&gt;&lt;div&gt;&lt;h5&gt;&lt;b&gt;Casting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&lt;/b&gt;you and one touched creature per three levels&lt;/h5&gt;&lt;h5&gt;&lt;b&gt;Duration &lt;/b&gt;1 hour/level ; see text (D)&lt;/h5&gt;&lt;h5&gt;&lt;b&gt;Saving Throw &lt;/b&gt;none and Will negates (harmless); &lt;b&gt;Spell Resistance &lt;/b&gt;no and yes (harmless)&lt;/h5&gt;&lt;/div&gt;&lt;hr/&gt;&lt;div&gt;&lt;h5&gt;&lt;b&gt;DESCRIPTION&lt;/b&gt;&lt;/h5&gt;&lt;/div&gt;&lt;hr/&gt;&lt;div&gt;&lt;h4&gt;&lt;p&gt;You alter the substance of your body to a cloudlike vapor (as the &lt;i&gt;gaseous form&lt;/i&gt; spell) and move through the air, possibly at great speed. You can take other creatures with you, each of which acts independently.&lt;/p&gt;&lt;p&gt;Normally, a wind walker flies at a speed of 10 feet with perfect maneuverability. If desired by the subject, a magical wind wafts a wind walker along at up to 600 feet per round (60 mph) with poor maneuverability. Wind walkers are not invisible but rather appear misty and translucent. If fully clothed in white, they are 80% likely to be mistaken for clouds, fog, vapors, or the like.&lt;/p&gt;&lt;p&gt;A wind walker can regain its physical form as desired and later resume the cloud form. Each change to and from vaporous form takes 5 rounds, which counts toward the duration of the spell (as does any time spent in physical form). As noted above, you can dismiss the spell, and you can even dismiss it for individual wind walkers and not others.&lt;/p&gt;&lt;p&gt;For the last minute of the spell's duration, a wind walker in cloud form automatically descends 60 feet per round (for a total of 600 feet), though it may descend faster if it wishes. This descent serves as a warning that the spell is about to end.&lt;/p&gt;&lt;/h4&gt;&lt;/div&gt;</t>
  </si>
  <si>
    <t>You and your allies turn vaporous and travel fast.</t>
  </si>
  <si>
    <t>Wind Wall</t>
  </si>
  <si>
    <t>cleric 3/oracle 3, druid 3, ranger 2, sorcerer/wizard 3, summoner 2, magus 3</t>
  </si>
  <si>
    <t>V, S, M/DF (a tiny fan and an exotic feather)</t>
  </si>
  <si>
    <t>wall up to 10 ft./level long and 5 ft./level high (S)</t>
  </si>
  <si>
    <t>An invisible vertical curtain of wind appears. It is 2 feet thick and of considerable strength. It is a roaring blast sufficient to blow away any bird smaller than an eagle, or tear papers and similar materials from unsuspecting hands. (A Reflex save allows a creature to maintain its grasp on an object.) Tiny and Small flying creatures cannot pass through the barrier. Loose materials and cloth garments fly upward when caught in a wind wall. Arrows and bolts are deflected upward and miss, while any other normal ranged weapon passing through the wall has a 30% miss chance. (A giant-thrown boulder, a siege engine projectile, and other massive ranged weapons are not affected.) Gases, most gaseous breath weapons, and creatures in gaseous form cannot pass through the wall (although it is no barrier to incorporeal creatures). While the wall must be vertical, you can shape it in any continuous path along the ground that you like. It is possible to create cylindrical or square wind walls to enclose specific points.</t>
  </si>
  <si>
    <t>&lt;p&gt;An invisible vertical curtain of wind appears. It is 2 feet thick and of considerable strength. It is a roaring blast sufficient to blow away any bird smaller than an eagle, or tear papers and similar materials from unsuspecting hands. (A Reflex save allows a creature to maintain its grasp on an object.) Tiny and Small flying creatures cannot pass through the barrier. Loose materials and cloth garments fly upward when caught in a &lt;i&gt;wind wall.&lt;/i&gt; Arrows and bolts are deflected upward and miss, while any other normal ranged weapon passing through the wall has a 30% miss chance. (A giant-thrown boulder, a siege engine projectile, and other massive ranged weapons are not affected.) Gases, most gaseous breath weapons, and creatures in gaseous form cannot pass through the wall (although it is no barrier to incorporeal creatures).&lt;/p&gt;&lt;p&gt;While the wall must be vertical, you can shape it in any continuous path along the ground that you like. It is possible to create cylindrical or square &lt;i&gt;wind walls&lt;/i&gt; to enclose specific points.&lt;/p&gt;</t>
  </si>
  <si>
    <t>&lt;link rel="stylesheet"href="PF.css"&gt;&lt;div class="heading"&gt;&lt;p class="alignleft"&gt;Wind Wall&lt;/p&gt;&lt;div style="clear: both;"&gt;&lt;/div&gt;&lt;/div&gt;&lt;div&gt;&lt;h5&gt;&lt;b&gt;School &lt;/b&gt;evocation [air]; &lt;b&gt;Level &lt;/b&gt;cleric 3/oracle 3, druid 3, ranger 2, sorcerer/wizard 3, summoner 2, magus 3&lt;/h5&gt;&lt;/div&gt;&lt;hr/&gt;&lt;div&gt;&lt;h5&gt;&lt;b&gt;CASTING&lt;/b&gt;&lt;/h5&gt;&lt;/div&gt;&lt;hr/&gt;&lt;div&gt;&lt;h5&gt;&lt;b&gt;Casting Time &lt;/b&gt;1 standard action&lt;/h5&gt;&lt;h5&gt;&lt;b&gt;Components &lt;/b&gt;V, S, M/DF (a tiny fan and an exotic feather)&lt;/h5&gt;&lt;/div&gt;&lt;hr/&gt;&lt;div&gt;&lt;h5&gt;&lt;b&gt;EFFECT&lt;/b&gt;&lt;/h5&gt;&lt;/div&gt;&lt;hr/&gt;&lt;div&gt;&lt;h5&gt;&lt;b&gt;Range &lt;/b&gt;medium (100 ft. + 10 ft./level)&lt;/h5&gt;&lt;h5&gt;&lt;b&gt;Effect &lt;/b&gt;wall up to 10 ft./level long and 5 ft./level high (S)&lt;/h5&gt;&lt;h5&gt;&lt;b&gt;Duration &lt;/b&gt;1 round/level&lt;/h5&gt;&lt;h5&gt;&lt;b&gt;Saving Throw &lt;/b&gt;none; see text; &lt;b&gt;Spell Resistance &lt;/b&gt;yes&lt;/h5&gt;&lt;/div&gt;&lt;hr/&gt;&lt;div&gt;&lt;h5&gt;&lt;b&gt;DESCRIPTION&lt;/b&gt;&lt;/h5&gt;&lt;/div&gt;&lt;hr/&gt;&lt;div&gt;&lt;h4&gt;&lt;p&gt;An invisible vertical curtain of wind appears. It is 2 feet thick and of considerable strength. It is a roaring blast sufficient to blow away any bird smaller than an eagle, or tear papers and similar materials from unsuspecting hands. (A Reflex save allows a creature to maintain its grasp on an object.) Tiny and Small flying creatures cannot pass through the barrier. Loose materials and cloth garments fly upward when caught in a &lt;i&gt;wind wall.&lt;/i&gt; Arrows and bolts are deflected upward and miss, while any other normal ranged weapon passing through the wall has a 30% miss chance. (A giant-thrown boulder, a siege engine projectile, and other massive ranged weapons are not affected.) Gases, most gaseous breath weapons, and creatures in gaseous form cannot pass through the wall (although it is no barrier to incorporeal creatures).&lt;/p&gt;&lt;p&gt;While the wall must be vertical, you can shape it in any continuous path along the ground that you like. It is possible to create cylindrical or square &lt;i&gt;wind walls&lt;/i&gt; to enclose specific points.&lt;/p&gt;&lt;/h4&gt;&lt;/div&gt;</t>
  </si>
  <si>
    <t>Deflects arrows, smaller creatures, and gases.</t>
  </si>
  <si>
    <t>Wish</t>
  </si>
  <si>
    <t>V, S, M (diamond worth 25,000 gp)</t>
  </si>
  <si>
    <t>Wish is the mightiest spell a wizard or sorcerer can cast. By simply speaking aloud, you can alter reality to better suit you. Even wish, however, has its limits. A wish can produce any one of the following effects. • Duplicate any sorcerer/wizard spell of 8th level or lower, provided the spell does not belong to one of your opposition schools. • Duplicate any non-sorcerer/wizard spell of 7th level or lower, provided the spell does not belong to one of your opposition schools. • Duplicate any sorcerer/wizard spell of 7th level or lower, even if it belongs to one of your opposition schools. • Duplicate any non-sorcerer/wizard spell of 6th level or lower, even if it belongs to one of your opposition schools. • Undo the harmful effects of many other spells, such as geas/ quest or insanity. • Grant a creature a +1 inherent bonus to an ability score. Two to five wish spells cast in immediate succession can grant a creature a +2 to +5 inherent bonus to an ability score (two wishes for a +2 inherent bonus, three wishes for a +3 inherent bonus, and so on). Inherent bonuses are instantaneous, so they cannot be dispelled. Note: An inherent bonus may not exceed +5 for a single ability score, and inherent bonuses to a particular ability score do not stack, so only the best one applies. • Remove injuries and afflictions. A single wish can aid one creature per caster level, and all subjects are cured of the same kind of affliction. For example, you could heal all the damage you and your companions have taken, or remove all poison effects from everyone in the party, but not do both with the same wish. • Revive the dead. A wish can bring a dead creature back to life by duplicating a resurrection spell. A wish can revive a dead creature whose body has been destroyed, but the task takes two wishes: one to recreate the body and another to infuse the body with life again. A wish cannot prevent a character who was brought back to life from gaining a permanent negative level. • Transport travelers. A wish can lift one creature per caster level from anywhere on any plane and place those creatures anywhere else on any plane regardless of local conditions. An unwilling target gets a Will save to negate the effect, and spell resistance (if any) applies. • Undo misfortune. A wish can undo a single recent event. The wish forces a reroll of any roll made within the last round (including your last turn). Reality reshapes itself to accommodate the new result. For example, a wish could undo an opponent's successful save, a foe's successful critical hit (either the attack roll or the critical roll), a friend's failed save, and so on. The reroll, however, may be as bad as or worse than the original roll. An unwilling target gets a Will save to negate the effect, and spell resistance (if any) applies. You may try to use a wish to produce greater effects than these, but doing so is dangerous. (The wish may pervert your intent into a literal but undesirable fulfillment or only a partial fulfillment, at the GM's discretion.) Duplicated spells allow saves and spell resistance as normal (but save DCs are for 9th-level spells). When a wish duplicates a spell with a material component that costs more than 10,000 gp, you must provide that component (in addition to the 25,000 gp diamond component for this spell).</t>
  </si>
  <si>
    <t>&lt;p&gt;&lt;i&gt;Wish is&lt;/i&gt; the mightiest spell a wizard or sorcerer can cast. By simply speaking aloud, you can alter reality to better suit you. Even &lt;i&gt;&lt;i&gt;wish&lt;/i&gt;,&lt;/i&gt; however, has its limits. A &lt;i&gt;wish&lt;/i&gt; can produce any one of the following effects.&lt;/p&gt;&lt;p&gt;&lt;ul&gt;&lt;li&gt; Duplicate any sorcerer/wizard spell of 8th level or lower, provided the spell does not belong to one of your opposition schools.&lt;/p&gt;&lt;p&gt;&lt;li&gt; Duplicate any non-sorcerer/wizard spell of 7th level or lower, provided the spell does not belong to one of your opposition schools.&lt;/p&gt;&lt;p&gt;&lt;li&gt; Duplicate any sorcerer/wizard spell of 7th level or lower, even if it belongs to one of your opposition schools.&lt;/p&gt;&lt;p&gt;&lt;li&gt; Duplicate any non-sorcerer/wizard spell of 6th level or lower, even if it belongs to one of your opposition schools.&lt;/p&gt;&lt;p&gt;&lt;li&gt; Undo the harmful effects of many other spells, such as &lt;i&gt;geas/ quest&lt;/i&gt; or &lt;i&gt;insanity.&lt;/i&gt;&lt;/p&gt;&lt;p&gt;&lt;li&gt; Grant a creature a +1 inherent bonus to an ability score. Two to five &lt;i&gt;wish&lt;/i&gt; spells cast in immediate succession can grant a creature a +2 to +5 inherent bonus to an ability score (two &lt;i&gt;wish&lt;/i&gt;es for a +2 inherent bonus, three &lt;i&gt;wish&lt;/i&gt;es for a +3 inherent bonus, and so on).&lt;/p&gt;&lt;p&gt;Inherent bonuses are instantaneous, so they cannot be dispelled.&lt;/p&gt;&lt;p&gt;&lt;i&gt;Note:&lt;/i&gt; An inherent bonus may not exceed +5 for a single ability score, and inherent bonuses to a particular ability score do not stack, so only the best one applies.&lt;/p&gt;&lt;p&gt;&lt;li&gt; Remove injuries and afflictions. A single &lt;i&gt;wish&lt;/i&gt; can aid one creature per caster level, and all subjects are cured of the same kind of affliction. For example, you could heal all the damage you and your companions have taken, or remove all poison effects from everyone in the party, but not do both with the same &lt;i&gt;wish&lt;/i&gt;.&lt;/p&gt;&lt;p&gt;&lt;li&gt; Revive the dead. A &lt;i&gt;wish&lt;/i&gt; can bring a dead creature back to life by duplicating a &lt;i&gt;resurrection&lt;/i&gt; spell. A &lt;i&gt;wish&lt;/i&gt; can revive a dead creature whose body has been destroyed, but the task takes two &lt;i&gt;wish&lt;/i&gt;es: one to recreate the body and another to infuse the body with life again. A &lt;i&gt;wish&lt;/i&gt; cannot prevent a character who was brought back to life from gaining a permanent negative level.&lt;/p&gt;&lt;p&gt;&lt;li&gt; Transport travelers. A &lt;i&gt;wish&lt;/i&gt; can lift one creature per caster level from anywhere on any plane and place those creatures anywhere else on any plane regardless of local conditions. An unwilling target gets a Will save to negate the effect, and spell resistance (if any) applies.&lt;/p&gt;&lt;p&gt;&lt;li&gt; Undo misfortune. A &lt;i&gt;wish&lt;/i&gt; can undo a single recent event.&lt;/p&gt;&lt;p&gt;The &lt;i&gt;wish&lt;/i&gt; forces a reroll of any roll made within the last round (including your last turn). Reality reshapes itself to accommodate the new result. For example, a &lt;i&gt;wish&lt;/i&gt; could undo an opponent's successful save, a foe's successful critical hit (either the attack roll or the critical roll), a friend's failed save, and so on. The reroll, however, may be as bad as or worse than the original roll. An unwilling target gets a Will save to negate the effect, and spell resistance (if any) applies.&lt;/ul&gt;&lt;/p&gt;&lt;p&gt;You may try to use a &lt;i&gt;wish&lt;/i&gt; to produce greater effects than these, but doing so is dangerous. (The &lt;i&gt;wish&lt;/i&gt; may pervert your intent into a literal but undesirable fulfillment or only a partial fulfillment, at the GM's discretion.) Duplicated spells allow saves and spell resistance as normal (but save DCs are for 9th-level spells).&lt;/p&gt;&lt;p&gt;When a &lt;i&gt;wish&lt;/i&gt; duplicates a spell with a material component that costs more than 10,000 gp, you must provide that component (in addition to the 25,000 gp diamond component for this spell).&lt;/p&gt;</t>
  </si>
  <si>
    <t>&lt;link rel="stylesheet"href="PF.css"&gt;&lt;div class="heading"&gt;&lt;p class="alignleft"&gt;Wish&lt;/p&gt;&lt;div style="clear: both;"&gt;&lt;/div&gt;&lt;/div&gt;&lt;div&gt;&lt;h5&gt;&lt;b&gt;School &lt;/b&gt;universal; &lt;b&gt;Level &lt;/b&gt;sorcerer/wizard 9&lt;/h5&gt;&lt;/div&gt;&lt;hr/&gt;&lt;div&gt;&lt;h5&gt;&lt;b&gt;CASTING&lt;/b&gt;&lt;/h5&gt;&lt;/div&gt;&lt;hr/&gt;&lt;div&gt;&lt;h5&gt;&lt;b&gt;Casting Time &lt;/b&gt;1 standard action&lt;/h5&gt;&lt;h5&gt;&lt;b&gt;Components &lt;/b&gt;V, S, M (diamond worth 25,000 gp)&lt;/h5&gt;&lt;/div&gt;&lt;hr/&gt;&lt;div&gt;&lt;h5&gt;&lt;b&gt;EFFECT&lt;/b&gt;&lt;/h5&gt;&lt;/div&gt;&lt;hr/&gt;&lt;div&gt;&lt;h5&gt;&lt;b&gt;Range &lt;/b&gt;see text&lt;/h5&gt;&lt;h5&gt;&lt;b&gt;Area &lt;/b&gt;see text&lt;/h5&gt;&lt;h5&gt;&lt;b&gt;Targets &lt;/b&gt;see text&lt;/h5&gt;&lt;h5&gt;&lt;b&gt;Effect &lt;/b&gt;see text&lt;/h5&gt;&lt;h5&gt;&lt;b&gt;Duration &lt;/b&gt;see text&lt;/h5&gt;&lt;h5&gt;&lt;b&gt;Saving Throw &lt;/b&gt;none; see text; &lt;b&gt;Spell Resistance &lt;/b&gt;yes&lt;/h5&gt;&lt;/div&gt;&lt;hr/&gt;&lt;div&gt;&lt;h5&gt;&lt;b&gt;DESCRIPTION&lt;/b&gt;&lt;/h5&gt;&lt;/div&gt;&lt;hr/&gt;&lt;div&gt;&lt;h4&gt;&lt;p&gt;&lt;i&gt;Wish is&lt;/i&gt; the mightiest spell a wizard or sorcerer can cast. By simply speaking aloud, you can alter reality to better suit you. Even &lt;i&gt;&lt;i&gt;wish&lt;/i&gt;,&lt;/i&gt; however, has its limits. A &lt;i&gt;wish&lt;/i&gt; can produce any one of the following effects.&lt;/p&gt;&lt;p&gt;&lt;ul&gt;&lt;li&gt; Duplicate any sorcerer/wizard spell of 8th level or lower, provided the spell does not belong to one of your opposition schools.&lt;/p&gt;&lt;p&gt;&lt;li&gt; Duplicate any non-sorcerer/wizard spell of 7th level or lower, provided the spell does not belong to one of your opposition schools.&lt;/p&gt;&lt;p&gt;&lt;li&gt; Duplicate any sorcerer/wizard spell of 7th level or lower, even if it belongs to one of your opposition schools.&lt;/p&gt;&lt;p&gt;&lt;li&gt; Duplicate any non-sorcerer/wizard spell of 6th level or lower, even if it belongs to one of your opposition schools.&lt;/p&gt;&lt;p&gt;&lt;li&gt; Undo the harmful effects of many other spells, such as &lt;i&gt;geas/ quest&lt;/i&gt; or &lt;i&gt;insanity.&lt;/i&gt;&lt;/p&gt;&lt;p&gt;&lt;li&gt; Grant a creature a +1 inherent bonus to an ability score. Two to five &lt;i&gt;wish&lt;/i&gt; spells cast in immediate succession can grant a creature a +2 to +5 inherent bonus to an ability score (two &lt;i&gt;wish&lt;/i&gt;es for a +2 inherent bonus, three &lt;i&gt;wish&lt;/i&gt;es for a +3 inherent bonus, and so on).&lt;/p&gt;&lt;p&gt;Inherent bonuses are instantaneous, so they cannot be dispelled.&lt;/p&gt;&lt;p&gt;&lt;i&gt;Note:&lt;/i&gt; An inherent bonus may not exceed +5 for a single ability score, and inherent bonuses to a particular ability score do not stack, so only the best one applies.&lt;/p&gt;&lt;p&gt;&lt;li&gt; Remove injuries and afflictions. A single &lt;i&gt;wish&lt;/i&gt; can aid one creature per caster level, and all subjects are cured of the same kind of affliction. For example, you could heal all the damage you and your companions have taken, or remove all poison effects from everyone in the party, but not do both with the same &lt;i&gt;wish&lt;/i&gt;.&lt;/p&gt;&lt;p&gt;&lt;li&gt; Revive the dead. A &lt;i&gt;wish&lt;/i&gt; can bring a dead creature back to life by duplicating a &lt;i&gt;resurrection&lt;/i&gt; spell. A &lt;i&gt;wish&lt;/i&gt; can revive a dead creature whose body has been destroyed, but the task takes two &lt;i&gt;wish&lt;/i&gt;es: one to recreate the body and another to infuse the body with life again. A &lt;i&gt;wish&lt;/i&gt; cannot prevent a character who was brought back to life from gaining a permanent negative level.&lt;/p&gt;&lt;p&gt;&lt;li&gt; Transport travelers. A &lt;i&gt;wish&lt;/i&gt; can lift one creature per caster level from anywhere on any plane and place those creatures anywhere else on any plane regardless of local conditions. An unwilling target gets a Will save to negate the effect, and spell resistance (if any) applies.&lt;/p&gt;&lt;p&gt;&lt;li&gt; Undo misfortune. A &lt;i&gt;wish&lt;/i&gt; can undo a single recent event.&lt;/p&gt;&lt;p&gt;The &lt;i&gt;wish&lt;/i&gt; forces a reroll of any roll made within the last round (including your last turn). Reality reshapes itself to accommodate the new result. For example, a &lt;i&gt;wish&lt;/i&gt; could undo an opponent's successful save, a foe's successful critical hit (either the attack roll or the critical roll), a friend's failed save, and so on. The reroll, however, may be as bad as or worse than the original roll. An unwilling target gets a Will save to negate the effect, and spell resistance (if any) applies.&lt;/ul&gt;&lt;/p&gt;&lt;p&gt;You may try to use a &lt;i&gt;wish&lt;/i&gt; to produce greater effects than these, but doing so is dangerous. (The &lt;i&gt;wish&lt;/i&gt; may pervert your intent into a literal but undesirable fulfillment or only a partial fulfillment, at the GM's discretion.) Duplicated spells allow saves and spell resistance as normal (but save DCs are for 9th-level spells).&lt;/p&gt;&lt;p&gt;When a &lt;i&gt;wish&lt;/i&gt; duplicates a spell with a material component that costs more than 10,000 gp, you must provide that component (in addition to the 25,000 gp diamond component for this spell).&lt;/p&gt;&lt;/h4&gt;&lt;/div&gt;</t>
  </si>
  <si>
    <t> As limited wish, but with fewer limits.</t>
  </si>
  <si>
    <t>Arcane, Djinni, Draconic, Efreeti, Marid, Shaitan</t>
  </si>
  <si>
    <t>Wood Shape</t>
  </si>
  <si>
    <t>one touched piece of wood no larger than 10 cu. ft. + 1 cu. ft./level</t>
  </si>
  <si>
    <t>Wood shape enables you to form one existing piece of wood into any shape that suits your purpose. While it is possible to make crude coffers, doors, and so forth, fine detail isn't possible. There is a 30% chance that any shape that includes moving parts simply doesn't work.</t>
  </si>
  <si>
    <t>&lt;p&gt;Wood &lt;i&gt;shape&lt;/i&gt; enables you to form one existing piece of wood into any &lt;i&gt;shape&lt;/i&gt; that suits your purpose. While it is possible to make crude coffers, doors, and so forth, fine detail isn't possible. There is a 30% chance that any &lt;i&gt;shape&lt;/i&gt; that includes moving parts simply doesn't work.&lt;/p&gt;</t>
  </si>
  <si>
    <t>&lt;link rel="stylesheet"href="PF.css"&gt;&lt;div class="heading"&gt;&lt;p class="alignleft"&gt;Wood Shape&lt;/p&gt;&lt;div style="clear: both;"&gt;&lt;/div&gt;&lt;/div&gt;&lt;div&gt;&lt;h5&gt;&lt;b&gt;School &lt;/b&gt;transmutation; &lt;b&gt;Level &lt;/b&gt;druid 2&lt;/h5&gt;&lt;/div&gt;&lt;hr/&gt;&lt;div&gt;&lt;h5&gt;&lt;b&gt;CASTING&lt;/b&gt;&lt;/h5&gt;&lt;/div&gt;&lt;hr/&gt;&lt;div&gt;&lt;h5&gt;&lt;b&gt;Casting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&lt;/b&gt;one touched piece of wood no larger than 10 cu. ft. + 1 cu. ft./level&lt;/h5&gt;&lt;h5&gt;&lt;b&gt;Duration &lt;/b&gt;instantaneous&lt;/h5&gt;&lt;h5&gt;&lt;b&gt;Saving Throw &lt;/b&gt;Will negates (object); &lt;b&gt;Spell Resistance &lt;/b&gt;yes (object)&lt;/h5&gt;&lt;/div&gt;&lt;hr/&gt;&lt;div&gt;&lt;h5&gt;&lt;b&gt;DESCRIPTION&lt;/b&gt;&lt;/h5&gt;&lt;/div&gt;&lt;hr/&gt;&lt;div&gt;&lt;h4&gt;&lt;p&gt;Wood &lt;i&gt;shape&lt;/i&gt; enables you to form one existing piece of wood into any &lt;i&gt;shape&lt;/i&gt; that suits your purpose. While it is possible to make crude coffers, doors, and so forth, fine detail isn't possible. There is a 30% chance that any &lt;i&gt;shape&lt;/i&gt; that includes moving parts simply doesn't work.&lt;/p&gt;&lt;/h4&gt;&lt;/div&gt;</t>
  </si>
  <si>
    <t> Reshapes wooden objects to suit you.</t>
  </si>
  <si>
    <t>Word of Recall</t>
  </si>
  <si>
    <t>cleric 6/oracle 6, druid 8</t>
  </si>
  <si>
    <t>you and touched objects or other willing creatures</t>
  </si>
  <si>
    <t>none or Will negates (harmless, object)</t>
  </si>
  <si>
    <t>no or yes (harmless, object)</t>
  </si>
  <si>
    <t>Word of recall teleports you instantly back to your sanctuary when the word is uttered. You must designate the sanctuary when you prepare the spell, and it must be a very familiar place. The actual point of arrival is a designated area no larger than 10 feet by 10 feet. You can be transported any distance within a plane but cannot travel between planes. You can transport, in addition to yourself, any objects you carry, as long as their weight doesn't exceed your maximum load. You may also bring one additional willing Medium or smaller creature (carrying gear or objects up to its maximum load) or its equivalent per three caster levels. A Large creature counts as two Medium creatures, a Huge creature counts as two Large creatures, and so forth. All creatures to be transported must be in contact with one another, and at least one of those creatures must be in contact with you. Exceeding this limit causes the spell to fail. An unwilling creature can't be teleported by word of recall. Likewise, a creature's Will save (or spell resistance) prevents items in its possession from being teleported. Unattended, nonmagical objects receive no saving throw.</t>
  </si>
  <si>
    <t>&lt;p&gt;&lt;i&gt;Word of recall&lt;/i&gt; teleports you instantly back to your sanctuary when the word is uttered. You must designate the sanctuary when you prepare the spell, and it must be a very familiar place. The actual point of arrival is a designated area no larger than 10 feet by 10 feet. You can be transported any distance within a plane but cannot travel between planes. You can transport, in addition to yourself, any objects you carry, as long as their weight doesn't exceed your maximum load. You may also bring one additional willing Medium or smaller creature (carrying gear or objects up to its maximum load) or its equivalent per three caster levels. A Large creature counts as two Medium creatures, a Huge creature counts as two Large creatures, and so forth. All creatures to be transported must be in contact with one another, and at least one of those creatures must be in contact with you. Exceeding this limit causes the spell to fail.&lt;/p&gt;&lt;p&gt;An unwilling creature can't be teleported by &lt;i&gt;word of recall.&lt;/i&gt;&lt;/p&gt;&lt;p&gt;Likewise, a creature's Will save (or spell resistance) prevents items in its possession from being teleported. Unattended, nonmagical objects receive no saving throw.&lt;/p&gt;</t>
  </si>
  <si>
    <t>&lt;link rel="stylesheet"href="PF.css"&gt;&lt;div class="heading"&gt;&lt;p class="alignleft"&gt;Word of Recall&lt;/p&gt;&lt;div style="clear: both;"&gt;&lt;/div&gt;&lt;/div&gt;&lt;div&gt;&lt;h5&gt;&lt;b&gt;School &lt;/b&gt;conjuration (teleportation); &lt;b&gt;Level &lt;/b&gt;cleric 6/oracle 6, druid 8&lt;/h5&gt;&lt;/div&gt;&lt;hr/&gt;&lt;div&gt;&lt;h5&gt;&lt;b&gt;CASTING&lt;/b&gt;&lt;/h5&gt;&lt;/div&gt;&lt;hr/&gt;&lt;div&gt;&lt;h5&gt;&lt;b&gt;Casting Time &lt;/b&gt;1 standard action&lt;/h5&gt;&lt;h5&gt;&lt;b&gt;Components &lt;/b&gt;V&lt;/h5&gt;&lt;/div&gt;&lt;hr/&gt;&lt;div&gt;&lt;h5&gt;&lt;b&gt;EFFECT&lt;/b&gt;&lt;/h5&gt;&lt;/div&gt;&lt;hr/&gt;&lt;div&gt;&lt;h5&gt;&lt;b&gt;Range &lt;/b&gt;unlimited&lt;/h5&gt;&lt;h5&gt;&lt;b&gt;Targets &lt;/b&gt;you and touched objects or other willing creatures&lt;/h5&gt;&lt;h5&gt;&lt;b&gt;Duration &lt;/b&gt;instantaneous&lt;/h5&gt;&lt;h5&gt;&lt;b&gt;Saving Throw &lt;/b&gt;none or Will negates (harmless, object); &lt;b&gt;Spell Resistance &lt;/b&gt;no or yes (harmless, object)&lt;/h5&gt;&lt;/div&gt;&lt;hr/&gt;&lt;div&gt;&lt;h5&gt;&lt;b&gt;DESCRIPTION&lt;/b&gt;&lt;/h5&gt;&lt;/div&gt;&lt;hr/&gt;&lt;div&gt;&lt;h4&gt;&lt;p&gt;&lt;i&gt;Word of recall&lt;/i&gt; teleports you instantly back to your sanctuary when the word is uttered. You must designate the sanctuary when you prepare the spell, and it must be a very familiar place. The actual point of arrival is a designated area no larger than 10 feet by 10 feet. You can be transported any distance within a plane but cannot travel between planes. You can transport, in addition to yourself, any objects you carry, as long as their weight doesn't exceed your maximum load. You may also bring one additional willing Medium or smaller creature (carrying gear or objects up to its maximum load) or its equivalent per three caster levels. A Large creature counts as two Medium creatures, a Huge creature counts as two Large creatures, and so forth. All creatures to be transported must be in contact with one another, and at least one of those creatures must be in contact with you. Exceeding this limit causes the spell to fail.&lt;/p&gt;&lt;p&gt;An unwilling creature can't be teleported by &lt;i&gt;word of recall.&lt;/i&gt;&lt;/p&gt;&lt;p&gt;Likewise, a creature's Will save (or spell resistance) prevents items in its possession from being teleported. Unattended, nonmagical objects receive no saving throw.&lt;/p&gt;&lt;/h4&gt;&lt;/div&gt;</t>
  </si>
  <si>
    <t>Teleports you back to designated place.</t>
  </si>
  <si>
    <t>Word Of Chaos</t>
  </si>
  <si>
    <t>chaotic, sonic</t>
  </si>
  <si>
    <t>nonchaotic creatures in a 40-ft.-radius spread centered on you</t>
  </si>
  <si>
    <t>Any nonchaotic creature within the area of a word of chaos spell suffers the following ill effects, depending on their HD. HD Effect Equal to caster level Deafened Up to caster level -1 Stunned, deafened Up to caster level -5 Confused, stunned, deafened Up to caster level -10 Killed, confused, stunned, deafened The effects are cumulative and concurrent. A successful Will save reduces or eliminates these effects. Creatures affected by multiple effects make only one save and apply the result to all the effects. Deafened: The creature is deafened for 1d4 rounds. Save negates. Stunned: The creature is stunned for 1 round. Save negates. Confused: The creature is confused for 1d10 minutes. This is a mind-affecting enchantment effect. Save reduces the confused effect to 1 round. Killed: Living creatures die. Undead creatures are destroyed. Save negates. If the save is successful, the creature instead takes 3d6 points of damage + 1 point per caster level (maximum +25). Furthermore, if you are on your home plane when you cast this spell, nonchaotic extraplanar creatures within the area are instantly banished back to their home planes. Creatures so banished cannot return for at least 24 hours. This effect takes place regardless of whether the creatures hear the word of chaos or not. The banishment effect allows a Will save (at a -4 penalty) to negate. Creatures whose HD exceed your caster level are unaffected by word of chaos.</t>
  </si>
  <si>
    <t>&lt;p&gt;Any nonchaotic creature within the area of a &lt;i&gt;word of chaos&lt;/i&gt; spell suffers the following ill effects, depending on their &lt;table&gt;&lt;tr&gt;&lt;th&gt;HD&lt;/th&gt;&lt;th&gt;Effect&lt;/th&gt;&lt;/tr&gt;&lt;tr&gt;&lt;td&gt;Equal to caster level&lt;/td&gt;&lt;td&gt;Deafened&lt;/td&gt;&lt;/tr&gt;&lt;tr&gt;&lt;td&gt;Up to caster level -1&lt;/td&gt;&lt;td&gt;Stunned, deafened&lt;/td&gt;&lt;/tr&gt;&lt;tr&gt;&lt;td&gt;Up to caster level -5&lt;/td&gt;&lt;td&gt;Confused, stunned, deafened&lt;/td&gt;&lt;/tr&gt;&lt;tr&gt;&lt;td&gt;Up to caster level -10&lt;/td&gt;&lt;td&gt;Killed, confused, stunned, deafened&lt;/td&gt;&lt;/tr&gt;&lt;/table&gt;&lt;/td&gt;&lt;/tr&gt;&lt;/table&gt; The effects are cumulative and concurrent. A successful Will save reduces or eliminates these effects. Creatures affected by multiple effects make only one save and apply the result to all the effects.&lt;/p&gt;&lt;p&gt;&lt;i&gt;&lt;b&gt;Deafened&lt;/b&gt;&lt;/i&gt;: The creature is deafened for 1d4 rounds. Save negates.&lt;/p&gt;&lt;p&gt;&lt;i&gt;Stunned&lt;/i&gt;: The creature is stunned for 1 round. Save negates.&lt;/p&gt;&lt;p&gt;&lt;i&gt;Confused&lt;/i&gt;: The creature is confused for 1d10 minutes. This is a mind-affecting enchantment effect. Save reduces the confused effect to 1 round.&lt;/p&gt;&lt;p&gt;&lt;i&gt;Killed&lt;/i&gt;: Living creatures die. Undead creatures are destroyed. Save negates. If the save is successful, the creature instead takes 3d6 points of damage + 1 point per caster level (maximum +25).&lt;/p&gt;&lt;p&gt;Furthermore, if you are on your home plane when you cast this spell, nonchaotic extraplanar creatures within the area are instantly banished back to their home planes. Creatures so banished cannot return for at least 24 hours. This effect takes place regardless of whether the creatures hear the &lt;i&gt;word of chaos&lt;/i&gt; or not. The banishment effect allows a Will save (at a -4 penalty) to negate.&lt;/p&gt;&lt;p&gt;Creatures whose HD exceed your caster level are unaffected by &lt;i&gt;word of chaos&lt;/i&gt;.&lt;/p&gt;</t>
  </si>
  <si>
    <t>&lt;link rel="stylesheet"href="PF.css"&gt;&lt;div class="heading"&gt;&lt;p class="alignleft"&gt;Word Of Chaos&lt;/p&gt;&lt;div style="clear: both;"&gt;&lt;/div&gt;&lt;/div&gt;&lt;div&gt;&lt;h5&gt;&lt;b&gt;School &lt;/b&gt;evocation [chaotic, sonic]; &lt;b&gt;Level &lt;/b&gt;cleric/oracle 7, inquisitor 6&lt;/h5&gt;&lt;/div&gt;&lt;hr/&gt;&lt;div&gt;&lt;h5&gt;&lt;b&gt;CASTING&lt;/b&gt;&lt;/h5&gt;&lt;/div&gt;&lt;hr/&gt;&lt;div&gt;&lt;h5&gt;&lt;b&gt;Casting Time &lt;/b&gt;1 standard action&lt;/h5&gt;&lt;h5&gt;&lt;b&gt;Components &lt;/b&gt;V&lt;/h5&gt;&lt;/div&gt;&lt;hr/&gt;&lt;div&gt;&lt;h5&gt;&lt;b&gt;EFFECT&lt;/b&gt;&lt;/h5&gt;&lt;/div&gt;&lt;hr/&gt;&lt;div&gt;&lt;h5&gt;&lt;b&gt;Range &lt;/b&gt;40 ft.&lt;/h5&gt;&lt;h5&gt;&lt;b&gt;Area &lt;/b&gt;nonchaotic creatures in a 40-ft.-radius spread centered on you&lt;/h5&gt;&lt;h5&gt;&lt;b&gt;Duration &lt;/b&gt;instantaneous&lt;/h5&gt;&lt;h5&gt;&lt;b&gt;Saving Throw &lt;/b&gt;none or Will negates; see text; &lt;b&gt;Spell Resistance &lt;/b&gt;yes&lt;/h5&gt;&lt;/div&gt;&lt;hr/&gt;&lt;div&gt;&lt;h5&gt;&lt;b&gt;DESCRIPTION&lt;/b&gt;&lt;/h5&gt;&lt;/div&gt;&lt;hr/&gt;&lt;div&gt;&lt;h4&gt;&lt;p&gt;Any nonchaotic creature within the area of a &lt;i&gt;word of chaos&lt;/i&gt; spell suffers the following ill effects, depending on their &lt;table&gt;&lt;tr&gt;&lt;th&gt;HD&lt;/th&gt;&lt;th&gt;Effect&lt;/th&gt;&lt;/tr&gt;&lt;tr&gt;&lt;td&gt;Equal to caster level&lt;/td&gt;&lt;td&gt;Deafened&lt;/td&gt;&lt;/tr&gt;&lt;tr&gt;&lt;td&gt;Up to caster level -1&lt;/td&gt;&lt;td&gt;Stunned, deafened&lt;/td&gt;&lt;/tr&gt;&lt;tr&gt;&lt;td&gt;Up to caster level -5&lt;/td&gt;&lt;td&gt;Confused, stunned, deafened&lt;/td&gt;&lt;/tr&gt;&lt;tr&gt;&lt;td&gt;Up to caster level -10&lt;/td&gt;&lt;td&gt;Killed, confused, stunned, deafened&lt;/td&gt;&lt;/tr&gt;&lt;/table&gt;&lt;/td&gt;&lt;/tr&gt;&lt;/table&gt; The effects are cumulative and concurrent. A successful Will save reduces or eliminates these effects. Creatures affected by multiple effects make only one save and apply the result to all the effects.&lt;/p&gt;&lt;p&gt;&lt;i&gt;&lt;b&gt;Deafened&lt;/b&gt;&lt;/i&gt;: The creature is deafened for 1d4 rounds. Save negates.&lt;/p&gt;&lt;p&gt;&lt;i&gt;Stunned&lt;/i&gt;: The creature is stunned for 1 round. Save negates.&lt;/p&gt;&lt;p&gt;&lt;i&gt;Confused&lt;/i&gt;: The creature is confused for 1d10 minutes. This is a mind-affecting enchantment effect. Save reduces the confused effect to 1 round.&lt;/p&gt;&lt;p&gt;&lt;i&gt;Killed&lt;/i&gt;: Living creatures die. Undead creatures are destroyed. Save negates. If the save is successful, the creature instead takes 3d6 points of damage + 1 point per caster level (maximum +25).&lt;/p&gt;&lt;p&gt;Furthermore, if you are on your home plane when you cast this spell, nonchaotic extraplanar creatures within the area are instantly banished back to their home planes. Creatures so banished cannot return for at least 24 hours. This effect takes place regardless of whether the creatures hear the &lt;i&gt;word of chaos&lt;/i&gt; or not. The banishment effect allows a Will save (at a -4 penalty) to negate.&lt;/p&gt;&lt;p&gt;Creatures whose HD exceed your caster level are unaffected by &lt;i&gt;word of chaos&lt;/i&gt;.&lt;/p&gt;&lt;/h4&gt;&lt;h5&gt;&lt;b&gt;Mythic: &lt;/b&gt;When determining the spell's effect on non-mythic creatures, add your tier to your caster level. Non-chaotic creatures that fail their saves against the spell also take a -4 penalty on attack rolls and saving throws, and their spell resistance decreases by 5 for as long as the spell's other effects last.&lt;/h5&gt;&lt;/div&gt;</t>
  </si>
  <si>
    <t> Kills, confuses, stuns, or deafens nonchaotic subjects.</t>
  </si>
  <si>
    <t>When determining the spell's effect on non-mythic creatures, add your tier to your caster level. Non-chaotic creatures that fail their saves against the spell also take a -4 penalty on attack rolls and saving throws, and their spell resistance decreases by 5 for as long as the spell's other effects last.</t>
  </si>
  <si>
    <t>Zone of Silence</t>
  </si>
  <si>
    <t>5-ft.-radius emanation centered on you</t>
  </si>
  <si>
    <t>By casting zone of silence, you manipulate sound waves in your immediate vicinity so that you and those within the spell's area can converse normally, yet no one outside can hear your voices or any other noises from within, including language-dependent or sonic spell effects. This effect is centered on you and moves with you. Anyone who enters the zone immediately becomes subject to its effects, but those who leave are no longer affected. Note, however, that a successful DC 20 Linguistics check to read lips can still reveal what's said inside a zone of silence.</t>
  </si>
  <si>
    <t>&lt;p&gt;By casting &lt;i&gt;zone of silence&lt;/i&gt;, you manipulate sound waves in your immediate vicinity so that you and those within the spell's area can converse normally, yet no one outside can hear your voices or any other noises from within, including language-dependent or sonic spell effects. This effect is centered on you and moves with you.&lt;/p&gt;&lt;p&gt;Anyone who enters the zone immediately becomes subject to its effects, but those who leave are no longer affected. Note, however, that a successful DC 20 Linguistics check to read lips can still reveal what's said inside a &lt;i&gt;zone of silence&lt;/i&gt;.&lt;/p&gt;</t>
  </si>
  <si>
    <t>&lt;link rel="stylesheet"href="PF.css"&gt;&lt;div class="heading"&gt;&lt;p class="alignleft"&gt;Zone of Silence&lt;/p&gt;&lt;div style="clear: both;"&gt;&lt;/div&gt;&lt;/div&gt;&lt;div&gt;&lt;h5&gt;&lt;b&gt;School &lt;/b&gt;illusion (glamer); &lt;b&gt;Level &lt;/b&gt;bard 4&lt;/h5&gt;&lt;/div&gt;&lt;hr/&gt;&lt;div&gt;&lt;h5&gt;&lt;b&gt;CASTING&lt;/b&gt;&lt;/h5&gt;&lt;/div&gt;&lt;hr/&gt;&lt;div&gt;&lt;h5&gt;&lt;b&gt;Casting Time &lt;/b&gt;1 round&lt;/h5&gt;&lt;h5&gt;&lt;b&gt;Components &lt;/b&gt;V, S&lt;/h5&gt;&lt;/div&gt;&lt;hr/&gt;&lt;div&gt;&lt;h5&gt;&lt;b&gt;EFFECT&lt;/b&gt;&lt;/h5&gt;&lt;/div&gt;&lt;hr/&gt;&lt;div&gt;&lt;h5&gt;&lt;b&gt;Range &lt;/b&gt;personal&lt;/h5&gt;&lt;h5&gt;&lt;b&gt;Area &lt;/b&gt;5-ft.-radius emanation centered on you&lt;/h5&gt;&lt;h5&gt;&lt;b&gt;Duration &lt;/b&gt;1 hour/level (D)&lt;/h5&gt;&lt;/div&gt;&lt;hr/&gt;&lt;div&gt;&lt;h5&gt;&lt;b&gt;DESCRIPTION&lt;/b&gt;&lt;/h5&gt;&lt;/div&gt;&lt;hr/&gt;&lt;div&gt;&lt;h4&gt;&lt;p&gt;By casting &lt;i&gt;zone of silence&lt;/i&gt;, you manipulate sound waves in your immediate vicinity so that you and those within the spell's area can converse normally, yet no one outside can hear your voices or any other noises from within, including language-dependent or sonic spell effects. This effect is centered on you and moves with you.&lt;/p&gt;&lt;p&gt;Anyone who enters the zone immediately becomes subject to its effects, but those who leave are no longer affected. Note, however, that a successful DC 20 Linguistics check to read lips can still reveal what's said inside a &lt;i&gt;zone of silence&lt;/i&gt;.&lt;/p&gt;&lt;/h4&gt;&lt;/div&gt;</t>
  </si>
  <si>
    <t> Keeps eavesdroppers from overhearing you.</t>
  </si>
  <si>
    <t>Zone of Truth</t>
  </si>
  <si>
    <t>cleric 2/oracle 2, paladin 2, witch 2, inquisitor 2</t>
  </si>
  <si>
    <t>Creatures within the emanation area (or those who enter it) can't speak any deliberate and intentional lies. Each potentially affected creature is allowed a save to avoid the effects when the spell is cast or when the creature first enters the emanation area. Affected creatures are aware of this enchantment. Therefore, they may avoid answering questions to which they would normally respond with a lie, or they may be evasive as long as they remain within the boundaries of the truth. Creatures who leave the area are free to speak as they choose.</t>
  </si>
  <si>
    <t>&lt;p&gt;Creatures within the emanation area (or those who enter it) can't speak any deliberate and intentional lies. Each potentially affected creature is allowed a save to avoid the effects when the spell is cast or when the creature first enters the emanation area. Affected creatures are aware of this enchantment. Therefore, they may avoid answering questions to which they would normally respond with a lie, or they may be evasive as long as they remain within the boundaries of the truth. Creatures who leave the area are free to speak as they choose.&lt;/p&gt;</t>
  </si>
  <si>
    <t>&lt;link rel="stylesheet"href="PF.css"&gt;&lt;div class="heading"&gt;&lt;p class="alignleft"&gt;Zone of Truth&lt;/p&gt;&lt;div style="clear: both;"&gt;&lt;/div&gt;&lt;/div&gt;&lt;div&gt;&lt;h5&gt;&lt;b&gt;School &lt;/b&gt;enchantment (compulsion) [mind-affecting]; &lt;b&gt;Level &lt;/b&gt;cleric 2/oracle 2, paladin 2, witch 2, inquisitor 2&lt;/h5&gt;&lt;/div&gt;&lt;hr/&gt;&lt;div&gt;&lt;h5&gt;&lt;b&gt;CASTING&lt;/b&gt;&lt;/h5&gt;&lt;/div&gt;&lt;hr/&gt;&lt;div&gt;&lt;h5&gt;&lt;b&gt;Casting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levels)&lt;/h5&gt;&lt;h5&gt;&lt;b&gt;Area &lt;/b&gt;20-ft.-radius emanation&lt;/h5&gt;&lt;h5&gt;&lt;b&gt;Duration &lt;/b&gt;1 min./level&lt;/h5&gt;&lt;h5&gt;&lt;b&gt;Saving Throw &lt;/b&gt;Will negates; &lt;b&gt;Spell Resistance &lt;/b&gt;yes&lt;/h5&gt;&lt;/div&gt;&lt;hr/&gt;&lt;div&gt;&lt;h5&gt;&lt;b&gt;DESCRIPTION&lt;/b&gt;&lt;/h5&gt;&lt;/div&gt;&lt;hr/&gt;&lt;div&gt;&lt;h4&gt;&lt;p&gt;Creatures within the emanation area (or those who enter it) can't speak any deliberate and intentional lies. Each potentially affected creature is allowed a save to avoid the effects when the spell is cast or when the creature first enters the emanation area. Affected creatures are aware of this enchantment. Therefore, they may avoid answering questions to which they would normally respond with a lie, or they may be evasive as long as they remain within the boundaries of the truth. Creatures who leave the area are free to speak as they choose.&lt;/p&gt;&lt;/h4&gt;&lt;/div&gt;</t>
  </si>
  <si>
    <t>Honor</t>
  </si>
  <si>
    <t>Subjects within range cannot lie.</t>
  </si>
  <si>
    <t>Wall Of Stone</t>
  </si>
  <si>
    <t>cleric/oracle 5, druid 6, sorcerer/wizard 5, summoner 4, magus 5</t>
  </si>
  <si>
    <t>V, S, M/DF (a small block of granite)</t>
  </si>
  <si>
    <t>stone wall whose area is up to one 5-ft. square/level (S)</t>
  </si>
  <si>
    <t>This spell creates a wall of rock that merges into adjoining rock surfaces. A wall of stone is 1 inch thick per four caster levels and composed of up to one 5-foot square per level. You can double the wall's area by halving its thickness. The wall cannot be conjured so that it occupies the same space as a creature or another object. Unlike a wall of iron, you can create a wall of stone in almost any shape you desire. The wall created need not be vertical, nor rest upon any firm foundation; however, it must merge with and be solidly supported by existing stone. It can be used to bridge a chasm, for instance, or as a ramp. For this use, if the span is more than 20 feet, the wall must be arched and buttressed. This requirement reduces the spell's area by half. The wall can be crudely shaped to allow crenellations, battlements, and so forth by likewise reducing the area. Like any other stone wall, this one can be destroyed by a disintegrate spell or by normal means such as breaking and chipping. Each 5-foot square of the wall has hardness 8 and 15 hit points per inch of thickness. A section of wall whose hit points drop to 0 is breached. If a creature tries to break through the wall with a single attack, the DC for the Strength check is 20 + 2 per inch of thickness. It is possible, but difficult, to trap mobile opponents within or under a wall of stone, provided the wall is shaped so it can hold the creatures. Creatures can avoid entrapment with successful Reflex saves.</t>
  </si>
  <si>
    <t>&lt;p&gt;This spell creates a wall of rock that merges into adjoining rock surfaces. A &lt;i&gt;wall of stone&lt;/i&gt; is 1 inch thick per four caster levels and composed of up to one 5-foot square per level. You can double the wall's area by halving its thickness. The wall cannot be conjured so that it occupies the same space as a creature or another object.&lt;/p&gt;&lt;p&gt;Unlike a &lt;i&gt;wall of iron&lt;/i&gt;, you can create a &lt;i&gt;wall of stone&lt;/i&gt; in almost any shape you desire. The wall created need not be vertical, nor rest upon any firm foundation; however, it must merge with and be solidly supported by existing stone. It can be used to bridge a chasm, for instance, or as a ramp. For this use, if the span is more than 20 feet, the wall must be arched and buttressed. This requirement reduces the spell's area by half. The wall can be crudely shaped to allow crenellations, battlements, and so forth by likewise reducing the area.&lt;/p&gt;&lt;p&gt;Like any other stone wall, this one can be destroyed by a &lt;i&gt;disintegrate&lt;/i&gt; spell or by normal means such as breaking and chipping.&lt;/p&gt;&lt;p&gt;Each 5-foot square of the wall has hardness 8 and 15 hit points per inch of thickness. A section of wall whose hit points drop to 0 is breached. If a creature tries to break through the wall with a single attack, the DC for the Strength check is 20 + 2 per inch of thickness.&lt;/p&gt;&lt;p&gt;It is possible, but difficult, to trap mobile opponents within or under a &lt;i&gt;wall of stone&lt;/i&gt;, provided the wall is shaped so it can hold the creatures. Creatures can avoid entrapment with successful Reflex saves.&lt;/p&gt;</t>
  </si>
  <si>
    <t>&lt;link rel="stylesheet"href="PF.css"&gt;&lt;div class="heading"&gt;&lt;p class="alignleft"&gt;Wall Of Stone&lt;/p&gt;&lt;div style="clear: both;"&gt;&lt;/div&gt;&lt;/div&gt;&lt;div&gt;&lt;h5&gt;&lt;b&gt;School &lt;/b&gt;conjuration (creation) [earth]; &lt;b&gt;Level &lt;/b&gt;cleric/oracle 5, druid 6, sorcerer/wizard 5, summoner 4, magus 5&lt;/h5&gt;&lt;/div&gt;&lt;hr/&gt;&lt;div&gt;&lt;h5&gt;&lt;b&gt;CASTING&lt;/b&gt;&lt;/h5&gt;&lt;/div&gt;&lt;hr/&gt;&lt;div&gt;&lt;h5&gt;&lt;b&gt;Casting Time &lt;/b&gt;1 standard action&lt;/h5&gt;&lt;h5&gt;&lt;b&gt;Components &lt;/b&gt;V, S, M/DF (a small block of granite)&lt;/h5&gt;&lt;/div&gt;&lt;hr/&gt;&lt;div&gt;&lt;h5&gt;&lt;b&gt;EFFECT&lt;/b&gt;&lt;/h5&gt;&lt;/div&gt;&lt;hr/&gt;&lt;div&gt;&lt;h5&gt;&lt;b&gt;Range &lt;/b&gt;medium (100 ft. + 10 ft./level)&lt;/h5&gt;&lt;h5&gt;&lt;b&gt;Effect &lt;/b&gt;stone wall whose area is up to one 5-ft. square/level (S)&lt;/h5&gt;&lt;h5&gt;&lt;b&gt;Duration &lt;/b&gt;instantaneous&lt;/h5&gt;&lt;h5&gt;&lt;b&gt;Saving Throw &lt;/b&gt;see text; &lt;b&gt;Spell Resistance &lt;/b&gt;no&lt;/h5&gt;&lt;/div&gt;&lt;hr/&gt;&lt;div&gt;&lt;h5&gt;&lt;b&gt;DESCRIPTION&lt;/b&gt;&lt;/h5&gt;&lt;/div&gt;&lt;hr/&gt;&lt;div&gt;&lt;h4&gt;&lt;p&gt;This spell creates a wall of rock that merges into adjoining rock surfaces. A &lt;i&gt;wall of stone&lt;/i&gt; is 1 inch thick per four caster levels and composed of up to one 5-foot square per level. You can double the wall's area by halving its thickness. The wall cannot be conjured so that it occupies the same space as a creature or another object.&lt;/p&gt;&lt;p&gt;Unlike a &lt;i&gt;wall of iron&lt;/i&gt;, you can create a &lt;i&gt;wall of stone&lt;/i&gt; in almost any shape you desire. The wall created need not be vertical, nor rest upon any firm foundation; however, it must merge with and be solidly supported by existing stone. It can be used to bridge a chasm, for instance, or as a ramp. For this use, if the span is more than 20 feet, the wall must be arched and buttressed. This requirement reduces the spell's area by half. The wall can be crudely shaped to allow crenellations, battlements, and so forth by likewise reducing the area.&lt;/p&gt;&lt;p&gt;Like any other stone wall, this one can be destroyed by a &lt;i&gt;disintegrate&lt;/i&gt; spell or by normal means such as breaking and chipping.&lt;/p&gt;&lt;p&gt;Each 5-foot square of the wall has hardness 8 and 15 hit points per inch of thickness. A section of wall whose hit points drop to 0 is breached. If a creature tries to break through the wall with a single attack, the DC for the Strength check is 20 + 2 per inch of thickness.&lt;/p&gt;&lt;p&gt;It is possible, but difficult, to trap mobile opponents within or under a &lt;i&gt;wall of stone&lt;/i&gt;, provided the wall is shaped so it can hold the creatures. Creatures can avoid entrapment with successful Reflex saves.&lt;/p&gt;&lt;/h4&gt;&lt;h5&gt;&lt;b&gt;Mythic: &lt;/b&gt;The wall is 1 inch thick per 2 caster levels. The wall's hardness increases to 12.&lt;/h5&gt;&lt;h5&gt;&lt;b&gt;Augmented (7th)&lt;/b&gt;: If you expend two uses of mythic power, the wall is impassable to ethereal travel and spells such as passwall and phase door. The wall is immune to non-mythic disintegrate, shatter, sympathetic vibration, and other non-mythic magical effects that specifically affect stone (including earthquake, soften earth and stone, and transmute rock to mud).&lt;/h5&gt;&lt;/div&gt;</t>
  </si>
  <si>
    <t>Creates a stone wall that can be shaped.</t>
  </si>
  <si>
    <t>The wall is 1 inch thick per 2 caster levels. The wall's hardness increases to 12.</t>
  </si>
  <si>
    <t>Augmented (7th): If you expend two uses of mythic power, the wall is impassable to ethereal travel and spells such as passwall and phase door. The wall is immune to non-mythic disintegrate, shatter, sympathetic vibration, and other non-mythic magical effects that specifically affect stone (including earthquake, soften earth and stone, and transmute rock to mud).</t>
  </si>
  <si>
    <t>Agonize</t>
  </si>
  <si>
    <t>cleric 3/oracle 3, sorcerer/wizard 4</t>
  </si>
  <si>
    <t>one conjured outsider or elemental (see text)</t>
  </si>
  <si>
    <t>1 full round</t>
  </si>
  <si>
    <t>You afflict a creature you have conjured via planar ally (or a similar spell) with bolts of vicious energy. These foul energies inflict terrible pain upon the summoned creature, torturing it to make it more pliant to your will. The targeted creature must make a Fortitude save or take a -1 penalty for every 2 levels you possess (maximum -10) on all saves and checks made against you for the next hour. In addition, creatures that demand payment for their services reduce the payment by 20% for every 4 levels you possess (maximum 60% reduction). However, beings tortured by this spell quickly come to resent you, making them more likely to try to pervert your orders to malicious ends or try to seek retribution after their release. This spell has no effect on creatures that are immune to nonlethal damage.</t>
  </si>
  <si>
    <t>&lt;p&gt;You afflict a creature you have conjured via &lt;i&gt;planar ally&lt;/i&gt; (or a similar spell) with bolts of vicious energy. These foul energies inflict terrible pain upon the summoned creature, torturing it to make it more pliant to your will. The targeted creature must make a Fortitude save or take a -1 penalty for every 2 levels you possess (maximum -10) on all saves and checks made against you for the next hour. In addition, creatures that demand payment for their services reduce the payment by 20% for every 4 levels you possess (maximum 60% reduction). However, beings tortured by this spell quickly come to resent you, making them more likely to try to pervert your orders to malicious ends or try to seek retribution after their release. This spell has no effect on creatures that are immune to nonlethal damage.&lt;/p&gt;</t>
  </si>
  <si>
    <t>Book of the Dammed V1</t>
  </si>
  <si>
    <t>&lt;link rel="stylesheet"href="PF.css"&gt;&lt;div class="heading"&gt;&lt;p class="alignleft"&gt;Agonize&lt;/p&gt;&lt;div style="clear: both;"&gt;&lt;/div&gt;&lt;/div&gt;&lt;div&gt;&lt;h5&gt;&lt;b&gt;School &lt;/b&gt;evocation [evil]; &lt;b&gt;Level &lt;/b&gt;cleric 3/oracle 3, sorcerer/wizard 4&lt;/h5&gt;&lt;/div&gt;&lt;hr/&gt;&lt;div&gt;&lt;h5&gt;&lt;b&gt;CASTING&lt;/b&gt;&lt;/h5&gt;&lt;/div&gt;&lt;hr/&gt;&lt;div&gt;&lt;h5&gt;&lt;b&gt;Casting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conjured outsider or elemental (see text)&lt;/h5&gt;&lt;h5&gt;&lt;b&gt;Duration &lt;/b&gt;1 full round&lt;/h5&gt;&lt;h5&gt;&lt;b&gt;Saving Throw &lt;/b&gt;Fortitude negates; &lt;b&gt;Spell Resistance &lt;/b&gt;yes&lt;/h5&gt;&lt;/div&gt;&lt;hr/&gt;&lt;div&gt;&lt;h5&gt;&lt;b&gt;DESCRIPTION&lt;/b&gt;&lt;/h5&gt;&lt;/div&gt;&lt;hr/&gt;&lt;div&gt;&lt;h4&gt;&lt;p&gt;You afflict a creature you have conjured via &lt;i&gt;planar ally&lt;/i&gt; (or a similar spell) with bolts of vicious energy. These foul energies inflict terrible pain upon the summoned creature, torturing it to make it more pliant to your will. The targeted creature must make a Fortitude save or take a -1 penalty for every 2 levels you possess (maximum -10) on all saves and checks made against you for the next hour. In addition, creatures that demand payment for their services reduce the payment by 20% for every 4 levels you possess (maximum 60% reduction). However, beings tortured by this spell quickly come to resent you, making them more likely to try to pervert your orders to malicious ends or try to seek retribution after their release. This spell has no effect on creatures that are immune to nonlethal damage.&lt;/p&gt;&lt;/h4&gt;&lt;/div&gt;</t>
  </si>
  <si>
    <t>Pain encourages an outsider to obey you.</t>
  </si>
  <si>
    <t>Hellfire Ray</t>
  </si>
  <si>
    <t>V, S, DF/F (any unholy symbol or heretical tome)</t>
  </si>
  <si>
    <t>no (see text)</t>
  </si>
  <si>
    <t>A blast of hellfire blazes from your hands. You must succeed on a ranged touch attack with the ray to deal damage to the target. The ray deals 1d6 points of damage per caster level (maximum 15d6). Half the damage is fire damage, but the other half results directly from unholy power and is therefore not subject to being reduced by resistance to fire-based attacks. Any creature killed by this spell must make a Will saving throw; failure means the creature's soul is damned to Hell as a burst of brimstone appears around its corpse. A non-evil spellcaster attempting to bring the character back from the dead must make a caster level check (DC equal to 10 plus the slain creature's level) to succeed; failure means the spellcaster cannot try again for 1 day. Evil spellcasters can raise the slain character normally, without a check.</t>
  </si>
  <si>
    <t>&lt;p&gt;A blast of hellfire blazes from your hands. You must succeed on a ranged touch attack with the ray to deal damage to the target.&lt;/p&gt;&lt;p&gt;The ray deals 1d6 points of damage per caster level (maximum 15d6). Half the damage is fire damage, but the other half results directly from unholy power and is therefore not subject to being reduced by resistance to fire-based attacks.&lt;/p&gt;&lt;p&gt;Any creature killed by this spell must make a Will saving throw; failure means the creature's soul is damned to Hell as a burst of brimstone appears around its corpse. A non-evil spellcaster attempting to bring the character back from the dead must make a caster level check (DC equal to 10 plus the slain creature's level) to succeed; failure means the spellcaster cannot try again for 1 day. Evil spellcasters can raise the slain character normally, without a check.&lt;/p&gt;</t>
  </si>
  <si>
    <t>&lt;link rel="stylesheet"href="PF.css"&gt;&lt;div class="heading"&gt;&lt;p class="alignleft"&gt;Hellfire Ray&lt;/p&gt;&lt;div style="clear: both;"&gt;&lt;/div&gt;&lt;/div&gt;&lt;div&gt;&lt;h5&gt;&lt;b&gt;School &lt;/b&gt;evocation [evil]; &lt;b&gt;Level &lt;/b&gt;cleric 6/oracle 6, sorcerer/wizard 6&lt;/h5&gt;&lt;/div&gt;&lt;hr/&gt;&lt;div&gt;&lt;h5&gt;&lt;b&gt;CASTING&lt;/b&gt;&lt;/h5&gt;&lt;/div&gt;&lt;hr/&gt;&lt;div&gt;&lt;h5&gt;&lt;b&gt;Casting Time &lt;/b&gt;1 standard action&lt;/h5&gt;&lt;h5&gt;&lt;b&gt;Components &lt;/b&gt;V, S, DF/F (any unholy symbol or heretical tome)&lt;/h5&gt;&lt;/div&gt;&lt;hr/&gt;&lt;div&gt;&lt;h5&gt;&lt;b&gt;EFFECT&lt;/b&gt;&lt;/h5&gt;&lt;/div&gt;&lt;hr/&gt;&lt;div&gt;&lt;h5&gt;&lt;b&gt;Range &lt;/b&gt;close (25 ft. + 5 ft./2 levels)&lt;/h5&gt;&lt;h5&gt;&lt;b&gt;Effect &lt;/b&gt;ray&lt;/h5&gt;&lt;h5&gt;&lt;b&gt;Duration &lt;/b&gt;instantaneous&lt;/h5&gt;&lt;h5&gt;&lt;b&gt;Saving Throw &lt;/b&gt;no (see text); &lt;b&gt;Spell Resistance &lt;/b&gt;yes&lt;/h5&gt;&lt;/div&gt;&lt;hr/&gt;&lt;div&gt;&lt;h5&gt;&lt;b&gt;DESCRIPTION&lt;/b&gt;&lt;/h5&gt;&lt;/div&gt;&lt;hr/&gt;&lt;div&gt;&lt;h4&gt;&lt;p&gt;A blast of hellfire blazes from your hands. You must succeed on a ranged touch attack with the ray to deal damage to the target.&lt;/p&gt;&lt;p&gt;The ray deals 1d6 points of damage per caster level (maximum 15d6). Half the damage is fire damage, but the other half results directly from unholy power and is therefore not subject to being reduced by resistance to fire-based attacks.&lt;/p&gt;&lt;p&gt;Any creature killed by this spell must make a Will saving throw; failure means the creature's soul is damned to Hell as a burst of brimstone appears around its corpse. A non-evil spellcaster attempting to bring the character back from the dead must make a caster level check (DC equal to 10 plus the slain creature's level) to succeed; failure means the spellcaster cannot try again for 1 day. Evil spellcasters can raise the slain character normally, without a check.&lt;/p&gt;&lt;/h4&gt;&lt;/div&gt;</t>
  </si>
  <si>
    <t>Sacrifice</t>
  </si>
  <si>
    <t>cleric 4/oracle 4, sorcerer/wizard 4</t>
  </si>
  <si>
    <t>one summoned outsider or elemental (see text)</t>
  </si>
  <si>
    <t>instantaneous, 1 hour, or 1 day (see text)</t>
  </si>
  <si>
    <t>You make a sacrifice to aid in conjuring and commanding a creature called with planar ally, planar binding, or a similar spell. A sacrifice can be used in a variety of ways: Bargain: Making a sacrifice directly to the conjured being grants you a bonus on opposed Charisma checks made to compel the creature into service for the next hour. Enticement: Making a sacrifice the round before conjuring increases the DC of the Will save an outsider must make to resist being summoned. Payment: Making a sacrifice directly to the conjured being allows you to pay for one service from the creature in commodities other than gold. Reinforcement: Making a sacrifice the round before magic circle and preparing a summoning diagram increases the power of its warding magic, increasing the DC of all Charisma checks the creature might make to escape. This lasts 1 day. Multiple sacrifices can be made to affect a single conjuring, but the bonuses provided by this spell do not stack. Therefore, while you can make sacrifices to aid in summoning and bargaining with a creature, you cannot make multiple sacrifices (even of varying types) to enhance the same effect of a particular conjuration. A sacrifice may consist of any kind of commodity the target creature favors, including treasures, living creatures, or more ephemeral offerings. While this spell is not fundamentally evil, good-aligned creatures prove more selective in what offerings they accept, typically scoffing at blood sacrifices. Many sacrifices are fundamentally evil acts, such as murdering a pious innocent to summon a fiend. Any creature might reject certain types of sacrifices, thus denying you the benefits of this spell, as the offering must appeal to the target-few outsiders would care for 2,000 gp worth of parchment, while 2,000 gp of diamonds would be widely coveted. The GM determines what sacrifices creatures find appealing. The Sacrifice Effects table on the previous page lists a number of likely offerings, along with the bonus such gifts effect and the offering's equivalent value in gold pieces for the purposes of planar ally. Several of these sacrifices involve the loss of ability scores, levels, lives, or even changes in alignment. Any change wrought by such sacrifices (loss of ability score or level, or change in alignment) cannot be recovered, cured, or undone by any spell or effect short of miracle or wish. The same is true of creatures killed as a sacrifice; such creatures cannot be resurrected by any magic less powerful than these spells. Any object sacrificed with this spell is effectively destroyed or removed to an extraplanar holding of the summoned creature's choice. The bonuses and values noted on the sacrifices table are guidelines for offerings; certain types of treasures or lives might prove especially valuable to specific creatures, with extraordinary sacrifices (like a potent artifact or the life of a high-level paladin) garnering increased bonuses. You cannot make greater sacrifices than those noted on the table to gain increased bonuses or gold values. For example, you could not gain two permanent negative levels to gain a +16 bonus nor gain increased benefit from slaying 20 HD worth of creatures to pay for a 10 HD creature's service.</t>
  </si>
  <si>
    <t>&lt;p&gt;You make a sacrifice to aid in conjuring and commanding a creature called with &lt;i&gt;planar ally&lt;/i&gt;, &lt;i&gt;planar binding&lt;/i&gt;, or a similar spell. A sacrifice can be used in a variety of ways: &lt;i&gt;Bargain:&lt;/i&gt; Making a sacrifice directly to the conjured being grants you a bonus on opposed Charisma checks made to compel the creature into service for the next hour.&lt;/p&gt;&lt;p&gt;&lt;i&gt;Enticement:&lt;/i&gt; Making a sacrifice the round before conjuring increases the DC of the Will save an outsider must make to resist being summoned.&lt;/p&gt;&lt;p&gt;&lt;i&gt;Payment:&lt;/i&gt; Making a sacrifice directly to the conjured being allows you to pay for one service from the creature in commodities other than gold.&lt;/p&gt;&lt;p&gt;&lt;i&gt;Reinforcement:&lt;/i&gt; Making a sacrifice the round before &lt;i&gt;magic circle&lt;/i&gt; and preparing a summoning diagram increases the power of its warding magic, increasing the DC of all Charisma checks the creature might make to escape. This lasts 1 day.&lt;/p&gt;&lt;p&gt;Multiple sacrifices can be made to affect a single conjuring, but the bonuses provided by this spell do not stack. Therefore, while you can make sacrifices to aid in summoning and bargaining with a creature, you cannot make multiple sacrifices (even of varying types) to enhance the same effect of a particular conjuration.&lt;/p&gt;&lt;p&gt;A sacrifice may consist of any kind of commodity the target creature favors, including treasures, living creatures, or more ephemeral offerings. While this spell is not fundamentally evil, good-aligned creatures prove more selective in what offerings they accept, typically scoffing at blood sacrifices.&lt;/p&gt;&lt;p&gt;Many sacrifices are fundamentally evil acts, such as murdering a pious innocent to summon a fiend. Any creature might reject certain types of sacrifices, thus denying you the benefits of this spell, as the offering must appeal to the target-few outsiders would care for 2,000 gp worth of parchment, while 2,000 gp of diamonds would be widely coveted. The GM determines what sacrifices creatures find appealing.&lt;/p&gt;&lt;p&gt;The Sacrifice Effects table on the previous page lists a number of likely offerings, along with the bonus such gifts effect and the offering's equivalent value in gold pieces for the purposes of &lt;i&gt;planar ally&lt;/i&gt;. Several of these sacrifices involve the loss of ability scores, levels, lives, or even changes in alignment.&lt;/p&gt;&lt;p&gt;Any change wrought by such sacrifices (loss of ability score or level, or change in alignment) cannot be recovered, cured, or undone by any spell or effect short of &lt;i&gt;miracle&lt;/i&gt; or &lt;i&gt;wish.&lt;/i&gt; The same is true of creatures killed as a sacrifice; such creatures cannot be resurrected by any magic less powerful than these spells.&lt;/p&gt;&lt;p&gt;Any object sacrificed with this spell is effectively destroyed or removed to an extraplanar holding of the summoned creature's choice. The bonuses and values noted on the sacrifices table are guidelines for offerings; certain types of treasures or lives might prove especially valuable to specific creatures, with extraordinary sacrifices (like a potent artifact or the life of a high-level paladin) garnering increased bonuses.&lt;/p&gt;&lt;p&gt;You cannot make greater sacrifices than those noted on the table to gain increased bonuses or gold values. For example, you could not gain two permanent negative levels to gain a +16 bonus nor gain increased benefit from slaying 20 HD worth of creatures to pay for a 10 HD creature's service.&lt;/p&gt;</t>
  </si>
  <si>
    <t>&lt;link rel="stylesheet"href="PF.css"&gt;&lt;div class="heading"&gt;&lt;p class="alignleft"&gt;Sacrifice&lt;/p&gt;&lt;div style="clear: both;"&gt;&lt;/div&gt;&lt;/div&gt;&lt;div&gt;&lt;h5&gt;&lt;b&gt;School &lt;/b&gt;enchantment (charm) [mind-affecting]; &lt;b&gt;Level &lt;/b&gt;cleric 4/oracle 4, sorcerer/wizard 4&lt;/h5&gt;&lt;/div&gt;&lt;hr/&gt;&lt;div&gt;&lt;h5&gt;&lt;b&gt;CASTING&lt;/b&gt;&lt;/h5&gt;&lt;/div&gt;&lt;hr/&gt;&lt;div&gt;&lt;h5&gt;&lt;b&gt;Casting Time &lt;/b&gt;1 minute&lt;/h5&gt;&lt;h5&gt;&lt;b&gt;Components &lt;/b&gt;V, S, M (see text)&lt;/h5&gt;&lt;/div&gt;&lt;hr/&gt;&lt;div&gt;&lt;h5&gt;&lt;b&gt;EFFECT&lt;/b&gt;&lt;/h5&gt;&lt;/div&gt;&lt;hr/&gt;&lt;div&gt;&lt;h5&gt;&lt;b&gt;Range &lt;/b&gt;close (25 ft. + 5 ft./2 levels)&lt;/h5&gt;&lt;h5&gt;&lt;b&gt;Targets &lt;/b&gt;one summoned outsider or elemental (see text)&lt;/h5&gt;&lt;h5&gt;&lt;b&gt;Duration &lt;/b&gt;instantaneous, 1 hour, or 1 day (see text)&lt;/h5&gt;&lt;h5&gt;&lt;b&gt;Saving Throw &lt;/b&gt;none; &lt;b&gt;Spell Resistance &lt;/b&gt;no&lt;/h5&gt;&lt;/div&gt;&lt;hr/&gt;&lt;div&gt;&lt;h5&gt;&lt;b&gt;DESCRIPTION&lt;/b&gt;&lt;/h5&gt;&lt;/div&gt;&lt;hr/&gt;&lt;div&gt;&lt;h4&gt;&lt;p&gt;You make a sacrifice to aid in conjuring and commanding a creature called with &lt;i&gt;planar ally&lt;/i&gt;, &lt;i&gt;planar binding&lt;/i&gt;, or a similar spell. A sacrifice can be used in a variety of ways: &lt;i&gt;Bargain:&lt;/i&gt; Making a sacrifice directly to the conjured being grants you a bonus on opposed Charisma checks made to compel the creature into service for the next hour.&lt;/p&gt;&lt;p&gt;&lt;i&gt;Enticement:&lt;/i&gt; Making a sacrifice the round before conjuring increases the DC of the Will save an outsider must make to resist being summoned.&lt;/p&gt;&lt;p&gt;&lt;i&gt;Payment:&lt;/i&gt; Making a sacrifice directly to the conjured being allows you to pay for one service from the creature in commodities other than gold.&lt;/p&gt;&lt;p&gt;&lt;i&gt;Reinforcement:&lt;/i&gt; Making a sacrifice the round before &lt;i&gt;magic circle&lt;/i&gt; and preparing a summoning diagram increases the power of its warding magic, increasing the DC of all Charisma checks the creature might make to escape. This lasts 1 day.&lt;/p&gt;&lt;p&gt;Multiple sacrifices can be made to affect a single conjuring, but the bonuses provided by this spell do not stack. Therefore, while you can make sacrifices to aid in summoning and bargaining with a creature, you cannot make multiple sacrifices (even of varying types) to enhance the same effect of a particular conjuration.&lt;/p&gt;&lt;p&gt;A sacrifice may consist of any kind of commodity the target creature favors, including treasures, living creatures, or more ephemeral offerings. While this spell is not fundamentally evil, good-aligned creatures prove more selective in what offerings they accept, typically scoffing at blood sacrifices.&lt;/p&gt;&lt;p&gt;Many sacrifices are fundamentally evil acts, such as murdering a pious innocent to summon a fiend. Any creature might reject certain types of sacrifices, thus denying you the benefits of this spell, as the offering must appeal to the target-few outsiders would care for 2,000 gp worth of parchment, while 2,000 gp of diamonds would be widely coveted. The GM determines what sacrifices creatures find appealing.&lt;/p&gt;&lt;p&gt;The Sacrifice Effects table on the previous page lists a number of likely offerings, along with the bonus such gifts effect and the offering's equivalent value in gold pieces for the purposes of &lt;i&gt;planar ally&lt;/i&gt;. Several of these sacrifices involve the loss of ability scores, levels, lives, or even changes in alignment.&lt;/p&gt;&lt;p&gt;Any change wrought by such sacrifices (loss of ability score or level, or change in alignment) cannot be recovered, cured, or undone by any spell or effect short of &lt;i&gt;miracle&lt;/i&gt; or &lt;i&gt;wish.&lt;/i&gt; The same is true of creatures killed as a sacrifice; such creatures cannot be resurrected by any magic less powerful than these spells.&lt;/p&gt;&lt;p&gt;Any object sacrificed with this spell is effectively destroyed or removed to an extraplanar holding of the summoned creature's choice. The bonuses and values noted on the sacrifices table are guidelines for offerings; certain types of treasures or lives might prove especially valuable to specific creatures, with extraordinary sacrifices (like a potent artifact or the life of a high-level paladin) garnering increased bonuses.&lt;/p&gt;&lt;p&gt;You cannot make greater sacrifices than those noted on the table to gain increased bonuses or gold values. For example, you could not gain two permanent negative levels to gain a +16 bonus nor gain increased benefit from slaying 20 HD worth of creatures to pay for a 10 HD creature's service.&lt;/p&gt;&lt;/h4&gt;&lt;/div&gt;</t>
  </si>
  <si>
    <t>Aura of the Unremarkable</t>
  </si>
  <si>
    <t>bard 3, sorcerer/wizard 4</t>
  </si>
  <si>
    <t>V, S, M (a white feather)</t>
  </si>
  <si>
    <t>non-allied creatures within a 30-ft. emanation</t>
  </si>
  <si>
    <t>1 minute/level and instantaneous</t>
  </si>
  <si>
    <t>Yes</t>
  </si>
  <si>
    <t>An invisible sphere of magic surrounds you, clouding the minds of creatures in the area so they regard even the strangest actions as innocuous. For example, if you and your allies are beating a city guard for information, creatures within the area do not think this is unusual or cause for alarm; if your ally is aiming a crossbow at the queen from a balcony, the affected creatures accept this as normal and unworthy of concern. Any hostile actions by you or your allies against a creature break the effect of the spell for that creature. When the spell ends, observers see things normally but altered perceptions from the earlier events remain. Any mention of the events as noteworthy (such as being questioned about them by an authority figure) allows the target another Will save to break the effect and remember things normally.</t>
  </si>
  <si>
    <t>&lt;p&gt;An invisible sphere of magic surrounds you, clouding the minds of creatures in the area so they regard even the strangest actions as innocuous. For example, if you and your allies are beating a city guard for information, creatures within the area do not think this is unusual or cause for alarm; if your ally is aiming a crossbow at the queen from a balcony, the affected creatures accept this as normal and unworthy of concern. Any hostile actions by you or your allies against a creature break the effect of the spell for that creature. When the spell ends, observers see things normally but altered perceptions from the earlier events remain. Any mention of the events as noteworthy (such as being questioned about them by an authority figure) allows the target another Will save to break the effect and remember things normally.&lt;/p&gt;</t>
  </si>
  <si>
    <t>Cheliax Empire Of Devils</t>
  </si>
  <si>
    <t>&lt;link rel="stylesheet"href="PF.css"&gt;&lt;div class="heading"&gt;&lt;p class="alignleft"&gt;Aura of the Unremarkable&lt;/p&gt;&lt;div style="clear: both;"&gt;&lt;/div&gt;&lt;/div&gt;&lt;div&gt;&lt;h5&gt;&lt;b&gt;School &lt;/b&gt;enchantment (compulsion) [mind-affecting]; &lt;b&gt;Level &lt;/b&gt;bard 3, sorcerer/wizard 4&lt;/h5&gt;&lt;/div&gt;&lt;hr/&gt;&lt;div&gt;&lt;h5&gt;&lt;b&gt;CASTING&lt;/b&gt;&lt;/h5&gt;&lt;/div&gt;&lt;hr/&gt;&lt;div&gt;&lt;h5&gt;&lt;b&gt;Casting Time &lt;/b&gt;1 full round&lt;/h5&gt;&lt;h5&gt;&lt;b&gt;Components &lt;/b&gt;V, S, M (a white feather)&lt;/h5&gt;&lt;/div&gt;&lt;hr/&gt;&lt;div&gt;&lt;h5&gt;&lt;b&gt;EFFECT&lt;/b&gt;&lt;/h5&gt;&lt;/div&gt;&lt;hr/&gt;&lt;div&gt;&lt;h5&gt;&lt;b&gt;Range &lt;/b&gt;30 ft.&lt;/h5&gt;&lt;h5&gt;&lt;b&gt;Targets &lt;/b&gt;non-allied creatures within a 30-ft. emanation&lt;/h5&gt;&lt;h5&gt;&lt;b&gt;Duration &lt;/b&gt;1 minute/level and instantaneous (D)&lt;/h5&gt;&lt;h5&gt;&lt;b&gt;Saving Throw &lt;/b&gt;Will negates; &lt;b&gt;Spell Resistance &lt;/b&gt;Yes&lt;/h5&gt;&lt;/div&gt;&lt;hr/&gt;&lt;div&gt;&lt;h5&gt;&lt;b&gt;DESCRIPTION&lt;/b&gt;&lt;/h5&gt;&lt;/div&gt;&lt;hr/&gt;&lt;div&gt;&lt;h4&gt;&lt;p&gt;An invisible sphere of magic surrounds you, clouding the minds of creatures in the area so they regard even the strangest actions as innocuous. For example, if you and your allies are beating a city guard for information, creatures within the area do not think this is unusual or cause for alarm; if your ally is aiming a crossbow at the queen from a balcony, the affected creatures accept this as normal and unworthy of concern. Any hostile actions by you or your allies against a creature break the effect of the spell for that creature. When the spell ends, observers see things normally but altered perceptions from the earlier events remain. Any mention of the events as noteworthy (such as being questioned about them by an authority figure) allows the target another Will save to break the effect and remember things normally.&lt;/p&gt;&lt;/h4&gt;&lt;/div&gt;</t>
  </si>
  <si>
    <t>Burning Disarm</t>
  </si>
  <si>
    <t>cleric/oracle 1, druid 1, sorcerer/wizard 1</t>
  </si>
  <si>
    <t>Short (25 ft. + 5 ft./2 levels)</t>
  </si>
  <si>
    <t>Held metal item of one creature or 15 lbs. of unattended metal</t>
  </si>
  <si>
    <t>Instantaneous</t>
  </si>
  <si>
    <t>Reflex negates (object, see text)</t>
  </si>
  <si>
    <t>Yes (object)</t>
  </si>
  <si>
    <t>This spell causes a metal object to instantly become red hot. A creature holding the item may attempt a Reflex save to drop it and take no damage (even if it is not their turn), otherwise the hot metal deals 1d4 points of fire damage per caster level (maximum 5d4). Circumstances that prevent the creature from dropping the item (such as a locked gauntlet) mean the creature gets no saving throw. The heat does not harm the item, and it does not get hot enough or last long enough to ignite flammable objects. The item cools to its previous temperature almost instantly. If cast underwater, burning disarm deals half damage and boils the surrounding water.</t>
  </si>
  <si>
    <t>&lt;p&gt;This spell causes a metal object to instantly become red hot. A creature holding the item may attempt a Reflex save to drop it and take no damage (even if it is not their turn), otherwise the hot metal deals 1d4 points of fire damage per caster level (maximum 5d4). Circumstances that prevent the creature from dropping the item (such as a locked gauntlet) mean the creature gets no saving throw. The heat does not harm the item, and it does not get hot enough or last long enough to ignite flammable objects. The item cools to its previous temperature almost instantly. If cast underwater, burning disarm deals half damage and boils the surrounding water.&lt;/p&gt;</t>
  </si>
  <si>
    <t>&lt;link rel="stylesheet"href="PF.css"&gt;&lt;div class="heading"&gt;&lt;p class="alignleft"&gt;Burning Disarm&lt;/p&gt;&lt;div style="clear: both;"&gt;&lt;/div&gt;&lt;/div&gt;&lt;div&gt;&lt;h5&gt;&lt;b&gt;School &lt;/b&gt;transmutation [fire]; &lt;b&gt;Level &lt;/b&gt;cleric/oracle 1, druid 1, sorcerer/wizard 1&lt;/h5&gt;&lt;/div&gt;&lt;hr/&gt;&lt;div&gt;&lt;h5&gt;&lt;b&gt;CASTING&lt;/b&gt;&lt;/h5&gt;&lt;/div&gt;&lt;hr/&gt;&lt;div&gt;&lt;h5&gt;&lt;b&gt;Casting Time &lt;/b&gt;1 standard action&lt;/h5&gt;&lt;h5&gt;&lt;b&gt;Components &lt;/b&gt;V, S&lt;/h5&gt;&lt;/div&gt;&lt;hr/&gt;&lt;div&gt;&lt;h5&gt;&lt;b&gt;EFFECT&lt;/b&gt;&lt;/h5&gt;&lt;/div&gt;&lt;hr/&gt;&lt;div&gt;&lt;h5&gt;&lt;b&gt;Range &lt;/b&gt;Short (25 ft. + 5 ft./2 levels)&lt;/h5&gt;&lt;h5&gt;&lt;b&gt;Targets &lt;/b&gt;Held metal item of one creature or 15 lbs. of unattended metal&lt;/h5&gt;&lt;h5&gt;&lt;b&gt;Duration &lt;/b&gt;Instantaneous&lt;/h5&gt;&lt;h5&gt;&lt;b&gt;Saving Throw &lt;/b&gt;Reflex negates (object, see text); &lt;b&gt;Spell Resistance &lt;/b&gt;Yes (object)&lt;/h5&gt;&lt;/div&gt;&lt;hr/&gt;&lt;div&gt;&lt;h5&gt;&lt;b&gt;DESCRIPTION&lt;/b&gt;&lt;/h5&gt;&lt;/div&gt;&lt;hr/&gt;&lt;div&gt;&lt;h4&gt;&lt;p&gt;This spell causes a metal object to instantly become red hot. A creature holding the item may attempt a Reflex save to drop it and take no damage (even if it is not their turn), otherwise the hot metal deals 1d4 points of fire damage per caster level (maximum 5d4). Circumstances that prevent the creature from dropping the item (such as a locked gauntlet) mean the creature gets no saving throw. The heat does not harm the item, and it does not get hot enough or last long enough to ignite flammable objects. The item cools to its previous temperature almost instantly. If cast underwater, burning disarm deals half damage and boils the surrounding water.&lt;/p&gt;&lt;/h4&gt;&lt;/div&gt;</t>
  </si>
  <si>
    <t>Dirge Of The Victorious Knights</t>
  </si>
  <si>
    <t>V, S, F (a medal from a dead Hellknight or a copy of a Chelish opera script, either worth at least 100 gp)</t>
  </si>
  <si>
    <t>120-ft. line, 10 ft. wide</t>
  </si>
  <si>
    <t>By performing part of the Chelish opera Victory of the Hellknights, you call forth spectral illusions of mounted Hellknights to trample your foes under the hooves of their glorious steeds. The shadowy knights appear in your square and ride forward in the direction you indicate, dealing 1d6 points of damage per caster level (maximum 20d6) to all creatures in their path. Half of this damage is cold damage, while half results directly from arcane power and is not subject to cold resistance or immunity. The knights cannot pass through force effects or barriers that block incorporeal creatures or undead.</t>
  </si>
  <si>
    <t>&lt;p&gt;By performing part of the Chelish opera &lt;i&gt;Victory of the Hellknights&lt;/i&gt;, you call forth spectral illusions of mounted Hellknights to trample your foes under the hooves of their glorious steeds. The shadowy knights appear in your square and ride forward in the direction you indicate, dealing 1d6 points of damage per caster level (maximum 20d6) to all creatures in their path. Half of this damage is cold damage, while half results directly from arcane power and is not subject to cold resistance or immunity. The knights cannot pass through force effects or barriers that block incorporeal creatures or undead.&lt;/p&gt;</t>
  </si>
  <si>
    <t>Inner Sea World Guide</t>
  </si>
  <si>
    <t>&lt;link rel="stylesheet"href="PF.css"&gt;&lt;div class="heading"&gt;&lt;p class="alignleft"&gt;Dirge Of The Victorious Knights&lt;/p&gt;&lt;div style="clear: both;"&gt;&lt;/div&gt;&lt;/div&gt;&lt;div&gt;&lt;h5&gt;&lt;b&gt;School &lt;/b&gt;illusion (shadow); &lt;b&gt;Level &lt;/b&gt;bard 6&lt;/h5&gt;&lt;/div&gt;&lt;hr/&gt;&lt;div&gt;&lt;h5&gt;&lt;b&gt;CASTING&lt;/b&gt;&lt;/h5&gt;&lt;/div&gt;&lt;hr/&gt;&lt;div&gt;&lt;h5&gt;&lt;b&gt;Casting Time &lt;/b&gt;1 full round&lt;/h5&gt;&lt;h5&gt;&lt;b&gt;Components &lt;/b&gt;V, S, F (a medal from a dead Hellknight or a copy of a Chelish opera script, either worth at least 100 gp)&lt;/h5&gt;&lt;/div&gt;&lt;hr/&gt;&lt;div&gt;&lt;h5&gt;&lt;b&gt;EFFECT&lt;/b&gt;&lt;/h5&gt;&lt;/div&gt;&lt;hr/&gt;&lt;div&gt;&lt;h5&gt;&lt;b&gt;Range &lt;/b&gt;120 ft.&lt;/h5&gt;&lt;h5&gt;&lt;b&gt;Effect &lt;/b&gt;120-ft. line, 10 ft. wide&lt;/h5&gt;&lt;h5&gt;&lt;b&gt;Duration &lt;/b&gt;instantaneous&lt;/h5&gt;&lt;h5&gt;&lt;b&gt;Saving Throw &lt;/b&gt;Reflex half; &lt;b&gt;Spell Resistance &lt;/b&gt;yes&lt;/h5&gt;&lt;/div&gt;&lt;hr/&gt;&lt;div&gt;&lt;h5&gt;&lt;b&gt;DESCRIPTION&lt;/b&gt;&lt;/h5&gt;&lt;/div&gt;&lt;hr/&gt;&lt;div&gt;&lt;h4&gt;&lt;p&gt;By performing part of the Chelish opera &lt;i&gt;Victory of the Hellknights&lt;/i&gt;, you call forth spectral illusions of mounted Hellknights to trample your foes under the hooves of their glorious steeds. The shadowy knights appear in your square and ride forward in the direction you indicate, dealing 1d6 points of damage per caster level (maximum 20d6) to all creatures in their path. Half of this damage is cold damage, while half results directly from arcane power and is not subject to cold resistance or immunity. The knights cannot pass through force effects or barriers that block incorporeal creatures or undead.&lt;/p&gt;&lt;/h4&gt;&lt;h5&gt;&lt;b&gt;Mythic: &lt;/b&gt;The damage increases to 1d10 points of damage per caster level(maximum 20d10). Any creature that fails its Reflex saving throwis knocked prone, and must succeed at a Fortitude save or bestunned for 1 round.&lt;/h5&gt;&lt;h5&gt;&lt;b&gt;Augmented (7th)&lt;/b&gt;: If you expend two uses of mythic power,the area increases to a 240-foot line 20 feet wide. All cold damagedealt by the spell ignores cold resistance and cold immunity.&lt;/h5&gt;&lt;/div&gt;</t>
  </si>
  <si>
    <t>The damage increases to 1d10 points of damage per caster level(maximum 20d10). Any creature that fails its Reflex saving throwis knocked prone, and must succeed at a Fortitude save or bestunned for 1 round.</t>
  </si>
  <si>
    <t>Augmented (7th): If you expend two uses of mythic power,the area increases to a 240-foot line 20 feet wide. All cold damagedealt by the spell ignores cold resistance and cold immunity.</t>
  </si>
  <si>
    <t>Dweomer Retaliation</t>
  </si>
  <si>
    <t>Long (400 ft. + 40 ft./level)</t>
  </si>
  <si>
    <t>one creature you counterspelled since your last turn</t>
  </si>
  <si>
    <t>You may only cast this spell immediately after successfully counterspelling an opponent. Drawing upon the residual energy of the countered spells, you gain a number of temporary hit points equal to the level of the countered spell plus your Charisma or Intelligence modifier (for sorcerers and wizards, respectively); your counterspelled opponent takes damage equal to this amount. If the countered spell was at least 4th level, you and your opponent make opposed concentration checks. If you beat your opponent by 10 or more, you retain this spell (or its spell slot, if you are a sorcerer) as if you had not cast it.</t>
  </si>
  <si>
    <t>&lt;p&gt;You may only cast this spell immediately after successfully counterspelling an opponent. Drawing upon the residual energy of the countered spells, you gain a number of temporary hit points equal to the level of the countered spell plus your Charisma or Intelligence modifier (for sorcerers and wizards, respectively); your counterspelled opponent takes damage equal to this amount.&lt;/p&gt;&lt;p&gt;If the countered spell was at least 4th level, you and your opponent make opposed concentration checks. If you beat your opponent by 10 or more, you retain this spell (or its spell slot, if you are a sorcerer) as if you had not cast it.&lt;/p&gt;</t>
  </si>
  <si>
    <t>&lt;link rel="stylesheet"href="PF.css"&gt;&lt;div class="heading"&gt;&lt;p class="alignleft"&gt;Dweomer Retaliation&lt;/p&gt;&lt;div style="clear: both;"&gt;&lt;/div&gt;&lt;/div&gt;&lt;div&gt;&lt;h5&gt;&lt;b&gt;School &lt;/b&gt;abjuration; &lt;b&gt;Level &lt;/b&gt;sorcerer/wizard 3&lt;/h5&gt;&lt;/div&gt;&lt;hr/&gt;&lt;div&gt;&lt;h5&gt;&lt;b&gt;CASTING&lt;/b&gt;&lt;/h5&gt;&lt;/div&gt;&lt;hr/&gt;&lt;div&gt;&lt;h5&gt;&lt;b&gt;Casting Time &lt;/b&gt;1 immediate action&lt;/h5&gt;&lt;h5&gt;&lt;b&gt;Components &lt;/b&gt;V&lt;/h5&gt;&lt;/div&gt;&lt;hr/&gt;&lt;div&gt;&lt;h5&gt;&lt;b&gt;EFFECT&lt;/b&gt;&lt;/h5&gt;&lt;/div&gt;&lt;hr/&gt;&lt;div&gt;&lt;h5&gt;&lt;b&gt;Range &lt;/b&gt;Long (400 ft. + 40 ft./level)&lt;/h5&gt;&lt;h5&gt;&lt;b&gt;Targets &lt;/b&gt;one creature you counterspelled since your last turn&lt;/h5&gt;&lt;h5&gt;&lt;b&gt;Duration &lt;/b&gt;instantaneous&lt;/h5&gt;&lt;h5&gt;&lt;b&gt;Saving Throw &lt;/b&gt;none; &lt;b&gt;Spell Resistance &lt;/b&gt;yes&lt;/h5&gt;&lt;/div&gt;&lt;hr/&gt;&lt;div&gt;&lt;h5&gt;&lt;b&gt;DESCRIPTION&lt;/b&gt;&lt;/h5&gt;&lt;/div&gt;&lt;hr/&gt;&lt;div&gt;&lt;h4&gt;&lt;p&gt;You may only cast this spell immediately after successfully counterspelling an opponent. Drawing upon the residual energy of the countered spells, you gain a number of temporary hit points equal to the level of the countered spell plus your Charisma or Intelligence modifier (for sorcerers and wizards, respectively); your counterspelled opponent takes damage equal to this amount.&lt;/p&gt;&lt;p&gt;If the countered spell was at least 4th level, you and your opponent make opposed concentration checks. If you beat your opponent by 10 or more, you retain this spell (or its spell slot, if you are a sorcerer) as if you had not cast it.&lt;/p&gt;&lt;/h4&gt;&lt;/div&gt;</t>
  </si>
  <si>
    <t>Emergency Force Sphere</t>
  </si>
  <si>
    <t>5 ft.</t>
  </si>
  <si>
    <t>5-ft.-radius hemisphere of force centered on you</t>
  </si>
  <si>
    <t>None</t>
  </si>
  <si>
    <t>No</t>
  </si>
  <si>
    <t>As wall of force, except you create a hemispherical dome of force with hardness 20 and a number of hit points equal to 10 per caster level. The bottom edge of the dome forms a relatively watertight space if you are standing on a reasonably flat surface. The dome shape means that falling debris (such as rocks from a collapsing ceiling) tend to tumble to the side and pile up around the base of the dome. If you make a DC 20 Craft (stonemasonry), Knowledge (engineering), or Profession (architect or engineer) check, the debris is stable enough that it retains its dome-like configuration when the spell ends, otherwise it collapses. Normally this spell is used to buy time for dealing with avalanches, floods, and rockslides, though it is also handy in dealing with ambushes.</t>
  </si>
  <si>
    <t>&lt;p&gt;As &lt;i&gt;wall of force&lt;/i&gt;, except you create a hemispherical dome of force with hardness 20 and a number of hit points equal to 10 per caster level. The bottom edge of the dome forms a relatively watertight space if you are standing on a reasonably flat surface. The dome shape means that falling debris (such as rocks from a collapsing ceiling) tend to tumble to the side and pile up around the base of the dome. If you make a DC 20 Craft (stonemasonry), Knowledge (engineering), or Profession (architect or engineer) check, the debris is stable enough that it retains its dome-like configuration when the spell ends, otherwise it collapses.&lt;/p&gt;&lt;p&gt;Normally this spell is used to buy time for dealing with avalanches, floods, and rockslides, though it is also handy in dealing with ambushes.&lt;/p&gt;</t>
  </si>
  <si>
    <t>&lt;link rel="stylesheet"href="PF.css"&gt;&lt;div class="heading"&gt;&lt;p class="alignleft"&gt;Emergency Force Sphere&lt;/p&gt;&lt;div style="clear: both;"&gt;&lt;/div&gt;&lt;/div&gt;&lt;div&gt;&lt;h5&gt;&lt;b&gt;School &lt;/b&gt;evocation [force]; &lt;b&gt;Level &lt;/b&gt;sorcerer/wizard 4&lt;/h5&gt;&lt;/div&gt;&lt;hr/&gt;&lt;div&gt;&lt;h5&gt;&lt;b&gt;CASTING&lt;/b&gt;&lt;/h5&gt;&lt;/div&gt;&lt;hr/&gt;&lt;div&gt;&lt;h5&gt;&lt;b&gt;Casting Time &lt;/b&gt;1 immediate action&lt;/h5&gt;&lt;h5&gt;&lt;b&gt;Components &lt;/b&gt;V&lt;/h5&gt;&lt;/div&gt;&lt;hr/&gt;&lt;div&gt;&lt;h5&gt;&lt;b&gt;EFFECT&lt;/b&gt;&lt;/h5&gt;&lt;/div&gt;&lt;hr/&gt;&lt;div&gt;&lt;h5&gt;&lt;b&gt;Range &lt;/b&gt;5 ft.&lt;/h5&gt;&lt;h5&gt;&lt;b&gt;Effect &lt;/b&gt;5-ft.-radius hemisphere of force centered on you&lt;/h5&gt;&lt;h5&gt;&lt;b&gt;Duration &lt;/b&gt;1 round/level (D)&lt;/h5&gt;&lt;h5&gt;&lt;b&gt;Saving Throw &lt;/b&gt;None; &lt;b&gt;Spell Resistance &lt;/b&gt;No&lt;/h5&gt;&lt;/div&gt;&lt;hr/&gt;&lt;div&gt;&lt;h5&gt;&lt;b&gt;DESCRIPTION&lt;/b&gt;&lt;/h5&gt;&lt;/div&gt;&lt;hr/&gt;&lt;div&gt;&lt;h4&gt;&lt;p&gt;As &lt;i&gt;wall of force&lt;/i&gt;, except you create a hemispherical dome of force with hardness 20 and a number of hit points equal to 10 per caster level. The bottom edge of the dome forms a relatively watertight space if you are standing on a reasonably flat surface. The dome shape means that falling debris (such as rocks from a collapsing ceiling) tend to tumble to the side and pile up around the base of the dome. If you make a DC 20 Craft (stonemasonry), Knowledge (engineering), or Profession (architect or engineer) check, the debris is stable enough that it retains its dome-like configuration when the spell ends, otherwise it collapses.&lt;/p&gt;&lt;p&gt;Normally this spell is used to buy time for dealing with avalanches, floods, and rockslides, though it is also handy in dealing with ambushes.&lt;/p&gt;&lt;/h4&gt;&lt;/div&gt;</t>
  </si>
  <si>
    <t>Signifer's Rally</t>
  </si>
  <si>
    <t>V, S, M (100 gp worth of bloodstone for every ally teleported)</t>
  </si>
  <si>
    <t>one willing ally/5 levels</t>
  </si>
  <si>
    <t>You teleport up to one ally per five caster levels to your location. You determine which allies you want to teleport at the time of casting; these allies have 1 round to decide to allow or refuse your spell, and they teleport immediately upon accepting. Allies are teleported as if you had cast teleport on them (your current location is at least "studied carefully" for this purpose), appearing in a puff of brimstone in a space adjacent to you. If you are in combat and your allies were not, your allies may roll initiative upon arrival but are not considered flat-footed even though they have not taken any actions. The spell does not function in areas warded against intrusion by evil creatures (such as a magic circle against evil effect).</t>
  </si>
  <si>
    <t>&lt;p&gt;You &lt;i&gt;teleport&lt;/i&gt; up to one ally per five caster levels to your location.&lt;/p&gt;&lt;p&gt;You determine which allies you want to &lt;i&gt;teleport&lt;/i&gt; at the time of casting; these allies have 1 round to decide to allow or refuse your spell, and they &lt;i&gt;teleport&lt;/i&gt; immediately upon accepting. Allies are &lt;i&gt;teleport&lt;/i&gt;ed as if you had cast &lt;i&gt;teleport&lt;/i&gt; on them (your current location is at least "studied carefully" for this purpose), appearing in a puff of brimstone in a space adjacent to you. If you are in combat and your allies were not, your allies may roll initiative upon arrival but are not considered flat-footed even though they have not taken any actions. The spell does not function in areas warded against intrusion by evil creatures (such as a &lt;i&gt;magic circle against evil&lt;/i&gt; effect).&lt;/p&gt;</t>
  </si>
  <si>
    <t>&lt;link rel="stylesheet"href="PF.css"&gt;&lt;div class="heading"&gt;&lt;p class="alignleft"&gt;Signifer's Rally&lt;/p&gt;&lt;div style="clear: both;"&gt;&lt;/div&gt;&lt;/div&gt;&lt;div&gt;&lt;h5&gt;&lt;b&gt;School &lt;/b&gt;conjuration (teleportation) [evil]; &lt;b&gt;Level &lt;/b&gt;cleric 7/oracle 7, sorcerer/wizard 7&lt;/h5&gt;&lt;/div&gt;&lt;hr/&gt;&lt;div&gt;&lt;h5&gt;&lt;b&gt;CASTING&lt;/b&gt;&lt;/h5&gt;&lt;/div&gt;&lt;hr/&gt;&lt;div&gt;&lt;h5&gt;&lt;b&gt;Casting Time &lt;/b&gt;1 standard action&lt;/h5&gt;&lt;h5&gt;&lt;b&gt;Components &lt;/b&gt;V, S, M (100 gp worth of bloodstone for every ally teleported)&lt;/h5&gt;&lt;/div&gt;&lt;hr/&gt;&lt;div&gt;&lt;h5&gt;&lt;b&gt;EFFECT&lt;/b&gt;&lt;/h5&gt;&lt;/div&gt;&lt;hr/&gt;&lt;div&gt;&lt;h5&gt;&lt;b&gt;Range &lt;/b&gt;medium (100 ft. + 10 ft./level)&lt;/h5&gt;&lt;h5&gt;&lt;b&gt;Targets &lt;/b&gt;one willing ally/5 levels&lt;/h5&gt;&lt;h5&gt;&lt;b&gt;Duration &lt;/b&gt;instantaneous&lt;/h5&gt;&lt;h5&gt;&lt;b&gt;Saving Throw &lt;/b&gt;Will negates (harmless); &lt;b&gt;Spell Resistance &lt;/b&gt;yes (harmless)&lt;/h5&gt;&lt;/div&gt;&lt;hr/&gt;&lt;div&gt;&lt;h5&gt;&lt;b&gt;DESCRIPTION&lt;/b&gt;&lt;/h5&gt;&lt;/div&gt;&lt;hr/&gt;&lt;div&gt;&lt;h4&gt;&lt;p&gt;You &lt;i&gt;teleport&lt;/i&gt; up to one ally per five caster levels to your location.&lt;/p&gt;&lt;p&gt;You determine which allies you want to &lt;i&gt;teleport&lt;/i&gt; at the time of casting; these allies have 1 round to decide to allow or refuse your spell, and they &lt;i&gt;teleport&lt;/i&gt; immediately upon accepting. Allies are &lt;i&gt;teleport&lt;/i&gt;ed as if you had cast &lt;i&gt;teleport&lt;/i&gt; on them (your current location is at least "studied carefully" for this purpose), appearing in a puff of brimstone in a space adjacent to you. If you are in combat and your allies were not, your allies may roll initiative upon arrival but are not considered flat-footed even though they have not taken any actions. The spell does not function in areas warded against intrusion by evil creatures (such as a &lt;i&gt;magic circle against evil&lt;/i&gt; effect).&lt;/p&gt;&lt;/h4&gt;&lt;/div&gt;</t>
  </si>
  <si>
    <t>Twine Double</t>
  </si>
  <si>
    <t>V, S, M (cloth and twine)</t>
  </si>
  <si>
    <t>One duplicate creature</t>
  </si>
  <si>
    <t>As simulacrum, except you can only duplicate yourself, and the duplicate is created from cloth and twine rather than ice and snow. The double looks exactly like you except its eyes are balls of twine (DC 10 Perception check to recognize double's strange eyes). It wears clothing and gear that appear exactly like what you are wearing at the time of casting. Its copies of your magic items are nonfunctional but radiate magic and have the same auras as your items. Its aura is identical to yours. Attempts to scry you while the double exists have a 50% chance of targeting the double instead of you. The double cannot attack, has no special abilities, and has a +0 bonus on all saves and checks. You may verbally give the double orders as a free action, or control it telepathically as a standard action. You know what the double is experiencing, and when controlling it telepathically you can see and hear everything it sees and hears, though events at your location may drown out the sensory inputs from the double. The double has hit points equal to half your hit points at the time of casting. If brought to 0 hit points, it is destroyed, reverting to cloth and twine. The double is an animated object.</t>
  </si>
  <si>
    <t>&lt;p&gt;As &lt;i&gt;simulacrum,&lt;/i&gt; except you can only duplicate yourself, and the duplicate is created from cloth and twine rather than ice and snow. The double looks exactly like you except its eyes are balls of twine (DC 10 Perception check to recognize double's strange eyes). It wears clothing and gear that appear exactly like what you are wearing at the time of casting. Its copies of your magic items are nonfunctional but radiate magic and have the same auras as your items. Its aura is identical to yours. Attempts to scry you while the double exists have a 50% chance of targeting the double instead of you.&lt;/p&gt;&lt;p&gt;The double cannot attack, has no special abilities, and has a +0 bonus on all saves and checks. You may verbally give the double orders as a free action, or control it telepathically as a standard action. You know what the double is experiencing, and when controlling it telepathically you can see and hear everything it sees and hears, though events at your location may drown out the sensory inputs from the double. The double has hit points equal to half your hit points at the time of casting. If brought to 0 hit points, it is destroyed, reverting to cloth and twine. The double is an animated object.&lt;/p&gt;</t>
  </si>
  <si>
    <t>&lt;link rel="stylesheet"href="PF.css"&gt;&lt;div class="heading"&gt;&lt;p class="alignleft"&gt;Twine Double&lt;/p&gt;&lt;div style="clear: both;"&gt;&lt;/div&gt;&lt;/div&gt;&lt;div&gt;&lt;h5&gt;&lt;b&gt;School &lt;/b&gt;illusion (shadow); &lt;b&gt;Level &lt;/b&gt;sorcerer/wizard 3&lt;/h5&gt;&lt;/div&gt;&lt;hr/&gt;&lt;div&gt;&lt;h5&gt;&lt;b&gt;CASTING&lt;/b&gt;&lt;/h5&gt;&lt;/div&gt;&lt;hr/&gt;&lt;div&gt;&lt;h5&gt;&lt;b&gt;Casting Time &lt;/b&gt;10 minutes&lt;/h5&gt;&lt;h5&gt;&lt;b&gt;Components &lt;/b&gt;V, S, M (cloth and twine)&lt;/h5&gt;&lt;/div&gt;&lt;hr/&gt;&lt;div&gt;&lt;h5&gt;&lt;b&gt;EFFECT&lt;/b&gt;&lt;/h5&gt;&lt;/div&gt;&lt;hr/&gt;&lt;div&gt;&lt;h5&gt;&lt;b&gt;Range &lt;/b&gt;0 ft.&lt;/h5&gt;&lt;h5&gt;&lt;b&gt;Effect &lt;/b&gt;One duplicate creature&lt;/h5&gt;&lt;h5&gt;&lt;b&gt;Duration &lt;/b&gt;1 minute/level (D)&lt;/h5&gt;&lt;h5&gt;&lt;b&gt;Saving Throw &lt;/b&gt;None; &lt;b&gt;Spell Resistance &lt;/b&gt;No&lt;/h5&gt;&lt;/div&gt;&lt;hr/&gt;&lt;div&gt;&lt;h5&gt;&lt;b&gt;DESCRIPTION&lt;/b&gt;&lt;/h5&gt;&lt;/div&gt;&lt;hr/&gt;&lt;div&gt;&lt;h4&gt;&lt;p&gt;As &lt;i&gt;simulacrum,&lt;/i&gt; except you can only duplicate yourself, and the duplicate is created from cloth and twine rather than ice and snow. The double looks exactly like you except its eyes are balls of twine (DC 10 Perception check to recognize double's strange eyes). It wears clothing and gear that appear exactly like what you are wearing at the time of casting. Its copies of your magic items are nonfunctional but radiate magic and have the same auras as your items. Its aura is identical to yours. Attempts to scry you while the double exists have a 50% chance of targeting the double instead of you.&lt;/p&gt;&lt;p&gt;The double cannot attack, has no special abilities, and has a +0 bonus on all saves and checks. You may verbally give the double orders as a free action, or control it telepathically as a standard action. You know what the double is experiencing, and when controlling it telepathically you can see and hear everything it sees and hears, though events at your location may drown out the sensory inputs from the double. The double has hit points equal to half your hit points at the time of casting. If brought to 0 hit points, it is destroyed, reverting to cloth and twine. The double is an animated object.&lt;/p&gt;&lt;/h4&gt;&lt;/div&gt;</t>
  </si>
  <si>
    <t>Fear</t>
  </si>
  <si>
    <t>bard 3, sorcerer/wizard 4, witch 4, inquisitor 4, antipaladin 4</t>
  </si>
  <si>
    <t>V, S, M (the heart of a hen or a white feather)</t>
  </si>
  <si>
    <t>1 round/level or 1 round; see text</t>
  </si>
  <si>
    <t>An invisible cone of terror causes each living creature in the area to become panicked unless it succeeds on a Will save. If cornered, a panicked creature begins cowering. If the Will save succeeds, the creature is shaken for 1 round.</t>
  </si>
  <si>
    <t>&lt;p&gt;An invisible cone of terror causes each living creature in the area to become panicked unless it succeeds on a Will save. If cornered, a panicked creature begins cowering. If the Will save succeeds, the creature is shaken for 1 round.&lt;/p&gt;</t>
  </si>
  <si>
    <t>&lt;link rel="stylesheet"href="PF.css"&gt;&lt;div class="heading"&gt;&lt;p class="alignleft"&gt;Fear&lt;/p&gt;&lt;div style="clear: both;"&gt;&lt;/div&gt;&lt;/div&gt;&lt;div&gt;&lt;h5&gt;&lt;b&gt;School &lt;/b&gt;necromancy [fear, mind-affecting, emotion]; &lt;b&gt;Level &lt;/b&gt;bard 3, sorcerer/wizard 4, witch 4, inquisitor 4, antipaladin 4&lt;/h5&gt;&lt;/div&gt;&lt;hr/&gt;&lt;div&gt;&lt;h5&gt;&lt;b&gt;CASTING&lt;/b&gt;&lt;/h5&gt;&lt;/div&gt;&lt;hr/&gt;&lt;div&gt;&lt;h5&gt;&lt;b&gt;Casting Time &lt;/b&gt;1 standard action&lt;/h5&gt;&lt;h5&gt;&lt;b&gt;Components &lt;/b&gt;V, S, M (the heart of a hen or a white feather)&lt;/h5&gt;&lt;/div&gt;&lt;hr/&gt;&lt;div&gt;&lt;h5&gt;&lt;b&gt;EFFECT&lt;/b&gt;&lt;/h5&gt;&lt;/div&gt;&lt;hr/&gt;&lt;div&gt;&lt;h5&gt;&lt;b&gt;Range &lt;/b&gt;30 ft.&lt;/h5&gt;&lt;h5&gt;&lt;b&gt;Area &lt;/b&gt;cone-shaped burst&lt;/h5&gt;&lt;h5&gt;&lt;b&gt;Duration &lt;/b&gt;1 round/level or 1 round; see text&lt;/h5&gt;&lt;h5&gt;&lt;b&gt;Saving Throw &lt;/b&gt;Will partial; &lt;b&gt;Spell Resistance &lt;/b&gt;yes&lt;/h5&gt;&lt;/div&gt;&lt;hr/&gt;&lt;div&gt;&lt;h5&gt;&lt;b&gt;DESCRIPTION&lt;/b&gt;&lt;/h5&gt;&lt;/div&gt;&lt;hr/&gt;&lt;div&gt;&lt;h4&gt;&lt;p&gt;An invisible cone of terror causes each living creature in the area to become panicked unless it succeeds on a Will save. If cornered, a panicked creature begins cowering. If the Will save succeeds, the creature is shaken for 1 round.&lt;/p&gt;&lt;/h4&gt;&lt;/div&gt;</t>
  </si>
  <si>
    <t>Subjects within cone flee for 1 round/level.</t>
  </si>
  <si>
    <t>Hold Animal</t>
  </si>
  <si>
    <t>This spell functions like hold person, except that it affects an animal instead of a humanoid.</t>
  </si>
  <si>
    <t>&lt;p&gt;This spell functions like &lt;i&gt;hold person,&lt;/i&gt; except that it affects an animal instead of a humanoid.&lt;/p&gt;</t>
  </si>
  <si>
    <t>&lt;link rel="stylesheet"href="PF.css"&gt;&lt;div class="heading"&gt;&lt;p class="alignleft"&gt;Hold Animal&lt;/p&gt;&lt;div style="clear: both;"&gt;&lt;/div&gt;&lt;/div&gt;&lt;div&gt;&lt;h5&gt;&lt;b&gt;School &lt;/b&gt;enchantment (compulsion) [mind-affecting]; &lt;b&gt;Level &lt;/b&gt;druid 2, ranger 2&lt;/h5&gt;&lt;/div&gt;&lt;hr/&gt;&lt;div&gt;&lt;h5&gt;&lt;b&gt;CASTING&lt;/b&gt;&lt;/h5&gt;&lt;/div&gt;&lt;hr/&gt;&lt;div&gt;&lt;h5&gt;&lt;b&gt;Casting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ft./level)&lt;/h5&gt;&lt;h5&gt;&lt;b&gt;Targets &lt;/b&gt;one animal&lt;/h5&gt;&lt;h5&gt;&lt;b&gt;Duration &lt;/b&gt;1 round/level ; see text (D)&lt;/h5&gt;&lt;h5&gt;&lt;b&gt;Saving Throw &lt;/b&gt;Will negates; see text; &lt;b&gt;Spell Resistance &lt;/b&gt;yes&lt;/h5&gt;&lt;/div&gt;&lt;hr/&gt;&lt;div&gt;&lt;h5&gt;&lt;b&gt;DESCRIPTION&lt;/b&gt;&lt;/h5&gt;&lt;/div&gt;&lt;hr/&gt;&lt;div&gt;&lt;h4&gt;&lt;p&gt;This spell functions like &lt;i&gt;hold person,&lt;/i&gt; except that it affects an animal instead of a humanoid.&lt;/p&gt;&lt;/h4&gt;&lt;/div&gt;</t>
  </si>
  <si>
    <t>Paralyzes one animal for 1 round/level.</t>
  </si>
  <si>
    <t>Insect Plague</t>
  </si>
  <si>
    <t>cleric 5/oracle 5, druid 5, summoner 4</t>
  </si>
  <si>
    <t>one swarm of wasps per three levels, each of which must be adjacent to at least one other swarm</t>
  </si>
  <si>
    <t>You summon a number of swarms of wasps (one per three levels, to a maximum of six swarms at 18th level, see the Pathfinder RPG Bestiary). The swarms must be summoned so that each one is adjacent to at least one other swarm (that is, the swarms must fill one contiguous area). You may summon the wasp swarms so that they share the area of other creatures. Each swarm attacks any creatures occupying its area. The swarms are stationary after being summoned, and won't pursue creatures that flee.</t>
  </si>
  <si>
    <t>&lt;p&gt;You summon a number of swarms of wasps (one per three levels, to a maximum of six swarms at 18th level, see the &lt;i&gt;Pathfinder RPG Bestiary&lt;/i&gt;). The swarms must be summoned so that each one is adjacent to at least one other swarm (that is, the swarms must fill one contiguous area). You may summon the wasp swarms so that they share the area of other creatures. Each swarm attacks any creatures occupying its area. The swarms are stationary after being summoned, and won't pursue creatures that flee.&lt;/p&gt;</t>
  </si>
  <si>
    <t>&lt;link rel="stylesheet"href="PF.css"&gt;&lt;div class="heading"&gt;&lt;p class="alignleft"&gt;Insect Plague&lt;/p&gt;&lt;div style="clear: both;"&gt;&lt;/div&gt;&lt;/div&gt;&lt;div&gt;&lt;h5&gt;&lt;b&gt;School &lt;/b&gt;conjuration (summoning); &lt;b&gt;Level &lt;/b&gt;cleric 5/oracle 5, druid 5, summoner 4&lt;/h5&gt;&lt;/div&gt;&lt;hr/&gt;&lt;div&gt;&lt;h5&gt;&lt;b&gt;CASTING&lt;/b&gt;&lt;/h5&gt;&lt;/div&gt;&lt;hr/&gt;&lt;div&gt;&lt;h5&gt;&lt;b&gt;Casting Time &lt;/b&gt;1 round&lt;/h5&gt;&lt;h5&gt;&lt;b&gt;Components &lt;/b&gt;V, S, DF&lt;/h5&gt;&lt;/div&gt;&lt;hr/&gt;&lt;div&gt;&lt;h5&gt;&lt;b&gt;EFFECT&lt;/b&gt;&lt;/h5&gt;&lt;/div&gt;&lt;hr/&gt;&lt;div&gt;&lt;h5&gt;&lt;b&gt;Range &lt;/b&gt;long (400 ft. + 40 ft./level)&lt;/h5&gt;&lt;h5&gt;&lt;b&gt;Effect &lt;/b&gt;one swarm of wasps per three levels, each of which must be adjacent to at least one other swarm&lt;/h5&gt;&lt;h5&gt;&lt;b&gt;Duration &lt;/b&gt;1 min./level&lt;/h5&gt;&lt;h5&gt;&lt;b&gt;Saving Throw &lt;/b&gt;none; &lt;b&gt;Spell Resistance &lt;/b&gt;no&lt;/h5&gt;&lt;/div&gt;&lt;hr/&gt;&lt;div&gt;&lt;h5&gt;&lt;b&gt;DESCRIPTION&lt;/b&gt;&lt;/h5&gt;&lt;/div&gt;&lt;hr/&gt;&lt;div&gt;&lt;h4&gt;&lt;p&gt;You summon a number of swarms of wasps (one per three levels, to a maximum of six swarms at 18th level, see the &lt;i&gt;Pathfinder RPG Bestiary&lt;/i&gt;). The swarms must be summoned so that each one is adjacent to at least one other swarm (that is, the swarms must fill one contiguous area). You may summon the wasp swarms so that they share the area of other creatures. Each swarm attacks any creatures occupying its area. The swarms are stationary after being summoned, and won't pursue creatures that flee.&lt;/p&gt;&lt;/h4&gt;&lt;/div&gt;</t>
  </si>
  <si>
    <t>Wasp swarms attack creatures.</t>
  </si>
  <si>
    <t>Baleful Polymorph</t>
  </si>
  <si>
    <t>druid 5, sorcerer/wizard 5, summoner 4, witch 5, magus 5</t>
  </si>
  <si>
    <t>Fortitude negates, Will partial, see text</t>
  </si>
  <si>
    <t>As beast shape III, except that you change the subject into a Small or smaller animal of no more than 1 HD. If the new form would prove fatal to the creature, such as an aquatic creature not in water, the subject gets a +4 bonus on the save. If the spell succeeds, the subject must also make a Will save. If this second save fails, the creature loses its extraordinary, supernatural, and spell-like abilities, loses its ability to cast spells (if it had the ability), and gains the alignment, special abilities, and Intelligence, Wisdom, and Charisma scores of its new form in place of its own. It still retains its class and level (or HD), as well as all benefits deriving therefrom (such as base attack bonus, base save bonuses, and hit points). It retains any class features (other than spellcasting) that aren't extraordinary, supernatural, or spell-like abilities. Any polymorph effects on the target are automatically dispelled when a target fails to resist the effects of baleful polymorph, and as long as baleful polymorph remains in effect, the target cannot use other polymorph spells or effects to assume a new form. Incorporeal or gaseous creatures are immune to baleful polymorph, and a creature with the shapechanger subtype can revert to its natural form as a standard action.</t>
  </si>
  <si>
    <t>&lt;p&gt;As &lt;i&gt;beast shape III&lt;/i&gt;, except that you change the subject into a Small or smaller animal of no more than 1 HD. If the new form would prove fatal to the creature, such as an aquatic creature not in water, the subject gets a +4 bonus on the save.&lt;/p&gt;&lt;p&gt;If the spell succeeds, the subject must also make a Will save. If this second save fails, the creature loses its extraordinary, supernatural, and spell-like abilities, loses its ability to cast spells (if it had the ability), and gains the alignment, special abilities, and Intelligence, Wisdom, and Charisma scores of its new form in place of its own. It still retains its class and level (or HD), as well as all benefits deriving therefrom (such as base attack bonus, base save bonuses, and hit points). It retains any class features (other than spellcasting) that aren't extraordinary, supernatural, or spell-like abilities.&lt;/p&gt;&lt;p&gt;Any polymorph effects on the target are automatically dispelled when a target fails to resist the effects of &lt;i&gt;baleful polymorph&lt;/i&gt;, and as long as &lt;i&gt;baleful polymorph&lt;/i&gt; remains in effect, the target cannot use other polymorph spells or effects to assume a new form. Incorporeal or gaseous creatures are immune to &lt;i&gt;baleful polymorph&lt;/i&gt;, and a creature with the shapechanger subtype can revert to its natural form as a standard action.&lt;/p&gt;</t>
  </si>
  <si>
    <t>&lt;link rel="stylesheet"href="PF.css"&gt;&lt;div class="heading"&gt;&lt;p class="alignleft"&gt;Baleful Polymorph&lt;/p&gt;&lt;div style="clear: both;"&gt;&lt;/div&gt;&lt;/div&gt;&lt;div&gt;&lt;h5&gt;&lt;b&gt;School &lt;/b&gt;transmutation (polymorph); &lt;b&gt;Level &lt;/b&gt;druid 5, sorcerer/wizard 5, summoner 4, witch 5, magus 5&lt;/h5&gt;&lt;/div&gt;&lt;hr/&gt;&lt;div&gt;&lt;h5&gt;&lt;b&gt;CASTING&lt;/b&gt;&lt;/h5&gt;&lt;/div&gt;&lt;hr/&gt;&lt;div&gt;&lt;h5&gt;&lt;b&gt;Casting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&lt;/b&gt;permanent&lt;/h5&gt;&lt;h5&gt;&lt;b&gt;Saving Throw &lt;/b&gt;Fortitude negates, Will partial, see text; &lt;b&gt;Spell Resistance &lt;/b&gt;yes&lt;/h5&gt;&lt;/div&gt;&lt;hr/&gt;&lt;div&gt;&lt;h5&gt;&lt;b&gt;DESCRIPTION&lt;/b&gt;&lt;/h5&gt;&lt;/div&gt;&lt;hr/&gt;&lt;div&gt;&lt;h4&gt;&lt;p&gt;As &lt;i&gt;beast shape III&lt;/i&gt;, except that you change the subject into a Small or smaller animal of no more than 1 HD. If the new form would prove fatal to the creature, such as an aquatic creature not in water, the subject gets a +4 bonus on the save.&lt;/p&gt;&lt;p&gt;If the spell succeeds, the subject must also make a Will save. If this second save fails, the creature loses its extraordinary, supernatural, and spell-like abilities, loses its ability to cast spells (if it had the ability), and gains the alignment, special abilities, and Intelligence, Wisdom, and Charisma scores of its new form in place of its own. It still retains its class and level (or HD), as well as all benefits deriving therefrom (such as base attack bonus, base save bonuses, and hit points). It retains any class features (other than spellcasting) that aren't extraordinary, supernatural, or spell-like abilities.&lt;/p&gt;&lt;p&gt;Any polymorph effects on the target are automatically dispelled when a target fails to resist the effects of &lt;i&gt;baleful polymorph&lt;/i&gt;, and as long as &lt;i&gt;baleful polymorph&lt;/i&gt; remains in effect, the target cannot use other polymorph spells or effects to assume a new form. Incorporeal or gaseous creatures are immune to &lt;i&gt;baleful polymorph&lt;/i&gt;, and a creature with the shapechanger subtype can revert to its natural form as a standard action.&lt;/p&gt;&lt;/h4&gt;&lt;h5&gt;&lt;b&gt;Mythic: &lt;/b&gt;The saving throw changes to Fortitude (partial) and Will (partial). A creature that fails the Fortitude save automatically fails the Will save. A target with the shapechanger subtype that fails its save can't use its shapechanging to shift out of its new form. A creature that succeeds at the Fortitude save is partially transformed into the intended animal. For 1 minute per level, it takes on cosmetic features appropriate to that animal and becomes one size category closer to the animal's size.&lt;/h5&gt;&lt;h5&gt;&lt;b&gt;Augmented (9th)&lt;/b&gt;: If you expend four uses of mythic power, the spell affects all other creatures with 8 Hit Dice or fewer in a 1-mile radius. Affected creatures transform into Small or smaller animals appropriate to the local environment. You can select a number of creatures up to your tier to not be affected.&lt;/h5&gt;&lt;/div&gt;</t>
  </si>
  <si>
    <t>Transforms subject into harmless animal.</t>
  </si>
  <si>
    <t>Prying Eyes</t>
  </si>
  <si>
    <t>You create a number of semitangible, visible magical orbs (called "eyes") equal to 1d4 + your caster level. These eyes move out, scout around, and return as you direct them when casting the spell. Each eye can see 120 feet (normal vision only) in all directions. While the individual eyes are quite fragile, they're small and difficult to spot. Each eye is a Fine construct, about the size of a small apple, that has 1 hit point, AC 18 (+8 bonus for its size), flies at a speed of 30 feet with a +20 bonus on Fly skill checks and a +16 bonus on Stealth skill checks. It has a Perception modifier equal to your caster level (maximum +15) and is subject to illusions, darkness, fog, and any other factors that affect your ability to receive visual information about your surroundings. An eye traveling in darkness must find its way by touch. When you create the eyes, you specify instructions you want them to follow in a command of no more than 25 words. Any knowledge you possess is known by the eyes as well. In order to report their findings, the eyes must return to your hand. Each replays in your mind all it has seen during its existence. It takes an eye 1 round to replay 1 hour of recorded images. After relaying its findings, an eye disappears. If an eye ever gets more than 1 mile away from you, it instantly ceases to exist. However, your link with the eye is such that you won't know if the eye was destroyed because it wandered out of range or because of some other event. The eyes exist for up to 1 hour per caster level or until they return to you. Dispel magic can destroy eyes. Roll separately for each eye caught in an area dispel. Of course, if an eye is sent into darkness, it could hit a wall or similar obstacle and destroy itself.</t>
  </si>
  <si>
    <t>&lt;p&gt;You create a number of semitangible, visible magical orbs (called "eyes") equal to 1d4 + your caster level. These eyes move out, scout around, and return as you direct them when casting the spell. Each eye can see 120 feet (normal vision only) in all directions.&lt;/p&gt;&lt;p&gt;While the individual eyes are quite fragile, they're small and difficult to spot. Each eye is a Fine construct, about the size of a small apple, that has 1 hit point, AC 18 (+8 bonus for its size), flies at a speed of 30 feet with a +20 bonus on Fly skill checks and a +16 bonus on Stealth skill checks. It has a Perception modifier equal to your caster level (maximum +15) and is subject to illusions, darkness, fog, and any other factors that affect your ability to receive visual information about your surroundings. An eye traveling in darkness must find its way by touch.&lt;/p&gt;&lt;p&gt;When you create the eyes, you specify instructions you want them to follow in a command of no more than 25 words. Any knowledge you possess is known by the eyes as well.&lt;/p&gt;&lt;p&gt;In order to report their findings, the eyes must return to your hand. Each replays in your mind all it has seen during its existence.&lt;/p&gt;&lt;p&gt;It takes an eye 1 round to replay 1 hour of recorded images. After relaying its findings, an eye disappears.&lt;/p&gt;&lt;p&gt;If an eye ever gets more than 1 mile away from you, it instantly ceases to exist. However, your link with the eye is such that you won't know if the eye was destroyed because it wandered out of range or because of some other event.&lt;/p&gt;&lt;p&gt;The eyes exist for up to 1 hour per caster level or until they return to you. &lt;i&gt;Dispel magic&lt;/i&gt; can destroy eyes. Roll separately for each eye caught in an area dispel. Of course, if an eye is sent into darkness, it could hit a wall or similar obstacle and destroy itself.&lt;/p&gt;</t>
  </si>
  <si>
    <t>&lt;link rel="stylesheet"href="PF.css"&gt;&lt;div class="heading"&gt;&lt;p class="alignleft"&gt;Prying Eyes&lt;/p&gt;&lt;div style="clear: both;"&gt;&lt;/div&gt;&lt;/div&gt;&lt;div&gt;&lt;h5&gt;&lt;b&gt;School &lt;/b&gt;divination; &lt;b&gt;Level &lt;/b&gt;sorcerer/wizard 5, witch 5&lt;/h5&gt;&lt;/div&gt;&lt;hr/&gt;&lt;div&gt;&lt;h5&gt;&lt;b&gt;CASTING&lt;/b&gt;&lt;/h5&gt;&lt;/div&gt;&lt;hr/&gt;&lt;div&gt;&lt;h5&gt;&lt;b&gt;Casting Time &lt;/b&gt;1 minute&lt;/h5&gt;&lt;h5&gt;&lt;b&gt;Components &lt;/b&gt;V, S, M (a handful of crystal marbles)&lt;/h5&gt;&lt;/div&gt;&lt;hr/&gt;&lt;div&gt;&lt;h5&gt;&lt;b&gt;EFFECT&lt;/b&gt;&lt;/h5&gt;&lt;/div&gt;&lt;hr/&gt;&lt;div&gt;&lt;h5&gt;&lt;b&gt;Range &lt;/b&gt;1 mile&lt;/h5&gt;&lt;h5&gt;&lt;b&gt;Effect &lt;/b&gt;10 or more levitating eyes&lt;/h5&gt;&lt;h5&gt;&lt;b&gt;Duration &lt;/b&gt;1 hour/level; see text (D)&lt;/h5&gt;&lt;h5&gt;&lt;b&gt;Saving Throw &lt;/b&gt;none; &lt;b&gt;Spell Resistance &lt;/b&gt;no&lt;/h5&gt;&lt;/div&gt;&lt;hr/&gt;&lt;div&gt;&lt;h5&gt;&lt;b&gt;DESCRIPTION&lt;/b&gt;&lt;/h5&gt;&lt;/div&gt;&lt;hr/&gt;&lt;div&gt;&lt;h4&gt;&lt;p&gt;You create a number of semitangible, visible magical orbs (called "eyes") equal to 1d4 + your caster level. These eyes move out, scout around, and return as you direct them when casting the spell. Each eye can see 120 feet (normal vision only) in all directions.&lt;/p&gt;&lt;p&gt;While the individual eyes are quite fragile, they're small and difficult to spot. Each eye is a Fine construct, about the size of a small apple, that has 1 hit point, AC 18 (+8 bonus for its size), flies at a speed of 30 feet with a +20 bonus on Fly skill checks and a +16 bonus on Stealth skill checks. It has a Perception modifier equal to your caster level (maximum +15) and is subject to illusions, darkness, fog, and any other factors that affect your ability to receive visual information about your surroundings. An eye traveling in darkness must find its way by touch.&lt;/p&gt;&lt;p&gt;When you create the eyes, you specify instructions you want them to follow in a command of no more than 25 words. Any knowledge you possess is known by the eyes as well.&lt;/p&gt;&lt;p&gt;In order to report their findings, the eyes must return to your hand. Each replays in your mind all it has seen during its existence.&lt;/p&gt;&lt;p&gt;It takes an eye 1 round to replay 1 hour of recorded images. After relaying its findings, an eye disappears.&lt;/p&gt;&lt;p&gt;If an eye ever gets more than 1 mile away from you, it instantly ceases to exist. However, your link with the eye is such that you won't know if the eye was destroyed because it wandered out of range or because of some other event.&lt;/p&gt;&lt;p&gt;The eyes exist for up to 1 hour per caster level or until they return to you. &lt;i&gt;Dispel magic&lt;/i&gt; can destroy eyes. Roll separately for each eye caught in an area dispel. Of course, if an eye is sent into darkness, it could hit a wall or similar obstacle and destroy itself.&lt;/p&gt;&lt;/h4&gt;&lt;/div&gt;</t>
  </si>
  <si>
    <t> 1d4 + 1/level floating eyes scout for you.</t>
  </si>
  <si>
    <t>Instant Summons</t>
  </si>
  <si>
    <t>V, S, M (sapphire worth 1,000 gp)</t>
  </si>
  <si>
    <t>one object weighing 10 lbs. or less whose longest dimension is 6 ft. or less</t>
  </si>
  <si>
    <t>You call some nonliving item directly to your hand from virtually any location. First, you must place your arcane mark on the item. Then you cast this spell, which magically and invisibly inscribes the name of the item on a sapphire worth at least 1,000 gp. Thereafter, you can summon the item by speaking a special word (set by you when the spell is cast) and crushing the gem. The item appears instantly in your hand. Only you can use the gem in this way. If the item is in the possession of another creature, the spell does not work, but you know who the possessor is and roughly where that creature is located when the summons occurs. The inscription on the gem is invisible. It is also unreadable, except by means of a read magic spell, to anyone but you. The item can be summoned from another plane, but only if no other creature has claimed ownership of it.</t>
  </si>
  <si>
    <t>&lt;p&gt;You call some nonliving item directly to your hand from virtually any location.&lt;/p&gt;&lt;p&gt;First, you must place your &lt;i&gt;arcane mark&lt;/i&gt; on the item. Then you cast this spell, which magically and invisibly inscribes the name of the item on a sapphire worth at least 1,000 gp. Thereafter, you can summon the item by speaking a special word (set by you when the spell is cast) and crushing the gem. The item appears instantly in your hand. Only you can use the gem in this way.&lt;/p&gt;&lt;p&gt;If the item is in the possession of another creature, the spell does not work, but you know who the possessor is and roughly where that creature is located when the summons occurs.&lt;/p&gt;&lt;p&gt;The inscription on the gem is invisible. It is also unreadable, except by means of a &lt;i&gt;read magic&lt;/i&gt; spell, to anyone but you.&lt;/p&gt;&lt;p&gt;The item can be summoned from another plane, but only if no other creature has claimed ownership of it.&lt;/p&gt;</t>
  </si>
  <si>
    <t>&lt;link rel="stylesheet"href="PF.css"&gt;&lt;div class="heading"&gt;&lt;p class="alignleft"&gt;Instant Summons&lt;/p&gt;&lt;div style="clear: both;"&gt;&lt;/div&gt;&lt;/div&gt;&lt;div&gt;&lt;h5&gt;&lt;b&gt;School &lt;/b&gt;conjuration (summoning); &lt;b&gt;Level &lt;/b&gt;sorcerer/wizard 7, witch 7&lt;/h5&gt;&lt;/div&gt;&lt;hr/&gt;&lt;div&gt;&lt;h5&gt;&lt;b&gt;CASTING&lt;/b&gt;&lt;/h5&gt;&lt;/div&gt;&lt;hr/&gt;&lt;div&gt;&lt;h5&gt;&lt;b&gt;Casting Time &lt;/b&gt;1 standard action&lt;/h5&gt;&lt;h5&gt;&lt;b&gt;Components &lt;/b&gt;V, S, M (sapphire worth 1,000 gp)&lt;/h5&gt;&lt;/div&gt;&lt;hr/&gt;&lt;div&gt;&lt;h5&gt;&lt;b&gt;EFFECT&lt;/b&gt;&lt;/h5&gt;&lt;/div&gt;&lt;hr/&gt;&lt;div&gt;&lt;h5&gt;&lt;b&gt;Range &lt;/b&gt;see text&lt;/h5&gt;&lt;h5&gt;&lt;b&gt;Targets &lt;/b&gt;one object weighing 10 lbs. or less whose longest dimension is 6 ft. or less&lt;/h5&gt;&lt;h5&gt;&lt;b&gt;Duration &lt;/b&gt;permanent until discharged&lt;/h5&gt;&lt;h5&gt;&lt;b&gt;Saving Throw &lt;/b&gt;none; &lt;b&gt;Spell Resistance &lt;/b&gt;no&lt;/h5&gt;&lt;/div&gt;&lt;hr/&gt;&lt;div&gt;&lt;h5&gt;&lt;b&gt;DESCRIPTION&lt;/b&gt;&lt;/h5&gt;&lt;/div&gt;&lt;hr/&gt;&lt;div&gt;&lt;h4&gt;&lt;p&gt;You call some nonliving item directly to your hand from virtually any location.&lt;/p&gt;&lt;p&gt;First, you must place your &lt;i&gt;arcane mark&lt;/i&gt; on the item. Then you cast this spell, which magically and invisibly inscribes the name of the item on a sapphire worth at least 1,000 gp. Thereafter, you can summon the item by speaking a special word (set by you when the spell is cast) and crushing the gem. The item appears instantly in your hand. Only you can use the gem in this way.&lt;/p&gt;&lt;p&gt;If the item is in the possession of another creature, the spell does not work, but you know who the possessor is and roughly where that creature is located when the summons occurs.&lt;/p&gt;&lt;p&gt;The inscription on the gem is invisible. It is also unreadable, except by means of a &lt;i&gt;read magic&lt;/i&gt; spell, to anyone but you.&lt;/p&gt;&lt;p&gt;The item can be summoned from another plane, but only if no other creature has claimed ownership of it.&lt;/p&gt;&lt;/h4&gt;&lt;/div&gt;</t>
  </si>
  <si>
    <t> Prepared object appears in your hand.</t>
  </si>
  <si>
    <t>Spellcasting Contract, Lesser</t>
  </si>
  <si>
    <t>cleric 5/oracle 5</t>
  </si>
  <si>
    <t>V, S, F (a written contract)</t>
  </si>
  <si>
    <t>willing creature touched</t>
  </si>
  <si>
    <t>permanent until contractually terminated</t>
  </si>
  <si>
    <t>This spell functions exactly like imbue with spell ability, except that you can imbue the target with any spell you have prepared (instead of just abjuration, divination, or conjuration [healing] spells) and the target may have more than one use of the imbued spells, depending upon the arrangements made when it is cast. Casting this spell requires a contract between you and the target, explaining what spells are to be imbued and the circumstances that cause the contract to expire. The contract may be as simple as allowing the target one casting of each of the imbued spells (as per imbue with spell ability), or may continue for multiple days or even indefinitely, with the target regaining use of the imbued spells when you next prepare your own spells. You may include any proviso you see fit, such as requiring the target to pray to Asmodeus each morning, or restricting the target to only casting the imbued spells on himself. If the target does not agree to all the conditions in the contract, this spell fails when cast. The contract (and this spell) automatically expires if you or the target dies. While the contract remains in effect, you gain a profane bonus to your Armor Class, saving throws, and checks equal to the highestlevel spell you have imbued. Once you cast this spell, you cannot prepare a new 5th-level spell to replace it until the contract expires. If the number of 5th-level spells you can cast decreases, and that number drops below your current number of active lesser spellcasting contract spells, the more recently cast imbued spells are dispelled. Unlike imbue with spell ability, how the target uses the spell has no reflection on your alignment or relationship with Asmodeus; the Prince of Darkness accepts that allowing another access to his magic for good may benefit his plans in the long run. Note that unlike imbue with spell ability, you cannot dismiss this spell; you must abide by the contract's termination clause (though the contract may include a proviso for at-will nullification by either or both parties). This spell cannot be combined with imbue with spell ability or similar spells to give a target more spells than the limit. Example: You cast this spell on your 5 HD fighter cohort after negotiating an appropriate contract, imbuing him with the ability to cast cure moderate wounds, magic weapon, and shield of faith once per day for 1 month. If he casts any of these spells, he recovers them when you prepare your spells. Until the contract ends, your 5th-level spell slot used to cast this spell remains expended and cannot be filled with a new spell. Because you imbued your cohort with a 2nd-level spell, you gain a +2 profane bonus to attacks, saves, and checks while the contract remains in effect.</t>
  </si>
  <si>
    <t>&lt;p&gt;This spell functions exactly like &lt;i&gt;imbue with spell ability&lt;/i&gt;, except that you can imbue the target with any spell you have prepared (instead of just abjuration, divination, or conjuration [healing] spells) and the target may have more than one use of the imbued spells, depending upon the arrangements made when it is cast.&lt;/p&gt;&lt;p&gt;Casting this spell requires a contract between you and the target, explaining what spells are to be imbued and the circumstances that cause the contract to expire. The contract may be as simple as allowing the target one casting of each of the imbued spells (as per &lt;i&gt;imbue with spell ability&lt;/i&gt;), or may continue for multiple days or even indefinitely, with the target regaining use of the imbued spells when you next prepare your own spells. You may include any proviso you see fit, such as requiring the target to pray to Asmodeus each morning, or restricting the target to only casting the imbued spells on himself. If the target does not agree to all the conditions in the contract, this spell fails when cast. The contract (and this spell) automatically expires if you or the target dies. While the contract remains in effect, you gain a profane bonus to your Armor Class, saving throws, and checks equal to the highestlevel spell you have imbued.&lt;/p&gt;&lt;p&gt;Once you cast this spell, you cannot prepare a new 5th-level spell to replace it until the contract expires. If the number of 5th-level spells you can cast decreases, and that number drops below your current number of active &lt;i&gt;lesser spellcasting contract&lt;/i&gt; spells, the more recently cast imbued spells are dispelled.&lt;/p&gt;&lt;p&gt;Unlike &lt;i&gt;imbue with spell ability&lt;/i&gt;, how the target uses the spell has no reflection on your alignment or relationship with Asmodeus; the Prince of Darkness accepts that allowing another access to his magic for good may benefit his plans in the long run. Note that unlike &lt;i&gt;imbue with spell ability&lt;/i&gt;, you cannot dismiss this spell; you must abide by the contract's termination clause (though the contract may include a proviso for at-will nullification by either or both parties). This spell cannot be combined with &lt;i&gt;imbue with spell ability&lt;/i&gt; or similar spells to give a target more spells than the limit.&lt;/p&gt;&lt;p&gt;&lt;i&gt;Example:&lt;/i&gt; You cast this spell on your 5 HD fighter cohort after negotiating an appropriate contract, imbuing him with the ability to cast cure moderate wounds, magic weapon, and &lt;i&gt;shield of faith&lt;/i&gt; once per day for 1 month. If he casts any of these spells, he recovers them when you prepare your spells. Until the contract ends, your 5th-level spell slot used to cast this spell remains expended and cannot be filled with a new spell. Because you imbued your cohort with a 2nd-level spell, you gain a +2 profane bonus to attacks, saves, and checks while the contract remains in effect.&lt;/p&gt;</t>
  </si>
  <si>
    <t>AP 29</t>
  </si>
  <si>
    <t>&lt;link rel="stylesheet"href="PF.css"&gt;&lt;div class="heading"&gt;&lt;p class="alignleft"&gt;Spellcasting Contract, Lesser&lt;/p&gt;&lt;div style="clear: both;"&gt;&lt;/div&gt;&lt;/div&gt;&lt;div&gt;&lt;h5&gt;&lt;b&gt;School &lt;/b&gt;evocation; &lt;b&gt;Level &lt;/b&gt;cleric 5/oracle 5 (Asmodeus)&lt;/h5&gt;&lt;/div&gt;&lt;hr/&gt;&lt;div&gt;&lt;h5&gt;&lt;b&gt;CASTING&lt;/b&gt;&lt;/h5&gt;&lt;/div&gt;&lt;hr/&gt;&lt;div&gt;&lt;h5&gt;&lt;b&gt;Casting Time &lt;/b&gt;10 minutes&lt;/h5&gt;&lt;h5&gt;&lt;b&gt;Components &lt;/b&gt;V, S, F (a written contract)&lt;/h5&gt;&lt;/div&gt;&lt;hr/&gt;&lt;div&gt;&lt;h5&gt;&lt;b&gt;EFFECT&lt;/b&gt;&lt;/h5&gt;&lt;/div&gt;&lt;hr/&gt;&lt;div&gt;&lt;h5&gt;&lt;b&gt;Range &lt;/b&gt;touch&lt;/h5&gt;&lt;h5&gt;&lt;b&gt;Targets &lt;/b&gt;willing creature touched&lt;/h5&gt;&lt;h5&gt;&lt;b&gt;Duration &lt;/b&gt;permanent until contractually terminated&lt;/h5&gt;&lt;h5&gt;&lt;b&gt;Saving Throw &lt;/b&gt;Will negates (harmless); &lt;b&gt;Spell Resistance &lt;/b&gt;yes (harmless)&lt;/h5&gt;&lt;/div&gt;&lt;hr/&gt;&lt;div&gt;&lt;h5&gt;&lt;b&gt;DESCRIPTION&lt;/b&gt;&lt;/h5&gt;&lt;/div&gt;&lt;hr/&gt;&lt;div&gt;&lt;h4&gt;&lt;p&gt;This spell functions exactly like &lt;i&gt;imbue with spell ability&lt;/i&gt;, except that you can imbue the target with any spell you have prepared (instead of just abjuration, divination, or conjuration [healing] spells) and the target may have more than one use of the imbued spells, depending upon the arrangements made when it is cast.&lt;/p&gt;&lt;p&gt;Casting this spell requires a contract between you and the target, explaining what spells are to be imbued and the circumstances that cause the contract to expire. The contract may be as simple as allowing the target one casting of each of the imbued spells (as per &lt;i&gt;imbue with spell ability&lt;/i&gt;), or may continue for multiple days or even indefinitely, with the target regaining use of the imbued spells when you next prepare your own spells. You may include any proviso you see fit, such as requiring the target to pray to Asmodeus each morning, or restricting the target to only casting the imbued spells on himself. If the target does not agree to all the conditions in the contract, this spell fails when cast. The contract (and this spell) automatically expires if you or the target dies. While the contract remains in effect, you gain a profane bonus to your Armor Class, saving throws, and checks equal to the highestlevel spell you have imbued.&lt;/p&gt;&lt;p&gt;Once you cast this spell, you cannot prepare a new 5th-level spell to replace it until the contract expires. If the number of 5th-level spells you can cast decreases, and that number drops below your current number of active &lt;i&gt;lesser spellcasting contract&lt;/i&gt; spells, the more recently cast imbued spells are dispelled.&lt;/p&gt;&lt;p&gt;Unlike &lt;i&gt;imbue with spell ability&lt;/i&gt;, how the target uses the spell has no reflection on your alignment or relationship with Asmodeus; the Prince of Darkness accepts that allowing another access to his magic for good may benefit his plans in the long run. Note that unlike &lt;i&gt;imbue with spell ability&lt;/i&gt;, you cannot dismiss this spell; you must abide by the contract's termination clause (though the contract may include a proviso for at-will nullification by either or both parties). This spell cannot be combined with &lt;i&gt;imbue with spell ability&lt;/i&gt; or similar spells to give a target more spells than the limit.&lt;/p&gt;&lt;p&gt;&lt;i&gt;Example:&lt;/i&gt; You cast this spell on your 5 HD fighter cohort after negotiating an appropriate contract, imbuing him with the ability to cast cure moderate wounds, magic weapon, and &lt;i&gt;shield of faith&lt;/i&gt; once per day for 1 month. If he casts any of these spells, he recovers them when you prepare your spells. Until the contract ends, your 5th-level spell slot used to cast this spell remains expended and cannot be filled with a new spell. Because you imbued your cohort with a 2nd-level spell, you gain a +2 profane bonus to attacks, saves, and checks while the contract remains in effect.&lt;/p&gt;&lt;/h4&gt;&lt;/div&gt;</t>
  </si>
  <si>
    <t>Asmodeus</t>
  </si>
  <si>
    <t>Spellcasting Contract</t>
  </si>
  <si>
    <t>This spell functions like lesser spellcasting contract, except if the target has 9 HD or more, you can imbue him with one or two 2ndlevel spells and one 3rd-level spell.</t>
  </si>
  <si>
    <t>&lt;p&gt;This spell functions like &lt;i&gt;lesser spellcasting contract&lt;/i&gt;, except if the target has 9 HD or more, you can imbue him with one or two 2ndlevel spells and one 3rd-level spell.&lt;/p&gt;</t>
  </si>
  <si>
    <t>&lt;link rel="stylesheet"href="PF.css"&gt;&lt;div class="heading"&gt;&lt;p class="alignleft"&gt;Spellcasting Contract&lt;/p&gt;&lt;div style="clear: both;"&gt;&lt;/div&gt;&lt;/div&gt;&lt;div&gt;&lt;h5&gt;&lt;b&gt;School &lt;/b&gt;evocation; &lt;b&gt;Level &lt;/b&gt;cleric 7/oracle 7 (Asmodeus)&lt;/h5&gt;&lt;/div&gt;&lt;hr/&gt;&lt;div&gt;&lt;h5&gt;&lt;b&gt;CASTING&lt;/b&gt;&lt;/h5&gt;&lt;/div&gt;&lt;hr/&gt;&lt;div&gt;&lt;h5&gt;&lt;b&gt;Casting Time &lt;/b&gt;10 minutes&lt;/h5&gt;&lt;h5&gt;&lt;b&gt;Components &lt;/b&gt;V, S, F (a written contract)&lt;/h5&gt;&lt;/div&gt;&lt;hr/&gt;&lt;div&gt;&lt;h5&gt;&lt;b&gt;EFFECT&lt;/b&gt;&lt;/h5&gt;&lt;/div&gt;&lt;hr/&gt;&lt;div&gt;&lt;h5&gt;&lt;b&gt;Range &lt;/b&gt;touch&lt;/h5&gt;&lt;h5&gt;&lt;b&gt;Targets &lt;/b&gt;willing creature touched&lt;/h5&gt;&lt;h5&gt;&lt;b&gt;Duration &lt;/b&gt;permanent until contractually terminated&lt;/h5&gt;&lt;h5&gt;&lt;b&gt;Saving Throw &lt;/b&gt;Will negates (harmless); &lt;b&gt;Spell Resistance &lt;/b&gt;yes (harmless)&lt;/h5&gt;&lt;/div&gt;&lt;hr/&gt;&lt;div&gt;&lt;h5&gt;&lt;b&gt;DESCRIPTION&lt;/b&gt;&lt;/h5&gt;&lt;/div&gt;&lt;hr/&gt;&lt;div&gt;&lt;h4&gt;&lt;p&gt;This spell functions like &lt;i&gt;lesser spellcasting contract&lt;/i&gt;, except if the target has 9 HD or more, you can imbue him with one or two 2ndlevel spells and one 3rd-level spell.&lt;/p&gt;&lt;/h4&gt;&lt;/div&gt;</t>
  </si>
  <si>
    <t>Spellcasting Contract, Greater</t>
  </si>
  <si>
    <t>This spell functions like lesser spellcasting contract, except if the target has 13 HD or more you can imbue him with one or two 4thlevel spells and one 5th-level spell.</t>
  </si>
  <si>
    <t>&lt;p&gt;This spell functions like &lt;i&gt;lesser spellcasting contract&lt;/i&gt;, except if the target has 13 HD or more you can imbue him with one or two 4thlevel spells and one 5th-level spell.&lt;/p&gt;</t>
  </si>
  <si>
    <t>&lt;link rel="stylesheet"href="PF.css"&gt;&lt;div class="heading"&gt;&lt;p class="alignleft"&gt;Spellcasting Contract, Greater&lt;/p&gt;&lt;div style="clear: both;"&gt;&lt;/div&gt;&lt;/div&gt;&lt;div&gt;&lt;h5&gt;&lt;b&gt;School &lt;/b&gt;evocation; &lt;b&gt;Level &lt;/b&gt;cleric 9/oracle 9 (Asmodeus)&lt;/h5&gt;&lt;/div&gt;&lt;hr/&gt;&lt;div&gt;&lt;h5&gt;&lt;b&gt;CASTING&lt;/b&gt;&lt;/h5&gt;&lt;/div&gt;&lt;hr/&gt;&lt;div&gt;&lt;h5&gt;&lt;b&gt;Casting Time &lt;/b&gt;10 minutes&lt;/h5&gt;&lt;h5&gt;&lt;b&gt;Components &lt;/b&gt;V, S, F (a written contract)&lt;/h5&gt;&lt;/div&gt;&lt;hr/&gt;&lt;div&gt;&lt;h5&gt;&lt;b&gt;EFFECT&lt;/b&gt;&lt;/h5&gt;&lt;/div&gt;&lt;hr/&gt;&lt;div&gt;&lt;h5&gt;&lt;b&gt;Range &lt;/b&gt;touch&lt;/h5&gt;&lt;h5&gt;&lt;b&gt;Targets &lt;/b&gt;willing creature touched&lt;/h5&gt;&lt;h5&gt;&lt;b&gt;Duration &lt;/b&gt;permanent until contractually terminated&lt;/h5&gt;&lt;h5&gt;&lt;b&gt;Saving Throw &lt;/b&gt;Will negates (harmless); &lt;b&gt;Spell Resistance &lt;/b&gt;yes (harmless)&lt;/h5&gt;&lt;/div&gt;&lt;hr/&gt;&lt;div&gt;&lt;h5&gt;&lt;b&gt;DESCRIPTION&lt;/b&gt;&lt;/h5&gt;&lt;/div&gt;&lt;hr/&gt;&lt;div&gt;&lt;h4&gt;&lt;p&gt;This spell functions like &lt;i&gt;lesser spellcasting contract&lt;/i&gt;, except if the target has 13 HD or more you can imbue him with one or two 4thlevel spells and one 5th-level spell.&lt;/p&gt;&lt;/h4&gt;&lt;/div&gt;</t>
  </si>
  <si>
    <t>Ancestral Communion</t>
  </si>
  <si>
    <t>V, S, F/DF (stone or metal image of your ancestor)</t>
  </si>
  <si>
    <t>You contact the spirits of your ancestors and use their great wisdom to bolster your own knowledge. Consulting with the spirits is a full-round action. If you consult with the spirits before making a Knowledge check, you gain a +4 insight bonus on the check. If you have already failed at a Knowledge check, you may consult with your ancestors and make another attempt. The insight bonus on these checks increases to +6 at caster level 7th and +8 at caster level 11th. You may consult with the spirits for this purpose as often as you like while the spell remains in effect. Only you can hear the spirits speak to you.</t>
  </si>
  <si>
    <t>&lt;p&gt;You contact the spirits of your ancestors and use their great wisdom to bolster your own knowledge. Consulting with the spirits is a full-round action. If you consult with the spirits before making a Knowledge check, you gain a +4 insight bonus on the check. If you have already failed at a Knowledge check, you may consult with your ancestors and make another attempt. The insight bonus on these checks increases to +6 at caster level 7th and +8 at caster level 11th. You may consult with the spirits for this purpose as often as you like while the spell remains in effect. Only you can hear the spirits speak to you.&lt;/p&gt;</t>
  </si>
  <si>
    <t>Dwarves of Golarion</t>
  </si>
  <si>
    <t>&lt;link rel="stylesheet"href="PF.css"&gt;&lt;div class="heading"&gt;&lt;p class="alignleft"&gt;Ancestral Communion&lt;/p&gt;&lt;div style="clear: both;"&gt;&lt;/div&gt;&lt;/div&gt;&lt;div&gt;&lt;h5&gt;&lt;b&gt;School &lt;/b&gt;divination; &lt;b&gt;Level &lt;/b&gt;bard 2, cleric 2/oracle 2&lt;/h5&gt;&lt;/div&gt;&lt;hr/&gt;&lt;div&gt;&lt;h5&gt;&lt;b&gt;CASTING&lt;/b&gt;&lt;/h5&gt;&lt;/div&gt;&lt;hr/&gt;&lt;div&gt;&lt;h5&gt;&lt;b&gt;Casting Time &lt;/b&gt;1 minute&lt;/h5&gt;&lt;h5&gt;&lt;b&gt;Components &lt;/b&gt;V, S, F/DF (stone or metal image of your ancestor)&lt;/h5&gt;&lt;/div&gt;&lt;hr/&gt;&lt;div&gt;&lt;h5&gt;&lt;b&gt;EFFECT&lt;/b&gt;&lt;/h5&gt;&lt;/div&gt;&lt;hr/&gt;&lt;div&gt;&lt;h5&gt;&lt;b&gt;Range &lt;/b&gt;personal&lt;/h5&gt;&lt;h5&gt;&lt;b&gt;Targets &lt;/b&gt;you&lt;/h5&gt;&lt;h5&gt;&lt;b&gt;Duration &lt;/b&gt;1 minute/level&lt;/h5&gt;&lt;/div&gt;&lt;hr/&gt;&lt;div&gt;&lt;h5&gt;&lt;b&gt;DESCRIPTION&lt;/b&gt;&lt;/h5&gt;&lt;/div&gt;&lt;hr/&gt;&lt;div&gt;&lt;h4&gt;&lt;p&gt;You contact the spirits of your ancestors and use their great wisdom to bolster your own knowledge. Consulting with the spirits is a full-round action. If you consult with the spirits before making a Knowledge check, you gain a +4 insight bonus on the check. If you have already failed at a Knowledge check, you may consult with your ancestors and make another attempt. The insight bonus on these checks increases to +6 at caster level 7th and +8 at caster level 11th. You may consult with the spirits for this purpose as often as you like while the spell remains in effect. Only you can hear the spirits speak to you.&lt;/p&gt;&lt;/h4&gt;&lt;/div&gt;</t>
  </si>
  <si>
    <t>Ancestral Gift</t>
  </si>
  <si>
    <t>bard 4, cleric 4/oracle 4</t>
  </si>
  <si>
    <t>magical weapon</t>
  </si>
  <si>
    <t>10 minutes/level</t>
  </si>
  <si>
    <t>A ghostly manifestation of one of your ancestors appears before you bearing a weapon of your choice in its hands. The weapon may be any simple, martial, or dwarven weapon. It has a +1 enhancement bonus and one weapon special ability (your choice) from the Pathfinder RPG Core Rulebook with a price equivalent to a +1 bonus (if the weapon is a double weapon, the ability and the enhancement bonus only apply to one end, or the weapon can have a +1 enhancement bonus on both ends but no other magical abilities). You may use the weapon as if you were proficient in it. The weapon may not be wielded by anyone else, and if removed from your grasp, it vanishes and the spell ends immediately. If you conjure a weapon with the flaming, frost, shock, or thundering property, this spell has the fire, cold, electricity, or sonic descriptor (respectively).</t>
  </si>
  <si>
    <t>&lt;p&gt;A ghostly manifestation of one of your ancestors appears before you bearing a weapon of your choice in its hands. The weapon may be any simple, martial, or dwarven weapon. It has a +1 enhancement bonus and one weapon special ability (your choice) from the &lt;i&gt;Pathfinder RPG Core Rulebook&lt;/i&gt; with a price equivalent to a +1 bonus (if the weapon is a double weapon, the ability and the enhancement bonus only apply to one end, or the weapon can have a +1 enhancement bonus on both ends but no other magical abilities).&lt;/p&gt;&lt;p&gt;You may use the weapon as if you were proficient in it. The weapon may not be wielded by anyone else, and if removed from your grasp, it vanishes and the spell ends immediately.&lt;/p&gt;&lt;p&gt;If you conjure a weapon with the flaming, frost, shock, or &lt;i&gt;thundering&lt;/i&gt; property, this spell has the fire, cold, electricity, or sonic descriptor (respectively).&lt;/p&gt;</t>
  </si>
  <si>
    <t>&lt;link rel="stylesheet"href="PF.css"&gt;&lt;div class="heading"&gt;&lt;p class="alignleft"&gt;Ancestral Gift&lt;/p&gt;&lt;div style="clear: both;"&gt;&lt;/div&gt;&lt;/div&gt;&lt;div&gt;&lt;h5&gt;&lt;b&gt;School &lt;/b&gt;conjuration (summoning); &lt;b&gt;Level &lt;/b&gt;bard 4, cleric 4/oracle 4&lt;/h5&gt;&lt;/div&gt;&lt;hr/&gt;&lt;div&gt;&lt;h5&gt;&lt;b&gt;CASTING&lt;/b&gt;&lt;/h5&gt;&lt;/div&gt;&lt;hr/&gt;&lt;div&gt;&lt;h5&gt;&lt;b&gt;Casting Time &lt;/b&gt;1 standard action&lt;/h5&gt;&lt;h5&gt;&lt;b&gt;Components &lt;/b&gt;V, S, F/DF (stone or metal image of your ancestor)&lt;/h5&gt;&lt;/div&gt;&lt;hr/&gt;&lt;div&gt;&lt;h5&gt;&lt;b&gt;EFFECT&lt;/b&gt;&lt;/h5&gt;&lt;/div&gt;&lt;hr/&gt;&lt;div&gt;&lt;h5&gt;&lt;b&gt;Range &lt;/b&gt;personal&lt;/h5&gt;&lt;h5&gt;&lt;b&gt;Effect &lt;/b&gt;magical weapon&lt;/h5&gt;&lt;h5&gt;&lt;b&gt;Duration &lt;/b&gt;10 minutes/level&lt;/h5&gt;&lt;/div&gt;&lt;hr/&gt;&lt;div&gt;&lt;h5&gt;&lt;b&gt;DESCRIPTION&lt;/b&gt;&lt;/h5&gt;&lt;/div&gt;&lt;hr/&gt;&lt;div&gt;&lt;h4&gt;&lt;p&gt;A ghostly manifestation of one of your ancestors appears before you bearing a weapon of your choice in its hands. The weapon may be any simple, martial, or dwarven weapon. It has a +1 enhancement bonus and one weapon special ability (your choice) from the &lt;i&gt;Pathfinder RPG Core Rulebook&lt;/i&gt; with a price equivalent to a +1 bonus (if the weapon is a double weapon, the ability and the enhancement bonus only apply to one end, or the weapon can have a +1 enhancement bonus on both ends but no other magical abilities).&lt;/p&gt;&lt;p&gt;You may use the weapon as if you were proficient in it. The weapon may not be wielded by anyone else, and if removed from your grasp, it vanishes and the spell ends immediately.&lt;/p&gt;&lt;p&gt;If you conjure a weapon with the flaming, frost, shock, or &lt;i&gt;thundering&lt;/i&gt; property, this spell has the fire, cold, electricity, or sonic descriptor (respectively).&lt;/p&gt;&lt;/h4&gt;&lt;/div&gt;</t>
  </si>
  <si>
    <t>Summon Ancestral Guardian</t>
  </si>
  <si>
    <t>bard 3, cleric 3/oracle 3</t>
  </si>
  <si>
    <t>two summoned ancestor spirits</t>
  </si>
  <si>
    <t>You call the spirits of two ancestors to manifest in the mortal world and attack your enemies. Each appears as a transparent image of a powerful, wise dwarf armed with a traditional dwarven weapon of your choice. These spirits move and attack at your direction, each having the abilities of a spiritual weapon, except they can attack different targets and deal physical damage (bludgeoning, piercing, or slashing, according to the weapon the spirit wields) instead of force damage. Like creatures conjured with a summon monster spell, your ancestors are not harmed if these manifestations are destroyed.</t>
  </si>
  <si>
    <t>&lt;p&gt;You call the spirits of two ancestors to manifest in the mortal world and attack your enemies. Each appears as a transparent image of a powerful, wise dwarf armed with a traditional dwarven weapon of your choice. These spirits move and attack at your direction, each having the abilities of a &lt;i&gt;spiritual weapon&lt;/i&gt;, except they can attack different targets and deal physical damage (bludgeoning, piercing, or slashing, according to the weapon the spirit wields) instead of force damage. Like creatures conjured with a &lt;i&gt;summon monster&lt;/i&gt; spell, your ancestors are not harmed if these manifestations are destroyed.&lt;/p&gt;</t>
  </si>
  <si>
    <t>&lt;link rel="stylesheet"href="PF.css"&gt;&lt;div class="heading"&gt;&lt;p class="alignleft"&gt;Summon Ancestral Guardian&lt;/p&gt;&lt;div style="clear: both;"&gt;&lt;/div&gt;&lt;/div&gt;&lt;div&gt;&lt;h5&gt;&lt;b&gt;School &lt;/b&gt;conjuration (summoning); &lt;b&gt;Level &lt;/b&gt;bard 3, cleric 3/oracle 3&lt;/h5&gt;&lt;/div&gt;&lt;hr/&gt;&lt;div&gt;&lt;h5&gt;&lt;b&gt;CASTING&lt;/b&gt;&lt;/h5&gt;&lt;/div&gt;&lt;hr/&gt;&lt;div&gt;&lt;h5&gt;&lt;b&gt;Casting Time &lt;/b&gt;1 standard action&lt;/h5&gt;&lt;h5&gt;&lt;b&gt;Components &lt;/b&gt;V, S, F/DF (stone or metal image of your ancestor)&lt;/h5&gt;&lt;/div&gt;&lt;hr/&gt;&lt;div&gt;&lt;h5&gt;&lt;b&gt;EFFECT&lt;/b&gt;&lt;/h5&gt;&lt;/div&gt;&lt;hr/&gt;&lt;div&gt;&lt;h5&gt;&lt;b&gt;Range &lt;/b&gt;medium (100 ft. + 10 ft./level)&lt;/h5&gt;&lt;h5&gt;&lt;b&gt;Effect &lt;/b&gt;two summoned ancestor spirits&lt;/h5&gt;&lt;h5&gt;&lt;b&gt;Duration &lt;/b&gt;1 round/level (D)&lt;/h5&gt;&lt;h5&gt;&lt;b&gt;Saving Throw &lt;/b&gt;none; &lt;b&gt;Spell Resistance &lt;/b&gt;yes&lt;/h5&gt;&lt;/div&gt;&lt;hr/&gt;&lt;div&gt;&lt;h5&gt;&lt;b&gt;DESCRIPTION&lt;/b&gt;&lt;/h5&gt;&lt;/div&gt;&lt;hr/&gt;&lt;div&gt;&lt;h4&gt;&lt;p&gt;You call the spirits of two ancestors to manifest in the mortal world and attack your enemies. Each appears as a transparent image of a powerful, wise dwarf armed with a traditional dwarven weapon of your choice. These spirits move and attack at your direction, each having the abilities of a &lt;i&gt;spiritual weapon&lt;/i&gt;, except they can attack different targets and deal physical damage (bludgeoning, piercing, or slashing, according to the weapon the spirit wields) instead of force damage. Like creatures conjured with a &lt;i&gt;summon monster&lt;/i&gt; spell, your ancestors are not harmed if these manifestations are destroyed.&lt;/p&gt;&lt;/h4&gt;&lt;/div&gt;</t>
  </si>
  <si>
    <t>See Through Stone</t>
  </si>
  <si>
    <t>You gain the ability to see through solid rock as if it were transparent glass. You may see through 1 foot of stone per caster level. You see within the stone as if you were looking at the area in normal light, even if there is no illumination, though low-light vision and darkvision have no effect on your ability to see through stone. Metal at least 1 inch thick or wood or dirt at least 3 feet thick blocks your vision. The spell does not negate concealment for those creatures hiding behind stone objects (the stone is still an obstacle to your attacks).</t>
  </si>
  <si>
    <t>&lt;p&gt;You gain the ability to see through solid rock as if it were transparent glass. You may see through 1 foot of stone per caster level. You see within the stone as if you were looking at the area in normal light, even if there is no illumination, though low-light vision and darkvision have no effect on your ability to see through stone. Metal at least 1 inch thick or wood or dirt at least 3 feet thick blocks your vision.&lt;/p&gt;&lt;p&gt;The spell does not negate concealment for those creatures hiding behind stone objects (the stone is still an obstacle to your attacks).&lt;/p&gt;</t>
  </si>
  <si>
    <t>&lt;link rel="stylesheet"href="PF.css"&gt;&lt;div class="heading"&gt;&lt;p class="alignleft"&gt;See Through Stone&lt;/p&gt;&lt;div style="clear: both;"&gt;&lt;/div&gt;&lt;/div&gt;&lt;div&gt;&lt;h5&gt;&lt;b&gt;School &lt;/b&gt;divination; &lt;b&gt;Level &lt;/b&gt;druid 4, ranger 3&lt;/h5&gt;&lt;/div&gt;&lt;hr/&gt;&lt;div&gt;&lt;h5&gt;&lt;b&gt;CASTING&lt;/b&gt;&lt;/h5&gt;&lt;/div&gt;&lt;hr/&gt;&lt;div&gt;&lt;h5&gt;&lt;b&gt;Casting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 touched&lt;/h5&gt;&lt;h5&gt;&lt;b&gt;Duration &lt;/b&gt;concentration, up to 1 round/level (D)&lt;/h5&gt;&lt;h5&gt;&lt;b&gt;Saving Throw &lt;/b&gt;Will negates (harmless); &lt;b&gt;Spell Resistance &lt;/b&gt;yes (harmless)&lt;/h5&gt;&lt;/div&gt;&lt;hr/&gt;&lt;div&gt;&lt;h5&gt;&lt;b&gt;DESCRIPTION&lt;/b&gt;&lt;/h5&gt;&lt;/div&gt;&lt;hr/&gt;&lt;div&gt;&lt;h4&gt;&lt;p&gt;You gain the ability to see through solid rock as if it were transparent glass. You may see through 1 foot of stone per caster level. You see within the stone as if you were looking at the area in normal light, even if there is no illumination, though low-light vision and darkvision have no effect on your ability to see through stone. Metal at least 1 inch thick or wood or dirt at least 3 feet thick blocks your vision.&lt;/p&gt;&lt;p&gt;The spell does not negate concealment for those creatures hiding behind stone objects (the stone is still an obstacle to your attacks).&lt;/p&gt;&lt;/h4&gt;&lt;/div&gt;</t>
  </si>
  <si>
    <t>Rune of Durability</t>
  </si>
  <si>
    <t>V, S, M (iron filings)</t>
  </si>
  <si>
    <t>You inscribe an angular rune upon the surface of a weapon, increasing its hit points. A weapon that bears this rune multiplies its hit points by 2, as if it were one size category larger than it actually is. Placing more than one rune of this type on a weapon has no effect.</t>
  </si>
  <si>
    <t>&lt;p&gt;You inscribe an angular rune upon the surface of a weapon, increasing its hit points. A weapon that bears this rune multiplies its hit points by 2, as if it were one size category larger than it actually is. Placing more than one rune of this type on a weapon has no effect.&lt;/p&gt;</t>
  </si>
  <si>
    <t>&lt;link rel="stylesheet"href="PF.css"&gt;&lt;div class="heading"&gt;&lt;p class="alignleft"&gt;Rune of Durability&lt;/p&gt;&lt;div style="clear: both;"&gt;&lt;/div&gt;&lt;/div&gt;&lt;div&gt;&lt;h5&gt;&lt;b&gt;School &lt;/b&gt;transmutation; &lt;b&gt;Level &lt;/b&gt;sorcerer/wizard 3&lt;/h5&gt;&lt;/div&gt;&lt;hr/&gt;&lt;div&gt;&lt;h5&gt;&lt;b&gt;CASTING&lt;/b&gt;&lt;/h5&gt;&lt;/div&gt;&lt;hr/&gt;&lt;div&gt;&lt;h5&gt;&lt;b&gt;Casting Time &lt;/b&gt;1 minute&lt;/h5&gt;&lt;h5&gt;&lt;b&gt;Components &lt;/b&gt;V, S, M (iron filings)&lt;/h5&gt;&lt;/div&gt;&lt;hr/&gt;&lt;div&gt;&lt;h5&gt;&lt;b&gt;EFFECT&lt;/b&gt;&lt;/h5&gt;&lt;/div&gt;&lt;hr/&gt;&lt;div&gt;&lt;h5&gt;&lt;b&gt;Range &lt;/b&gt;touch&lt;/h5&gt;&lt;h5&gt;&lt;b&gt;Targets &lt;/b&gt;weapon touched&lt;/h5&gt;&lt;h5&gt;&lt;b&gt;Duration &lt;/b&gt;permanent&lt;/h5&gt;&lt;h5&gt;&lt;b&gt;Saving Throw &lt;/b&gt;none; &lt;b&gt;Spell Resistance &lt;/b&gt;no&lt;/h5&gt;&lt;/div&gt;&lt;hr/&gt;&lt;div&gt;&lt;h5&gt;&lt;b&gt;DESCRIPTION&lt;/b&gt;&lt;/h5&gt;&lt;/div&gt;&lt;hr/&gt;&lt;div&gt;&lt;h4&gt;&lt;p&gt;You inscribe an angular rune upon the surface of a weapon, increasing its hit points. A weapon that bears this rune multiplies its hit points by 2, as if it were one size category larger than it actually is. Placing more than one rune of this type on a weapon has no effect.&lt;/p&gt;&lt;/h4&gt;&lt;/div&gt;</t>
  </si>
  <si>
    <t>Rune of Warding</t>
  </si>
  <si>
    <t>V, S, M (powdered adamantine, diamond, or mithral worth 200 gp)</t>
  </si>
  <si>
    <t>doorway or portal touched</t>
  </si>
  <si>
    <t>no (object) and yes (see text)</t>
  </si>
  <si>
    <t>You inscribe a series of runes upon the surface of a door or around the border of an entryway. They function as a glyph of warding (blast glyph), though unlike a glyph of warding, these runes are always visible. The runes count as a glyph of warding for the purpose of what spells can defeat it, placing multiple glyphs in the same area, and so on.</t>
  </si>
  <si>
    <t>&lt;p&gt;You inscribe a series of runes upon the surface of a door or around the border of an entryway. They function as a &lt;i&gt;glyph of warding&lt;/i&gt; (blast glyph), though unlike a &lt;i&gt;glyph of warding&lt;/i&gt;, these runes are always visible. The runes count as a &lt;i&gt;glyph of warding&lt;/i&gt; for the purpose of what spells can defeat it, placing multiple glyphs in the same area, and so on.&lt;/p&gt;</t>
  </si>
  <si>
    <t>&lt;link rel="stylesheet"href="PF.css"&gt;&lt;div class="heading"&gt;&lt;p class="alignleft"&gt;Rune of Warding&lt;/p&gt;&lt;div style="clear: both;"&gt;&lt;/div&gt;&lt;/div&gt;&lt;div&gt;&lt;h5&gt;&lt;b&gt;School &lt;/b&gt;abjuration; &lt;b&gt;Level &lt;/b&gt;sorcerer/wizard 3&lt;/h5&gt;&lt;/div&gt;&lt;hr/&gt;&lt;div&gt;&lt;h5&gt;&lt;b&gt;CASTING&lt;/b&gt;&lt;/h5&gt;&lt;/div&gt;&lt;hr/&gt;&lt;div&gt;&lt;h5&gt;&lt;b&gt;Casting Time &lt;/b&gt;1 hour&lt;/h5&gt;&lt;h5&gt;&lt;b&gt;Components &lt;/b&gt;V, S, M (powdered adamantine, diamond, or mithral worth 200 gp)&lt;/h5&gt;&lt;/div&gt;&lt;hr/&gt;&lt;div&gt;&lt;h5&gt;&lt;b&gt;EFFECT&lt;/b&gt;&lt;/h5&gt;&lt;/div&gt;&lt;hr/&gt;&lt;div&gt;&lt;h5&gt;&lt;b&gt;Range &lt;/b&gt;touch&lt;/h5&gt;&lt;h5&gt;&lt;b&gt;Targets &lt;/b&gt;doorway or portal touched&lt;/h5&gt;&lt;h5&gt;&lt;b&gt;Duration &lt;/b&gt;permanent until discharged (D)&lt;/h5&gt;&lt;h5&gt;&lt;b&gt;Saving Throw &lt;/b&gt;Reflex half; &lt;b&gt;Spell Resistance &lt;/b&gt;no (object) and yes (see text)&lt;/h5&gt;&lt;/div&gt;&lt;hr/&gt;&lt;div&gt;&lt;h5&gt;&lt;b&gt;DESCRIPTION&lt;/b&gt;&lt;/h5&gt;&lt;/div&gt;&lt;hr/&gt;&lt;div&gt;&lt;h4&gt;&lt;p&gt;You inscribe a series of runes upon the surface of a door or around the border of an entryway. They function as a &lt;i&gt;glyph of warding&lt;/i&gt; (blast glyph), though unlike a &lt;i&gt;glyph of warding&lt;/i&gt;, these runes are always visible. The runes count as a &lt;i&gt;glyph of warding&lt;/i&gt; for the purpose of what spells can defeat it, placing multiple glyphs in the same area, and so on.&lt;/p&gt;&lt;/h4&gt;&lt;/div&gt;</t>
  </si>
  <si>
    <t>Detect Charm</t>
  </si>
  <si>
    <t>bard 1, cleric 1/oracle 1, paladin 1, sorcerer/wizard 1</t>
  </si>
  <si>
    <t>concentration, up to 1 minute/level</t>
  </si>
  <si>
    <t>As detect magic, except you immediately detect the strength and location of each charm, compulsion, and possession aura on all creatures in the area. You can attempt to identify the properties of each aura (see Spellcraft in the Pathfinder RPG Core Rulebook). In addition to noticing the targets of these effects, you can recognize when creatures in the area are using these effects on others by making a Sense Motive check as a standard action (DC 20 + caster level). If you succeed, you may make a Spellcraft check to identify what magic it is using (even if the target is not in the area).</t>
  </si>
  <si>
    <t>&lt;p&gt;As &lt;i&gt;detect magic&lt;/i&gt;, except you immediately detect the strength and location of each charm, compulsion, and possession aura on all creatures in the area. You can attempt to identify the properties of each aura (see Spellcraft in the &lt;i&gt;Pathfinder RPG Core Rulebook&lt;/i&gt;).&lt;/p&gt;&lt;p&gt;In addition to noticing the targets of these effects, you can recognize when creatures in the area are using these effects on others by making a Sense Motive check as a standard action (DC 20 + caster level). If you succeed, you may make a Spellcraft check to identify what magic it is using (even if the target is not in the area).&lt;/p&gt;</t>
  </si>
  <si>
    <t>Andoran</t>
  </si>
  <si>
    <t>&lt;link rel="stylesheet"href="PF.css"&gt;&lt;div class="heading"&gt;&lt;p class="alignleft"&gt;Detect Charm&lt;/p&gt;&lt;div style="clear: both;"&gt;&lt;/div&gt;&lt;/div&gt;&lt;div&gt;&lt;h5&gt;&lt;b&gt;School &lt;/b&gt;divination; &lt;b&gt;Level &lt;/b&gt;bard 1, cleric 1/oracle 1, paladin 1, sorcerer/wizard 1&lt;/h5&gt;&lt;/div&gt;&lt;hr/&gt;&lt;div&gt;&lt;h5&gt;&lt;b&gt;CASTING&lt;/b&gt;&lt;/h5&gt;&lt;/div&gt;&lt;hr/&gt;&lt;div&gt;&lt;h5&gt;&lt;b&gt;Casting Time &lt;/b&gt;1 standard action&lt;/h5&gt;&lt;h5&gt;&lt;b&gt;Components &lt;/b&gt;V, S&lt;/h5&gt;&lt;/div&gt;&lt;hr/&gt;&lt;div&gt;&lt;h5&gt;&lt;b&gt;EFFECT&lt;/b&gt;&lt;/h5&gt;&lt;/div&gt;&lt;hr/&gt;&lt;div&gt;&lt;h5&gt;&lt;b&gt;Range &lt;/b&gt;60 ft.&lt;/h5&gt;&lt;h5&gt;&lt;b&gt;Area &lt;/b&gt;cone-shaped emanation&lt;/h5&gt;&lt;h5&gt;&lt;b&gt;Duration &lt;/b&gt;concentration, up to 1 minute/level (D)&lt;/h5&gt;&lt;/div&gt;&lt;hr/&gt;&lt;div&gt;&lt;h5&gt;&lt;b&gt;DESCRIPTION&lt;/b&gt;&lt;/h5&gt;&lt;/div&gt;&lt;hr/&gt;&lt;div&gt;&lt;h4&gt;&lt;p&gt;As &lt;i&gt;detect magic&lt;/i&gt;, except you immediately detect the strength and location of each charm, compulsion, and possession aura on all creatures in the area. You can attempt to identify the properties of each aura (see Spellcraft in the &lt;i&gt;Pathfinder RPG Core Rulebook&lt;/i&gt;).&lt;/p&gt;&lt;p&gt;In addition to noticing the targets of these effects, you can recognize when creatures in the area are using these effects on others by making a Sense Motive check as a standard action (DC 20 + caster level). If you succeed, you may make a Spellcraft check to identify what magic it is using (even if the target is not in the area).&lt;/p&gt;&lt;/h4&gt;&lt;/div&gt;</t>
  </si>
  <si>
    <t>Liberating Comand</t>
  </si>
  <si>
    <t>bard 1, cleric 1/oracle 1, druid 1, paladin 1, ranger 1, sorcerer/wizard 1</t>
  </si>
  <si>
    <t>If the target is bound, grappled, or otherwise restrained, he may make an Escape Artist check to escape as an immediate action. He gains a competence bonus on this check equal to twice your caster level (maximum +20). This spell has no effect if the target could not get free by using the Escape Artist skill (for example, if he were under the effects of a hold person spell or paralyzed by Strength damage).</t>
  </si>
  <si>
    <t>&lt;p&gt;If the target is bound, grappled, or otherwise restrained, he may make an Escape Artist check to escape as an immediate action. He gains a competence bonus on this check equal to twice your caster level (maximum +20). This spell has no effect if the target could not get free by using the Escape Artist skill (for example, if he were under the effects of &lt;i&gt;a hold person&lt;/i&gt; spell or paralyzed by Strength damage).&lt;/p&gt;</t>
  </si>
  <si>
    <t>&lt;link rel="stylesheet"href="PF.css"&gt;&lt;div class="heading"&gt;&lt;p class="alignleft"&gt;Liberating Comand&lt;/p&gt;&lt;div style="clear: both;"&gt;&lt;/div&gt;&lt;/div&gt;&lt;div&gt;&lt;h5&gt;&lt;b&gt;School &lt;/b&gt;transmutation; &lt;b&gt;Level &lt;/b&gt;bard 1, cleric 1/oracle 1, druid 1, paladin 1, ranger 1, sorcerer/wizard 1&lt;/h5&gt;&lt;/div&gt;&lt;hr/&gt;&lt;div&gt;&lt;h5&gt;&lt;b&gt;CASTING&lt;/b&gt;&lt;/h5&gt;&lt;/div&gt;&lt;hr/&gt;&lt;div&gt;&lt;h5&gt;&lt;b&gt;Casting Time &lt;/b&gt;1 immediate action&lt;/h5&gt;&lt;h5&gt;&lt;b&gt;Components &lt;/b&gt;V&lt;/h5&gt;&lt;/div&gt;&lt;hr/&gt;&lt;div&gt;&lt;h5&gt;&lt;b&gt;EFFECT&lt;/b&gt;&lt;/h5&gt;&lt;/div&gt;&lt;hr/&gt;&lt;div&gt;&lt;h5&gt;&lt;b&gt;Range &lt;/b&gt;close (25 ft. + 5 ft./2 levels)&lt;/h5&gt;&lt;h5&gt;&lt;b&gt;Targets &lt;/b&gt;one creature&lt;/h5&gt;&lt;h5&gt;&lt;b&gt;Duration &lt;/b&gt;instantaneous&lt;/h5&gt;&lt;h5&gt;&lt;b&gt;Saving Throw &lt;/b&gt;Will negates (harmless); &lt;b&gt;Spell Resistance &lt;/b&gt;yes (harmless)&lt;/h5&gt;&lt;/div&gt;&lt;hr/&gt;&lt;div&gt;&lt;h5&gt;&lt;b&gt;DESCRIPTION&lt;/b&gt;&lt;/h5&gt;&lt;/div&gt;&lt;hr/&gt;&lt;div&gt;&lt;h4&gt;&lt;p&gt;If the target is bound, grappled, or otherwise restrained, he may make an Escape Artist check to escape as an immediate action. He gains a competence bonus on this check equal to twice your caster level (maximum +20). This spell has no effect if the target could not get free by using the Escape Artist skill (for example, if he were under the effects of &lt;i&gt;a hold person&lt;/i&gt; spell or paralyzed by Strength damage).&lt;/p&gt;&lt;/h4&gt;&lt;/div&gt;</t>
  </si>
  <si>
    <t>Suppres Charms and Compulsions</t>
  </si>
  <si>
    <t>bard 2, cleric 2/oracle 2, paladin 2, sorcerer/wizard 2</t>
  </si>
  <si>
    <t>one creature plus one additional creature per 4 levels, no two of which can be more than 30 ft. apart</t>
  </si>
  <si>
    <t>As remove fear, except the targets gain a +4 morale bonus on saves against charm and compulsion effects, and charms and compulsions in effect on the targets are suppressed for the duration of the spell.</t>
  </si>
  <si>
    <t>&lt;p&gt;As &lt;i&gt;remove fear&lt;/i&gt;, except the targets gain a +4 morale bonus on saves against charm and compulsion effects, and charms and compulsions in effect on the targets are suppressed for the duration of the spell.&lt;/p&gt;</t>
  </si>
  <si>
    <t>&lt;link rel="stylesheet"href="PF.css"&gt;&lt;div class="heading"&gt;&lt;p class="alignleft"&gt;Suppres Charms and Compulsions&lt;/p&gt;&lt;div style="clear: both;"&gt;&lt;/div&gt;&lt;/div&gt;&lt;div&gt;&lt;h5&gt;&lt;b&gt;School &lt;/b&gt;abjuration; &lt;b&gt;Level &lt;/b&gt;bard 2, cleric 2/oracle 2, paladin 2, sorcerer/wizard 2&lt;/h5&gt;&lt;/div&gt;&lt;hr/&gt;&lt;div&gt;&lt;h5&gt;&lt;b&gt;CASTING&lt;/b&gt;&lt;/h5&gt;&lt;/div&gt;&lt;hr/&gt;&lt;div&gt;&lt;h5&gt;&lt;b&gt;Casting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 plus one additional creature per 4 levels, no two of which can be more than 30 ft. apart&lt;/h5&gt;&lt;h5&gt;&lt;b&gt;Duration &lt;/b&gt;10 minutes; see text&lt;/h5&gt;&lt;h5&gt;&lt;b&gt;Saving Throw &lt;/b&gt;Will negates (harmless); &lt;b&gt;Spell Resistance &lt;/b&gt;yes (harmless)&lt;/h5&gt;&lt;/div&gt;&lt;hr/&gt;&lt;div&gt;&lt;h5&gt;&lt;b&gt;DESCRIPTION&lt;/b&gt;&lt;/h5&gt;&lt;/div&gt;&lt;hr/&gt;&lt;div&gt;&lt;h4&gt;&lt;p&gt;As &lt;i&gt;remove fear&lt;/i&gt;, except the targets gain a +4 morale bonus on saves against charm and compulsion effects, and charms and compulsions in effect on the targets are suppressed for the duration of the spell.&lt;/p&gt;&lt;/h4&gt;&lt;/div&gt;</t>
  </si>
  <si>
    <t>Summon Flight of Eagles</t>
  </si>
  <si>
    <t>druid 6, ranger 4, sorcerer/wizard 6</t>
  </si>
  <si>
    <t>V, S, F (a gold feather worth 100 gp)</t>
  </si>
  <si>
    <t>1d4+1 summoned creatures</t>
  </si>
  <si>
    <t>You summon 1d4+1 giant eagles to serve as mounts for creatures you designate. The summoned birds do not fight independently, but they willingly carry their riders into battle as if trained for combat.</t>
  </si>
  <si>
    <t>&lt;p&gt;You summon 1d4+1 giant eagles to serve as mounts for creatures you designate. The summoned birds do not fight independently, but they willingly carry their riders into battle as if trained for combat.&lt;/p&gt;</t>
  </si>
  <si>
    <t>&lt;link rel="stylesheet"href="PF.css"&gt;&lt;div class="heading"&gt;&lt;p class="alignleft"&gt;Summon Flight of Eagles&lt;/p&gt;&lt;div style="clear: both;"&gt;&lt;/div&gt;&lt;/div&gt;&lt;div&gt;&lt;h5&gt;&lt;b&gt;School &lt;/b&gt;conjuration (summoning); &lt;b&gt;Level &lt;/b&gt;druid 6, ranger 4, sorcerer/wizard 6&lt;/h5&gt;&lt;/div&gt;&lt;hr/&gt;&lt;div&gt;&lt;h5&gt;&lt;b&gt;CASTING&lt;/b&gt;&lt;/h5&gt;&lt;/div&gt;&lt;hr/&gt;&lt;div&gt;&lt;h5&gt;&lt;b&gt;Casting Time &lt;/b&gt;1 round&lt;/h5&gt;&lt;h5&gt;&lt;b&gt;Components &lt;/b&gt;V, S, F (a gold feather worth 100 gp)&lt;/h5&gt;&lt;/div&gt;&lt;hr/&gt;&lt;div&gt;&lt;h5&gt;&lt;b&gt;EFFECT&lt;/b&gt;&lt;/h5&gt;&lt;/div&gt;&lt;hr/&gt;&lt;div&gt;&lt;h5&gt;&lt;b&gt;Range &lt;/b&gt;close (25 ft. + 5 ft./2 levels)&lt;/h5&gt;&lt;h5&gt;&lt;b&gt;Effect &lt;/b&gt;1d4+1 summoned creatures&lt;/h5&gt;&lt;h5&gt;&lt;b&gt;Duration &lt;/b&gt;1 minute/level&lt;/h5&gt;&lt;h5&gt;&lt;b&gt;Saving Throw &lt;/b&gt;none; &lt;b&gt;Spell Resistance &lt;/b&gt;no&lt;/h5&gt;&lt;/div&gt;&lt;hr/&gt;&lt;div&gt;&lt;h5&gt;&lt;b&gt;DESCRIPTION&lt;/b&gt;&lt;/h5&gt;&lt;/div&gt;&lt;hr/&gt;&lt;div&gt;&lt;h4&gt;&lt;p&gt;You summon 1d4+1 giant eagles to serve as mounts for creatures you designate. The summoned birds do not fight independently, but they willingly carry their riders into battle as if trained for combat.&lt;/p&gt;&lt;/h4&gt;&lt;/div&gt;</t>
  </si>
  <si>
    <t>Genius Avaricious</t>
  </si>
  <si>
    <t>V, S, M (valuable offerings; see text), F (one gold coin)</t>
  </si>
  <si>
    <t>a vestige of the archdevil Mammon imbues a coin with a negotiable degree of power</t>
  </si>
  <si>
    <t>instantaneous (see text)</t>
  </si>
  <si>
    <t>Casting this spell constitutes performing a rite of sacrifice to the archdevil Mammon, making an offering to the Lord of Erebus and channeling a measure of his disembodied might into a single coin. The power and abilities of this vestige correspond directly to the value of the offering, allowing for three distinct effects. Corrupted Coin: Making a sacrifice worth 1,500 gp corrupts the focus into a "lucky" or "unlucky" coin as per the caster's will for 1 month. Any creature that bears the coin gains a bonus or penalty (decided by the caster at the time of casting) on all Appraise, Bluff, Craft, and Profession checks. This bonus or penalty is equal to 1 per 3 caster levels (maximum +5 at 15th level). In addition, the coin can produce an effect similar to the spell augury once per day-its ?ip producing a weal (heads), woe (tails), or nothing result (landing on the edge). Potentially unknown to the bearer (if different from the caster), the caster can telepathically hear any question asked of the coin and, as a free action, influence the result as he chooses. Mammon's Mantle: Making a sacrifice worth 3,000 gp transforms the coin into a kind of infernal aegis for any who swallow the coin. Upon ingesting the coin, the target gains a bonus to Charisma equal to +1 per 3 caster levels (maximum +5 at 15th level). The bearer's blood also takes on a hue like liquid gold and runs slowly, granting him immunity to poison, disease, and aging effects, and causing him to automatically stabilize if reduced to fewer than 0 hit points. Additionally, the bearer can eat gold to heal himself, regaining 1 hit point for every 20 gold pieces he consumes (materials other than gold provide no bene?t). The coin's effects last for 1 day per caster level. Gold Guardian: Making a sacrifice worth 6,000 gp allows the focus coin to animate nearby coins. When cast into a pile of 100,000 coins, an animate hoard forms under the control of the caster. The guardian serves for 1 month. After this month, coins begin disappearing from the guardian at a rate of 100 gp per day, reducing the creature's hit points by 1 per day. When the guardian's hit points reach 0, the guardian collapses and the focus coin is destroyed. Coins lost from the guardian can be replaced, restoring any lost hit points. In addition to the effects of any of these offerings, should the focus coin be swallowed, any being sired or conceived by the creature while the magic is in effect is born as a tie?ing (bearing an indirect relation to Mammon himself).</t>
  </si>
  <si>
    <t>&lt;p&gt;Casting this spell constitutes performing a rite of sacrifice to the archdevil Mammon, making an offering to the Lord of Erebus and channeling a measure of his disembodied might into a single coin. The power and abilities of this vestige correspond directly to the value of the offering, allowing for three distinct effects.&lt;/p&gt;&lt;p&gt; Corrupted Coin: Making a sacrifice worth 1,500 gp corrupts the focus into a "lucky" or "unlucky" coin as per the caster's will for 1 month. Any creature that bears the coin gains a bonus or penalty (decided by the caster at the time of casting) on all Appraise, Bluff, Craft, and Profession checks. This bonus or penalty is equal to 1 per 3 caster levels (maximum +5 at 15th level). In addition, the coin can produce an effect similar to the spell augury once per day-its ?ip producing a weal (heads), woe (tails), or nothing result (landing on the edge). Potentially unknown to the bearer (if different from the caster), the caster can telepathically hear any question asked of the coin and, as a free action, influence the result as he chooses.&lt;/p&gt;&lt;p&gt; Mammon's Mantle: Making a sacrifice worth 3,000 gp transforms the coin into a kind of infernal aegis for any who swallow the coin. Upon ingesting the coin, the target gains a bonus to Charisma equal to +1 per 3 caster levels (maximum +5 at 15th level). The bearer's blood also takes on a hue like liquid gold and runs slowly, granting him immunity to poison, disease, and aging effects, and causing him to automatically stabilize if reduced to fewer than 0 hit points. Additionally, the bearer can eat gold to heal himself, regaining 1 hit point for every 20 gold pieces he consumes (materials other than gold provide no bene?t). The coin's effects last for 1 day per caster level.&lt;/p&gt;&lt;p&gt; Gold Guardian: Making a sacrifice worth 6,000 gp allows the focus coin to animate nearby coins. When cast into a pile of 100,000 coins, an animate hoard forms under the control of the caster. The guardian serves for 1 month. After this month, coins begin disappearing from the guardian at a rate of 100 gp per day, reducing the creature's hit points by 1 per day. When the guardian's hit points reach 0, the guardian collapses and the focus coin is destroyed. Coins lost from the guardian can be replaced, restoring any lost hit points.&lt;/p&gt;&lt;p&gt; In addition to the effects of any of these offerings, should the focus coin be swallowed, any being sired or conceived by the creature while the magic is in effect is born as a tie?ing (bearing an indirect relation to Mammon himself).&lt;/p&gt;</t>
  </si>
  <si>
    <t>AP 30</t>
  </si>
  <si>
    <t>&lt;link rel="stylesheet"href="PF.css"&gt;&lt;div class="heading"&gt;&lt;p class="alignleft"&gt;Genius Avaricious&lt;/p&gt;&lt;div style="clear: both;"&gt;&lt;/div&gt;&lt;/div&gt;&lt;div&gt;&lt;h5&gt;&lt;b&gt;School &lt;/b&gt;conjuration (creation) [evil]; &lt;b&gt;Level &lt;/b&gt;cleric 6/oracle 6, sorcerer/wizard 6&lt;/h5&gt;&lt;/div&gt;&lt;hr/&gt;&lt;div&gt;&lt;h5&gt;&lt;b&gt;CASTING&lt;/b&gt;&lt;/h5&gt;&lt;/div&gt;&lt;hr/&gt;&lt;div&gt;&lt;h5&gt;&lt;b&gt;Casting Time &lt;/b&gt;10 minutes&lt;/h5&gt;&lt;h5&gt;&lt;b&gt;Components &lt;/b&gt;V, S, M (valuable offerings; see text), F (one gold coin)&lt;/h5&gt;&lt;/div&gt;&lt;hr/&gt;&lt;div&gt;&lt;h5&gt;&lt;b&gt;EFFECT&lt;/b&gt;&lt;/h5&gt;&lt;/div&gt;&lt;hr/&gt;&lt;div&gt;&lt;h5&gt;&lt;b&gt;Range &lt;/b&gt;touch&lt;/h5&gt;&lt;h5&gt;&lt;b&gt;Effect &lt;/b&gt;a vestige of the archdevil Mammon imbues a coin with a negotiable degree of power&lt;/h5&gt;&lt;h5&gt;&lt;b&gt;Duration &lt;/b&gt;instantaneous (see text)&lt;/h5&gt;&lt;h5&gt;&lt;b&gt;Saving Throw &lt;/b&gt;none; &lt;b&gt;Spell Resistance &lt;/b&gt;no&lt;/h5&gt;&lt;/div&gt;&lt;hr/&gt;&lt;div&gt;&lt;h5&gt;&lt;b&gt;DESCRIPTION&lt;/b&gt;&lt;/h5&gt;&lt;/div&gt;&lt;hr/&gt;&lt;div&gt;&lt;h4&gt;&lt;p&gt;Casting this spell constitutes performing a rite of sacrifice to the archdevil Mammon, making an offering to the Lord of Erebus and channeling a measure of his disembodied might into a single coin. The power and abilities of this vestige correspond directly to the value of the offering, allowing for three distinct effects.&lt;/p&gt;&lt;p&gt; Corrupted Coin: Making a sacrifice worth 1,500 gp corrupts the focus into a "lucky" or "unlucky" coin as per the caster's will for 1 month. Any creature that bears the coin gains a bonus or penalty (decided by the caster at the time of casting) on all Appraise, Bluff, Craft, and Profession checks. This bonus or penalty is equal to 1 per 3 caster levels (maximum +5 at 15th level). In addition, the coin can produce an effect similar to the spell augury once per day-its ?ip producing a weal (heads), woe (tails), or nothing result (landing on the edge). Potentially unknown to the bearer (if different from the caster), the caster can telepathically hear any question asked of the coin and, as a free action, influence the result as he chooses.&lt;/p&gt;&lt;p&gt; Mammon's Mantle: Making a sacrifice worth 3,000 gp transforms the coin into a kind of infernal aegis for any who swallow the coin. Upon ingesting the coin, the target gains a bonus to Charisma equal to +1 per 3 caster levels (maximum +5 at 15th level). The bearer's blood also takes on a hue like liquid gold and runs slowly, granting him immunity to poison, disease, and aging effects, and causing him to automatically stabilize if reduced to fewer than 0 hit points. Additionally, the bearer can eat gold to heal himself, regaining 1 hit point for every 20 gold pieces he consumes (materials other than gold provide no bene?t). The coin's effects last for 1 day per caster level.&lt;/p&gt;&lt;p&gt; Gold Guardian: Making a sacrifice worth 6,000 gp allows the focus coin to animate nearby coins. When cast into a pile of 100,000 coins, an animate hoard forms under the control of the caster. The guardian serves for 1 month. After this month, coins begin disappearing from the guardian at a rate of 100 gp per day, reducing the creature's hit points by 1 per day. When the guardian's hit points reach 0, the guardian collapses and the focus coin is destroyed. Coins lost from the guardian can be replaced, restoring any lost hit points.&lt;/p&gt;&lt;p&gt; In addition to the effects of any of these offerings, should the focus coin be swallowed, any being sired or conceived by the creature while the magic is in effect is born as a tie?ing (bearing an indirect relation to Mammon himself).&lt;/p&gt;&lt;/h4&gt;&lt;/div&gt;</t>
  </si>
  <si>
    <t>Protection from Energy</t>
  </si>
  <si>
    <t>cleric 3/oracle 3, druid 3, ranger 2, sorcerer/wizard 3, alchemist 3, summoner 3, inquisitor 3</t>
  </si>
  <si>
    <t>Protection from energy grants temporary immunity to the type of energy you specify when you cast it (acid, cold, electricity, fire, or sonic). When the spell absorbs 12 points per caster level of energy damage (to a maximum of 120 points at 10th level), it is discharged. Protection from energy overlaps (and does not stack with) resist energy. If a character is warded by protection from energy and resist energy, the protection spell absorbs damage until its power is exhausted.</t>
  </si>
  <si>
    <t>&lt;p&gt;&lt;i&gt;Protection from energy&lt;/i&gt; grants temporary immunity to the type of energy you specify when you cast it (acid, cold, electricity, fire, or sonic). When the spell absorbs 12 points per caster level of energy damage (to a maximum of 120 points at 10th level), it is discharged.&lt;/p&gt;&lt;p&gt;&lt;i&gt;Protection from energy&lt;/i&gt; overlaps (and does not stack with) &lt;i&gt;&lt;i&gt;resist energy&lt;/i&gt;.&lt;/i&gt; If a character is warded by &lt;i&gt;&lt;i&gt;protection&lt;/i&gt; from energy&lt;/i&gt; and &lt;i&gt;resist energy&lt;/i&gt;, the &lt;i&gt;protection&lt;/i&gt; spell absorbs damage until its power is exhausted.&lt;/p&gt;</t>
  </si>
  <si>
    <t>&lt;link rel="stylesheet"href="PF.css"&gt;&lt;div class="heading"&gt;&lt;p class="alignleft"&gt;Protection from Energy&lt;/p&gt;&lt;div style="clear: both;"&gt;&lt;/div&gt;&lt;/div&gt;&lt;div&gt;&lt;h5&gt;&lt;b&gt;School &lt;/b&gt;abjuration; &lt;b&gt;Level &lt;/b&gt;cleric 3/oracle 3, druid 3, ranger 2, sorcerer/wizard 3, alchemist 3, summoner 3, inquisitor 3, alchemist 3, summoner 3, inquisitor 3&lt;/h5&gt;&lt;/div&gt;&lt;hr/&gt;&lt;div&gt;&lt;h5&gt;&lt;b&gt;CASTING&lt;/b&gt;&lt;/h5&gt;&lt;/div&gt;&lt;hr/&gt;&lt;div&gt;&lt;h5&gt;&lt;b&gt;Casting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 touched&lt;/h5&gt;&lt;h5&gt;&lt;b&gt;Duration &lt;/b&gt;10 min./level or until discharged&lt;/h5&gt;&lt;h5&gt;&lt;b&gt;Saving Throw &lt;/b&gt;Fortitude negates (harmless); &lt;b&gt;Spell Resistance &lt;/b&gt;yes (harmless)&lt;/h5&gt;&lt;/div&gt;&lt;hr/&gt;&lt;div&gt;&lt;h5&gt;&lt;b&gt;DESCRIPTION&lt;/b&gt;&lt;/h5&gt;&lt;/div&gt;&lt;hr/&gt;&lt;div&gt;&lt;h4&gt;&lt;p&gt;&lt;i&gt;Protection from energy&lt;/i&gt; grants temporary immunity to the type of energy you specify when you cast it (acid, cold, electricity, fire, or sonic). When the spell absorbs 12 points per caster level of energy damage (to a maximum of 120 points at 10th level), it is discharged.&lt;/p&gt;&lt;p&gt;&lt;i&gt;Protection from energy&lt;/i&gt; overlaps (and does not stack with) &lt;i&gt;&lt;i&gt;resist energy&lt;/i&gt;.&lt;/i&gt; If a character is warded by &lt;i&gt;&lt;i&gt;protection&lt;/i&gt; from energy&lt;/i&gt; and &lt;i&gt;resist energy&lt;/i&gt;, the &lt;i&gt;protection&lt;/i&gt; spell absorbs damage until its power is exhausted.&lt;/p&gt;&lt;/h4&gt;&lt;/div&gt;</t>
  </si>
  <si>
    <t>Luck, Protection</t>
  </si>
  <si>
    <t>Absorb 12 points/level of damage from one kind of energy.</t>
  </si>
  <si>
    <t>Destined, Elemental</t>
  </si>
  <si>
    <t>Tracking Mark</t>
  </si>
  <si>
    <t>druid 1, cleric 1/oracle 1, paladin 1, ranger 1</t>
  </si>
  <si>
    <t>You gain a supernatural sense about tracks and other clues left behind by the target creature. Treat all Survival DCs to track the creature as 5 lower than normal and gain a +5 bonus on Perception checks made to notice the target if it is using Stealth or recognize it using Disguise.</t>
  </si>
  <si>
    <t>&lt;p&gt;You gain a supernatural sense about tracks and other clues left behind by the target creature. Treat all Survival DCs to track the creature as 5 lower than normal and gain a +5 bonus on Perception checks made to notice the target if it is using Stealth or recognize it using Disguise.&lt;/p&gt;</t>
  </si>
  <si>
    <t>AP 32</t>
  </si>
  <si>
    <t>&lt;link rel="stylesheet"href="PF.css"&gt;&lt;div class="heading"&gt;&lt;p class="alignleft"&gt;Tracking Mark&lt;/p&gt;&lt;div style="clear: both;"&gt;&lt;/div&gt;&lt;/div&gt;&lt;div&gt;&lt;h5&gt;&lt;b&gt;School &lt;/b&gt;evocation; &lt;b&gt;Level &lt;/b&gt;druid 1, cleric 1/oracle 1, paladin 1, ranger 1 (Erastil)&lt;/h5&gt;&lt;/div&gt;&lt;hr/&gt;&lt;div&gt;&lt;h5&gt;&lt;b&gt;CASTING&lt;/b&gt;&lt;/h5&gt;&lt;/div&gt;&lt;hr/&gt;&lt;div&gt;&lt;h5&gt;&lt;b&gt;Casting Time &lt;/b&gt;1 standard action&lt;/h5&gt;&lt;h5&gt;&lt;b&gt;Components &lt;/b&gt;S, DF&lt;/h5&gt;&lt;/div&gt;&lt;hr/&gt;&lt;div&gt;&lt;h5&gt;&lt;b&gt;EFFECT&lt;/b&gt;&lt;/h5&gt;&lt;/div&gt;&lt;hr/&gt;&lt;div&gt;&lt;h5&gt;&lt;b&gt;Range &lt;/b&gt;long (400 ft. + 40 ft./level)&lt;/h5&gt;&lt;h5&gt;&lt;b&gt;Targets &lt;/b&gt;one creature&lt;/h5&gt;&lt;h5&gt;&lt;b&gt;Duration &lt;/b&gt;10 minutes/level (D)&lt;/h5&gt;&lt;h5&gt;&lt;b&gt;Saving Throw &lt;/b&gt;Will negates; &lt;b&gt;Spell Resistance &lt;/b&gt;yes&lt;/h5&gt;&lt;/div&gt;&lt;hr/&gt;&lt;div&gt;&lt;h5&gt;&lt;b&gt;DESCRIPTION&lt;/b&gt;&lt;/h5&gt;&lt;/div&gt;&lt;hr/&gt;&lt;div&gt;&lt;h4&gt;&lt;p&gt;You gain a supernatural sense about tracks and other clues left behind by the target creature. Treat all Survival DCs to track the creature as 5 lower than normal and gain a +5 bonus on Perception checks made to notice the target if it is using Stealth or recognize it using Disguise.&lt;/p&gt;&lt;/h4&gt;&lt;/div&gt;</t>
  </si>
  <si>
    <t>Erastil</t>
  </si>
  <si>
    <t>Retrieve Item</t>
  </si>
  <si>
    <t>an unattended object weighing 1 lb. or less whose longest dimension is 6 inches or less</t>
  </si>
  <si>
    <t>You call a specific nonliving item directly to your hand from a nearby location. First, you must cast the spell on the item while holding it. Thereafter, you can summon the item by speaking a special word (set by you when the spell is cast) and snapping your fingers. The item appears instantly in your hand. If the item is in the possession of another creature, the spell fails.</t>
  </si>
  <si>
    <t>&lt;p&gt;You call a specific nonliving item directly to your hand from a nearby location. First, you must cast the spell on the item while holding it. Thereafter, you can summon the item by speaking a special word (set by you when the spell is cast) and snapping your fingers. The item appears instantly in your hand.&lt;/p&gt;&lt;p&gt;If the item is in the possession of another creature, the spell fails.&lt;/p&gt;</t>
  </si>
  <si>
    <t>Classic Treasures</t>
  </si>
  <si>
    <t>&lt;link rel="stylesheet"href="PF.css"&gt;&lt;div class="heading"&gt;&lt;p class="alignleft"&gt;Retrieve Item&lt;/p&gt;&lt;div style="clear: both;"&gt;&lt;/div&gt;&lt;/div&gt;&lt;div&gt;&lt;h5&gt;&lt;b&gt;School &lt;/b&gt;conjuration (calling); &lt;b&gt;Level &lt;/b&gt;bard 2, sorcerer/wizard 2&lt;/h5&gt;&lt;/div&gt;&lt;hr/&gt;&lt;div&gt;&lt;h5&gt;&lt;b&gt;CASTING&lt;/b&gt;&lt;/h5&gt;&lt;/div&gt;&lt;hr/&gt;&lt;div&gt;&lt;h5&gt;&lt;b&gt;Casting Time &lt;/b&gt;1 full round&lt;/h5&gt;&lt;h5&gt;&lt;b&gt;Components &lt;/b&gt;V, S&lt;/h5&gt;&lt;/div&gt;&lt;hr/&gt;&lt;div&gt;&lt;h5&gt;&lt;b&gt;EFFECT&lt;/b&gt;&lt;/h5&gt;&lt;/div&gt;&lt;hr/&gt;&lt;div&gt;&lt;h5&gt;&lt;b&gt;Range &lt;/b&gt;long (400 ft. + 40 ft./level)&lt;/h5&gt;&lt;h5&gt;&lt;b&gt;Targets &lt;/b&gt;an unattended object weighing 1 lb. or less whose longest dimension is 6 inches or less&lt;/h5&gt;&lt;h5&gt;&lt;b&gt;Duration &lt;/b&gt;permanent until discharged&lt;/h5&gt;&lt;h5&gt;&lt;b&gt;Saving Throw &lt;/b&gt;none; &lt;b&gt;Spell Resistance &lt;/b&gt;no&lt;/h5&gt;&lt;/div&gt;&lt;hr/&gt;&lt;div&gt;&lt;h5&gt;&lt;b&gt;DESCRIPTION&lt;/b&gt;&lt;/h5&gt;&lt;/div&gt;&lt;hr/&gt;&lt;div&gt;&lt;h4&gt;&lt;p&gt;You call a specific nonliving item directly to your hand from a nearby location. First, you must cast the spell on the item while holding it. Thereafter, you can summon the item by speaking a special word (set by you when the spell is cast) and snapping your fingers. The item appears instantly in your hand.&lt;/p&gt;&lt;p&gt;If the item is in the possession of another creature, the spell fails.&lt;/p&gt;&lt;/h4&gt;&lt;/div&gt;</t>
  </si>
  <si>
    <t>Spherescry</t>
  </si>
  <si>
    <t>V, S, AF (onyx sphere worth at least 50 gp)</t>
  </si>
  <si>
    <t>This spell allows remote viewing through spheres that have previously consumed some portion of the spellcaster's body: a single digit of a finger or toe at a minimum. The caster can view and listen to events within a 20-foot radius of the associated sphere; this radius follows the sphere if the sphere moves. Unlike a true scrying spell, no other spells operate through the associated sphere, but spherescry produces no indication of its activity on the target and cannot be discovered by normal methods of magical detection.</t>
  </si>
  <si>
    <t>&lt;p&gt;This spell allows remote viewing through spheres that have previously consumed some portion of the spellcaster's body: a single digit of a finger or toe at a minimum. The caster can view and listen to events within a 20-foot radius of the associated sphere; this radius follows the sphere if the sphere moves. Unlike a true &lt;i&gt;scrying&lt;/i&gt; spell, no other spells operate through the associated sphere, but &lt;i&gt;spherescry&lt;/i&gt; produces no indication of its activity on the target and cannot be discovered by normal methods of magical detection.&lt;/p&gt;</t>
  </si>
  <si>
    <t>&lt;link rel="stylesheet"href="PF.css"&gt;&lt;div class="heading"&gt;&lt;p class="alignleft"&gt;Spherescry&lt;/p&gt;&lt;div style="clear: both;"&gt;&lt;/div&gt;&lt;/div&gt;&lt;div&gt;&lt;h5&gt;&lt;b&gt;School &lt;/b&gt;divination (scrying); &lt;b&gt;Level &lt;/b&gt;sorcerer/wizard 3&lt;/h5&gt;&lt;/div&gt;&lt;hr/&gt;&lt;div&gt;&lt;h5&gt;&lt;b&gt;CASTING&lt;/b&gt;&lt;/h5&gt;&lt;/div&gt;&lt;hr/&gt;&lt;div&gt;&lt;h5&gt;&lt;b&gt;Casting Time &lt;/b&gt;1 hour&lt;/h5&gt;&lt;h5&gt;&lt;b&gt;Components &lt;/b&gt;V, S, AF (onyx sphere worth at least 50 gp)&lt;/h5&gt;&lt;/div&gt;&lt;hr/&gt;&lt;div&gt;&lt;h5&gt;&lt;b&gt;EFFECT&lt;/b&gt;&lt;/h5&gt;&lt;/div&gt;&lt;hr/&gt;&lt;div&gt;&lt;h5&gt;&lt;b&gt;Range &lt;/b&gt;see text&lt;/h5&gt;&lt;h5&gt;&lt;b&gt;Duration &lt;/b&gt;1 minute/level&lt;/h5&gt;&lt;h5&gt;&lt;b&gt;Saving Throw &lt;/b&gt;none; &lt;b&gt;Spell Resistance &lt;/b&gt;no&lt;/h5&gt;&lt;/div&gt;&lt;hr/&gt;&lt;div&gt;&lt;h5&gt;&lt;b&gt;DESCRIPTION&lt;/b&gt;&lt;/h5&gt;&lt;/div&gt;&lt;hr/&gt;&lt;div&gt;&lt;h4&gt;&lt;p&gt;This spell allows remote viewing through spheres that have previously consumed some portion of the spellcaster's body: a single digit of a finger or toe at a minimum. The caster can view and listen to events within a 20-foot radius of the associated sphere; this radius follows the sphere if the sphere moves. Unlike a true &lt;i&gt;scrying&lt;/i&gt; spell, no other spells operate through the associated sphere, but &lt;i&gt;spherescry&lt;/i&gt; produces no indication of its activity on the target and cannot be discovered by normal methods of magical detection.&lt;/p&gt;&lt;/h4&gt;&lt;/div&gt;</t>
  </si>
  <si>
    <t>Illusory Poison</t>
  </si>
  <si>
    <t>1 minute/level or until discharged (see text)</t>
  </si>
  <si>
    <t>Will disbelief, then Fortitude (see text)</t>
  </si>
  <si>
    <t>You create a phantasm of an oily green phantasmal poison on the target weapon. The first creature hit by the poisoned weapon must make a Will save against the illusion spell; success means the spell has no effect and is expended from the weapon. If the creature fails its save, it believes it has been poisoned and must make Fortitude saves at the spell's DC to avoid suffering illusory poison damage. Delay poison allows the target to ignore the effects of the phantasmal poison until the delay poison spell ends, at which time it may make a Will save to realize the poison is illusory and recover all illusory poison damage. Neutralize poison, lesser restoration, or restoration immediately recovers all damage from the spell. A successful dispel magic spell ends the effect of the illusion, as do spells that penetrate illusions (such as true seeing). The target automatically recovers all illusory poison damage after 1 hour.</t>
  </si>
  <si>
    <t>&lt;p&gt;You create a phantasm of an oily green phantasmal poison on the target weapon. The first creature hit by the poisoned weapon must make a Will save against the illusion spell; success means the spell has no effect and is expended from the weapon. If the creature fails its save, it believes it has been poisoned and must make Fortitude saves at the spell's DC to avoid suffering illusory poison damage.&lt;/p&gt;&lt;p&gt;&lt;i&gt;Delay poison&lt;/i&gt; allows the target to ignore the effects of the phantasmal poison until the &lt;i&gt;delay poison&lt;/i&gt; spell ends, at which time it may make a Will save to realize the poison is illusory and recover all illusory poison damage. &lt;i&gt;Neutralize poison&lt;/i&gt;, &lt;i&gt;lesser restoration&lt;/i&gt;, &lt;i&gt;or restoration&lt;/i&gt; immediately recovers all damage from the spell. A successful &lt;i&gt;dispel magic&lt;/i&gt; spell ends the effect of the illusion, as do spells that penetrate illusions (such as &lt;i&gt;true&lt;/i&gt; seeing).&lt;/p&gt;&lt;p&gt;The target automatically recovers all illusory poison damage after 1 hour.&lt;/p&gt;</t>
  </si>
  <si>
    <t>Gnomes</t>
  </si>
  <si>
    <t>&lt;link rel="stylesheet"href="PF.css"&gt;&lt;div class="heading"&gt;&lt;p class="alignleft"&gt;Illusory Poison&lt;/p&gt;&lt;div style="clear: both;"&gt;&lt;/div&gt;&lt;/div&gt;&lt;div&gt;&lt;h5&gt;&lt;b&gt;School &lt;/b&gt;illusion (phantasm) [mind-affecting]; &lt;b&gt;Level &lt;/b&gt;sorcerer/wizard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&lt;/b&gt;weapon touched&lt;/h5&gt;&lt;h5&gt;&lt;b&gt;Duration &lt;/b&gt;1 minute/level or until discharged (see text)&lt;/h5&gt;&lt;h5&gt;&lt;b&gt;Saving Throw &lt;/b&gt;Will disbelief, then Fortitude (see text); &lt;b&gt;Spell Resistance &lt;/b&gt;yes&lt;/h5&gt;&lt;/div&gt;&lt;hr/&gt;&lt;div&gt;&lt;h5&gt;&lt;b&gt;DESCRIPTION&lt;/b&gt;&lt;/h5&gt;&lt;/div&gt;&lt;hr/&gt;&lt;div&gt;&lt;h4&gt;&lt;p&gt;You create a phantasm of an oily green phantasmal poison on the target weapon. The first creature hit by the poisoned weapon must make a Will save against the illusion spell; success means the spell has no effect and is expended from the weapon. If the creature fails its save, it believes it has been poisoned and must make Fortitude saves at the spell's DC to avoid suffering illusory poison damage.&lt;/p&gt;&lt;p&gt;&lt;i&gt;Delay poison&lt;/i&gt; allows the target to ignore the effects of the phantasmal poison until the &lt;i&gt;delay poison&lt;/i&gt; spell ends, at which time it may make a Will save to realize the poison is illusory and recover all illusory poison damage. &lt;i&gt;Neutralize poison&lt;/i&gt;, &lt;i&gt;lesser restoration&lt;/i&gt;, &lt;i&gt;or restoration&lt;/i&gt; immediately recovers all damage from the spell. A successful &lt;i&gt;dispel magic&lt;/i&gt; spell ends the effect of the illusion, as do spells that penetrate illusions (such as &lt;i&gt;true&lt;/i&gt; seeing).&lt;/p&gt;&lt;p&gt;The target automatically recovers all illusory poison damage after 1 hour.&lt;/p&gt;&lt;/h4&gt;&lt;/div&gt;</t>
  </si>
  <si>
    <t>Arcane Reinforcement</t>
  </si>
  <si>
    <t>concentration (up to 8 hours)</t>
  </si>
  <si>
    <t>You cast this spell as you begin crafting an item using a Craft skill, and add your Spellcraft ranks to Craft checks made to create that item. As part of concentrating on the spell, you must continue chanting the verbal components, pausing at most for a few seconds at a time to speak, chew, and so on. If the crafting takes more than 1 day to complete, you must cast the spell each day to gain its benefit. This spell originated among wizards of the Arcanamirium, though the Pathfinder Society also uses it.</t>
  </si>
  <si>
    <t>&lt;p&gt;You cast this spell as you begin crafting an item using a Craft skill, and add your Spellcraft ranks to Craft checks made to create that item. As part of concentrating on the spell, you must continue chanting the verbal components, pausing at most for a few seconds at a time to speak, chew, and so on. If the crafting takes more than 1 day to complete, you must cast the spell each day to gain its benefit.&lt;/p&gt;&lt;p&gt;This spell originated among wizards of the Arcanamirium, though the Pathfinder Society also uses it.&lt;/p&gt;</t>
  </si>
  <si>
    <t>Faction Guide</t>
  </si>
  <si>
    <t>&lt;link rel="stylesheet"href="PF.css"&gt;&lt;div class="heading"&gt;&lt;p class="alignleft"&gt;Arcane Reinforcement&lt;/p&gt;&lt;div style="clear: both;"&gt;&lt;/div&gt;&lt;/div&gt;&lt;div&gt;&lt;h5&gt;&lt;b&gt;School &lt;/b&gt;transmutation; &lt;b&gt;Level &lt;/b&gt;sorcerer/wizard 3&lt;/h5&gt;&lt;/div&gt;&lt;hr/&gt;&lt;div&gt;&lt;h5&gt;&lt;b&gt;CASTING&lt;/b&gt;&lt;/h5&gt;&lt;/div&gt;&lt;hr/&gt;&lt;div&gt;&lt;h5&gt;&lt;b&gt;Casting Time &lt;/b&gt;1 round&lt;/h5&gt;&lt;h5&gt;&lt;b&gt;Components &lt;/b&gt;V, S&lt;/h5&gt;&lt;/div&gt;&lt;hr/&gt;&lt;div&gt;&lt;h5&gt;&lt;b&gt;EFFECT&lt;/b&gt;&lt;/h5&gt;&lt;/div&gt;&lt;hr/&gt;&lt;div&gt;&lt;h5&gt;&lt;b&gt;Range &lt;/b&gt;personal&lt;/h5&gt;&lt;h5&gt;&lt;b&gt;Targets &lt;/b&gt;you&lt;/h5&gt;&lt;h5&gt;&lt;b&gt;Duration &lt;/b&gt;concentration (up to 8 hours)&lt;/h5&gt;&lt;/div&gt;&lt;hr/&gt;&lt;div&gt;&lt;h5&gt;&lt;b&gt;DESCRIPTION&lt;/b&gt;&lt;/h5&gt;&lt;/div&gt;&lt;hr/&gt;&lt;div&gt;&lt;h4&gt;&lt;p&gt;You cast this spell as you begin crafting an item using a Craft skill, and add your Spellcraft ranks to Craft checks made to create that item. As part of concentrating on the spell, you must continue chanting the verbal components, pausing at most for a few seconds at a time to speak, chew, and so on. If the crafting takes more than 1 day to complete, you must cast the spell each day to gain its benefit.&lt;/p&gt;&lt;p&gt;This spell originated among wizards of the Arcanamirium, though the Pathfinder Society also uses it.&lt;/p&gt;&lt;/h4&gt;&lt;/div&gt;</t>
  </si>
  <si>
    <t>Canopic Conversion</t>
  </si>
  <si>
    <t>V, S, F (four alabaster canopic jars worth 100 gp each), M (black onyx worth 100 gp per hit die of the target)</t>
  </si>
  <si>
    <t>one living humanoid</t>
  </si>
  <si>
    <t>instantaneous and see text</t>
  </si>
  <si>
    <t>This spell eviscerates the target, drawing forth its life essence as well as its internal organs. The target takes 1d6 hit points of damage per caster level (maximum 20d6). If this damage kills the target, the spell pulls the creature's organs into a set of 4 canopic jars and seals them; 1d4 rounds later, the corpse revives as a mummy (if 8 HD or fewer) or an advanced mummy (if 9 HD or more). The mummy is not under your control, but the canopic jars give the bearer certain powers over it. Anyone holding one of the jars can communicate with the mummy as if the two shared a common language. The bearer gains the benefits of protection from evil and sanctuary, but only against that mummy. Unsealing or breaking a jar is a standard action, which dissipates its power (and protection) but lets the bearer issue a short command to the mummy, similar to a suggestion spell (Will DC 23 negates). You (and only you) may unseal all 4 jars in a 10-minute ritual to control the mummy with an similar to geas (Will DC 23 negates); most casters typically include a restriction that the mummy will not harm them, as unsealing the jars leaves them vulnerable. The pharaohs of ancient Osirion sometimes used this spell to punish their enemies. The Risen Guard does not use the spell (though they have access to it), preferring trustworthy living guardians for the Ruby Prince. The Whispering Way may have copies of the spell.</t>
  </si>
  <si>
    <t>&lt;p&gt;This spell eviscerates the target, drawing forth its life essence as well as its internal organs. The target takes 1d6 hit points of damage per caster level (maximum 20d6). If this damage kills the target, the spell pulls the creature's organs into a set of 4 canopic jars and seals them; 1d4 rounds later, the corpse revives as a mummy (if 8 HD or fewer) or an advanced mummy (if 9 HD or more).&lt;/p&gt;&lt;p&gt;The mummy is not under your control, but the canopic jars give the bearer certain powers over it. Anyone holding one of the jars can communicate with the mummy as if the two shared a common language. The bearer gains the benefits of &lt;i&gt;protection from evil&lt;/i&gt; and &lt;i&gt;sanctuary&lt;/i&gt;, but only against that mummy. Unsealing or breaking a jar is a standard action, which dissipates its power (and protection) but lets the bearer issue a short command to the mummy, similar to a &lt;i&gt;suggestion&lt;/i&gt; spell (Will DC 23 negates). You (and only you) may unseal all 4 jars in a 10-minute ritual to control the mummy with an similar to &lt;i&gt;geas&lt;/i&gt; (Will DC 23 negates); most casters typically include a restriction that the mummy will not harm them, as unsealing the jars leaves them vulnerable.&lt;/p&gt;&lt;p&gt;The pharaohs of ancient Osirion sometimes used this spell to punish their enemies. The Risen Guard does not use the spell (though they have access to it), preferring trustworthy living guardians for the Ruby Prince. The Whispering Way may have copies of the spell.&lt;/p&gt;</t>
  </si>
  <si>
    <t>&lt;link rel="stylesheet"href="PF.css"&gt;&lt;div class="heading"&gt;&lt;p class="alignleft"&gt;Canopic Conversion&lt;/p&gt;&lt;div style="clear: both;"&gt;&lt;/div&gt;&lt;/div&gt;&lt;div&gt;&lt;h5&gt;&lt;b&gt;School &lt;/b&gt;necromancy [death, evil]; &lt;b&gt;Level &lt;/b&gt;cleric 9/oracle 9, sorcerer/wizard 9&lt;/h5&gt;&lt;/div&gt;&lt;hr/&gt;&lt;div&gt;&lt;h5&gt;&lt;b&gt;CASTING&lt;/b&gt;&lt;/h5&gt;&lt;/div&gt;&lt;hr/&gt;&lt;div&gt;&lt;h5&gt;&lt;b&gt;Casting Time &lt;/b&gt;1 round&lt;/h5&gt;&lt;h5&gt;&lt;b&gt;Components &lt;/b&gt;V, S, F (four alabaster canopic jars worth 100 gp each), M (black onyx worth 100 gp per hit die of the target)&lt;/h5&gt;&lt;/div&gt;&lt;hr/&gt;&lt;div&gt;&lt;h5&gt;&lt;b&gt;EFFECT&lt;/b&gt;&lt;/h5&gt;&lt;/div&gt;&lt;hr/&gt;&lt;div&gt;&lt;h5&gt;&lt;b&gt;Range &lt;/b&gt;close (25 ft. + 5 ft./2 levels)&lt;/h5&gt;&lt;h5&gt;&lt;b&gt;Targets &lt;/b&gt;one living humanoid&lt;/h5&gt;&lt;h5&gt;&lt;b&gt;Duration &lt;/b&gt;instantaneous and see text&lt;/h5&gt;&lt;h5&gt;&lt;b&gt;Saving Throw &lt;/b&gt;Fortitude half; &lt;b&gt;Spell Resistance &lt;/b&gt;yes&lt;/h5&gt;&lt;/div&gt;&lt;hr/&gt;&lt;div&gt;&lt;h5&gt;&lt;b&gt;DESCRIPTION&lt;/b&gt;&lt;/h5&gt;&lt;/div&gt;&lt;hr/&gt;&lt;div&gt;&lt;h4&gt;&lt;p&gt;This spell eviscerates the target, drawing forth its life essence as well as its internal organs. The target takes 1d6 hit points of damage per caster level (maximum 20d6). If this damage kills the target, the spell pulls the creature's organs into a set of 4 canopic jars and seals them; 1d4 rounds later, the corpse revives as a mummy (if 8 HD or fewer) or an advanced mummy (if 9 HD or more).&lt;/p&gt;&lt;p&gt;The mummy is not under your control, but the canopic jars give the bearer certain powers over it. Anyone holding one of the jars can communicate with the mummy as if the two shared a common language. The bearer gains the benefits of &lt;i&gt;protection from evil&lt;/i&gt; and &lt;i&gt;sanctuary&lt;/i&gt;, but only against that mummy. Unsealing or breaking a jar is a standard action, which dissipates its power (and protection) but lets the bearer issue a short command to the mummy, similar to a &lt;i&gt;suggestion&lt;/i&gt; spell (Will DC 23 negates). You (and only you) may unseal all 4 jars in a 10-minute ritual to control the mummy with an similar to &lt;i&gt;geas&lt;/i&gt; (Will DC 23 negates); most casters typically include a restriction that the mummy will not harm them, as unsealing the jars leaves them vulnerable.&lt;/p&gt;&lt;p&gt;The pharaohs of ancient Osirion sometimes used this spell to punish their enemies. The Risen Guard does not use the spell (though they have access to it), preferring trustworthy living guardians for the Ruby Prince. The Whispering Way may have copies of the spell.&lt;/p&gt;&lt;/h4&gt;&lt;/div&gt;</t>
  </si>
  <si>
    <t>Chastise</t>
  </si>
  <si>
    <t>You gain a +5 bonus on Bluff, Diplomacy, and Intimidate checks to convince a listener that they will get in trouble with their superiors or with the law if they don't do what you ask. This spell is primarily used by the Eagle Knights, though they did not create it; Hellknights also use it extensively to gather information and foster cooperation.</t>
  </si>
  <si>
    <t>&lt;p&gt;You gain a +5 bonus on Bluff, Diplomacy, and Intimidate checks to convince a listener that they will get in trouble with their superiors or with the law if they don't do what you ask.&lt;/p&gt;&lt;p&gt;This spell is primarily used by the Eagle Knights, though they did not create it; Hellknights also use it extensively to gather information and foster cooperation.&lt;/p&gt;</t>
  </si>
  <si>
    <t>&lt;link rel="stylesheet"href="PF.css"&gt;&lt;div class="heading"&gt;&lt;p class="alignleft"&gt;Chastise&lt;/p&gt;&lt;div style="clear: both;"&gt;&lt;/div&gt;&lt;/div&gt;&lt;div&gt;&lt;h5&gt;&lt;b&gt;School &lt;/b&gt;transmutation; &lt;b&gt;Level &lt;/b&gt;bard 1, sorcerer/wizard 1&lt;/h5&gt;&lt;/div&gt;&lt;hr/&gt;&lt;div&gt;&lt;h5&gt;&lt;b&gt;CASTING&lt;/b&gt;&lt;/h5&gt;&lt;/div&gt;&lt;hr/&gt;&lt;div&gt;&lt;h5&gt;&lt;b&gt;Casting Time &lt;/b&gt;1 standard action&lt;/h5&gt;&lt;h5&gt;&lt;b&gt;Components &lt;/b&gt;V&lt;/h5&gt;&lt;/div&gt;&lt;hr/&gt;&lt;div&gt;&lt;h5&gt;&lt;b&gt;EFFECT&lt;/b&gt;&lt;/h5&gt;&lt;/div&gt;&lt;hr/&gt;&lt;div&gt;&lt;h5&gt;&lt;b&gt;Range &lt;/b&gt;personal&lt;/h5&gt;&lt;h5&gt;&lt;b&gt;Targets &lt;/b&gt;you&lt;/h5&gt;&lt;h5&gt;&lt;b&gt;Duration &lt;/b&gt;1 minute/level&lt;/h5&gt;&lt;/div&gt;&lt;hr/&gt;&lt;div&gt;&lt;h5&gt;&lt;b&gt;DESCRIPTION&lt;/b&gt;&lt;/h5&gt;&lt;/div&gt;&lt;hr/&gt;&lt;div&gt;&lt;h4&gt;&lt;p&gt;You gain a +5 bonus on Bluff, Diplomacy, and Intimidate checks to convince a listener that they will get in trouble with their superiors or with the law if they don't do what you ask.&lt;/p&gt;&lt;p&gt;This spell is primarily used by the Eagle Knights, though they did not create it; Hellknights also use it extensively to gather information and foster cooperation.&lt;/p&gt;&lt;/h4&gt;&lt;/div&gt;</t>
  </si>
  <si>
    <t>Summon Elemental Steed</t>
  </si>
  <si>
    <t>close (25 ft. + 5 ft./level)</t>
  </si>
  <si>
    <t>one chariot</t>
  </si>
  <si>
    <t>You summon a greater elemental (air, earth, fire, or water) bound in the form of a mighty chariot that moves at your command and can carry up to nine Medium creatures. Passengers inside are not harmed by the elemental, and can see, breathe, and act normally, suffering no environmental damage even when the elemental chariot is flying, underwater, burrowing, or using earth glide. Passengers are not otherwise protected, though the elemental chariot does provide cover like a normal chariot. The elemental keeps all of its statistics and abilities, except it loses its slam attacks and gains a trample attack (Pathfinder RPG Bestiary 305). When you use a summoning spell to summon an air, earth, fire, or water creature, it is a spell of that type. This spell is almost exclusively used by the Green Faith.</t>
  </si>
  <si>
    <t>&lt;p&gt;You summon a greater elemental (air, earth, fire, or water) bound in the form of a mighty chariot that moves at your command and can carry up to nine Medium creatures.&lt;/p&gt;&lt;p&gt;Passengers inside are not harmed by the elemental, and can see, breathe, and act normally, suffering no environmental damage even when the elemental chariot is flying, underwater, burrowing, or using earth glide. Passengers are not otherwise protected, though the elemental chariot does provide cover like a normal chariot.&lt;/p&gt;&lt;p&gt;The elemental keeps all of its statistics and abilities, except it loses its slam attacks and gains a trample attack (&lt;i&gt;Pathfinder&lt;/i&gt; &lt;i&gt;RPG Bestiary&lt;/i&gt; 305).&lt;/p&gt;&lt;p&gt;When you use a summoning spell to summon an air, earth, fire, or water creature, it is a spell of that type.&lt;/p&gt;&lt;p&gt;This spell is almost exclusively used by the Green Faith.&lt;/p&gt;</t>
  </si>
  <si>
    <t>&lt;link rel="stylesheet"href="PF.css"&gt;&lt;div class="heading"&gt;&lt;p class="alignleft"&gt;Summon Elemental Steed&lt;/p&gt;&lt;div style="clear: both;"&gt;&lt;/div&gt;&lt;/div&gt;&lt;div&gt;&lt;h5&gt;&lt;b&gt;School &lt;/b&gt;conjuration (summoning) [see text]; &lt;b&gt;Level &lt;/b&gt;druid 9&lt;/h5&gt;&lt;/div&gt;&lt;hr/&gt;&lt;div&gt;&lt;h5&gt;&lt;b&gt;CASTING&lt;/b&gt;&lt;/h5&gt;&lt;/div&gt;&lt;hr/&gt;&lt;div&gt;&lt;h5&gt;&lt;b&gt;Casting Time &lt;/b&gt;10 minutes&lt;/h5&gt;&lt;h5&gt;&lt;b&gt;Components &lt;/b&gt;V, S, DF&lt;/h5&gt;&lt;/div&gt;&lt;hr/&gt;&lt;div&gt;&lt;h5&gt;&lt;b&gt;EFFECT&lt;/b&gt;&lt;/h5&gt;&lt;/div&gt;&lt;hr/&gt;&lt;div&gt;&lt;h5&gt;&lt;b&gt;Range &lt;/b&gt;close (25 ft. + 5 ft./level)&lt;/h5&gt;&lt;h5&gt;&lt;b&gt;Effect &lt;/b&gt;one chariot&lt;/h5&gt;&lt;h5&gt;&lt;b&gt;Duration &lt;/b&gt;10 minutes/level (D)&lt;/h5&gt;&lt;h5&gt;&lt;b&gt;Saving Throw &lt;/b&gt;none; &lt;b&gt;Spell Resistance &lt;/b&gt;no&lt;/h5&gt;&lt;/div&gt;&lt;hr/&gt;&lt;div&gt;&lt;h5&gt;&lt;b&gt;DESCRIPTION&lt;/b&gt;&lt;/h5&gt;&lt;/div&gt;&lt;hr/&gt;&lt;div&gt;&lt;h4&gt;&lt;p&gt;You summon a greater elemental (air, earth, fire, or water) bound in the form of a mighty chariot that moves at your command and can carry up to nine Medium creatures.&lt;/p&gt;&lt;p&gt;Passengers inside are not harmed by the elemental, and can see, breathe, and act normally, suffering no environmental damage even when the elemental chariot is flying, underwater, burrowing, or using earth glide. Passengers are not otherwise protected, though the elemental chariot does provide cover like a normal chariot.&lt;/p&gt;&lt;p&gt;The elemental keeps all of its statistics and abilities, except it loses its slam attacks and gains a trample attack (&lt;i&gt;Pathfinder&lt;/i&gt; &lt;i&gt;RPG Bestiary&lt;/i&gt; 305).&lt;/p&gt;&lt;p&gt;When you use a summoning spell to summon an air, earth, fire, or water creature, it is a spell of that type.&lt;/p&gt;&lt;p&gt;This spell is almost exclusively used by the Green Faith.&lt;/p&gt;&lt;/h4&gt;&lt;/div&gt;</t>
  </si>
  <si>
    <t>Hibernate</t>
  </si>
  <si>
    <t>You place a willing subject into a cataleptic state. It remains aware of its surroundings but is paralyzed, appearing dead unless observers make a DC 20 Heal check. Hibernate delays the effects of poison, disease, and bleed effects for the spell's duration, and half of any hit point damage suffered by the subject is converted to nonlethal damage. This spell originated with the Green Faith, but has spread to all other druidic religions.</t>
  </si>
  <si>
    <t>&lt;p&gt;You place a willing subject into a cataleptic state. It remains aware of its surroundings but is paralyzed, appearing dead unless observers make a DC 20 Heal check. &lt;i&gt;Hibernate&lt;/i&gt; delays the effects of poison, disease, and bleed effects for the spell's duration, and half of any hit point damage suffered by the subject is converted to nonlethal damage.&lt;/p&gt;&lt;p&gt;This spell originated with the Green Faith, but has spread to all other druidic religions.&lt;/p&gt;</t>
  </si>
  <si>
    <t>&lt;link rel="stylesheet"href="PF.css"&gt;&lt;div class="heading"&gt;&lt;p class="alignleft"&gt;Hibernate&lt;/p&gt;&lt;div style="clear: both;"&gt;&lt;/div&gt;&lt;/div&gt;&lt;div&gt;&lt;h5&gt;&lt;b&gt;School &lt;/b&gt;necromancy; &lt;b&gt;Level &lt;/b&gt;druid 1&lt;/h5&gt;&lt;/div&gt;&lt;hr/&gt;&lt;div&gt;&lt;h5&gt;&lt;b&gt;CASTING&lt;/b&gt;&lt;/h5&gt;&lt;/div&gt;&lt;hr/&gt;&lt;div&gt;&lt;h5&gt;&lt;b&gt;Casting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 touched&lt;/h5&gt;&lt;h5&gt;&lt;b&gt;Duration &lt;/b&gt;1 minute/level (D)&lt;/h5&gt;&lt;h5&gt;&lt;b&gt;Saving Throw &lt;/b&gt;none; &lt;b&gt;Spell Resistance &lt;/b&gt;no&lt;/h5&gt;&lt;/div&gt;&lt;hr/&gt;&lt;div&gt;&lt;h5&gt;&lt;b&gt;DESCRIPTION&lt;/b&gt;&lt;/h5&gt;&lt;/div&gt;&lt;hr/&gt;&lt;div&gt;&lt;h4&gt;&lt;p&gt;You place a willing subject into a cataleptic state. It remains aware of its surroundings but is paralyzed, appearing dead unless observers make a DC 20 Heal check. &lt;i&gt;Hibernate&lt;/i&gt; delays the effects of poison, disease, and bleed effects for the spell's duration, and half of any hit point damage suffered by the subject is converted to nonlethal damage.&lt;/p&gt;&lt;p&gt;This spell originated with the Green Faith, but has spread to all other druidic religions.&lt;/p&gt;&lt;/h4&gt;&lt;/div&gt;</t>
  </si>
  <si>
    <t>Mark of Blood</t>
  </si>
  <si>
    <t>Red Mantis Assassin 2, sorcerer/wizard 2</t>
  </si>
  <si>
    <t>V, S, M (a drop of your blood)</t>
  </si>
  <si>
    <t>one weapon and one living creature (see text)</t>
  </si>
  <si>
    <t>1 minute and permanent; see text</t>
  </si>
  <si>
    <t>You place a drop of your blood on a weapon and charge it with magic so that you transfer a small amount of your life essence to the next creature you strike with the weapon. Thereafter, you may spend a move action to know the direction and general distance of that creature. You must strike a creature within 1 minute of casting this spell or the magic is wasted. The Red Mantis Assassins created this spell, though other thieves' and assassins' guilds have similar spells. Note that this spell is on the Red Mantis Assassin prestige class spell list, not something anyone can cast by being a member of the Red Mantis Assassins faction.</t>
  </si>
  <si>
    <t>&lt;p&gt;You place a drop of your blood on a weapon and charge it with magic so that you transfer a small amount of your life essence to the next creature you strike with the weapon. Thereafter, you may spend a move action to know the direction and general distance of that creature. You must strike a creature within 1 minute of casting this spell or the magic is wasted.&lt;/p&gt;&lt;p&gt;The Red Mantis Assassins created this spell, though other thieves' and assassins' guilds have similar spells. Note that this spell is on the Red Mantis Assassin prestige class spell list, not something anyone can cast by being a member of the Red Mantis Assassins faction.&lt;/p&gt;</t>
  </si>
  <si>
    <t>&lt;link rel="stylesheet"href="PF.css"&gt;&lt;div class="heading"&gt;&lt;p class="alignleft"&gt;Mark of Blood&lt;/p&gt;&lt;div style="clear: both;"&gt;&lt;/div&gt;&lt;/div&gt;&lt;div&gt;&lt;h5&gt;&lt;b&gt;School &lt;/b&gt;necromancy; &lt;b&gt;Level &lt;/b&gt;Red Mantis Assassin 2, sorcerer/wizard 2&lt;/h5&gt;&lt;/div&gt;&lt;hr/&gt;&lt;div&gt;&lt;h5&gt;&lt;b&gt;CASTING&lt;/b&gt;&lt;/h5&gt;&lt;/div&gt;&lt;hr/&gt;&lt;div&gt;&lt;h5&gt;&lt;b&gt;Casting Time &lt;/b&gt;1 standard action&lt;/h5&gt;&lt;h5&gt;&lt;b&gt;Components &lt;/b&gt;V, S, M (a drop of your blood)&lt;/h5&gt;&lt;/div&gt;&lt;hr/&gt;&lt;div&gt;&lt;h5&gt;&lt;b&gt;EFFECT&lt;/b&gt;&lt;/h5&gt;&lt;/div&gt;&lt;hr/&gt;&lt;div&gt;&lt;h5&gt;&lt;b&gt;Range &lt;/b&gt;touch&lt;/h5&gt;&lt;h5&gt;&lt;b&gt;Targets &lt;/b&gt;one weapon and one living creature (see text)&lt;/h5&gt;&lt;h5&gt;&lt;b&gt;Duration &lt;/b&gt;1 minute and permanent; see text&lt;/h5&gt;&lt;h5&gt;&lt;b&gt;Saving Throw &lt;/b&gt;Will negates; &lt;b&gt;Spell Resistance &lt;/b&gt;yes&lt;/h5&gt;&lt;/div&gt;&lt;hr/&gt;&lt;div&gt;&lt;h5&gt;&lt;b&gt;DESCRIPTION&lt;/b&gt;&lt;/h5&gt;&lt;/div&gt;&lt;hr/&gt;&lt;div&gt;&lt;h4&gt;&lt;p&gt;You place a drop of your blood on a weapon and charge it with magic so that you transfer a small amount of your life essence to the next creature you strike with the weapon. Thereafter, you may spend a move action to know the direction and general distance of that creature. You must strike a creature within 1 minute of casting this spell or the magic is wasted.&lt;/p&gt;&lt;p&gt;The Red Mantis Assassins created this spell, though other thieves' and assassins' guilds have similar spells. Note that this spell is on the Red Mantis Assassin prestige class spell list, not something anyone can cast by being a member of the Red Mantis Assassins faction.&lt;/p&gt;&lt;/h4&gt;&lt;/div&gt;</t>
  </si>
  <si>
    <t>Sotto Voce</t>
  </si>
  <si>
    <t>fear, mind-affecting, sonic</t>
  </si>
  <si>
    <t>bard 1, cleric 0/oracle 0, sorcerer/wizard 0</t>
  </si>
  <si>
    <t>Your dry, rasping whisper fills a living creature of 4 or fewer Hit Dice with unnatural dread. The affected creature must make a Will save or be shaken for 1 round. This spell originated among the followers of the Whispering Way, but necromancers and other intimidating folk outside that group are known to use it.</t>
  </si>
  <si>
    <t>&lt;p&gt;Your dry, rasping whisper fills a living creature of 4 or fewer Hit Dice with unnatural dread. The affected creature must make a Will save or be shaken for 1 round.&lt;/p&gt;&lt;p&gt;This spell originated among the followers of the Whispering Way, but necromancers and other intimidating folk outside that group are known to use it.&lt;/p&gt;</t>
  </si>
  <si>
    <t>&lt;link rel="stylesheet"href="PF.css"&gt;&lt;div class="heading"&gt;&lt;p class="alignleft"&gt;Sotto Voce&lt;/p&gt;&lt;div style="clear: both;"&gt;&lt;/div&gt;&lt;/div&gt;&lt;div&gt;&lt;h5&gt;&lt;b&gt;School &lt;/b&gt;necromancy [fear, mind-affecting, sonic]; &lt;b&gt;Level &lt;/b&gt;bard 1, cleric 0/oracle 0, sorcerer/wizard 0&lt;/h5&gt;&lt;/div&gt;&lt;hr/&gt;&lt;div&gt;&lt;h5&gt;&lt;b&gt;CASTING&lt;/b&gt;&lt;/h5&gt;&lt;/div&gt;&lt;hr/&gt;&lt;div&gt;&lt;h5&gt;&lt;b&gt;Casting Time &lt;/b&gt;1 standard action&lt;/h5&gt;&lt;h5&gt;&lt;b&gt;Components &lt;/b&gt;V&lt;/h5&gt;&lt;/div&gt;&lt;hr/&gt;&lt;div&gt;&lt;h5&gt;&lt;b&gt;EFFECT&lt;/b&gt;&lt;/h5&gt;&lt;/div&gt;&lt;hr/&gt;&lt;div&gt;&lt;h5&gt;&lt;b&gt;Range &lt;/b&gt;close (25 ft. + 5 ft./level)&lt;/h5&gt;&lt;h5&gt;&lt;b&gt;Targets &lt;/b&gt;one humanoid creature of 4 HD or less&lt;/h5&gt;&lt;h5&gt;&lt;b&gt;Duration &lt;/b&gt;1 round&lt;/h5&gt;&lt;h5&gt;&lt;b&gt;Saving Throw &lt;/b&gt;Will negates; &lt;b&gt;Spell Resistance &lt;/b&gt;yes&lt;/h5&gt;&lt;/div&gt;&lt;hr/&gt;&lt;div&gt;&lt;h5&gt;&lt;b&gt;DESCRIPTION&lt;/b&gt;&lt;/h5&gt;&lt;/div&gt;&lt;hr/&gt;&lt;div&gt;&lt;h4&gt;&lt;p&gt;Your dry, rasping whisper fills a living creature of 4 or fewer Hit Dice with unnatural dread. The affected creature must make a Will save or be shaken for 1 round.&lt;/p&gt;&lt;p&gt;This spell originated among the followers of the Whispering Way, but necromancers and other intimidating folk outside that group are known to use it.&lt;/p&gt;&lt;/h4&gt;&lt;/div&gt;</t>
  </si>
  <si>
    <t>Tomb Legion</t>
  </si>
  <si>
    <t>Three or more advanced mummies, no two of which can be more than 30 ft. apart; see text</t>
  </si>
  <si>
    <t>This spell functions like shambler, except that it calls into existence 1d4+2 advanced mummies rather than shambling mounds. Though the spell has fallen out of favor among the Risen Guard because the Ruby Prince frowns on the use of undead, this spell is popular among followers of the Whispering Way.</t>
  </si>
  <si>
    <t>&lt;p&gt;This spell functions like &lt;i&gt;shambler&lt;/i&gt;, except that it calls into existence 1d4+2 advanced mummies rather than shambling mounds.&lt;/p&gt;&lt;p&gt;Though the spell has fallen out of favor among the Risen Guard because the Ruby Prince frowns on the use of undead, this spell is popular among followers of the Whispering Way.&lt;/p&gt;</t>
  </si>
  <si>
    <t>&lt;link rel="stylesheet"href="PF.css"&gt;&lt;div class="heading"&gt;&lt;p class="alignleft"&gt;Tomb Legion&lt;/p&gt;&lt;div style="clear: both;"&gt;&lt;/div&gt;&lt;/div&gt;&lt;div&gt;&lt;h5&gt;&lt;b&gt;School &lt;/b&gt;necromancy [evil]; &lt;b&gt;Level &lt;/b&gt;cleric 8/oracle 8, sorcerer/wizard 8&lt;/h5&gt;&lt;/div&gt;&lt;hr/&gt;&lt;div&gt;&lt;h5&gt;&lt;b&gt;CASTING&lt;/b&gt;&lt;/h5&gt;&lt;/div&gt;&lt;hr/&gt;&lt;div&gt;&lt;h5&gt;&lt;b&gt;Casting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ft./level)&lt;/h5&gt;&lt;h5&gt;&lt;b&gt;Effect &lt;/b&gt;Three or more advanced mummies, no two of which can be more than 30 ft. apart; see text&lt;/h5&gt;&lt;h5&gt;&lt;b&gt;Duration &lt;/b&gt;7 days or 7 months ; see text (D)&lt;/h5&gt;&lt;h5&gt;&lt;b&gt;Saving Throw &lt;/b&gt;none; &lt;b&gt;Spell Resistance &lt;/b&gt;no&lt;/h5&gt;&lt;/div&gt;&lt;hr/&gt;&lt;div&gt;&lt;h5&gt;&lt;b&gt;DESCRIPTION&lt;/b&gt;&lt;/h5&gt;&lt;/div&gt;&lt;hr/&gt;&lt;div&gt;&lt;h4&gt;&lt;p&gt;This spell functions like &lt;i&gt;shambler&lt;/i&gt;, except that it calls into existence 1d4+2 advanced mummies rather than shambling mounds.&lt;/p&gt;&lt;p&gt;Though the spell has fallen out of favor among the Risen Guard because the Ruby Prince frowns on the use of undead, this spell is popular among followers of the Whispering Way.&lt;/p&gt;&lt;/h4&gt;&lt;/div&gt;</t>
  </si>
  <si>
    <t>Tripvine</t>
  </si>
  <si>
    <t>bard 1, druid 1, sorcerer/wizard 1</t>
  </si>
  <si>
    <t>10-foot-long rope or vine</t>
  </si>
  <si>
    <t>You animate a rope, vine, or similar object so that it attempts to trip any creature that comes near. The rope attacks anything in a 10-foot-square area you designate. The rope does not provoke an attack of opportunity. Its CMB is equal to your caster level +2. A tripped target that was running, jumping, or charging takes 1d6 points of nonlethal damage. Creatures aware of the tripvine gain a +4 bonus to their CMD against it. The Green Faith created this spell, but it is now common.</t>
  </si>
  <si>
    <t>&lt;p&gt;You animate a rope, vine, or similar object so that it attempts to trip any creature that comes near. The rope attacks anything in a 10-foot-square area you designate. The rope does not provoke an attack of opportunity. Its CMB is equal to your caster level +2. A tripped target that was running, jumping, or charging takes 1d6 points of nonlethal damage. Creatures aware of the tripvine gain a +4 bonus to their CMD against it.&lt;/p&gt;&lt;p&gt;The Green Faith created this spell, but it is now common.&lt;/p&gt;</t>
  </si>
  <si>
    <t>&lt;link rel="stylesheet"href="PF.css"&gt;&lt;div class="heading"&gt;&lt;p class="alignleft"&gt;Tripvine&lt;/p&gt;&lt;div style="clear: both;"&gt;&lt;/div&gt;&lt;/div&gt;&lt;div&gt;&lt;h5&gt;&lt;b&gt;School &lt;/b&gt;transmutation; &lt;b&gt;Level &lt;/b&gt;bard 1, druid 1, sorcerer/wizard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&lt;/b&gt;10-foot-long rope or vine&lt;/h5&gt;&lt;h5&gt;&lt;b&gt;Duration &lt;/b&gt;10 minutes/level&lt;/h5&gt;&lt;h5&gt;&lt;b&gt;Saving Throw &lt;/b&gt;Reflex negates; &lt;b&gt;Spell Resistance &lt;/b&gt;no&lt;/h5&gt;&lt;/div&gt;&lt;hr/&gt;&lt;div&gt;&lt;h5&gt;&lt;b&gt;DESCRIPTION&lt;/b&gt;&lt;/h5&gt;&lt;/div&gt;&lt;hr/&gt;&lt;div&gt;&lt;h4&gt;&lt;p&gt;You animate a rope, vine, or similar object so that it attempts to trip any creature that comes near. The rope attacks anything in a 10-foot-square area you designate. The rope does not provoke an attack of opportunity. Its CMB is equal to your caster level +2. A tripped target that was running, jumping, or charging takes 1d6 points of nonlethal damage. Creatures aware of the tripvine gain a +4 bonus to their CMD against it.&lt;/p&gt;&lt;p&gt;The Green Faith created this spell, but it is now common.&lt;/p&gt;&lt;/h4&gt;&lt;/div&gt;</t>
  </si>
  <si>
    <t>Ape Walk</t>
  </si>
  <si>
    <t>druid 3, ranger 2, sorcerer/wizard 3</t>
  </si>
  <si>
    <t>V, S, M (an ape or monkey paw)</t>
  </si>
  <si>
    <t>(harmless) The subject can climb as well as an ape or monkey, gaining a climb speed of 30 feet and a +8 racial bonus on Climb skill checks. The affected creature must have her hands free to climb in this manner. In addition, as long as she has 10 feet of space in which to make a running start, the subject can make a long jump of up to 10 feet without making an Acrobatics check (an Acrobatics check is still required to jump longer distances).</t>
  </si>
  <si>
    <t>&lt;p&gt;(harmless) The subject can climb as well as an ape or monkey, gaining a climb speed of 30 feet and a +8 racial bonus on Climb skill checks. The affected creature must have her hands free to climb in this manner. In addition, as long as she has 10 feet of space in which to make a running start, the subject can make a long jump of up to 10 feet without making an Acrobatics check (an Acrobatics check is still required to jump longer distances).&lt;/p&gt;</t>
  </si>
  <si>
    <t>Sargava</t>
  </si>
  <si>
    <t>&lt;link rel="stylesheet"href="PF.css"&gt;&lt;div class="heading"&gt;&lt;p class="alignleft"&gt;Ape Walk&lt;/p&gt;&lt;div style="clear: both;"&gt;&lt;/div&gt;&lt;/div&gt;&lt;div&gt;&lt;h5&gt;&lt;b&gt;School &lt;/b&gt;transmutation; &lt;b&gt;Level &lt;/b&gt;druid 3, ranger 2, sorcerer/wizard 3&lt;/h5&gt;&lt;/div&gt;&lt;hr/&gt;&lt;div&gt;&lt;h5&gt;&lt;b&gt;CASTING&lt;/b&gt;&lt;/h5&gt;&lt;/div&gt;&lt;hr/&gt;&lt;div&gt;&lt;h5&gt;&lt;b&gt;Casting Time &lt;/b&gt;1 standard action&lt;/h5&gt;&lt;h5&gt;&lt;b&gt;Components &lt;/b&gt;V, S, M (an ape or monkey paw)&lt;/h5&gt;&lt;/div&gt;&lt;hr/&gt;&lt;div&gt;&lt;h5&gt;&lt;b&gt;EFFECT&lt;/b&gt;&lt;/h5&gt;&lt;/div&gt;&lt;hr/&gt;&lt;div&gt;&lt;h5&gt;&lt;b&gt;Range &lt;/b&gt;touch&lt;/h5&gt;&lt;h5&gt;&lt;b&gt;Targets &lt;/b&gt;creature touched&lt;/h5&gt;&lt;h5&gt;&lt;b&gt;Duration &lt;/b&gt;10 minutes/level&lt;/h5&gt;&lt;h5&gt;&lt;b&gt;Saving Throw &lt;/b&gt;Will negates (harmless); &lt;b&gt;Spell Resistance &lt;/b&gt;yes&lt;/h5&gt;&lt;/div&gt;&lt;hr/&gt;&lt;div&gt;&lt;h5&gt;&lt;b&gt;DESCRIPTION&lt;/b&gt;&lt;/h5&gt;&lt;/div&gt;&lt;hr/&gt;&lt;div&gt;&lt;h4&gt;&lt;p&gt;(harmless) The subject can climb as well as an ape or monkey, gaining a climb speed of 30 feet and a +8 racial bonus on Climb skill checks. The affected creature must have her hands free to climb in this manner. In addition, as long as she has 10 feet of space in which to make a running start, the subject can make a long jump of up to 10 feet without making an Acrobatics check (an Acrobatics check is still required to jump longer distances).&lt;/p&gt;&lt;/h4&gt;&lt;/div&gt;</t>
  </si>
  <si>
    <t>Defoliate</t>
  </si>
  <si>
    <t>druid 2, ranger 1, sorcerer/wizard 2</t>
  </si>
  <si>
    <t>V, S, M (a locust)</t>
  </si>
  <si>
    <t>You hurl a tiny ball of negative energy, destroying plant life either in a line 60 feet long or a 10-foot-radius spread. This effect removes the cover and concealment provided by trees and undergrowth, eliminates the movement penalties associated with undergrowth, and so forth. You may also target a single plant creature with this spell. You must succeed on a ranged touch attack to hit your target. An affected plant creature takes 2d8 points of damage.</t>
  </si>
  <si>
    <t>&lt;p&gt;You hurl a tiny ball of negative energy, destroying plant life either in a line 60 feet long or a 10-foot-radius spread. This effect removes the cover and concealment provided by trees and undergrowth, eliminates the movement penalties associated with undergrowth, and so forth.&lt;/p&gt;&lt;p&gt;You may also target a single plant creature with this spell.&lt;/p&gt;&lt;p&gt;You must succeed on a ranged touch attack to hit your target.&lt;/p&gt;&lt;p&gt;An affected plant creature takes 2d8 points of damage.&lt;/p&gt;</t>
  </si>
  <si>
    <t>&lt;link rel="stylesheet"href="PF.css"&gt;&lt;div class="heading"&gt;&lt;p class="alignleft"&gt;Defoliate&lt;/p&gt;&lt;div style="clear: both;"&gt;&lt;/div&gt;&lt;/div&gt;&lt;div&gt;&lt;h5&gt;&lt;b&gt;School &lt;/b&gt;necromancy; &lt;b&gt;Level &lt;/b&gt;druid 2, ranger 1, sorcerer/wizard 2&lt;/h5&gt;&lt;/div&gt;&lt;hr/&gt;&lt;div&gt;&lt;h5&gt;&lt;b&gt;CASTING&lt;/b&gt;&lt;/h5&gt;&lt;/div&gt;&lt;hr/&gt;&lt;div&gt;&lt;h5&gt;&lt;b&gt;Casting Time &lt;/b&gt;1 standard action&lt;/h5&gt;&lt;h5&gt;&lt;b&gt;Components &lt;/b&gt;V, S, M (a locust)&lt;/h5&gt;&lt;/div&gt;&lt;hr/&gt;&lt;div&gt;&lt;h5&gt;&lt;b&gt;EFFECT&lt;/b&gt;&lt;/h5&gt;&lt;/div&gt;&lt;hr/&gt;&lt;div&gt;&lt;h5&gt;&lt;b&gt;Range &lt;/b&gt;close (25 ft. + 5 ft./2 levels)&lt;/h5&gt;&lt;h5&gt;&lt;b&gt;Area &lt;/b&gt;see text&lt;/h5&gt;&lt;h5&gt;&lt;b&gt;Targets &lt;/b&gt;see text&lt;/h5&gt;&lt;h5&gt;&lt;b&gt;Duration &lt;/b&gt;instantaneous&lt;/h5&gt;&lt;h5&gt;&lt;b&gt;Saving Throw &lt;/b&gt;none; &lt;b&gt;Spell Resistance &lt;/b&gt;yes&lt;/h5&gt;&lt;/div&gt;&lt;hr/&gt;&lt;div&gt;&lt;h5&gt;&lt;b&gt;DESCRIPTION&lt;/b&gt;&lt;/h5&gt;&lt;/div&gt;&lt;hr/&gt;&lt;div&gt;&lt;h4&gt;&lt;p&gt;You hurl a tiny ball of negative energy, destroying plant life either in a line 60 feet long or a 10-foot-radius spread. This effect removes the cover and concealment provided by trees and undergrowth, eliminates the movement penalties associated with undergrowth, and so forth.&lt;/p&gt;&lt;p&gt;You may also target a single plant creature with this spell.&lt;/p&gt;&lt;p&gt;You must succeed on a ranged touch attack to hit your target.&lt;/p&gt;&lt;p&gt;An affected plant creature takes 2d8 points of damage.&lt;/p&gt;&lt;/h4&gt;&lt;/div&gt;</t>
  </si>
  <si>
    <t>Radiation</t>
  </si>
  <si>
    <t>Heatstroke</t>
  </si>
  <si>
    <t>druid 3, sorcerer/wizard 3</t>
  </si>
  <si>
    <t>Fortitude partial, see text</t>
  </si>
  <si>
    <t>A wavering red ray projects from your finger. You must succeed on a ranged touch attack with the ray to hit your target. The ray inflicts 1d4 points of nonlethal damage, causing the target to suffer from heatstroke as its body temperature dramatically increases. Except as noted above, this spell otherwise functions as ray of exhaustion. Characters wearing heavy clothing or armor of any sort take a -4 penalty on their saves.</t>
  </si>
  <si>
    <t>&lt;p&gt;A wavering red ray projects from your finger. You must succeed on a ranged touch attack with the ray to hit your target.&lt;/p&gt;&lt;p&gt;The ray inflicts 1d4 points of nonlethal damage, causing the target to suffer from heatstroke as its body temperature dramatically increases. Except as noted above, this spell otherwise functions as &lt;i&gt;ray of exhaustion&lt;/i&gt;.&lt;/p&gt;&lt;p&gt;Characters wearing heavy clothing or armor of any sort take a -4 penalty on their saves.&lt;/p&gt;</t>
  </si>
  <si>
    <t>&lt;link rel="stylesheet"href="PF.css"&gt;&lt;div class="heading"&gt;&lt;p class="alignleft"&gt;Heatstroke&lt;/p&gt;&lt;div style="clear: both;"&gt;&lt;/div&gt;&lt;/div&gt;&lt;div&gt;&lt;h5&gt;&lt;b&gt;School &lt;/b&gt;evocation [fire]; &lt;b&gt;Level &lt;/b&gt;druid 3, sorcerer/wizard 3&lt;/h5&gt;&lt;/div&gt;&lt;hr/&gt;&lt;div&gt;&lt;h5&gt;&lt;b&gt;CASTING&lt;/b&gt;&lt;/h5&gt;&lt;/div&gt;&lt;hr/&gt;&lt;div&gt;&lt;h5&gt;&lt;b&gt;Casting Time &lt;/b&gt;1 standard action&lt;/h5&gt;&lt;h5&gt;&lt;b&gt;Components &lt;/b&gt;V, S, M (a drop of sweat)&lt;/h5&gt;&lt;/div&gt;&lt;hr/&gt;&lt;div&gt;&lt;h5&gt;&lt;b&gt;EFFECT&lt;/b&gt;&lt;/h5&gt;&lt;/div&gt;&lt;hr/&gt;&lt;div&gt;&lt;h5&gt;&lt;b&gt;Range &lt;/b&gt;close (25 ft. + 5 ft./2 levels)&lt;/h5&gt;&lt;h5&gt;&lt;b&gt;Effect &lt;/b&gt;ray&lt;/h5&gt;&lt;h5&gt;&lt;b&gt;Duration &lt;/b&gt;1 minute/level&lt;/h5&gt;&lt;h5&gt;&lt;b&gt;Saving Throw &lt;/b&gt;Fortitude partial, see text; &lt;b&gt;Spell Resistance &lt;/b&gt;yes&lt;/h5&gt;&lt;/div&gt;&lt;hr/&gt;&lt;div&gt;&lt;h5&gt;&lt;b&gt;DESCRIPTION&lt;/b&gt;&lt;/h5&gt;&lt;/div&gt;&lt;hr/&gt;&lt;div&gt;&lt;h4&gt;&lt;p&gt;A wavering red ray projects from your finger. You must succeed on a ranged touch attack with the ray to hit your target.&lt;/p&gt;&lt;p&gt;The ray inflicts 1d4 points of nonlethal damage, causing the target to suffer from heatstroke as its body temperature dramatically increases. Except as noted above, this spell otherwise functions as &lt;i&gt;ray of exhaustion&lt;/i&gt;.&lt;/p&gt;&lt;p&gt;Characters wearing heavy clothing or armor of any sort take a -4 penalty on their saves.&lt;/p&gt;&lt;/h4&gt;&lt;/div&gt;</t>
  </si>
  <si>
    <t>Swallow Your Fear</t>
  </si>
  <si>
    <t>bard 1, cleric 1/oracle 1</t>
  </si>
  <si>
    <t>You make the affected subjects ready for battle despite their fear. If a target is suffering from a fear effect of any kind, he gains a +2 morale bonus to Strength and Constitution, a +1 morale bonus on Will saves, and a -2 penalty to AC. If the subject is frightened, he remains in place and gains the confused condition for the remainder of the fear effect, except he treats all results of "attack self " as "do nothing" and treats "attack nearest creature" as "act normally." If the subject is panicked, he remains in place and gains the confused condition for the duration of the fear effect.</t>
  </si>
  <si>
    <t>&lt;p&gt;You make the affected subjects ready for battle despite their fear. If a target is suffering from a fear effect of any kind, he gains a +2 morale bonus to Strength and Constitution, a +1 morale bonus on Will saves, and a -2 penalty to AC.&lt;/p&gt;&lt;p&gt;If the subject is frightened, he remains in place and gains the confused condition for the remainder of the fear effect, except he treats all results of "attack self " as "do nothing" and treats "attack nearest creature" as "act normally." If the subject is panicked, he remains in place and gains the confused condition for the duration of the fear effect.&lt;/p&gt;</t>
  </si>
  <si>
    <t>AP 35</t>
  </si>
  <si>
    <t>&lt;link rel="stylesheet"href="PF.css"&gt;&lt;div class="heading"&gt;&lt;p class="alignleft"&gt;Swallow Your Fear&lt;/p&gt;&lt;div style="clear: both;"&gt;&lt;/div&gt;&lt;/div&gt;&lt;div&gt;&lt;h5&gt;&lt;b&gt;School &lt;/b&gt;enchantment; &lt;b&gt;Level &lt;/b&gt;bard 1, cleric 1/oracle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 plus one additional creature per four levels, no two of which can be more than 30 ft. apart&lt;/h5&gt;&lt;h5&gt;&lt;b&gt;Duration &lt;/b&gt;10 minutes; see text&lt;/h5&gt;&lt;h5&gt;&lt;b&gt;Saving Throw &lt;/b&gt;Will negates (harmless); &lt;b&gt;Spell Resistance &lt;/b&gt;yes (harmless)&lt;/h5&gt;&lt;/div&gt;&lt;hr/&gt;&lt;div&gt;&lt;h5&gt;&lt;b&gt;DESCRIPTION&lt;/b&gt;&lt;/h5&gt;&lt;/div&gt;&lt;hr/&gt;&lt;div&gt;&lt;h4&gt;&lt;p&gt;You make the affected subjects ready for battle despite their fear. If a target is suffering from a fear effect of any kind, he gains a +2 morale bonus to Strength and Constitution, a +1 morale bonus on Will saves, and a -2 penalty to AC.&lt;/p&gt;&lt;p&gt;If the subject is frightened, he remains in place and gains the confused condition for the remainder of the fear effect, except he treats all results of "attack self " as "do nothing" and treats "attack nearest creature" as "act normally." If the subject is panicked, he remains in place and gains the confused condition for the duration of the fear effect.&lt;/p&gt;&lt;/h4&gt;&lt;/div&gt;</t>
  </si>
  <si>
    <t>Blood Rage</t>
  </si>
  <si>
    <t>adept 3, bard 2, cleric 3/oracle 3, sorcerer/wizard 3</t>
  </si>
  <si>
    <t>V, S, M (a drop of blood from each creature to be affected)</t>
  </si>
  <si>
    <t>one willing living creature per 2 levels, no two of which may be more than 30 ft. apart</t>
  </si>
  <si>
    <t>The targets of this spell become angrier as they fight, the pain of their wounds fueling their strength. An affected creature gains a cumulative +2 morale bonus to Strength and a cumulative -1 penalty to AC for every 5 points of damage it takes (maximum +10 Strength, -5 AC) for the duration of the spell. These bonuses last until the spell expires or the target falls unconscious.</t>
  </si>
  <si>
    <t>&lt;p&gt;The targets of this spell become angrier as they fight, the pain of their wounds fueling their strength. An affected creature gains a cumulative +2 morale bonus to Strength and a cumulative -1 penalty to AC for every 5 points of damage it takes (maximum +10 Strength, -5 AC) for the duration of the spell. These bonuses last until the spell expires or the target falls unconscious.&lt;/p&gt;</t>
  </si>
  <si>
    <t>Orcs of Golarion</t>
  </si>
  <si>
    <t>&lt;link rel="stylesheet"href="PF.css"&gt;&lt;div class="heading"&gt;&lt;p class="alignleft"&gt;Blood Rage&lt;/p&gt;&lt;div style="clear: both;"&gt;&lt;/div&gt;&lt;/div&gt;&lt;div&gt;&lt;h5&gt;&lt;b&gt;School &lt;/b&gt;enchantment (compulsion) [mind-affecting]; &lt;b&gt;Level &lt;/b&gt;adept 3, bard 2, cleric 3/oracle 3, sorcerer/wizard 3&lt;/h5&gt;&lt;/div&gt;&lt;hr/&gt;&lt;div&gt;&lt;h5&gt;&lt;b&gt;CASTING&lt;/b&gt;&lt;/h5&gt;&lt;/div&gt;&lt;hr/&gt;&lt;div&gt;&lt;h5&gt;&lt;b&gt;Casting Time &lt;/b&gt;1 standard action&lt;/h5&gt;&lt;h5&gt;&lt;b&gt;Components &lt;/b&gt;V, S, M (a drop of blood from each creature to be affected)&lt;/h5&gt;&lt;/div&gt;&lt;hr/&gt;&lt;div&gt;&lt;h5&gt;&lt;b&gt;EFFECT&lt;/b&gt;&lt;/h5&gt;&lt;/div&gt;&lt;hr/&gt;&lt;div&gt;&lt;h5&gt;&lt;b&gt;Range &lt;/b&gt;close (25 ft. + 5 ft./level)&lt;/h5&gt;&lt;h5&gt;&lt;b&gt;Targets &lt;/b&gt;one willing living creature per 2 levels, no two of which may be more than 30 ft. apart&lt;/h5&gt;&lt;h5&gt;&lt;b&gt;Duration &lt;/b&gt;1 round/level&lt;/h5&gt;&lt;h5&gt;&lt;b&gt;Saving Throw &lt;/b&gt;Will negates (harmless); &lt;b&gt;Spell Resistance &lt;/b&gt;yes (harmless)&lt;/h5&gt;&lt;/div&gt;&lt;hr/&gt;&lt;div&gt;&lt;h5&gt;&lt;b&gt;DESCRIPTION&lt;/b&gt;&lt;/h5&gt;&lt;/div&gt;&lt;hr/&gt;&lt;div&gt;&lt;h4&gt;&lt;p&gt;The targets of this spell become angrier as they fight, the pain of their wounds fueling their strength. An affected creature gains a cumulative +2 morale bonus to Strength and a cumulative -1 penalty to AC for every 5 points of damage it takes (maximum +10 Strength, -5 AC) for the duration of the spell. These bonuses last until the spell expires or the target falls unconscious.&lt;/p&gt;&lt;/h4&gt;&lt;/div&gt;</t>
  </si>
  <si>
    <t>Shield the Banner</t>
  </si>
  <si>
    <t>adept 1, cleric 1/oracle 1</t>
  </si>
  <si>
    <t>standard touched</t>
  </si>
  <si>
    <t>This spell is used to protect one of a tribe's most valuable possessions: its tribal banner. Any creature (other than a member of the tribe which the standard represents) attempting to directly attack or touch the standard must make a Will save. This spell functions as sanctuary, but only protects a standard or banner. In addition, the spell grants a +2 bonus to the standard's hardness, and +10 to the standard's hit points for the duration of the spell.</t>
  </si>
  <si>
    <t>&lt;p&gt;This spell is used to protect one of a tribe's most valuable possessions: its tribal banner. Any creature (other than a member of the tribe which the standard represents) attempting to directly attack or touch the standard must make a Will save. This spell functions as sanctuary, but only protects a standard or banner. In addition, the spell grants a +2 bonus to the standard's hardness, and +10 to the standard's hit points for the duration of the spell.&lt;/p&gt;</t>
  </si>
  <si>
    <t>&lt;link rel="stylesheet"href="PF.css"&gt;&lt;div class="heading"&gt;&lt;p class="alignleft"&gt;Shield the Banner&lt;/p&gt;&lt;div style="clear: both;"&gt;&lt;/div&gt;&lt;/div&gt;&lt;div&gt;&lt;h5&gt;&lt;b&gt;School &lt;/b&gt;abjuration; &lt;b&gt;Level &lt;/b&gt;adept 1, cleric 1/oracle 1&lt;/h5&gt;&lt;/div&gt;&lt;hr/&gt;&lt;div&gt;&lt;h5&gt;&lt;b&gt;CASTING&lt;/b&gt;&lt;/h5&gt;&lt;/div&gt;&lt;hr/&gt;&lt;div&gt;&lt;h5&gt;&lt;b&gt;Casting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&lt;/b&gt;standard touched&lt;/h5&gt;&lt;h5&gt;&lt;b&gt;Duration &lt;/b&gt;1 minute/level&lt;/h5&gt;&lt;h5&gt;&lt;b&gt;Saving Throw &lt;/b&gt;Will negates; &lt;b&gt;Spell Resistance &lt;/b&gt;no&lt;/h5&gt;&lt;/div&gt;&lt;hr/&gt;&lt;div&gt;&lt;h5&gt;&lt;b&gt;DESCRIPTION&lt;/b&gt;&lt;/h5&gt;&lt;/div&gt;&lt;hr/&gt;&lt;div&gt;&lt;h4&gt;&lt;p&gt;This spell is used to protect one of a tribe's most valuable possessions: its tribal banner. Any creature (other than a member of the tribe which the standard represents) attempting to directly attack or touch the standard must make a Will save. This spell functions as sanctuary, but only protects a standard or banner. In addition, the spell grants a +2 bonus to the standard's hardness, and +10 to the standard's hit points for the duration of the spell.&lt;/p&gt;&lt;/h4&gt;&lt;/div&gt;</t>
  </si>
  <si>
    <t>Vigor</t>
  </si>
  <si>
    <t>adept 0, cleric 0/oracle 0</t>
  </si>
  <si>
    <t>This spell infuses the subject with a small surge of strength. The creature gets a +1 competence bonus on a single melee damage roll. It must choose to use the bonus before making the roll to which it applies. Ranged or spell attacks are unaffected by this spell.</t>
  </si>
  <si>
    <t>&lt;p&gt;This spell infuses the subject with a small surge of strength.&lt;/p&gt;&lt;p&gt;The creature gets a +1 competence bonus on a single melee damage roll. It must choose to use the bonus before making the roll to which it applies. &lt;b&gt;Range&lt;/b&gt;d or spell attacks are unaffected by this spell.&lt;/p&gt;</t>
  </si>
  <si>
    <t>&lt;link rel="stylesheet"href="PF.css"&gt;&lt;div class="heading"&gt;&lt;p class="alignleft"&gt;Vigor&lt;/p&gt;&lt;div style="clear: both;"&gt;&lt;/div&gt;&lt;/div&gt;&lt;div&gt;&lt;h5&gt;&lt;b&gt;School &lt;/b&gt;transmutation; &lt;b&gt;Level &lt;/b&gt;adept 0, cleric 0/oracle 0&lt;/h5&gt;&lt;/div&gt;&lt;hr/&gt;&lt;div&gt;&lt;h5&gt;&lt;b&gt;CASTING&lt;/b&gt;&lt;/h5&gt;&lt;/div&gt;&lt;hr/&gt;&lt;div&gt;&lt;h5&gt;&lt;b&gt;Casting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minute or until discharged&lt;/h5&gt;&lt;h5&gt;&lt;b&gt;Saving Throw &lt;/b&gt;Will negates (harmless); &lt;b&gt;Spell Resistance &lt;/b&gt;yes&lt;/h5&gt;&lt;/div&gt;&lt;hr/&gt;&lt;div&gt;&lt;h5&gt;&lt;b&gt;DESCRIPTION&lt;/b&gt;&lt;/h5&gt;&lt;/div&gt;&lt;hr/&gt;&lt;div&gt;&lt;h4&gt;&lt;p&gt;This spell infuses the subject with a small surge of strength.&lt;/p&gt;&lt;p&gt;The creature gets a +1 competence bonus on a single melee damage roll. It must choose to use the bonus before making the roll to which it applies. Ranged or spell attacks are unaffected by this spell.&lt;/p&gt;&lt;/h4&gt;&lt;/div&gt;</t>
  </si>
  <si>
    <t>Absorbing Touch</t>
  </si>
  <si>
    <t>alchemist 3</t>
  </si>
  <si>
    <t>1 day/level (D)</t>
  </si>
  <si>
    <t>Fortitude negates (object)</t>
  </si>
  <si>
    <t>You absorb the next object your hand touches into your body. If you are already holding an object, you can attempt to absorb it; otherwise, you may touch an object as a standard action separate from casting the spell. You can absorb any nonmagical, nonliving object weighing no more than 1 pound per caster level. A container and its contents count as a single object. Objects in the possession of another creature receive a Fortitude saving throw to prevent absorption. You may continue to attempt to absorb objects until one is absorbed. An absorbed object melds with your hand and cannot be targeted, but the object's weight still counts against your carrying capacity. If you dismiss the spell, the item appears in the hand that absorbed it, or falls to the ground if that hand is full. Multiple castings let you absorb additional items, but you can only store a single item per hand.</t>
  </si>
  <si>
    <t>&lt;p&gt;You absorb the next object your hand touches into your body. If you are already holding an object, you can attempt to absorb it; otherwise, you may touch an object as a standard action separate from casting the spell. You can absorb any nonmagical, nonliving object weighing no more than 1 pound per caster level. A container and its contents count as a single object. Objects in the possession of another creature receive a Fortitude saving throw to prevent absorption. You may continue to attempt to absorb objects until one is absorbed.&lt;/p&gt;&lt;p&gt;An absorbed object melds with your hand and cannot be targeted, but the object's weight still counts against your carrying capacity. If you dismiss the spell, the item appears in the hand that absorbed it, or falls to the ground if that hand is full. Multiple castings let you absorb additional items, but you can only store a single item per hand.&lt;/p&gt;</t>
  </si>
  <si>
    <t>APG</t>
  </si>
  <si>
    <t>&lt;link rel="stylesheet"href="PF.css"&gt;&lt;div class="heading"&gt;&lt;p class="alignleft"&gt;Absorbing Touch&lt;/p&gt;&lt;div style="clear: both;"&gt;&lt;/div&gt;&lt;/div&gt;&lt;div&gt;&lt;h5&gt;&lt;b&gt;School &lt;/b&gt;transmutation; &lt;b&gt;Level &lt;/b&gt;alchemist 3&lt;/h5&gt;&lt;/div&gt;&lt;hr/&gt;&lt;div&gt;&lt;h5&gt;&lt;b&gt;CASTING&lt;/b&gt;&lt;/h5&gt;&lt;/div&gt;&lt;hr/&gt;&lt;div&gt;&lt;h5&gt;&lt;b&gt;Casting Time &lt;/b&gt;1 standard action&lt;/h5&gt;&lt;h5&gt;&lt;b&gt;Components &lt;/b&gt;S&lt;/h5&gt;&lt;/div&gt;&lt;hr/&gt;&lt;div&gt;&lt;h5&gt;&lt;b&gt;EFFECT&lt;/b&gt;&lt;/h5&gt;&lt;/div&gt;&lt;hr/&gt;&lt;div&gt;&lt;h5&gt;&lt;b&gt;Range &lt;/b&gt;touch&lt;/h5&gt;&lt;h5&gt;&lt;b&gt;Targets &lt;/b&gt;object touched&lt;/h5&gt;&lt;h5&gt;&lt;b&gt;Duration &lt;/b&gt;1 day/level (D)&lt;/h5&gt;&lt;h5&gt;&lt;b&gt;Saving Throw &lt;/b&gt;Fortitude negates (object); &lt;b&gt;Spell Resistance &lt;/b&gt;no&lt;/h5&gt;&lt;/div&gt;&lt;hr/&gt;&lt;div&gt;&lt;h5&gt;&lt;b&gt;DESCRIPTION&lt;/b&gt;&lt;/h5&gt;&lt;/div&gt;&lt;hr/&gt;&lt;div&gt;&lt;h4&gt;&lt;p&gt;You absorb the next object your hand touches into your body. If you are already holding an object, you can attempt to absorb it; otherwise, you may touch an object as a standard action separate from casting the spell. You can absorb any nonmagical, nonliving object weighing no more than 1 pound per caster level. A container and its contents count as a single object. Objects in the possession of another creature receive a Fortitude saving throw to prevent absorption. You may continue to attempt to absorb objects until one is absorbed.&lt;/p&gt;&lt;p&gt;An absorbed object melds with your hand and cannot be targeted, but the object's weight still counts against your carrying capacity. If you dismiss the spell, the item appears in the hand that absorbed it, or falls to the ground if that hand is full. Multiple castings let you absorb additional items, but you can only store a single item per hand.&lt;/p&gt;&lt;/h4&gt;&lt;/div&gt;</t>
  </si>
  <si>
    <t>Caster absorbs an item for 1 day/level.</t>
  </si>
  <si>
    <t>Accelerate Poison</t>
  </si>
  <si>
    <t>druid 2, ranger 2, sorcerer/wizard 2</t>
  </si>
  <si>
    <t>V, S, M (a thorn)</t>
  </si>
  <si>
    <t>You hasten the onset of poison in the target. If the poison normally has an onset time, its effects begin immediately. If the poison has no onset time, its frequency is doubled, requiring two saving throws and inflicting damage twice per round or minute, though its duration is halved. Accelerate poison does not change the cure condition for the poison. If the target is affected by more than one poison, you may choose which is affected if you administered the poison; otherwise, randomly determine which poison is affected.</t>
  </si>
  <si>
    <t>&lt;p&gt;You hasten the onset of poison in the target. If the poison normally has an onset time, its effects begin immediately. If the poison has no onset time, its frequency is doubled, requiring two saving throws and inflicting damage twice per round or minute, though its duration is halved. Accelerate poison does not change the cure condition for the poison. If the target is affected by more than one poison, you may choose which is affected if you administered the poison; otherwise, randomly determine which poison is affected.&lt;/p&gt;</t>
  </si>
  <si>
    <t>&lt;link rel="stylesheet"href="PF.css"&gt;&lt;div class="heading"&gt;&lt;p class="alignleft"&gt;Accelerate Poison&lt;/p&gt;&lt;div style="clear: both;"&gt;&lt;/div&gt;&lt;/div&gt;&lt;div&gt;&lt;h5&gt;&lt;b&gt;School &lt;/b&gt;transmutation [poison]; &lt;b&gt;Level &lt;/b&gt;druid 2, ranger 2, sorcerer/wizard 2&lt;/h5&gt;&lt;/div&gt;&lt;hr/&gt;&lt;div&gt;&lt;h5&gt;&lt;b&gt;CASTING&lt;/b&gt;&lt;/h5&gt;&lt;/div&gt;&lt;hr/&gt;&lt;div&gt;&lt;h5&gt;&lt;b&gt;Casting Time &lt;/b&gt;1 standard action&lt;/h5&gt;&lt;h5&gt;&lt;b&gt;Components &lt;/b&gt;V, S, M (a thorn)&lt;/h5&gt;&lt;/div&gt;&lt;hr/&gt;&lt;div&gt;&lt;h5&gt;&lt;b&gt;EFFECT&lt;/b&gt;&lt;/h5&gt;&lt;/div&gt;&lt;hr/&gt;&lt;div&gt;&lt;h5&gt;&lt;b&gt;Range &lt;/b&gt;touch&lt;/h5&gt;&lt;h5&gt;&lt;b&gt;Targets &lt;/b&gt;creature touched&lt;/h5&gt;&lt;h5&gt;&lt;b&gt;Duration &lt;/b&gt;instantaneous&lt;/h5&gt;&lt;h5&gt;&lt;b&gt;Saving Throw &lt;/b&gt;Fortitude negates; &lt;b&gt;Spell Resistance &lt;/b&gt;yes&lt;/h5&gt;&lt;/div&gt;&lt;hr/&gt;&lt;div&gt;&lt;h5&gt;&lt;b&gt;DESCRIPTION&lt;/b&gt;&lt;/h5&gt;&lt;/div&gt;&lt;hr/&gt;&lt;div&gt;&lt;h4&gt;&lt;p&gt;You hasten the onset of poison in the target. If the poison normally has an onset time, its effects begin immediately. If the poison has no onset time, its frequency is doubled, requiring two saving throws and inflicting damage twice per round or minute, though its duration is halved. Accelerate poison does not change the cure condition for the poison. If the target is affected by more than one poison, you may choose which is affected if you administered the poison; otherwise, randomly determine which poison is affected.&lt;/p&gt;&lt;/h4&gt;&lt;/div&gt;</t>
  </si>
  <si>
    <t>Hastens targeted poison's onset.</t>
  </si>
  <si>
    <t>Acid Pit</t>
  </si>
  <si>
    <t>sorcerer/wizard 4, summoner 4</t>
  </si>
  <si>
    <t>V, S, M (drop of acid), F (Fine shovel worth 10 gp)</t>
  </si>
  <si>
    <t>10-ft.-by-10-ft. hole, 10 ft. deep/2 levels</t>
  </si>
  <si>
    <t>1 round + 1 round/level</t>
  </si>
  <si>
    <t>This spell functions as create pit, except that it places a 5-footdeep pool of acid at the bottom of the pit. The pit has a maximum depth of 100 feet. Creatures who fall into the pit take falling damage as normal (the acid counts as a yielding surface), plus 2d6 points of acid damage per round spent in contact with the acid. In addition, exposed items carried by a creature in the pit may be harmed. Refer to Table 9-2: Items Affected by Magical Attacks (Core Rulebook 216). Items are affected one at a time in the order listed on the table, and must make Fortitude saves after 3 consecutive rounds in the acid or gain the broken condition. Objects with the broken condition (regardless of how they became broken) must make a Fortitude saving throw each round spent within the acid or be destroyed. The walls of the pit are quite slippery and have a Climb DC of 30.</t>
  </si>
  <si>
    <t>&lt;p&gt;This spell functions as create pit, except that it places a 5-footdeep pool of acid at the bottom of the pit. The pit has a maximum depth of 100 feet. Creatures who fall into the pit take falling damage as normal (the acid counts as a yielding surface), plus 2d6 points of acid damage per round spent in contact with the acid. In addition, exposed items carried by a creature in the pit may be harmed. Refer to Table 9-2: Items Affected by Magical Attacks (Core Rulebook 216). Items are affected one at a time in the order listed on the table, and must make Fortitude saves after 3 consecutive rounds in the acid or gain the broken condition. Objects with the broken condition (regardless of how they became broken) must make a Fortitude saving throw each round spent within the acid or be destroyed. The walls of the pit are quite slippery and have a Climb DC of 30.&lt;/p&gt;</t>
  </si>
  <si>
    <t>&lt;link rel="stylesheet"href="PF.css"&gt;&lt;div class="heading"&gt;&lt;p class="alignleft"&gt;Acid Pit&lt;/p&gt;&lt;div style="clear: both;"&gt;&lt;/div&gt;&lt;/div&gt;&lt;div&gt;&lt;h5&gt;&lt;b&gt;School &lt;/b&gt;conjuration (creation) [acid]; &lt;b&gt;Level &lt;/b&gt;sorcerer/wizard 4, summoner 4&lt;/h5&gt;&lt;/div&gt;&lt;hr/&gt;&lt;div&gt;&lt;h5&gt;&lt;b&gt;CASTING&lt;/b&gt;&lt;/h5&gt;&lt;/div&gt;&lt;hr/&gt;&lt;div&gt;&lt;h5&gt;&lt;b&gt;Casting Time &lt;/b&gt;1 standard action&lt;/h5&gt;&lt;h5&gt;&lt;b&gt;Components &lt;/b&gt;V, S, M (drop of acid), F (Fine shovel worth 10 gp)&lt;/h5&gt;&lt;/div&gt;&lt;hr/&gt;&lt;div&gt;&lt;h5&gt;&lt;b&gt;EFFECT&lt;/b&gt;&lt;/h5&gt;&lt;/div&gt;&lt;hr/&gt;&lt;div&gt;&lt;h5&gt;&lt;b&gt;Range &lt;/b&gt;medium (100 ft. + 10 ft./level)&lt;/h5&gt;&lt;h5&gt;&lt;b&gt;Effect &lt;/b&gt;10-ft.-by-10-ft. hole, 10 ft. deep/2 levels&lt;/h5&gt;&lt;h5&gt;&lt;b&gt;Duration &lt;/b&gt;1 round + 1 round/level&lt;/h5&gt;&lt;h5&gt;&lt;b&gt;Saving Throw &lt;/b&gt;Reflex negates; see text; &lt;b&gt;Spell Resistance &lt;/b&gt;no&lt;/h5&gt;&lt;/div&gt;&lt;hr/&gt;&lt;div&gt;&lt;h5&gt;&lt;b&gt;DESCRIPTION&lt;/b&gt;&lt;/h5&gt;&lt;/div&gt;&lt;hr/&gt;&lt;div&gt;&lt;h4&gt;&lt;p&gt;This spell functions as create pit, except that it places a 5-footdeep pool of acid at the bottom of the pit. The pit has a maximum depth of 100 feet. Creatures who fall into the pit take falling damage as normal (the acid counts as a yielding surface), plus 2d6 points of acid damage per round spent in contact with the acid. In addition, exposed items carried by a creature in the pit may be harmed. Refer to Table 9-2: Items Affected by Magical Attacks (Core Rulebook 216). Items are affected one at a time in the order listed on the table, and must make Fortitude saves after 3 consecutive rounds in the acid or gain the broken condition. Objects with the broken condition (regardless of how they became broken) must make a Fortitude saving throw each round spent within the acid or be destroyed. The walls of the pit are quite slippery and have a Climb DC of 30.&lt;/p&gt;&lt;/h4&gt;&lt;/div&gt;</t>
  </si>
  <si>
    <t>Creates a pit with a layer of acid on the bottom.</t>
  </si>
  <si>
    <t>Alchemical Allocation</t>
  </si>
  <si>
    <t>alchemist 2</t>
  </si>
  <si>
    <t>This extract causes a pale aura to emanate from your mouth. If you consume a potion or elixir on the round following the consumption of this extract, you can spit it back into its container as a free action. You gain all the benefits of the potion or elixir, but it is not consumed. You can only gain the benefits of one potion or elixir in this way per use of this extract.</t>
  </si>
  <si>
    <t>&lt;p&gt;This extract causes a pale aura to emanate from your mouth.&lt;/p&gt;&lt;p&gt;If you consume a potion or elixir on the round following the consumption of this extract, you can spit it back into its container as a free action. You gain all the benefits of the potion or elixir, but it is not consumed. You can only gain the benefits of one potion or elixir in this way per use of this extract.&lt;/p&gt;</t>
  </si>
  <si>
    <t>&lt;link rel="stylesheet"href="PF.css"&gt;&lt;div class="heading"&gt;&lt;p class="alignleft"&gt;Alchemical Allocation&lt;/p&gt;&lt;div style="clear: both;"&gt;&lt;/div&gt;&lt;/div&gt;&lt;div&gt;&lt;h5&gt;&lt;b&gt;School &lt;/b&gt;transmutation; &lt;b&gt;Level &lt;/b&gt;alchemist 2&lt;/h5&gt;&lt;/div&gt;&lt;hr/&gt;&lt;div&gt;&lt;h5&gt;&lt;b&gt;CASTING&lt;/b&gt;&lt;/h5&gt;&lt;/div&gt;&lt;hr/&gt;&lt;div&gt;&lt;h5&gt;&lt;b&gt;Casting Time &lt;/b&gt;1 standard action&lt;/h5&gt;&lt;h5&gt;&lt;b&gt;Components &lt;/b&gt;S&lt;/h5&gt;&lt;/div&gt;&lt;hr/&gt;&lt;div&gt;&lt;h5&gt;&lt;b&gt;EFFECT&lt;/b&gt;&lt;/h5&gt;&lt;/div&gt;&lt;hr/&gt;&lt;div&gt;&lt;h5&gt;&lt;b&gt;Range &lt;/b&gt;personal&lt;/h5&gt;&lt;h5&gt;&lt;b&gt;Targets &lt;/b&gt;you&lt;/h5&gt;&lt;h5&gt;&lt;b&gt;Duration &lt;/b&gt;1 round&lt;/h5&gt;&lt;/div&gt;&lt;hr/&gt;&lt;div&gt;&lt;h5&gt;&lt;b&gt;DESCRIPTION&lt;/b&gt;&lt;/h5&gt;&lt;/div&gt;&lt;hr/&gt;&lt;div&gt;&lt;h4&gt;&lt;p&gt;This extract causes a pale aura to emanate from your mouth.&lt;/p&gt;&lt;p&gt;If you consume a potion or elixir on the round following the consumption of this extract, you can spit it back into its container as a free action. You gain all the benefits of the potion or elixir, but it is not consumed. You can only gain the benefits of one potion or elixir in this way per use of this extract.&lt;/p&gt;&lt;/h4&gt;&lt;/div&gt;</t>
  </si>
  <si>
    <t>Gain potion's benefits without consuming it.</t>
  </si>
  <si>
    <t>Allfood</t>
  </si>
  <si>
    <t>ranger 2</t>
  </si>
  <si>
    <t>V, S, M (a pinch of salt and pepper)</t>
  </si>
  <si>
    <t>object touched, weighing up to 5 lbs./level</t>
  </si>
  <si>
    <t>You can transform one object, weighing up to 5 lbs. per caster level, into an edible substance that any living creature can chew, swallow, and safely digest. This allfood always has a bland taste and slightly gooey consistency when chewed regardless of its original nature. One pound of allfood provides enough sustenance to support a Medium creature for an entire day. Objects of similar nature in close proximity, such as a pile of rocks, count as a single object for the purpose of this spell. You cannot use this spell to transform objects with magical or other exceptional qualities. An object's hardness is considered to be 0 for the purposes of eating it, but it retains its normal hardness for all other situations, and becomes no more vulnerable to sunder attacks, break attempts, or any other action typically directed against objects. Objects such as hot coals or a burning torch continue to produce energy even after you transform them into allfood and if a creature attempts to eat such an object, it takes damage accordingly.</t>
  </si>
  <si>
    <t>&lt;p&gt;You can transform one object, weighing up to 5 lbs. per caster level, into an edible substance that any living creature can chew, swallow, and safely digest. This allfood always has a bland taste and slightly gooey consistency when chewed regardless of its original nature.&lt;/p&gt;&lt;p&gt;One pound of allfood provides enough sustenance to support a Medium creature for an entire day.&lt;/p&gt;&lt;p&gt;Objects of similar nature in close proximity, such as a pile of rocks, count as a single object for the purpose of this spell. You cannot use this spell to transform objects with magical or other exceptional qualities. An object's hardness is considered to be 0 for the purposes of eating it, but it retains its normal hardness for all other situations, and becomes no more vulnerable to sunder attacks, break attempts, or any other action typically directed against objects. Objects such as hot coals or a burning torch continue to produce energy even after you transform them into allfood and if a creature attempts to eat such an object, it takes damage accordingly.&lt;/p&gt;</t>
  </si>
  <si>
    <t>&lt;link rel="stylesheet"href="PF.css"&gt;&lt;div class="heading"&gt;&lt;p class="alignleft"&gt;Allfood&lt;/p&gt;&lt;div style="clear: both;"&gt;&lt;/div&gt;&lt;/div&gt;&lt;div&gt;&lt;h5&gt;&lt;b&gt;School &lt;/b&gt;transmutation; &lt;b&gt;Level &lt;/b&gt;ranger 2&lt;/h5&gt;&lt;/div&gt;&lt;hr/&gt;&lt;div&gt;&lt;h5&gt;&lt;b&gt;CASTING&lt;/b&gt;&lt;/h5&gt;&lt;/div&gt;&lt;hr/&gt;&lt;div&gt;&lt;h5&gt;&lt;b&gt;Casting Time &lt;/b&gt;1 standard action&lt;/h5&gt;&lt;h5&gt;&lt;b&gt;Components &lt;/b&gt;V, S, M (a pinch of salt and pepper)&lt;/h5&gt;&lt;/div&gt;&lt;hr/&gt;&lt;div&gt;&lt;h5&gt;&lt;b&gt;EFFECT&lt;/b&gt;&lt;/h5&gt;&lt;/div&gt;&lt;hr/&gt;&lt;div&gt;&lt;h5&gt;&lt;b&gt;Range &lt;/b&gt;touch&lt;/h5&gt;&lt;h5&gt;&lt;b&gt;Targets &lt;/b&gt;object touched, weighing up to 5 lbs./level&lt;/h5&gt;&lt;h5&gt;&lt;b&gt;Duration &lt;/b&gt;instantaneous&lt;/h5&gt;&lt;h5&gt;&lt;b&gt;Saving Throw &lt;/b&gt;Will negates (object); &lt;b&gt;Spell Resistance &lt;/b&gt;yes (object)&lt;/h5&gt;&lt;/div&gt;&lt;hr/&gt;&lt;div&gt;&lt;h5&gt;&lt;b&gt;DESCRIPTION&lt;/b&gt;&lt;/h5&gt;&lt;/div&gt;&lt;hr/&gt;&lt;div&gt;&lt;h4&gt;&lt;p&gt;You can transform one object, weighing up to 5 lbs. per caster level, into an edible substance that any living creature can chew, swallow, and safely digest. This allfood always has a bland taste and slightly gooey consistency when chewed regardless of its original nature.&lt;/p&gt;&lt;p&gt;One pound of allfood provides enough sustenance to support a Medium creature for an entire day.&lt;/p&gt;&lt;p&gt;Objects of similar nature in close proximity, such as a pile of rocks, count as a single object for the purpose of this spell. You cannot use this spell to transform objects with magical or other exceptional qualities. An object's hardness is considered to be 0 for the purposes of eating it, but it retains its normal hardness for all other situations, and becomes no more vulnerable to sunder attacks, break attempts, or any other action typically directed against objects. Objects such as hot coals or a burning torch continue to produce energy even after you transform them into allfood and if a creature attempts to eat such an object, it takes damage accordingly.&lt;/p&gt;&lt;/h4&gt;&lt;/div&gt;</t>
  </si>
  <si>
    <t>Turns item up to 5 lbs./level into food.</t>
  </si>
  <si>
    <t>Alter Winds</t>
  </si>
  <si>
    <t>druid 1, sorcerer/wizard 1</t>
  </si>
  <si>
    <t>immobile 10-ft.-radius emanation</t>
  </si>
  <si>
    <t>You subtly enhance or diminish the effects of natural winds within the spell's area, which is an immobile emanation around a point touched by you as the spell is cast. Within the area, natural (but not magical) wind effects are either increased or decreased by one step in intensity (Core Rulebook 439). The maximum wind force you can affect with this spell is based on your caster level, as shown on the table below. Alter winds has no effect on magical wind effects. Caster Level Wind Force 1st-3rd Light 4th-9th Moderate 10th-15th Strong 16th or higher Severe</t>
  </si>
  <si>
    <t>&lt;p&gt;You subtly enhance or diminish the effects of natural winds within the spell's area, which is an immobile emanation around a point touched by you as the spell is cast. Within the area, natural (but not magical) wind effects are either increased or decreased by one step in intensity (Core Rulebook 439). The maximum wind force you can affect with this spell is based on your caster level, as shown on the table below. Alter winds has no effect on magical wind effects.&lt;/p&gt;&lt;p&gt;&lt;table&gt;&lt;tr&gt;&lt;th&gt;Caster Level&lt;/th&gt;&lt;th&gt;Wind Force&lt;/th&gt;&lt;/tr&gt;&lt;tr&gt;&lt;td&gt;1st-3rd&lt;/td&gt;&lt;td&gt;Light&lt;/td&gt;&lt;/tr&gt;&lt;tr&gt;&lt;td&gt;4th-9th&lt;/td&gt;&lt;td&gt;Moderate&lt;/td&gt;&lt;/tr&gt;&lt;tr&gt;&lt;td&gt;10th-15th&lt;/td&gt;&lt;td&gt;Strong&lt;/td&gt;&lt;/tr&gt;&lt;tr&gt;&lt;td&gt;16th or higher&lt;/td&gt;&lt;td&gt;Severe&lt;/td&gt;&lt;/tr&gt;&lt;/table&gt;&lt;/p&gt;</t>
  </si>
  <si>
    <t>&lt;link rel="stylesheet"href="PF.css"&gt;&lt;div class="heading"&gt;&lt;p class="alignleft"&gt;Alter Winds&lt;/p&gt;&lt;div style="clear: both;"&gt;&lt;/div&gt;&lt;/div&gt;&lt;div&gt;&lt;h5&gt;&lt;b&gt;School &lt;/b&gt;transmutation [air]; &lt;b&gt;Level &lt;/b&gt;druid 1, sorcerer/wizard 1&lt;/h5&gt;&lt;/div&gt;&lt;hr/&gt;&lt;div&gt;&lt;h5&gt;&lt;b&gt;CASTING&lt;/b&gt;&lt;/h5&gt;&lt;/div&gt;&lt;hr/&gt;&lt;div&gt;&lt;h5&gt;&lt;b&gt;Casting Time &lt;/b&gt;1 minute&lt;/h5&gt;&lt;h5&gt;&lt;b&gt;Components &lt;/b&gt;V, S&lt;/h5&gt;&lt;/div&gt;&lt;hr/&gt;&lt;div&gt;&lt;h5&gt;&lt;b&gt;EFFECT&lt;/b&gt;&lt;/h5&gt;&lt;/div&gt;&lt;hr/&gt;&lt;div&gt;&lt;h5&gt;&lt;b&gt;Range &lt;/b&gt;touch&lt;/h5&gt;&lt;h5&gt;&lt;b&gt;Area &lt;/b&gt;immobile 10-ft.-radius emanation&lt;/h5&gt;&lt;h5&gt;&lt;b&gt;Duration &lt;/b&gt;1 hour/level&lt;/h5&gt;&lt;h5&gt;&lt;b&gt;Saving Throw &lt;/b&gt;Will negates; &lt;b&gt;Spell Resistance &lt;/b&gt;yes&lt;/h5&gt;&lt;/div&gt;&lt;hr/&gt;&lt;div&gt;&lt;h5&gt;&lt;b&gt;DESCRIPTION&lt;/b&gt;&lt;/h5&gt;&lt;/div&gt;&lt;hr/&gt;&lt;div&gt;&lt;h4&gt;&lt;p&gt;You subtly enhance or diminish the effects of natural winds within the spell's area, which is an immobile emanation around a point touched by you as the spell is cast. Within the area, natural (but not magical) wind effects are either increased or decreased by one step in intensity (Core Rulebook 439). The maximum wind force you can affect with this spell is based on your caster level, as shown on the table below. Alter winds has no effect on magical wind effects.&lt;/p&gt;&lt;p&gt; &lt;table&gt;&lt;tr&gt;&lt;th&gt;Caster Level&lt;/th&gt;&lt;th&gt;Wind Force&lt;/th&gt;&lt;/tr&gt;&lt;tr&gt;&lt;td&gt;1st-3rd&lt;/td&gt;&lt;td&gt;Light&lt;/td&gt;&lt;/tr&gt;&lt;tr&gt;&lt;td&gt;4th-9th&lt;/td&gt;&lt;td&gt;Moderate&lt;/td&gt;&lt;/tr&gt;&lt;tr&gt;&lt;td&gt;10th-15th&lt;/td&gt;&lt;td&gt;Strong&lt;/td&gt;&lt;/tr&gt;&lt;tr&gt;&lt;td&gt;16th or higher&lt;/td&gt;&lt;td&gt;Severe&lt;/td&gt;&lt;/tr&gt;&lt;/table&gt; &lt;/p&gt;&lt;/h4&gt;&lt;/div&gt;</t>
  </si>
  <si>
    <t>Increase/decrease strength of natural winds.</t>
  </si>
  <si>
    <t>Amplify Elixir</t>
  </si>
  <si>
    <t>This extract greatly enhances the effects of any potion or elixir you consume. For the duration of this extract, any potion or elixir you consume is treated as if it were empowered. Increase all variable numeric effects of the potion or elixir by half. If the potion or elixir does not have any variable numeric effects, it is instead treated as if it were extended (double the duration of the potion or elixir). If the potion or elixir does not have any variable numeric effects, or has an instantaneous duration, amplify elixir has no effect. Amplify elixir affects oils that target you, but it has no effect on oils that target your equipment.</t>
  </si>
  <si>
    <t>&lt;p&gt;This extract greatly enhances the effects of any potion or elixir you consume. For the duration of this extract, any potion or elixir you consume is treated as if it were empowered. Increase all variable numeric effects of the potion or elixir by half. If the potion or elixir does not have any variable numeric effects, it is instead treated as if it were extended (double the duration of the potion or elixir). If the potion or elixir does not have any variable numeric effects, or has an instantaneous duration, amplify elixir has no effect. Amplify elixir affects oils that target you, but it has no effect on oils that target your equipment.&lt;/p&gt;</t>
  </si>
  <si>
    <t>&lt;link rel="stylesheet"href="PF.css"&gt;&lt;div class="heading"&gt;&lt;p class="alignleft"&gt;Amplify Elixir&lt;/p&gt;&lt;div style="clear: both;"&gt;&lt;/div&gt;&lt;/div&gt;&lt;div&gt;&lt;h5&gt;&lt;b&gt;School &lt;/b&gt;transmutation; &lt;b&gt;Level &lt;/b&gt;alchemist 3&lt;/h5&gt;&lt;/div&gt;&lt;hr/&gt;&lt;div&gt;&lt;h5&gt;&lt;b&gt;CASTING&lt;/b&gt;&lt;/h5&gt;&lt;/div&gt;&lt;hr/&gt;&lt;div&gt;&lt;h5&gt;&lt;b&gt;Casting Time &lt;/b&gt;1 standard action&lt;/h5&gt;&lt;h5&gt;&lt;b&gt;Components &lt;/b&gt;S&lt;/h5&gt;&lt;/div&gt;&lt;hr/&gt;&lt;div&gt;&lt;h5&gt;&lt;b&gt;EFFECT&lt;/b&gt;&lt;/h5&gt;&lt;/div&gt;&lt;hr/&gt;&lt;div&gt;&lt;h5&gt;&lt;b&gt;Range &lt;/b&gt;personal&lt;/h5&gt;&lt;h5&gt;&lt;b&gt;Targets &lt;/b&gt;you&lt;/h5&gt;&lt;h5&gt;&lt;b&gt;Duration &lt;/b&gt;1 round/level&lt;/h5&gt;&lt;/div&gt;&lt;hr/&gt;&lt;div&gt;&lt;h5&gt;&lt;b&gt;DESCRIPTION&lt;/b&gt;&lt;/h5&gt;&lt;/div&gt;&lt;hr/&gt;&lt;div&gt;&lt;h4&gt;&lt;p&gt;This extract greatly enhances the effects of any potion or elixir you consume. For the duration of this extract, any potion or elixir you consume is treated as if it were empowered. Increase all variable numeric effects of the potion or elixir by half. If the potion or elixir does not have any variable numeric effects, it is instead treated as if it were extended (double the duration of the potion or elixir). If the potion or elixir does not have any variable numeric effects, or has an instantaneous duration, amplify elixir has no effect. Amplify elixir affects oils that target you, but it has no effect on oils that target your equipment.&lt;/p&gt;&lt;/h4&gt;&lt;/div&gt;</t>
  </si>
  <si>
    <t>Empowers or extends the effects of any potion or elixir.</t>
  </si>
  <si>
    <t>Ant Haul</t>
  </si>
  <si>
    <t>alchemist 1, cleric 1/oracle 1, druid 1, ranger 1, sorcerer/wizard 1, summoner 1</t>
  </si>
  <si>
    <t>V, S, M/DF (a small pulley)</t>
  </si>
  <si>
    <t>The target's carrying capacity triples (see Table 7-4: Carrying Capacity on page 171 of the Core Rulebook). This does not affect the creature's actual Strength in any way, merely the amount of material it can carry while benefiting from this spell. It also has no effect on encumbrance due to armor. If the creature wears armor it still takes the normal penalties for doing so regardless of how much weight the spell allows it to carry.</t>
  </si>
  <si>
    <t>&lt;p&gt;The target's carrying capacity triples (see Table 7-4: Carrying Capacity on page 171 of the Core Rulebook). This does not affect the creature's actual Strength in any way, merely the amount of material it can carry while benefiting from this spell. It also has no effect on encumbrance due to armor. If the creature wears armor it still takes the normal penalties for doing so regardless of how much weight the spell allows it to carry.&lt;/p&gt;</t>
  </si>
  <si>
    <t>&lt;link rel="stylesheet"href="PF.css"&gt;&lt;div class="heading"&gt;&lt;p class="alignleft"&gt;Ant Haul&lt;/p&gt;&lt;div style="clear: both;"&gt;&lt;/div&gt;&lt;/div&gt;&lt;div&gt;&lt;h5&gt;&lt;b&gt;School &lt;/b&gt;transmutation; &lt;b&gt;Level &lt;/b&gt;alchemist 1, cleric 1/oracle 1, druid 1, ranger 1, sorcerer/wizard 1, summoner 1&lt;/h5&gt;&lt;/div&gt;&lt;hr/&gt;&lt;div&gt;&lt;h5&gt;&lt;b&gt;CASTING&lt;/b&gt;&lt;/h5&gt;&lt;/div&gt;&lt;hr/&gt;&lt;div&gt;&lt;h5&gt;&lt;b&gt;Casting Time &lt;/b&gt;1 standard action&lt;/h5&gt;&lt;h5&gt;&lt;b&gt;Components &lt;/b&gt;V, S, M/DF (a small pulley)&lt;/h5&gt;&lt;/div&gt;&lt;hr/&gt;&lt;div&gt;&lt;h5&gt;&lt;b&gt;EFFECT&lt;/b&gt;&lt;/h5&gt;&lt;/div&gt;&lt;hr/&gt;&lt;div&gt;&lt;h5&gt;&lt;b&gt;Range &lt;/b&gt;touch&lt;/h5&gt;&lt;h5&gt;&lt;b&gt;Targets &lt;/b&gt;creature touched&lt;/h5&gt;&lt;h5&gt;&lt;b&gt;Duration &lt;/b&gt;2 hours/level&lt;/h5&gt;&lt;h5&gt;&lt;b&gt;Saving Throw &lt;/b&gt;Fortitude negates (harmless); &lt;b&gt;Spell Resistance &lt;/b&gt;yes (harmless)&lt;/h5&gt;&lt;/div&gt;&lt;hr/&gt;&lt;div&gt;&lt;h5&gt;&lt;b&gt;DESCRIPTION&lt;/b&gt;&lt;/h5&gt;&lt;/div&gt;&lt;hr/&gt;&lt;div&gt;&lt;h4&gt;&lt;p&gt;The target's carrying capacity triples (see Table 7-4: Carrying Capacity on page 171 of the Core Rulebook). This does not affect the creature's actual Strength in any way, merely the amount of material it can carry while benefiting from this spell. It also has no effect on encumbrance due to armor. If the creature wears armor it still takes the normal penalties for doing so regardless of how much weight the spell allows it to carry.&lt;/p&gt;&lt;/h4&gt;&lt;/div&gt;</t>
  </si>
  <si>
    <t>Triples carrying capacity of a creature.</t>
  </si>
  <si>
    <t>Aqueous Orb</t>
  </si>
  <si>
    <t>druid 3, sorcerer/wizard 3, summoner 3, magus 3</t>
  </si>
  <si>
    <t>V, S, M (a drop of water and a glass bead)</t>
  </si>
  <si>
    <t>10-ft.-diameter sphere</t>
  </si>
  <si>
    <t>You create a rolling sphere of churning water that can engulf those it strikes. The aqueous orb can move up to 30 feet per round, rolling over barriers less than 10 feet tall. It automatically quenches any nonmagical fires and functions as dispel magic against magical fires as long as those fires are size Large or less. Any creature in the path of the aqueous orb takes 2d6 points of nonlethal damage. A successful Reflex save negates this damage, but a Large or smaller creature that fails its save must make a second save or be engulfed by the aqueous orb and carried along with it. Engulfed creatures are immersed in water and must hold their breath unless capable of breathing water. They gain cover against attacks from outside the aqueous orb but are considered entangled by its churning currents, takes 2d6 points of nonlethal damage at the beginning of their turn each round they remain trapped. Creatures within the orb may attempt a new Reflex save each round to escape into a random square adjacent to the aqueous orb. The orb may hold one Large creature, 4 Medium, or 16 Small or smaller creatures within it. The sphere moves as long as you actively direct it (a move action for you); otherwise, it merely stays at rest and churns in place. An aqueous orb stops if it moves outside the spell's range.</t>
  </si>
  <si>
    <t>&lt;p&gt;You create a rolling sphere of churning water that can engulf those it strikes. The &lt;i&gt;&lt;i&gt;aqueous&lt;/i&gt; orb&lt;/i&gt; can move up to 30 feet per round, rolling over barriers less than 10 feet tall. It automatically quenches any nonmagical fires and functions as &lt;i&gt;dispel magic&lt;/i&gt; against magical fires as long as those fires are size Large or less.&lt;/p&gt;&lt;p&gt;Any creature in the path of the &lt;i&gt;&lt;i&gt;aqueous&lt;/i&gt; orb&lt;/i&gt; takes 2d6 points of nonlethal damage. A successful Reflex save negates this damage, but a Large or smaller creature that fails its save must make a second save or be engulfed by the &lt;i&gt;&lt;i&gt;aqueous&lt;/i&gt; orb&lt;/i&gt; and carried along with it. Engulfed creatures are immersed in water and must hold their breath unless capable of breathing water. They gain cover against attacks from outside the &lt;i&gt;&lt;i&gt;aqueous&lt;/i&gt; orb&lt;/i&gt; but are considered entangled by its churning currents, takes 2d6 points of nonlethal damage at the beginning of their turn each round they remain trapped. Creatures within the orb may attempt a new Reflex save each round to escape into a random square adjacent to the &lt;i&gt;&lt;i&gt;aqueous&lt;/i&gt; orb&lt;/i&gt;. The orb may hold one Large creature, 4 Medium, or 16 Small or smaller creatures within it.&lt;/p&gt;&lt;p&gt;The sphere moves as long as you actively direct it (a move action for you); otherwise, it merely stays at rest and churns in place. An &lt;i&gt;&lt;i&gt;aqueous&lt;/i&gt; orb&lt;/i&gt; stops if it moves outside the spell's range.&lt;/p&gt;</t>
  </si>
  <si>
    <t>&lt;link rel="stylesheet"href="PF.css"&gt;&lt;div class="heading"&gt;&lt;p class="alignleft"&gt;Aqueous Orb&lt;/p&gt;&lt;div style="clear: both;"&gt;&lt;/div&gt;&lt;/div&gt;&lt;div&gt;&lt;h5&gt;&lt;b&gt;School &lt;/b&gt;conjuration (creation) [water]; &lt;b&gt;Level &lt;/b&gt;druid 3, sorcerer/wizard 3, summoner 3, magus 3&lt;/h5&gt;&lt;/div&gt;&lt;hr/&gt;&lt;div&gt;&lt;h5&gt;&lt;b&gt;CASTING&lt;/b&gt;&lt;/h5&gt;&lt;/div&gt;&lt;hr/&gt;&lt;div&gt;&lt;h5&gt;&lt;b&gt;Casting Time &lt;/b&gt;1 standard action&lt;/h5&gt;&lt;h5&gt;&lt;b&gt;Components &lt;/b&gt;V, S, M (a drop of water and a glass bead)&lt;/h5&gt;&lt;/div&gt;&lt;hr/&gt;&lt;div&gt;&lt;h5&gt;&lt;b&gt;EFFECT&lt;/b&gt;&lt;/h5&gt;&lt;/div&gt;&lt;hr/&gt;&lt;div&gt;&lt;h5&gt;&lt;b&gt;Range &lt;/b&gt;medium (100 ft. + 10 ft./level)&lt;/h5&gt;&lt;h5&gt;&lt;b&gt;Effect &lt;/b&gt;10-ft.-diameter sphere&lt;/h5&gt;&lt;h5&gt;&lt;b&gt;Duration &lt;/b&gt;1 round/level&lt;/h5&gt;&lt;h5&gt;&lt;b&gt;Saving Throw &lt;/b&gt;Reflex negates; &lt;b&gt;Spell Resistance &lt;/b&gt;no&lt;/h5&gt;&lt;/div&gt;&lt;hr/&gt;&lt;div&gt;&lt;h5&gt;&lt;b&gt;DESCRIPTION&lt;/b&gt;&lt;/h5&gt;&lt;/div&gt;&lt;hr/&gt;&lt;div&gt;&lt;h4&gt;&lt;p&gt;You create a rolling sphere of churning water that can engulf those it strikes. The &lt;i&gt;&lt;i&gt;aqueous&lt;/i&gt; orb&lt;/i&gt; can move up to 30 feet per round, rolling over barriers less than 10 feet tall. It automatically quenches any nonmagical fires and functions as &lt;i&gt;dispel magic&lt;/i&gt; against magical fires as long as those fires are size Large or less.&lt;/p&gt;&lt;p&gt;Any creature in the path of the &lt;i&gt;&lt;i&gt;aqueous&lt;/i&gt; orb&lt;/i&gt; takes 2d6 points of nonlethal damage. A successful Reflex save negates this damage, but a Large or smaller creature that fails its save must make a second save or be engulfed by the &lt;i&gt;&lt;i&gt;aqueous&lt;/i&gt; orb&lt;/i&gt; and carried along with it. Engulfed creatures are immersed in water and must hold their breath unless capable of breathing water. They gain cover against attacks from outside the &lt;i&gt;&lt;i&gt;aqueous&lt;/i&gt; orb&lt;/i&gt; but are considered entangled by its churning currents, takes 2d6 points of nonlethal damage at the beginning of their turn each round they remain trapped. Creatures within the orb may attempt a new Reflex save each round to escape into a random square adjacent to the &lt;i&gt;&lt;i&gt;aqueous&lt;/i&gt; orb&lt;/i&gt;. The orb may hold one Large creature, 4 Medium, or 16 Small or smaller creatures within it.&lt;/p&gt;&lt;p&gt;The sphere moves as long as you actively direct it (a move action for you); otherwise, it merely stays at rest and churns in place. An &lt;i&gt;&lt;i&gt;aqueous&lt;/i&gt; orb&lt;/i&gt; stops if it moves outside the spell's range.&lt;/p&gt;&lt;/h4&gt;&lt;/div&gt;</t>
  </si>
  <si>
    <t>Creates rolling sphere of water.</t>
  </si>
  <si>
    <t>Arcane Concordance</t>
  </si>
  <si>
    <t>V, S, M (a spent wand)</t>
  </si>
  <si>
    <t>A shimmering, blue and gold radiance surrounds you, enhancing arcane spells cast by your allies within its area. Any arcane spell cast by a creature within the area gains a +1 enhancement bonus to the DC of any saving throws against the spell, and can be cast as if one of the following metamagic feats was applied to it (without increasing the spell level or casting time): Enlarge Spell, Extend Spell, Silent Spell, or Still Spell (you choose the metamagic feat when you cast arcane concordance).</t>
  </si>
  <si>
    <t>&lt;p&gt;A shimmering, blue and gold radiance surrounds you, enhancing arcane spells cast by your allies within its area. Any arcane spell cast by a creature within the area gains a +1 enhancement bonus to the DC of any saving throws against the spell, and can be cast as if one of the following metamagic feats was applied to it (without increasing the spell level or casting time): Enlarge Spell, Extend Spell, Silent Spell, or Still Spell (you choose the metamagic feat when you cast &lt;i&gt;arcane concordance&lt;/i&gt;).&lt;/p&gt;</t>
  </si>
  <si>
    <t>&lt;link rel="stylesheet"href="PF.css"&gt;&lt;div class="heading"&gt;&lt;p class="alignleft"&gt;Arcane Concordance&lt;/p&gt;&lt;div style="clear: both;"&gt;&lt;/div&gt;&lt;/div&gt;&lt;div&gt;&lt;h5&gt;&lt;b&gt;School &lt;/b&gt;evocation; &lt;b&gt;Level &lt;/b&gt;bard 3&lt;/h5&gt;&lt;/div&gt;&lt;hr/&gt;&lt;div&gt;&lt;h5&gt;&lt;b&gt;CASTING&lt;/b&gt;&lt;/h5&gt;&lt;/div&gt;&lt;hr/&gt;&lt;div&gt;&lt;h5&gt;&lt;b&gt;Casting Time &lt;/b&gt;1 standard action&lt;/h5&gt;&lt;h5&gt;&lt;b&gt;Components &lt;/b&gt;V, S, M (a spent wand)&lt;/h5&gt;&lt;/div&gt;&lt;hr/&gt;&lt;div&gt;&lt;h5&gt;&lt;b&gt;EFFECT&lt;/b&gt;&lt;/h5&gt;&lt;/div&gt;&lt;hr/&gt;&lt;div&gt;&lt;h5&gt;&lt;b&gt;Range &lt;/b&gt;personal&lt;/h5&gt;&lt;h5&gt;&lt;b&gt;Area &lt;/b&gt;10-ft.-radius emanation centered on you&lt;/h5&gt;&lt;h5&gt;&lt;b&gt;Targets &lt;/b&gt;you&lt;/h5&gt;&lt;h5&gt;&lt;b&gt;Duration &lt;/b&gt;1 round/level&lt;/h5&gt;&lt;h5&gt;&lt;b&gt;Saving Throw &lt;/b&gt;none; &lt;b&gt;Spell Resistance &lt;/b&gt;no&lt;/h5&gt;&lt;/div&gt;&lt;hr/&gt;&lt;div&gt;&lt;h5&gt;&lt;b&gt;DESCRIPTION&lt;/b&gt;&lt;/h5&gt;&lt;/div&gt;&lt;hr/&gt;&lt;div&gt;&lt;h4&gt;&lt;p&gt;A shimmering, blue and gold radiance surrounds you, enhancing arcane spells cast by your allies within its area. Any arcane spell cast by a creature within the area gains a +1 enhancement bonus to the DC of any saving throws against the spell, and can be cast as if one of the following metamagic feats was applied to it (without increasing the spell level or casting time): Enlarge Spell, Extend Spell, Silent Spell, or Still Spell (you choose the metamagic feat when you cast &lt;i&gt;arcane concordance&lt;/i&gt;).&lt;/p&gt;&lt;/h4&gt;&lt;/div&gt;</t>
  </si>
  <si>
    <t>Grants metamagic to arcane spells.</t>
  </si>
  <si>
    <t>Arrow Eruption</t>
  </si>
  <si>
    <t>ranger 2, sorcerer/wizard 2</t>
  </si>
  <si>
    <t>V, S, M (arrow or crossbow bolt)</t>
  </si>
  <si>
    <t>30-ft.-radius burst</t>
  </si>
  <si>
    <t>You create exact duplicates of the arrow or crossbow bolt you used to kill a creature in the previous round and launch one at enemy creatures within a 30-foot radius of the corpse. You can target one creature per caster level (maximum 15) within range of the burst and must make a single attack roll and apply it to each arrow. These duplicate arrows possess all the intrinsic magical properties of the arrow that killed the original creature as well as those passed on to it by your bow. They also enjoy the full benefit of any bonuses or modifiers you applied to the attack from other magical items, feats, and class or racial features. However, this spell cannot reproduce any spells or other limited-use magical effects that you used to enhance that particular attack. This includes such effects as the true strike spell, as well as any area spell you might have placed on the arrow by means of the arcane archer's imbue arrow class feature.</t>
  </si>
  <si>
    <t>&lt;p&gt;You create exact duplicates of the arrow or crossbow bolt you used to kill a creature in the previous round and launch one at enemy creatures within a 30-foot radius of the corpse. You can target one creature per caster level (maximum 15) within range of the burst and must make a single attack roll and apply it to each arrow. These duplicate arrows possess all the intrinsic magical properties of the arrow that killed the original creature as well as those passed on to it by your bow. They also enjoy the full benefit of any bonuses or modifiers you applied to the attack from other magical items, feats, and class or racial features. However, this spell cannot reproduce any spells or other limited-use magical effects that you used to enhance that particular attack. This includes such effects as the &lt;i&gt;true strike&lt;/i&gt; spell, as well as any area spell you might have placed on the arrow by means of the arcane archer's imbue arrow class feature.&lt;/p&gt;</t>
  </si>
  <si>
    <t>&lt;link rel="stylesheet"href="PF.css"&gt;&lt;div class="heading"&gt;&lt;p class="alignleft"&gt;Arrow Eruption&lt;/p&gt;&lt;div style="clear: both;"&gt;&lt;/div&gt;&lt;/div&gt;&lt;div&gt;&lt;h5&gt;&lt;b&gt;School &lt;/b&gt;conjuration (creation); &lt;b&gt;Level &lt;/b&gt;ranger 2, sorcerer/wizard 2&lt;/h5&gt;&lt;/div&gt;&lt;hr/&gt;&lt;div&gt;&lt;h5&gt;&lt;b&gt;CASTING&lt;/b&gt;&lt;/h5&gt;&lt;/div&gt;&lt;hr/&gt;&lt;div&gt;&lt;h5&gt;&lt;b&gt;Casting Time &lt;/b&gt;1 standard action&lt;/h5&gt;&lt;h5&gt;&lt;b&gt;Components &lt;/b&gt;V, S, M (arrow or crossbow bolt)&lt;/h5&gt;&lt;/div&gt;&lt;hr/&gt;&lt;div&gt;&lt;h5&gt;&lt;b&gt;EFFECT&lt;/b&gt;&lt;/h5&gt;&lt;/div&gt;&lt;hr/&gt;&lt;div&gt;&lt;h5&gt;&lt;b&gt;Range &lt;/b&gt;long (400 ft. + 40 ft./level)&lt;/h5&gt;&lt;h5&gt;&lt;b&gt;Area &lt;/b&gt;30-ft.-radius burst&lt;/h5&gt;&lt;h5&gt;&lt;b&gt;Duration &lt;/b&gt;instantaneous&lt;/h5&gt;&lt;h5&gt;&lt;b&gt;Saving Throw &lt;/b&gt;none; &lt;b&gt;Spell Resistance &lt;/b&gt;yes&lt;/h5&gt;&lt;/div&gt;&lt;hr/&gt;&lt;div&gt;&lt;h5&gt;&lt;b&gt;DESCRIPTION&lt;/b&gt;&lt;/h5&gt;&lt;/div&gt;&lt;hr/&gt;&lt;div&gt;&lt;h4&gt;&lt;p&gt;You create exact duplicates of the arrow or crossbow bolt you used to kill a creature in the previous round and launch one at enemy creatures within a 30-foot radius of the corpse. You can target one creature per caster level (maximum 15) within range of the burst and must make a single attack roll and apply it to each arrow. These duplicate arrows possess all the intrinsic magical properties of the arrow that killed the original creature as well as those passed on to it by your bow. They also enjoy the full benefit of any bonuses or modifiers you applied to the attack from other magical items, feats, and class or racial features. However, this spell cannot reproduce any spells or other limited-use magical effects that you used to enhance that particular attack. This includes such effects as the &lt;i&gt;true strike&lt;/i&gt; spell, as well as any area spell you might have placed on the arrow by means of the arcane archer's imbue arrow class feature.&lt;/p&gt;&lt;/h4&gt;&lt;/div&gt;</t>
  </si>
  <si>
    <t>Creates duplicates of killing arrow.</t>
  </si>
  <si>
    <t>Aspect of the Bear</t>
  </si>
  <si>
    <t>You take on an aspect of a bear. You gain a +2 enhancement bonus to natural armor and a +2 enhancement bonus on CMB rolls. You can also perform bull rush, grapple, and overrun combat maneuvers without provoking attacks of opportunity.</t>
  </si>
  <si>
    <t>&lt;p&gt;You take on an aspect of a bear. You gain a +2 enhancement bonus to natural armor and a +2 enhancement bonus on CMB rolls. You can also perform bull rush, grapple, and overrun combat maneuvers without provoking attacks of opportunity.&lt;/p&gt;</t>
  </si>
  <si>
    <t>&lt;link rel="stylesheet"href="PF.css"&gt;&lt;div class="heading"&gt;&lt;p class="alignleft"&gt;Aspect of the Bear&lt;/p&gt;&lt;div style="clear: both;"&gt;&lt;/div&gt;&lt;/div&gt;&lt;div&gt;&lt;h5&gt;&lt;b&gt;School &lt;/b&gt;transmutation (polymorph); &lt;b&gt;Level &lt;/b&gt;druid 2, ranger 2&lt;/h5&gt;&lt;/div&gt;&lt;hr/&gt;&lt;div&gt;&lt;h5&gt;&lt;b&gt;CASTING&lt;/b&gt;&lt;/h5&gt;&lt;/div&gt;&lt;hr/&gt;&lt;div&gt;&lt;h5&gt;&lt;b&gt;Casting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&lt;/b&gt;you&lt;/h5&gt;&lt;h5&gt;&lt;b&gt;Duration &lt;/b&gt;1 minute/level&lt;/h5&gt;&lt;/div&gt;&lt;hr/&gt;&lt;div&gt;&lt;h5&gt;&lt;b&gt;DESCRIPTION&lt;/b&gt;&lt;/h5&gt;&lt;/div&gt;&lt;hr/&gt;&lt;div&gt;&lt;h4&gt;&lt;p&gt;You take on an aspect of a bear. You gain a +2 enhancement bonus to natural armor and a +2 enhancement bonus on CMB rolls. You can also perform bull rush, grapple, and overrun combat maneuvers without provoking attacks of opportunity.&lt;/p&gt;&lt;/h4&gt;&lt;/div&gt;</t>
  </si>
  <si>
    <t>+2 AC and combat maneuver rolls.</t>
  </si>
  <si>
    <t>Aspect of the Falcon</t>
  </si>
  <si>
    <t>You take on an aspect of a falcon. Your eyes become wide and raptor-like, and you grow feathers on the sides of your head. You gain a +3 competence bonus on Perception checks, a +1 competence bonus on ranged attacks, and the critical multiplier for your bows and crossbows becomes 19-20/x3. This effect does not stack with any other effect that expands the threat range of a weapon, such as the Improved Critical feat or a keen weapon.</t>
  </si>
  <si>
    <t>&lt;p&gt;You take on an aspect of a falcon. Your eyes become wide and raptor-like, and you grow feathers on the sides of your head. You gain a +3 competence bonus on Perception checks, a +1 competence bonus on ranged attacks, and the critical multiplier for your bows and crossbows becomes 19-20/x3.&lt;/p&gt;&lt;p&gt;This effect does not stack with any other effect that expands the threat range of a weapon, such as the Improved Critical feat or a &lt;i&gt;keen&lt;/i&gt; weapon.&lt;/p&gt;</t>
  </si>
  <si>
    <t>&lt;link rel="stylesheet"href="PF.css"&gt;&lt;div class="heading"&gt;&lt;p class="alignleft"&gt;Aspect of the Falcon&lt;/p&gt;&lt;div style="clear: both;"&gt;&lt;/div&gt;&lt;/div&gt;&lt;div&gt;&lt;h5&gt;&lt;b&gt;School &lt;/b&gt;transmutation (polymorph); &lt;b&gt;Level &lt;/b&gt;druid 1, ranger 1&lt;/h5&gt;&lt;/div&gt;&lt;hr/&gt;&lt;div&gt;&lt;h5&gt;&lt;b&gt;CASTING&lt;/b&gt;&lt;/h5&gt;&lt;/div&gt;&lt;hr/&gt;&lt;div&gt;&lt;h5&gt;&lt;b&gt;Casting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&lt;/b&gt;you&lt;/h5&gt;&lt;h5&gt;&lt;b&gt;Duration &lt;/b&gt;1 minute/level&lt;/h5&gt;&lt;/div&gt;&lt;hr/&gt;&lt;div&gt;&lt;h5&gt;&lt;b&gt;DESCRIPTION&lt;/b&gt;&lt;/h5&gt;&lt;/div&gt;&lt;hr/&gt;&lt;div&gt;&lt;h4&gt;&lt;p&gt;You take on an aspect of a falcon. Your eyes become wide and raptor-like, and you grow feathers on the sides of your head. You gain a +3 competence bonus on Perception checks, a +1 competence bonus on ranged attacks, and the critical multiplier for your bows and crossbows becomes 19-20/x3.&lt;/p&gt;&lt;p&gt;This effect does not stack with any other effect that expands the threat range of a weapon, such as the Improved Critical feat or a &lt;i&gt;keen&lt;/i&gt; weapon.&lt;/p&gt;&lt;/h4&gt;&lt;/div&gt;</t>
  </si>
  <si>
    <t>Gives bonuses on Perception checks and ranged attacks.</t>
  </si>
  <si>
    <t>Aspect of the Stag</t>
  </si>
  <si>
    <t>When you cast this spell, you take on an aspect of a stag, including some of its physical characteristics. Your features become elongated and sinewy, and you grow a set of antlers you can use for defense. You gain a +2 dodge bonus to AC against attacks of opportunity, your base speed increases by 20 ft., you can move through any undergrowth (including magically manipulated undergrowth) at your normal speed, and can even make a 5-foot step within such terrain. Furthermore, when you are hit with an attack of opportunity, you can make a single attack with your antlers against the opponent that hit you as an immediate action. This attack uses your highest base attack bonus plus your Strength or Dexterity bonus (your choice) and deals 1d8 points of piercing damage (if you are Medium; 1d6 points of damage if Small) plus your Strength modifier on a successful hit. The antlers have a critical multiplier of 19-20/x2.</t>
  </si>
  <si>
    <t>&lt;p&gt;When you cast this spell, you take on an aspect of a stag, including some of its physical characteristics. Your features become elongated and sinewy, and you grow a set of antlers you can use for defense. You gain a +2 dodge bonus to AC against attacks of opportunity, your base speed increases by 20 ft., you can move through any undergrowth (including magically manipulated undergrowth) at your normal speed, and can even make a 5-foot step within such terrain.&lt;/p&gt;&lt;p&gt;Furthermore, when you are hit with an attack of opportunity, you can make a single attack with your antlers against the opponent that hit you as an immediate action. This attack uses your highest base attack bonus plus your Strength or Dexterity bonus (your choice) and deals 1d8 points of piercing damage (if you are Medium; 1d6 points of damage if Small) plus your Strength modifier on a successful hit. The antlers have a critical multiplier of 19-20/x2.&lt;/p&gt;</t>
  </si>
  <si>
    <t>&lt;link rel="stylesheet"href="PF.css"&gt;&lt;div class="heading"&gt;&lt;p class="alignleft"&gt;Aspect of the Stag&lt;/p&gt;&lt;div style="clear: both;"&gt;&lt;/div&gt;&lt;/div&gt;&lt;div&gt;&lt;h5&gt;&lt;b&gt;School &lt;/b&gt;transmutation (polymorph); &lt;b&gt;Level &lt;/b&gt;druid 4, ranger 3&lt;/h5&gt;&lt;/div&gt;&lt;hr/&gt;&lt;div&gt;&lt;h5&gt;&lt;b&gt;CASTING&lt;/b&gt;&lt;/h5&gt;&lt;/div&gt;&lt;hr/&gt;&lt;div&gt;&lt;h5&gt;&lt;b&gt;Casting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&lt;/b&gt;you&lt;/h5&gt;&lt;h5&gt;&lt;b&gt;Duration &lt;/b&gt;1 minute/level&lt;/h5&gt;&lt;/div&gt;&lt;hr/&gt;&lt;div&gt;&lt;h5&gt;&lt;b&gt;DESCRIPTION&lt;/b&gt;&lt;/h5&gt;&lt;/div&gt;&lt;hr/&gt;&lt;div&gt;&lt;h4&gt;&lt;p&gt;When you cast this spell, you take on an aspect of a stag, including some of its physical characteristics. Your features become elongated and sinewy, and you grow a set of antlers you can use for defense. You gain a +2 dodge bonus to AC against attacks of opportunity, your base speed increases by 20 ft., you can move through any undergrowth (including magically manipulated undergrowth) at your normal speed, and can even make a 5-foot step within such terrain.&lt;/p&gt;&lt;p&gt;Furthermore, when you are hit with an attack of opportunity, you can make a single attack with your antlers against the opponent that hit you as an immediate action. This attack uses your highest base attack bonus plus your Strength or Dexterity bonus (your choice) and deals 1d8 points of piercing damage (if you are Medium; 1d6 points of damage if Small) plus your Strength modifier on a successful hit. The antlers have a critical multiplier of 19-20/x2.&lt;/p&gt;&lt;/h4&gt;&lt;/div&gt;</t>
  </si>
  <si>
    <t>+2 AC against attacks of opportunity and increases speed.</t>
  </si>
  <si>
    <t>Aspect of the Wolf</t>
  </si>
  <si>
    <t>When you cast this spell, you take on an aspect of a wolf, including some of its physical characteristics. You become more rugged, your ears become elongated, and you sprout sharp fangs and fur. You gain a +4 enhancement bonus to Strength and Dexterity, the scent ability, a +2 enhancement bonus on trip attacks, and can make a trip combat maneuver as a swift action. This trip attack does not provoke attacks of opportunity.</t>
  </si>
  <si>
    <t>&lt;p&gt;When you cast this spell, you take on an aspect of a wolf, including some of its physical characteristics. You become more rugged, your ears become elongated, and you sprout sharp fangs and fur.&lt;/p&gt;&lt;p&gt;You gain a +4 enhancement bonus to Strength and Dexterity, the scent ability, a +2 enhancement bonus on trip attacks, and can make a trip combat maneuver as a swift action. This trip attack does not provoke attacks of opportunity.&lt;/p&gt;</t>
  </si>
  <si>
    <t>&lt;link rel="stylesheet"href="PF.css"&gt;&lt;div class="heading"&gt;&lt;p class="alignleft"&gt;Aspect of the Wolf&lt;/p&gt;&lt;div style="clear: both;"&gt;&lt;/div&gt;&lt;/div&gt;&lt;div&gt;&lt;h5&gt;&lt;b&gt;School &lt;/b&gt;transmutation (polymorph); &lt;b&gt;Level &lt;/b&gt;druid 5, ranger 4&lt;/h5&gt;&lt;/div&gt;&lt;hr/&gt;&lt;div&gt;&lt;h5&gt;&lt;b&gt;CASTING&lt;/b&gt;&lt;/h5&gt;&lt;/div&gt;&lt;hr/&gt;&lt;div&gt;&lt;h5&gt;&lt;b&gt;Casting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&lt;/b&gt;you&lt;/h5&gt;&lt;h5&gt;&lt;b&gt;Duration &lt;/b&gt;1 minute/level&lt;/h5&gt;&lt;/div&gt;&lt;hr/&gt;&lt;div&gt;&lt;h5&gt;&lt;b&gt;DESCRIPTION&lt;/b&gt;&lt;/h5&gt;&lt;/div&gt;&lt;hr/&gt;&lt;div&gt;&lt;h4&gt;&lt;p&gt;When you cast this spell, you take on an aspect of a wolf, including some of its physical characteristics. You become more rugged, your ears become elongated, and you sprout sharp fangs and fur.&lt;/p&gt;&lt;p&gt;You gain a +4 enhancement bonus to Strength and Dexterity, the scent ability, a +2 enhancement bonus on trip attacks, and can make a trip combat maneuver as a swift action. This trip attack does not provoke attacks of opportunity.&lt;/p&gt;&lt;/h4&gt;&lt;/div&gt;</t>
  </si>
  <si>
    <t>+4 Str and Dex, +2 bonus on trip attacks.</t>
  </si>
  <si>
    <t>Aura of Greater Courage</t>
  </si>
  <si>
    <t>paladin 2</t>
  </si>
  <si>
    <t>10/minutes per level</t>
  </si>
  <si>
    <t>When you cast this spell you strengthen your paladin's aura of courage. Until the end of its duration, all allies within that aura are immune to fear (magical or otherwise). If you do not have the aura of courage class feature, aura of greater courage has no effect.</t>
  </si>
  <si>
    <t>&lt;p&gt;When you cast this spell you strengthen your paladin's aura of courage. Until the end of its duration, all allies within that aura are immune to fear (magical or otherwise). If you do not have the aura of courage class feature, &lt;i&gt;aura of greater courage&lt;/i&gt; has no effect.&lt;/p&gt;</t>
  </si>
  <si>
    <t>&lt;link rel="stylesheet"href="PF.css"&gt;&lt;div class="heading"&gt;&lt;p class="alignleft"&gt;Aura of Greater Courage&lt;/p&gt;&lt;div style="clear: both;"&gt;&lt;/div&gt;&lt;/div&gt;&lt;div&gt;&lt;h5&gt;&lt;b&gt;School &lt;/b&gt;abjuration [emotion]; &lt;b&gt;Level &lt;/b&gt;paladin 2&lt;/h5&gt;&lt;/div&gt;&lt;hr/&gt;&lt;div&gt;&lt;h5&gt;&lt;b&gt;CASTING&lt;/b&gt;&lt;/h5&gt;&lt;/div&gt;&lt;hr/&gt;&lt;div&gt;&lt;h5&gt;&lt;b&gt;Casting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&lt;/b&gt;personal&lt;/h5&gt;&lt;h5&gt;&lt;b&gt;Area &lt;/b&gt;10-ft.-radius emanation centered on you&lt;/h5&gt;&lt;h5&gt;&lt;b&gt;Duration &lt;/b&gt;10/minutes per level&lt;/h5&gt;&lt;h5&gt;&lt;b&gt;Saving Throw &lt;/b&gt;Will negates (harmless); &lt;b&gt;Spell Resistance &lt;/b&gt;yes (harmless)&lt;/h5&gt;&lt;/div&gt;&lt;hr/&gt;&lt;div&gt;&lt;h5&gt;&lt;b&gt;DESCRIPTION&lt;/b&gt;&lt;/h5&gt;&lt;/div&gt;&lt;hr/&gt;&lt;div&gt;&lt;h4&gt;&lt;p&gt;When you cast this spell you strengthen your paladin's aura of courage. Until the end of its duration, all allies within that aura are immune to fear (magical or otherwise). If you do not have the aura of courage class feature, &lt;i&gt;aura of greater courage&lt;/i&gt; has no effect.&lt;/p&gt;&lt;/h4&gt;&lt;/div&gt;</t>
  </si>
  <si>
    <t>Increases strength of a paladin's aura of courage.</t>
  </si>
  <si>
    <t>Ball Lightning</t>
  </si>
  <si>
    <t>air, electricity</t>
  </si>
  <si>
    <t>druid 4, sorcerer/wizard 4, magus 4</t>
  </si>
  <si>
    <t>V, S, M/DF (a small iron ring)</t>
  </si>
  <si>
    <t>two or more 5-ft.-diameter spheres</t>
  </si>
  <si>
    <t>You create two globes of lightning that fly in whichever direction you indicate. For every 4 caster levels above 7th, you create an additional globe of lightning (3 globes at 11th, 4 globes at 15th, to the maximum of 5 globes at 19th). These globes fly at a rate of 20 feet per round and have perfect maneuverability. Wind does not affect a flying sphere's course. If a globe enters a space with a creature, it stops moving for the round and deals 3d6 points of electricity damage to that creature, though a successful Reflex save negates the damage. Creatures wearing metal armor take a -4 penalty on this saving throw. Each globe moves as long as you actively direct it (it's a move action for you to direct all the spheres created by a single casting of this spell); otherwise they stay at rest. These globes have no mass and cannot push aside unwilling creatures or move solid objects. A ball lightning globe winks out if it exceeds the spell's range.</t>
  </si>
  <si>
    <t>&lt;p&gt;You create two globes of lightning that fly in whichever direction you indicate. For every 4 caster levels above 7th, you create an additional globe of lightning (3 globes at 11th, 4 globes at 15th, to the maximum of 5 globes at 19th). These globes fly at a rate of 20 feet per round and have perfect maneuverability. Wind does not affect a flying sphere's course.&lt;/p&gt;&lt;p&gt;If a globe enters a space with a creature, it stops moving for the round and deals 3d6 points of electricity damage to that creature, though a successful Reflex save negates the damage. Creatures wearing metal armor take a -4 penalty on this saving throw.&lt;/p&gt;&lt;p&gt;Each globe moves as long as you actively direct it (it's a move action for you to direct all the spheres created by a single casting of this spell); otherwise they stay at rest. These globes have no mass and cannot push aside unwilling creatures or move solid objects. A &lt;i&gt;ball lightning&lt;/i&gt; globe winks out if it exceeds the spell's range.&lt;/p&gt;</t>
  </si>
  <si>
    <t>&lt;link rel="stylesheet"href="PF.css"&gt;&lt;div class="heading"&gt;&lt;p class="alignleft"&gt;Ball Lightning&lt;/p&gt;&lt;div style="clear: both;"&gt;&lt;/div&gt;&lt;/div&gt;&lt;div&gt;&lt;h5&gt;&lt;b&gt;School &lt;/b&gt;evocation [air, electricity]; &lt;b&gt;Level &lt;/b&gt;druid 4, sorcerer/wizard 4, magus 4&lt;/h5&gt;&lt;/div&gt;&lt;hr/&gt;&lt;div&gt;&lt;h5&gt;&lt;b&gt;CASTING&lt;/b&gt;&lt;/h5&gt;&lt;/div&gt;&lt;hr/&gt;&lt;div&gt;&lt;h5&gt;&lt;b&gt;Casting Time &lt;/b&gt;1 standard action&lt;/h5&gt;&lt;h5&gt;&lt;b&gt;Components &lt;/b&gt;V, S, M/DF (a small iron ring)&lt;/h5&gt;&lt;/div&gt;&lt;hr/&gt;&lt;div&gt;&lt;h5&gt;&lt;b&gt;EFFECT&lt;/b&gt;&lt;/h5&gt;&lt;/div&gt;&lt;hr/&gt;&lt;div&gt;&lt;h5&gt;&lt;b&gt;Range &lt;/b&gt;medium (100 ft. + 10 ft./level)&lt;/h5&gt;&lt;h5&gt;&lt;b&gt;Effect &lt;/b&gt;two or more 5-ft.-diameter spheres&lt;/h5&gt;&lt;h5&gt;&lt;b&gt;Duration &lt;/b&gt;1 round/level&lt;/h5&gt;&lt;h5&gt;&lt;b&gt;Saving Throw &lt;/b&gt;Reflex negates; &lt;b&gt;Spell Resistance &lt;/b&gt;yes&lt;/h5&gt;&lt;/div&gt;&lt;hr/&gt;&lt;div&gt;&lt;h5&gt;&lt;b&gt;DESCRIPTION&lt;/b&gt;&lt;/h5&gt;&lt;/div&gt;&lt;hr/&gt;&lt;div&gt;&lt;h4&gt;&lt;p&gt;You create two globes of lightning that fly in whichever direction you indicate. For every 4 caster levels above 7th, you create an additional globe of lightning (3 globes at 11th, 4 globes at 15th, to the maximum of 5 globes at 19th). These globes fly at a rate of 20 feet per round and have perfect maneuverability. Wind does not affect a flying sphere's course.&lt;/p&gt;&lt;p&gt;If a globe enters a space with a creature, it stops moving for the round and deals 3d6 points of electricity damage to that creature, though a successful Reflex save negates the damage. Creatures wearing metal armor take a -4 penalty on this saving throw.&lt;/p&gt;&lt;p&gt;Each globe moves as long as you actively direct it (it's a move action for you to direct all the spheres created by a single casting of this spell); otherwise they stay at rest. These globes have no mass and cannot push aside unwilling creatures or move solid objects. A &lt;i&gt;ball lightning&lt;/i&gt; globe winks out if it exceeds the spell's range.&lt;/p&gt;&lt;/h4&gt;&lt;/div&gt;</t>
  </si>
  <si>
    <t>Flying balls of lightning deal 3d6 electricity damage each.</t>
  </si>
  <si>
    <t>Banish Seeming</t>
  </si>
  <si>
    <t>inquisitor 3, witch 5</t>
  </si>
  <si>
    <t>V, S, M (a cold iron nail)</t>
  </si>
  <si>
    <t>instantaneous and 1 round/level; see text</t>
  </si>
  <si>
    <t>With a melee touch attack you can dispel an illusion or return a creature to its natural form. This functions as dispel magic directed at the effect in question, except you receive a +2 enhancement bonus on your dispel check and you can only dispel illusions or changes in form created by supernatural effects or spells. If multiple effects are changing the creature's appearance, you can dispel one such effect for every four caster levels you possess, starting with the highest caster level spells and proceeding to spells with lower caster levels. The caster level for supernatural abilities such as change shape is equal to the target creature's Hit Dice. A creature returned to its natural form by banish seeming is prevented from changing its form again for a number of rounds equal to your caster level. Banish seeming has no effect on nonmagical means of changing appearance, such as that provided by a disguise or extraordinary ability.</t>
  </si>
  <si>
    <t>&lt;p&gt;With a melee touch attack you can dispel an illusion or return a creature to its natural form. This functions as &lt;i&gt;dispel magic&lt;/i&gt; directed at the effect in question, except you receive a +2 enhancement bonus on your dispel check and you can only dispel illusions or changes in form created by supernatural effects or spells. If multiple effects are changing the creature's appearance, you can dispel one such effect for every four caster levels you possess, starting with the highest caster level spells and proceeding to spells with lower caster levels.&lt;/p&gt;&lt;p&gt;The caster level for supernatural abilities such as change shape is equal to the target creature's Hit Dice. A creature returned to its natural form by &lt;i&gt;banish seeming&lt;/i&gt; is prevented from changing its form again for a number of rounds equal to your caster level.&lt;/p&gt;&lt;p&gt;&lt;i&gt;Banish seeming&lt;/i&gt; has no effect on nonmagical means of changing appearance, such as that provided by a disguise or extraordinary ability.&lt;/p&gt;</t>
  </si>
  <si>
    <t>&lt;link rel="stylesheet"href="PF.css"&gt;&lt;div class="heading"&gt;&lt;p class="alignleft"&gt;Banish Seeming&lt;/p&gt;&lt;div style="clear: both;"&gt;&lt;/div&gt;&lt;/div&gt;&lt;div&gt;&lt;h5&gt;&lt;b&gt;School &lt;/b&gt;abjuration; &lt;b&gt;Level &lt;/b&gt;inquisitor 3, witch 5&lt;/h5&gt;&lt;/div&gt;&lt;hr/&gt;&lt;div&gt;&lt;h5&gt;&lt;b&gt;CASTING&lt;/b&gt;&lt;/h5&gt;&lt;/div&gt;&lt;hr/&gt;&lt;div&gt;&lt;h5&gt;&lt;b&gt;Casting Time &lt;/b&gt;1 standard action&lt;/h5&gt;&lt;h5&gt;&lt;b&gt;Components &lt;/b&gt;V, S, M (a cold iron nail)&lt;/h5&gt;&lt;/div&gt;&lt;hr/&gt;&lt;div&gt;&lt;h5&gt;&lt;b&gt;EFFECT&lt;/b&gt;&lt;/h5&gt;&lt;/div&gt;&lt;hr/&gt;&lt;div&gt;&lt;h5&gt;&lt;b&gt;Range &lt;/b&gt;touch&lt;/h5&gt;&lt;h5&gt;&lt;b&gt;Targets &lt;/b&gt;one creature or object&lt;/h5&gt;&lt;h5&gt;&lt;b&gt;Duration &lt;/b&gt;instantaneous and 1 round/level; see text&lt;/h5&gt;&lt;h5&gt;&lt;b&gt;Saving Throw &lt;/b&gt;none; &lt;b&gt;Spell Resistance &lt;/b&gt;no&lt;/h5&gt;&lt;/div&gt;&lt;hr/&gt;&lt;div&gt;&lt;h5&gt;&lt;b&gt;DESCRIPTION&lt;/b&gt;&lt;/h5&gt;&lt;/div&gt;&lt;hr/&gt;&lt;div&gt;&lt;h4&gt;&lt;p&gt;With a melee touch attack you can dispel an illusion or return a creature to its natural form. This functions as &lt;i&gt;dispel magic&lt;/i&gt; directed at the effect in question, except you receive a +2 enhancement bonus on your dispel check and you can only dispel illusions or changes in form created by supernatural effects or spells. If multiple effects are changing the creature's appearance, you can dispel one such effect for every four caster levels you possess, starting with the highest caster level spells and proceeding to spells with lower caster levels.&lt;/p&gt;&lt;p&gt;The caster level for supernatural abilities such as change shape is equal to the target creature's Hit Dice. A creature returned to its natural form by &lt;i&gt;banish seeming&lt;/i&gt; is prevented from changing its form again for a number of rounds equal to your caster level.&lt;/p&gt;&lt;p&gt;&lt;i&gt;Banish seeming&lt;/i&gt; has no effect on nonmagical means of changing appearance, such as that provided by a disguise or extraordinary ability.&lt;/p&gt;&lt;/h4&gt;&lt;/div&gt;</t>
  </si>
  <si>
    <t>Dispels touched illusion or a creature's change in form.</t>
  </si>
  <si>
    <t>Bard's Escape</t>
  </si>
  <si>
    <t>V, S, M (pieces of a smashed fiddle)</t>
  </si>
  <si>
    <t>you and up to 1 willing creature/2 caster levels, no two of which can be more than 30 ft. apart</t>
  </si>
  <si>
    <t>You whisk yourself and willing allies out of a tight jam, or instantly transfer yourselves to another location to achieve greater strategic positioning. You can move any allies within range to any other space of your choosing within range. Those spaces need not be in line of sight or line of effect from your original position, but must be open locations on surfaces able to support the creatures teleported. Except as noted above, this spell otherwise functions as dimension door.</t>
  </si>
  <si>
    <t>&lt;p&gt;You whisk yourself and willing allies out of a tight jam, or instantly transfer yourselves to another location to achieve greater strategic positioning. You can move any allies within range to any other space of your choosing within range. Those spaces need not be in line of sight or line of effect from your original position, but must be open locations on surfaces able to support the creatures teleported. Except as noted above, this spell otherwise functions as &lt;i&gt;dimension door&lt;/i&gt;.&lt;/p&gt;</t>
  </si>
  <si>
    <t>&lt;link rel="stylesheet"href="PF.css"&gt;&lt;div class="heading"&gt;&lt;p class="alignleft"&gt;Bard's Escape&lt;/p&gt;&lt;div style="clear: both;"&gt;&lt;/div&gt;&lt;/div&gt;&lt;div&gt;&lt;h5&gt;&lt;b&gt;School &lt;/b&gt;conjuration (teleportation); &lt;b&gt;Level &lt;/b&gt;bard 5&lt;/h5&gt;&lt;/div&gt;&lt;hr/&gt;&lt;div&gt;&lt;h5&gt;&lt;b&gt;CASTING&lt;/b&gt;&lt;/h5&gt;&lt;/div&gt;&lt;hr/&gt;&lt;div&gt;&lt;h5&gt;&lt;b&gt;Casting Time &lt;/b&gt;1 standard action&lt;/h5&gt;&lt;h5&gt;&lt;b&gt;Components &lt;/b&gt;V, S, M (pieces of a smashed fiddle)&lt;/h5&gt;&lt;/div&gt;&lt;hr/&gt;&lt;div&gt;&lt;h5&gt;&lt;b&gt;EFFECT&lt;/b&gt;&lt;/h5&gt;&lt;/div&gt;&lt;hr/&gt;&lt;div&gt;&lt;h5&gt;&lt;b&gt;Range &lt;/b&gt;medium (100 ft. + 10 ft./level)&lt;/h5&gt;&lt;h5&gt;&lt;b&gt;Targets &lt;/b&gt;you and up to 1 willing creature/2 caster levels, no two of which can be more than 30 ft. apart&lt;/h5&gt;&lt;h5&gt;&lt;b&gt;Duration &lt;/b&gt;instantaneous&lt;/h5&gt;&lt;h5&gt;&lt;b&gt;Saving Throw &lt;/b&gt;none; &lt;b&gt;Spell Resistance &lt;/b&gt;no&lt;/h5&gt;&lt;/div&gt;&lt;hr/&gt;&lt;div&gt;&lt;h5&gt;&lt;b&gt;DESCRIPTION&lt;/b&gt;&lt;/h5&gt;&lt;/div&gt;&lt;hr/&gt;&lt;div&gt;&lt;h4&gt;&lt;p&gt;You whisk yourself and willing allies out of a tight jam, or instantly transfer yourselves to another location to achieve greater strategic positioning. You can move any allies within range to any other space of your choosing within range. Those spaces need not be in line of sight or line of effect from your original position, but must be open locations on surfaces able to support the creatures teleported. Except as noted above, this spell otherwise functions as &lt;i&gt;dimension door&lt;/i&gt;.&lt;/p&gt;&lt;/h4&gt;&lt;/div&gt;</t>
  </si>
  <si>
    <t>You and allies escape an emergency by teleporting to safety.</t>
  </si>
  <si>
    <t>Beguiling Gift</t>
  </si>
  <si>
    <t>bard 1, witch 1</t>
  </si>
  <si>
    <t>V, S, F (the object to be offered)</t>
  </si>
  <si>
    <t>You offer an object to an adjacent creature, and entice it into using or consuming the proffered item. If the target fails its Will save, it immediately takes the offered object, dropping an already held object if necessary. On its next turn, it consumes or dons the object, as appropriate for the item in question. For example, an apple would be eaten, a potion consumed, a ring put on a finger, and a sword wielded in a free hand. If the target is physically unable to accept the object, the spell fails. The subject is under no obligation to continue consuming or using the item once the spell's duration has expired, although it may find a cursed item difficult to be rid of.</t>
  </si>
  <si>
    <t>&lt;p&gt;You offer an object to an adjacent creature, and entice it into using or consuming the proffered item. If the target fails its Will save, it immediately takes the offered object, dropping an already held object if necessary. On its next turn, it consumes or dons the object, as appropriate for the item in question. For example, an apple would be eaten, a potion consumed, a ring put on a finger, and a sword wielded in a free hand. If the target is physically unable to accept the object, the spell fails. The subject is under no obligation to continue consuming or using the item once the spell's duration has expired, although it may find a cursed item difficult to be rid of.&lt;/p&gt;</t>
  </si>
  <si>
    <t>&lt;link rel="stylesheet"href="PF.css"&gt;&lt;div class="heading"&gt;&lt;p class="alignleft"&gt;Beguiling Gift&lt;/p&gt;&lt;div style="clear: both;"&gt;&lt;/div&gt;&lt;/div&gt;&lt;div&gt;&lt;h5&gt;&lt;b&gt;School &lt;/b&gt;enchantment (compulsion) [mind-affecting]; &lt;b&gt;Level &lt;/b&gt;bard 1, witch 1&lt;/h5&gt;&lt;/div&gt;&lt;hr/&gt;&lt;div&gt;&lt;h5&gt;&lt;b&gt;CASTING&lt;/b&gt;&lt;/h5&gt;&lt;/div&gt;&lt;hr/&gt;&lt;div&gt;&lt;h5&gt;&lt;b&gt;Casting Time &lt;/b&gt;1 standard action&lt;/h5&gt;&lt;h5&gt;&lt;b&gt;Components &lt;/b&gt;V, S, F (the object to be offered)&lt;/h5&gt;&lt;/div&gt;&lt;hr/&gt;&lt;div&gt;&lt;h5&gt;&lt;b&gt;EFFECT&lt;/b&gt;&lt;/h5&gt;&lt;/div&gt;&lt;hr/&gt;&lt;div&gt;&lt;h5&gt;&lt;b&gt;Range &lt;/b&gt;5 ft.&lt;/h5&gt;&lt;h5&gt;&lt;b&gt;Targets &lt;/b&gt;one creature&lt;/h5&gt;&lt;h5&gt;&lt;b&gt;Duration &lt;/b&gt;1 round&lt;/h5&gt;&lt;h5&gt;&lt;b&gt;Saving Throw &lt;/b&gt;Will negates; &lt;b&gt;Spell Resistance &lt;/b&gt;yes&lt;/h5&gt;&lt;/div&gt;&lt;hr/&gt;&lt;div&gt;&lt;h5&gt;&lt;b&gt;DESCRIPTION&lt;/b&gt;&lt;/h5&gt;&lt;/div&gt;&lt;hr/&gt;&lt;div&gt;&lt;h4&gt;&lt;p&gt;You offer an object to an adjacent creature, and entice it into using or consuming the proffered item. If the target fails its Will save, it immediately takes the offered object, dropping an already held object if necessary. On its next turn, it consumes or dons the object, as appropriate for the item in question. For example, an apple would be eaten, a potion consumed, a ring put on a finger, and a sword wielded in a free hand. If the target is physically unable to accept the object, the spell fails. The subject is under no obligation to continue consuming or using the item once the spell's duration has expired, although it may find a cursed item difficult to be rid of.&lt;/p&gt;&lt;/h4&gt;&lt;/div&gt;</t>
  </si>
  <si>
    <t>Subject immediately accepts an offered item and uses it.</t>
  </si>
  <si>
    <t>Bestow Grace</t>
  </si>
  <si>
    <t>one good creature touched</t>
  </si>
  <si>
    <t>Will (harmless)</t>
  </si>
  <si>
    <t>With this spell you can bestow your divine grace on another good creature for a short amount of time, infusing that creature with a portion of your holy virtue. When you touch the subject, you grant that creature a sacred bonus to its saving throws equal to its Charisma bonus (if any) on all saving throws.</t>
  </si>
  <si>
    <t>&lt;p&gt;With this spell you can bestow your divine grace on another good creature for a short amount of time, infusing that creature with a portion of your holy virtue. When you touch the subject, you grant that creature a sacred bonus to its saving throws equal to its Charisma bonus (if any) on all saving throws.&lt;/p&gt;</t>
  </si>
  <si>
    <t>&lt;link rel="stylesheet"href="PF.css"&gt;&lt;div class="heading"&gt;&lt;p class="alignleft"&gt;Bestow Grace&lt;/p&gt;&lt;div style="clear: both;"&gt;&lt;/div&gt;&lt;/div&gt;&lt;div&gt;&lt;h5&gt;&lt;b&gt;School &lt;/b&gt;abjuration; &lt;b&gt;Level &lt;/b&gt;paladin 2&lt;/h5&gt;&lt;/div&gt;&lt;hr/&gt;&lt;div&gt;&lt;h5&gt;&lt;b&gt;CASTING&lt;/b&gt;&lt;/h5&gt;&lt;/div&gt;&lt;hr/&gt;&lt;div&gt;&lt;h5&gt;&lt;b&gt;Casting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&lt;/b&gt;one good creature touched&lt;/h5&gt;&lt;h5&gt;&lt;b&gt;Duration &lt;/b&gt;1 minute/level&lt;/h5&gt;&lt;h5&gt;&lt;b&gt;Saving Throw &lt;/b&gt;Will (harmless); &lt;b&gt;Spell Resistance &lt;/b&gt;yes (harmless)&lt;/h5&gt;&lt;/div&gt;&lt;hr/&gt;&lt;div&gt;&lt;h5&gt;&lt;b&gt;DESCRIPTION&lt;/b&gt;&lt;/h5&gt;&lt;/div&gt;&lt;hr/&gt;&lt;div&gt;&lt;h4&gt;&lt;p&gt;With this spell you can bestow your divine grace on another good creature for a short amount of time, infusing that creature with a portion of your holy virtue. When you touch the subject, you grant that creature a sacred bonus to its saving throws equal to its Charisma bonus (if any) on all saving throws.&lt;/p&gt;&lt;/h4&gt;&lt;/div&gt;</t>
  </si>
  <si>
    <t>Subject gains bonus on saving throws equal to Cha modifier.</t>
  </si>
  <si>
    <t>Blaze of Glory</t>
  </si>
  <si>
    <t>good, mind-affecting</t>
  </si>
  <si>
    <t>1 standard action or immediate action; see text</t>
  </si>
  <si>
    <t>30-ft.-radius burst centered on you</t>
  </si>
  <si>
    <t>You fall unconscious but also unleash a spectacular wave of holy energy that heartens and heals your allies while leaving your opponents daunted and damaged. You can cast this spell as either a standard action on your turn, or as an immediate action when brought to below 0 hit points. If cast as a standard action, you are immediately reduced to -1 hit points, but stable, after casting the spell. When you cast this spell, any good creature within range is healed for 1d6 points of damage per two caster levels. All evil creatures within range take the same amount as damage instead (a successful Will save halves this damage). In addition, all allies and enemies within range are affected as if by the prayer spell for 1 round per caster level.</t>
  </si>
  <si>
    <t>&lt;p&gt;You fall unconscious but also unleash a spectacular wave of holy energy that heartens and heals your allies while leaving your opponents daunted and damaged. You can cast this spell as either a standard action on your turn, or as an immediate action when brought to below 0 hit points. If cast as a standard action, you are immediately reduced to -1 hit points, but stable, after casting the spell.&lt;/p&gt;&lt;p&gt;When you cast this spell, any good creature within range is healed for 1d6 points of damage per two caster levels. All evil creatures within range take the same amount as damage instead (a successful Will save halves this damage). In addition, all allies and enemies within range are affected as if by the &lt;i&gt;prayer&lt;/i&gt; spell for 1 round per caster level.&lt;/p&gt;</t>
  </si>
  <si>
    <t>&lt;link rel="stylesheet"href="PF.css"&gt;&lt;div class="heading"&gt;&lt;p class="alignleft"&gt;Blaze of Glory&lt;/p&gt;&lt;div style="clear: both;"&gt;&lt;/div&gt;&lt;/div&gt;&lt;div&gt;&lt;h5&gt;&lt;b&gt;School &lt;/b&gt;conjuration (healing) [good, mind-affecting]; &lt;b&gt;Level &lt;/b&gt;paladin 4&lt;/h5&gt;&lt;/div&gt;&lt;hr/&gt;&lt;div&gt;&lt;h5&gt;&lt;b&gt;CASTING&lt;/b&gt;&lt;/h5&gt;&lt;/div&gt;&lt;hr/&gt;&lt;div&gt;&lt;h5&gt;&lt;b&gt;Casting Time &lt;/b&gt;1 standard action or immediate action; see text&lt;/h5&gt;&lt;h5&gt;&lt;b&gt;Components &lt;/b&gt;V&lt;/h5&gt;&lt;/div&gt;&lt;hr/&gt;&lt;div&gt;&lt;h5&gt;&lt;b&gt;EFFECT&lt;/b&gt;&lt;/h5&gt;&lt;/div&gt;&lt;hr/&gt;&lt;div&gt;&lt;h5&gt;&lt;b&gt;Area &lt;/b&gt;30-ft.-radius burst centered on you&lt;/h5&gt;&lt;h5&gt;&lt;b&gt;Duration &lt;/b&gt;instantaneous and 1 round/level; see text&lt;/h5&gt;&lt;h5&gt;&lt;b&gt;Saving Throw &lt;/b&gt;Will partial; &lt;b&gt;Spell Resistance &lt;/b&gt;yes&lt;/h5&gt;&lt;/div&gt;&lt;hr/&gt;&lt;div&gt;&lt;h5&gt;&lt;b&gt;DESCRIPTION&lt;/b&gt;&lt;/h5&gt;&lt;/div&gt;&lt;hr/&gt;&lt;div&gt;&lt;h4&gt;&lt;p&gt;You fall unconscious but also unleash a spectacular wave of holy energy that heartens and heals your allies while leaving your opponents daunted and damaged. You can cast this spell as either a standard action on your turn, or as an immediate action when brought to below 0 hit points. If cast as a standard action, you are immediately reduced to -1 hit points, but stable, after casting the spell.&lt;/p&gt;&lt;p&gt;When you cast this spell, any good creature within range is healed for 1d6 points of damage per two caster levels. All evil creatures within range take the same amount as damage instead (a successful Will save halves this damage). In addition, all allies and enemies within range are affected as if by the &lt;i&gt;prayer&lt;/i&gt; spell for 1 round per caster level.&lt;/p&gt;&lt;/h4&gt;&lt;/div&gt;</t>
  </si>
  <si>
    <t>Last stand cures good creatures, hurts evil.</t>
  </si>
  <si>
    <t>Blessing Of Fervor</t>
  </si>
  <si>
    <t>cleric/oracle 4</t>
  </si>
  <si>
    <t>With this blessing, you call your allies to move forth and empower them to conquer and become victorious. Each round for the duration of this spell, each of your allies can choose one of the following bonuses for that round at the beginning of its turn (their choice). • Increase its speed by 30 feet. • Stand up as a swift action without provoking an attack of opportunity. • Make one extra attack as part of a full attack action, using its highest base attack bonus. • Gain a +2 bonus on attack rolls and a +2 dodge bonus to AC and Reflex saves. •Cast a single spell of 2nd level or lower as if it were an enlarged, extended, silent, or still spell. These effects are not cumulative with similar effects, such as those provided by haste or a speed weapon, nor do they actually grant an extra action, so you can't use it to cast a second spell or otherwise take an extra action in the round. Blessing of fervor does not stack with haste.</t>
  </si>
  <si>
    <t>&lt;p&gt;With this blessing, you call your allies to move forth and empower them to conquer and become victorious. Each round for the duration of this spell, each of your allies can choose one of the following bonuses for that round at the beginning of its turn (their choice).&lt;/p&gt;&lt;p&gt;&lt;ul&gt;&lt;li&gt; Increase its &lt;i&gt;speed&lt;/i&gt; by 30 feet.&lt;/p&gt;&lt;p&gt;&lt;li&gt; Stand up as a swift action without provoking an attack of opportunity.&lt;/p&gt;&lt;p&gt;&lt;li&gt; Make one extra attack as part of a full attack action, using its highest base attack bonus.&lt;/p&gt;&lt;p&gt;&lt;li&gt; Gain a +2 bonus on attack rolls and a +2 dodge bonus to AC and Reflex saves.&lt;/p&gt;&lt;p&gt;&lt;li&gt;Cast a single spell of 2nd level or lower as if it were an enlarged, extended, silent, or still spell.&lt;/p&gt;&lt;p&gt;These effects are not cumulative with similar effects, such as those provided by &lt;i&gt;haste&lt;/i&gt; or a &lt;i&gt;speed&lt;/i&gt; weapon, nor do they actually grant an extra action, so you can't use it to cast a second spell or otherwise take an extra action in the round. &lt;i&gt;Blessing of fervor&lt;/i&gt; does not stack with &lt;i&gt;haste&lt;/i&gt;.&lt;/ul&gt;&lt;/p&gt;</t>
  </si>
  <si>
    <t>&lt;link rel="stylesheet"href="PF.css"&gt;&lt;div class="heading"&gt;&lt;p class="alignleft"&gt;Blessing Of Fervor&lt;/p&gt;&lt;div style="clear: both;"&gt;&lt;/div&gt;&lt;/div&gt;&lt;div&gt;&lt;h5&gt;&lt;b&gt;School &lt;/b&gt;transmutation; &lt;b&gt;Level &lt;/b&gt;cleric/oracle 4&lt;/h5&gt;&lt;/div&gt;&lt;hr/&gt;&lt;div&gt;&lt;h5&gt;&lt;b&gt;CASTING&lt;/b&gt;&lt;/h5&gt;&lt;/div&gt;&lt;hr/&gt;&lt;div&gt;&lt;h5&gt;&lt;b&gt;Casting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levels)&lt;/h5&gt;&lt;h5&gt;&lt;b&gt;Targets &lt;/b&gt;one creature/level, no two of which can be more than 30 ft. apart&lt;/h5&gt;&lt;h5&gt;&lt;b&gt;Duration &lt;/b&gt;1 round/level&lt;/h5&gt;&lt;h5&gt;&lt;b&gt;Saving Throw &lt;/b&gt;Fortitude negates (harmless); &lt;b&gt;Spell Resistance &lt;/b&gt;yes (harmless)&lt;/h5&gt;&lt;/div&gt;&lt;hr/&gt;&lt;div&gt;&lt;h5&gt;&lt;b&gt;DESCRIPTION&lt;/b&gt;&lt;/h5&gt;&lt;/div&gt;&lt;hr/&gt;&lt;div&gt;&lt;h4&gt;&lt;p&gt;With this blessing, you call your allies to move forth and empower them to conquer and become victorious. Each round for the duration of this spell, each of your allies can choose one of the following bonuses for that round at the beginning of its turn (their choice).&lt;/p&gt;&lt;p&gt;&lt;ul&gt;&lt;li&gt; Increase its &lt;i&gt;speed&lt;/i&gt; by 30 feet.&lt;/p&gt;&lt;p&gt;&lt;li&gt; Stand up as a swift action without provoking an attack of opportunity.&lt;/p&gt;&lt;p&gt;&lt;li&gt; Make one extra attack as part of a full attack action, using its highest base attack bonus.&lt;/p&gt;&lt;p&gt;&lt;li&gt; Gain a +2 bonus on attack rolls and a +2 dodge bonus to AC and Reflex saves.&lt;/p&gt;&lt;p&gt;&lt;li&gt;Cast a single spell of 2nd level or lower as if it were an enlarged, extended, silent, or still spell.&lt;/ul&gt;&lt;/p&gt;&lt;p&gt;These effects are not cumulative with similar effects, such as those provided by &lt;i&gt;haste&lt;/i&gt; or a &lt;i&gt;speed&lt;/i&gt; weapon, nor do they actually grant an extra action, so you can't use it to cast a second spell or otherwise take an extra action in the round. &lt;i&gt;Blessing of fervor&lt;/i&gt; does not stack with &lt;i&gt;haste&lt;/i&gt;.&lt;/p&gt;&lt;/h4&gt;&lt;h5&gt;&lt;b&gt;Mythic: &lt;/b&gt;Affected creatures can choose two of the spell's bonuses each round rather than one.&lt;/h5&gt;&lt;/div&gt;</t>
  </si>
  <si>
    <t>Gives allies a choice of benefits.</t>
  </si>
  <si>
    <t>Affected creatures can choose two of the spell's bonuses each round rather than one.</t>
  </si>
  <si>
    <t>Blessing of the Salamander</t>
  </si>
  <si>
    <t>When you cast this on a creature, its skin turns slick and clammy and it is able to regenerate damage each round. While under the effects of the spell, the creature gains fast healing 5, fire resistance 20 and a +2 competence bonus to its Combat Maneuver Defense.</t>
  </si>
  <si>
    <t>&lt;p&gt;When you cast this on a creature, its skin turns slick and clammy and it is able to regenerate damage each round. While under the effects of the spell, the creature gains fast healing 5, fire resistance 20 and a +2 competence bonus to its Combat Maneuver Defense.&lt;/p&gt;</t>
  </si>
  <si>
    <t>&lt;link rel="stylesheet"href="PF.css"&gt;&lt;div class="heading"&gt;&lt;p class="alignleft"&gt;Blessing of the Salamander&lt;/p&gt;&lt;div style="clear: both;"&gt;&lt;/div&gt;&lt;/div&gt;&lt;div&gt;&lt;h5&gt;&lt;b&gt;School &lt;/b&gt;transmutation (polymorph); &lt;b&gt;Level &lt;/b&gt;druid 5, ranger 4&lt;/h5&gt;&lt;/div&gt;&lt;hr/&gt;&lt;div&gt;&lt;h5&gt;&lt;b&gt;CASTING&lt;/b&gt;&lt;/h5&gt;&lt;/div&gt;&lt;hr/&gt;&lt;div&gt;&lt;h5&gt;&lt;b&gt;Casting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 touched&lt;/h5&gt;&lt;h5&gt;&lt;b&gt;Duration &lt;/b&gt;1 round/level&lt;/h5&gt;&lt;h5&gt;&lt;b&gt;Saving Throw &lt;/b&gt;Fortitude negates (harmless); &lt;b&gt;Spell Resistance &lt;/b&gt;yes (harmless)&lt;/h5&gt;&lt;/div&gt;&lt;hr/&gt;&lt;div&gt;&lt;h5&gt;&lt;b&gt;DESCRIPTION&lt;/b&gt;&lt;/h5&gt;&lt;/div&gt;&lt;hr/&gt;&lt;div&gt;&lt;h4&gt;&lt;p&gt;When you cast this on a creature, its skin turns slick and clammy and it is able to regenerate damage each round. While under the effects of the spell, the creature gains fast healing 5, fire resistance 20 and a +2 competence bonus to its Combat Maneuver Defense.&lt;/p&gt;&lt;/h4&gt;&lt;/div&gt;</t>
  </si>
  <si>
    <t>Subject gets fast healing 2, fire resistance 10, and +2 to its CMD.</t>
  </si>
  <si>
    <t>Blood Biography</t>
  </si>
  <si>
    <t>bard 2, cleric 3/oracle 3, inquisitor 3, sorcerer/wizard 3</t>
  </si>
  <si>
    <t>V, S, M/DF (a scrap of parchment)</t>
  </si>
  <si>
    <t>one creature's blood or one bloodstain</t>
  </si>
  <si>
    <t>You learn the answers to a specific set of questions about a creature so long as you have access to at least one drop of its blood. You can cast this spell on the blood of the living or the dead, but living or undead creatures are entitled to a saving throw to resist the spell. You can cast the spell on dried or fresh blood. Once you cast the spell the answers to the following four questions appear on any flat surface you designate (a wall, a piece of paper, and so on). • Who are you? (The name by which the creature is most commonly known) • What are you? (Gender, race, profession/role) • How was your blood shed? (Brief outline of the events that caused its wound, to the best of the victim's knowledge) • When was your blood shed? These answers always appear in a language you can read even if the creature cannot speak that or any language.</t>
  </si>
  <si>
    <t>&lt;p&gt;You learn the answers to a specific set of questions about a creature so long as you have access to at least one drop of its blood. You can cast this spell on the blood of the living or the dead, but living or undead creatures are entitled to a saving throw to resist the spell. You can cast the spell on dried or fresh blood. Once you cast the spell the answers to the following four questions appear on any flat surface you designate (a wall, a piece of paper, and so on).&lt;/p&gt;&lt;p&gt;&lt;ul&gt;&lt;li&gt; Who are you? (The name by which the creature is most commonly known) &lt;li&gt; What are you? (Gender, race, profession/role) &lt;li&gt; How was your blood shed? (Brief outline of the events that caused its wound, to the best of the victim's knowledge) &lt;li&gt; When was your blood shed?&lt;/ul&gt; These answers always appear in a language you can read even if the creature cannot speak that or any language.&lt;/p&gt;</t>
  </si>
  <si>
    <t>&lt;link rel="stylesheet"href="PF.css"&gt;&lt;div class="heading"&gt;&lt;p class="alignleft"&gt;Blood Biography&lt;/p&gt;&lt;div style="clear: both;"&gt;&lt;/div&gt;&lt;/div&gt;&lt;div&gt;&lt;h5&gt;&lt;b&gt;School &lt;/b&gt;divination; &lt;b&gt;Level &lt;/b&gt;bard 2, cleric 3/oracle 3, inquisitor 3, sorcerer/wizard 3&lt;/h5&gt;&lt;/div&gt;&lt;hr/&gt;&lt;div&gt;&lt;h5&gt;&lt;b&gt;CASTING&lt;/b&gt;&lt;/h5&gt;&lt;/div&gt;&lt;hr/&gt;&lt;div&gt;&lt;h5&gt;&lt;b&gt;Casting Time &lt;/b&gt;1 minute&lt;/h5&gt;&lt;h5&gt;&lt;b&gt;Components &lt;/b&gt;V, S, M/DF (a scrap of parchment)&lt;/h5&gt;&lt;/div&gt;&lt;hr/&gt;&lt;div&gt;&lt;h5&gt;&lt;b&gt;EFFECT&lt;/b&gt;&lt;/h5&gt;&lt;/div&gt;&lt;hr/&gt;&lt;div&gt;&lt;h5&gt;&lt;b&gt;Range &lt;/b&gt;touch&lt;/h5&gt;&lt;h5&gt;&lt;b&gt;Targets &lt;/b&gt;one creature's blood or one bloodstain&lt;/h5&gt;&lt;h5&gt;&lt;b&gt;Duration &lt;/b&gt;instantaneous&lt;/h5&gt;&lt;h5&gt;&lt;b&gt;Saving Throw &lt;/b&gt;Will negates (see text); &lt;b&gt;Spell Resistance &lt;/b&gt;no&lt;/h5&gt;&lt;/div&gt;&lt;hr/&gt;&lt;div&gt;&lt;h5&gt;&lt;b&gt;DESCRIPTION&lt;/b&gt;&lt;/h5&gt;&lt;/div&gt;&lt;hr/&gt;&lt;div&gt;&lt;h4&gt;&lt;p&gt;You learn the answers to a specific set of questions about a creature so long as you have access to at least one drop of its blood. You can cast this spell on the blood of the living or the dead, but living or undead creatures are entitled to a saving throw to resist the spell. You can cast the spell on dried or fresh blood. Once you cast the spell the answers to the following four questions appear on any flat surface you designate (a wall, a piece of paper, and so on).&lt;/p&gt;&lt;p&gt;&lt;ul&gt;&lt;li&gt; Who are you? (The name by which the creature is most commonly known) &lt;li&gt; What are you? (Gender, race, profession/role) &lt;li&gt; How was your blood shed? (Brief outline of the events that caused its wound, to the best of the victim's knowledge) &lt;li&gt; When was your blood shed?&lt;/ul&gt; These answers always appear in a language you can read even if the creature cannot speak that or any language.&lt;/p&gt;&lt;/h4&gt;&lt;/div&gt;</t>
  </si>
  <si>
    <t>Learn about a creature with its blood.</t>
  </si>
  <si>
    <t>Bloodhound</t>
  </si>
  <si>
    <t>alchemist 3, inquisitor 2, ranger 2</t>
  </si>
  <si>
    <t>V, S, M (a drop of blood and a pinch of cinnamon)</t>
  </si>
  <si>
    <t>You gain the scent special quality, including the ability to track by scent. You receive a +8 competence bonus on Perception checks involving smell and a +4 competence bonus on Survival checks to track using scent. You take a -4 penalty on saving throws against odor-related effects such as the stench ability and stinking cloud. A creature under the effects of bloodhound can detect poison by scent with a DC 20 Perception check.</t>
  </si>
  <si>
    <t>&lt;p&gt;You gain the scent special quality, including the ability to track by scent. You receive a +8 competence bonus on Perception checks involving smell and a +4 competence bonus on Survival checks to track using scent. You take a -4 penalty on saving throws against odor-related effects such as the stench ability and &lt;i&gt;stinking cloud&lt;/i&gt;. A creature under the effects of &lt;i&gt;bloodhound&lt;/i&gt; can detect poison by scent with a DC 20 Perception check.&lt;/p&gt;</t>
  </si>
  <si>
    <t>&lt;link rel="stylesheet"href="PF.css"&gt;&lt;div class="heading"&gt;&lt;p class="alignleft"&gt;Bloodhound&lt;/p&gt;&lt;div style="clear: both;"&gt;&lt;/div&gt;&lt;/div&gt;&lt;div&gt;&lt;h5&gt;&lt;b&gt;School &lt;/b&gt;transmutation; &lt;b&gt;Level &lt;/b&gt;alchemist 3, inquisitor 2, ranger 2&lt;/h5&gt;&lt;/div&gt;&lt;hr/&gt;&lt;div&gt;&lt;h5&gt;&lt;b&gt;CASTING&lt;/b&gt;&lt;/h5&gt;&lt;/div&gt;&lt;hr/&gt;&lt;div&gt;&lt;h5&gt;&lt;b&gt;Casting Time &lt;/b&gt;1 standard action&lt;/h5&gt;&lt;h5&gt;&lt;b&gt;Components &lt;/b&gt;V, S, M (a drop of blood and a pinch of cinnamon)&lt;/h5&gt;&lt;/div&gt;&lt;hr/&gt;&lt;div&gt;&lt;h5&gt;&lt;b&gt;EFFECT&lt;/b&gt;&lt;/h5&gt;&lt;/div&gt;&lt;hr/&gt;&lt;div&gt;&lt;h5&gt;&lt;b&gt;Range &lt;/b&gt;personal&lt;/h5&gt;&lt;h5&gt;&lt;b&gt;Targets &lt;/b&gt;you&lt;/h5&gt;&lt;h5&gt;&lt;b&gt;Duration &lt;/b&gt;1 hour/level&lt;/h5&gt;&lt;/div&gt;&lt;hr/&gt;&lt;div&gt;&lt;h5&gt;&lt;b&gt;DESCRIPTION&lt;/b&gt;&lt;/h5&gt;&lt;/div&gt;&lt;hr/&gt;&lt;div&gt;&lt;h4&gt;&lt;p&gt;You gain the scent special quality, including the ability to track by scent. You receive a +8 competence bonus on Perception checks involving smell and a +4 competence bonus on Survival checks to track using scent. You take a -4 penalty on saving throws against odor-related effects such as the stench ability and &lt;i&gt;stinking cloud&lt;/i&gt;. A creature under the effects of &lt;i&gt;bloodhound&lt;/i&gt; can detect poison by scent with a DC 20 Perception check.&lt;/p&gt;&lt;/h4&gt;&lt;/div&gt;</t>
  </si>
  <si>
    <t>Gives caster the scent special ability.</t>
  </si>
  <si>
    <t>Bloody Claws</t>
  </si>
  <si>
    <t>You give a creature the ability to deal bleed damage when making natural attacks so long as the attack deals slashing or piercing damage. This bleed damage for each attack is equal to one-half your caster level (limited to the creature's maximum damage with that attack), though bleed damage does not stack. When two or more attacks deal bleed damage, take the worse effect.</t>
  </si>
  <si>
    <t>&lt;p&gt;You give a creature the ability to deal bleed damage when making natural attacks so long as the attack deals slashing or piercing damage. This bleed damage for each attack is equal to one-half your caster level (limited to the creature's maximum damage with that attack), though bleed damage does not stack. When two or more attacks deal bleed damage, take the worse effect.&lt;/p&gt;</t>
  </si>
  <si>
    <t>&lt;link rel="stylesheet"href="PF.css"&gt;&lt;div class="heading"&gt;&lt;p class="alignleft"&gt;Bloody Claws&lt;/p&gt;&lt;div style="clear: both;"&gt;&lt;/div&gt;&lt;/div&gt;&lt;div&gt;&lt;h5&gt;&lt;b&gt;School &lt;/b&gt;necromancy; &lt;b&gt;Level &lt;/b&gt;druid 4, ranger 3&lt;/h5&gt;&lt;/div&gt;&lt;hr/&gt;&lt;div&gt;&lt;h5&gt;&lt;b&gt;CASTING&lt;/b&gt;&lt;/h5&gt;&lt;/div&gt;&lt;hr/&gt;&lt;div&gt;&lt;h5&gt;&lt;b&gt;Casting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&lt;/b&gt;living creature touched&lt;/h5&gt;&lt;h5&gt;&lt;b&gt;Duration &lt;/b&gt;1 minute/level&lt;/h5&gt;&lt;h5&gt;&lt;b&gt;Saving Throw &lt;/b&gt;Fortitude negates (harmless); &lt;b&gt;Spell Resistance &lt;/b&gt;yes (harmless)&lt;/h5&gt;&lt;/div&gt;&lt;hr/&gt;&lt;div&gt;&lt;h5&gt;&lt;b&gt;DESCRIPTION&lt;/b&gt;&lt;/h5&gt;&lt;/div&gt;&lt;hr/&gt;&lt;div&gt;&lt;h4&gt;&lt;p&gt;You give a creature the ability to deal bleed damage when making natural attacks so long as the attack deals slashing or piercing damage. This bleed damage for each attack is equal to one-half your caster level (limited to the creature's maximum damage with that attack), though bleed damage does not stack. When two or more attacks deal bleed damage, take the worse effect.&lt;/p&gt;&lt;/h4&gt;&lt;/div&gt;</t>
  </si>
  <si>
    <t>Gives creature the ability to deal bleed damage with natural attacks.</t>
  </si>
  <si>
    <t>Bomber's Eye</t>
  </si>
  <si>
    <t>alchemist 1</t>
  </si>
  <si>
    <t>This extract allows you to throw weapons farther and more accurately. While this extract is in effect, increase the range of any thrown weapon by 10 feet. In addition, you receive a +1 insight bonus on attack rolls made with thrown weapons.</t>
  </si>
  <si>
    <t>&lt;p&gt;This extract allows you to throw weapons farther and more accurately. While this extract is in effect, increase the range of any thrown weapon by 10 feet. In addition, you receive a +1 insight bonus on attack rolls made with thrown weapons.&lt;/p&gt;</t>
  </si>
  <si>
    <t>&lt;link rel="stylesheet"href="PF.css"&gt;&lt;div class="heading"&gt;&lt;p class="alignleft"&gt;Bomber's Eye&lt;/p&gt;&lt;div style="clear: both;"&gt;&lt;/div&gt;&lt;/div&gt;&lt;div&gt;&lt;h5&gt;&lt;b&gt;School &lt;/b&gt;transmutation; &lt;b&gt;Level &lt;/b&gt;alchemist 1&lt;/h5&gt;&lt;/div&gt;&lt;hr/&gt;&lt;div&gt;&lt;h5&gt;&lt;b&gt;CASTING&lt;/b&gt;&lt;/h5&gt;&lt;/div&gt;&lt;hr/&gt;&lt;div&gt;&lt;h5&gt;&lt;b&gt;Casting Time &lt;/b&gt;1 standard action&lt;/h5&gt;&lt;h5&gt;&lt;b&gt;Components &lt;/b&gt;S&lt;/h5&gt;&lt;/div&gt;&lt;hr/&gt;&lt;div&gt;&lt;h5&gt;&lt;b&gt;EFFECT&lt;/b&gt;&lt;/h5&gt;&lt;/div&gt;&lt;hr/&gt;&lt;div&gt;&lt;h5&gt;&lt;b&gt;Range &lt;/b&gt;personal&lt;/h5&gt;&lt;h5&gt;&lt;b&gt;Targets &lt;/b&gt;you&lt;/h5&gt;&lt;h5&gt;&lt;b&gt;Duration &lt;/b&gt;1 round/level&lt;/h5&gt;&lt;/div&gt;&lt;hr/&gt;&lt;div&gt;&lt;h5&gt;&lt;b&gt;DESCRIPTION&lt;/b&gt;&lt;/h5&gt;&lt;/div&gt;&lt;hr/&gt;&lt;div&gt;&lt;h4&gt;&lt;p&gt;This extract allows you to throw weapons farther and more accurately. While this extract is in effect, increase the range of any thrown weapon by 10 feet. In addition, you receive a +1 insight bonus on attack rolls made with thrown weapons.&lt;/p&gt;&lt;/h4&gt;&lt;/div&gt;</t>
  </si>
  <si>
    <t>Increases thrown weapon range; +1 attack.</t>
  </si>
  <si>
    <t>Borrow Fortune</t>
  </si>
  <si>
    <t>oracle 3</t>
  </si>
  <si>
    <t>When you make a d20 roll, you may choose to immediately cast this spell to reroll that die before success or failure is known, keeping the more favorable result. For the next two rounds following your casting of the spell, you must roll two dice each time a d20 roll is called for, keeping the less favorable result.</t>
  </si>
  <si>
    <t>&lt;p&gt;When you make a d20 roll, you may choose to immediately cast this spell to reroll that die before success or failure is known, keeping the more favorable result. For the next two rounds following your casting of the spell, you must roll two dice each time a d20 roll is called for, keeping the less favorable result.&lt;/p&gt;</t>
  </si>
  <si>
    <t>&lt;link rel="stylesheet"href="PF.css"&gt;&lt;div class="heading"&gt;&lt;p class="alignleft"&gt;Borrow Fortune&lt;/p&gt;&lt;div style="clear: both;"&gt;&lt;/div&gt;&lt;/div&gt;&lt;div&gt;&lt;h5&gt;&lt;b&gt;School &lt;/b&gt;evocation; &lt;b&gt;Level &lt;/b&gt;oracle 3&lt;/h5&gt;&lt;/div&gt;&lt;hr/&gt;&lt;div&gt;&lt;h5&gt;&lt;b&gt;CASTING&lt;/b&gt;&lt;/h5&gt;&lt;/div&gt;&lt;hr/&gt;&lt;div&gt;&lt;h5&gt;&lt;b&gt;Casting Time &lt;/b&gt;1 immediate action&lt;/h5&gt;&lt;h5&gt;&lt;b&gt;Components &lt;/b&gt;V&lt;/h5&gt;&lt;/div&gt;&lt;hr/&gt;&lt;div&gt;&lt;h5&gt;&lt;b&gt;EFFECT&lt;/b&gt;&lt;/h5&gt;&lt;/div&gt;&lt;hr/&gt;&lt;div&gt;&lt;h5&gt;&lt;b&gt;Range &lt;/b&gt;personal&lt;/h5&gt;&lt;h5&gt;&lt;b&gt;Targets &lt;/b&gt;you&lt;/h5&gt;&lt;h5&gt;&lt;b&gt;Duration &lt;/b&gt;instantaneous; see text&lt;/h5&gt;&lt;/div&gt;&lt;hr/&gt;&lt;div&gt;&lt;h5&gt;&lt;b&gt;DESCRIPTION&lt;/b&gt;&lt;/h5&gt;&lt;/div&gt;&lt;hr/&gt;&lt;div&gt;&lt;h4&gt;&lt;p&gt;When you make a d20 roll, you may choose to immediately cast this spell to reroll that die before success or failure is known, keeping the more favorable result. For the next two rounds following your casting of the spell, you must roll two dice each time a d20 roll is called for, keeping the less favorable result.&lt;/p&gt;&lt;/h4&gt;&lt;/div&gt;</t>
  </si>
  <si>
    <t>(Oracle only.) Retry attack or check, but do worse on next two.</t>
  </si>
  <si>
    <t>Borrow Skill</t>
  </si>
  <si>
    <t>up to 1 round/level (see description)</t>
  </si>
  <si>
    <t>You borrow one of the target's known skills. After touching the subject, you can make a single check with the chosen skill using the subject's skill ranks, but modified by your own key ability. If you take longer than the spell's duration to make the check or the check requires more time, then it fails and you must use your own skill ranks (if any). If the borrowed skill is a class skill for you, you gain the +3 bonus on checks using that skill.</t>
  </si>
  <si>
    <t>&lt;p&gt;You borrow one of the target's known skills. After touching the subject, you can make a single check with the chosen skill using the subject's skill ranks, but modified by your own key ability.&lt;/p&gt;&lt;p&gt;If you take longer than the spell's duration to make the check or the check requires more time, then it fails and you must use your own skill ranks (if any). If the borrowed skill is a class skill for you, you gain the +3 bonus on checks using that skill.&lt;/p&gt;</t>
  </si>
  <si>
    <t>&lt;link rel="stylesheet"href="PF.css"&gt;&lt;div class="heading"&gt;&lt;p class="alignleft"&gt;Borrow Skill&lt;/p&gt;&lt;div style="clear: both;"&gt;&lt;/div&gt;&lt;/div&gt;&lt;div&gt;&lt;h5&gt;&lt;b&gt;School &lt;/b&gt;transmutation; &lt;b&gt;Level &lt;/b&gt;bard 1&lt;/h5&gt;&lt;/div&gt;&lt;hr/&gt;&lt;div&gt;&lt;h5&gt;&lt;b&gt;CASTING&lt;/b&gt;&lt;/h5&gt;&lt;/div&gt;&lt;hr/&gt;&lt;div&gt;&lt;h5&gt;&lt;b&gt;Casting Time &lt;/b&gt;1 standard action&lt;/h5&gt;&lt;h5&gt;&lt;b&gt;Components &lt;/b&gt;S&lt;/h5&gt;&lt;/div&gt;&lt;hr/&gt;&lt;div&gt;&lt;h5&gt;&lt;b&gt;EFFECT&lt;/b&gt;&lt;/h5&gt;&lt;/div&gt;&lt;hr/&gt;&lt;div&gt;&lt;h5&gt;&lt;b&gt;Range &lt;/b&gt;touch&lt;/h5&gt;&lt;h5&gt;&lt;b&gt;Targets &lt;/b&gt;creature touched&lt;/h5&gt;&lt;h5&gt;&lt;b&gt;Duration &lt;/b&gt;up to 1 round/level (see description)&lt;/h5&gt;&lt;h5&gt;&lt;b&gt;Saving Throw &lt;/b&gt;Will negates (harmless); &lt;b&gt;Spell Resistance &lt;/b&gt;yes (harmless)&lt;/h5&gt;&lt;/div&gt;&lt;hr/&gt;&lt;div&gt;&lt;h5&gt;&lt;b&gt;DESCRIPTION&lt;/b&gt;&lt;/h5&gt;&lt;/div&gt;&lt;hr/&gt;&lt;div&gt;&lt;h4&gt;&lt;p&gt;You borrow one of the target's known skills. After touching the subject, you can make a single check with the chosen skill using the subject's skill ranks, but modified by your own key ability.&lt;/p&gt;&lt;p&gt;If you take longer than the spell's duration to make the check or the check requires more time, then it fails and you must use your own skill ranks (if any). If the borrowed skill is a class skill for you, you gain the +3 bonus on checks using that skill.&lt;/p&gt;&lt;/h4&gt;&lt;/div&gt;</t>
  </si>
  <si>
    <t>Make a skill check using another's ranks.</t>
  </si>
  <si>
    <t>Bow Spirit</t>
  </si>
  <si>
    <t>ranger 4</t>
  </si>
  <si>
    <t>A bow spirit is a shapeless force that hovers about you, taking ammunition from your quiver and firing it. For as long as the bow spirit lasts, you can spend a swift action to direct the bow spirit to fire an arrow or a bolt at a target of your choice, as if the bow spirit were firing the necessary ranged weapon. The bow spirit uses your base attack bonus plus your Dexterity modifier, as well as any bonuses and effects from feats you have that affect ranged attacks, or bonuses from the ammunition it uses. A bow spirit's attacks do not provoke attacks of opportunity. There must be ammunition available for the bow spirit to use, and it expends ammunition as if used by you. A bow spirit occupies your space, and moves with you. It cannot be attacked or harmed by physical attacks, but dispel magic, disintegrate, a sphere of annihilation, or a rod of cancellation affects it. A bow spirit's AC against touch attacks is 10 + your Dexterity modifier.</t>
  </si>
  <si>
    <t>&lt;p&gt;A &lt;i&gt;bow spirit&lt;/i&gt; is a shapeless force that hovers about you, taking ammunition from your quiver and firing it. For as long as the &lt;i&gt;bow spirit&lt;/i&gt; lasts, you can spend a swift action to direct the &lt;i&gt;bow spirit&lt;/i&gt; to fire an arrow or a bolt at a target of your choice, as if the &lt;i&gt;bow spirit&lt;/i&gt; were firing the necessary ranged weapon. The &lt;i&gt;bow spirit&lt;/i&gt; uses your base attack bonus plus your Dexterity modifier, as well as any bonuses and effects from feats you have that affect ranged attacks, or bonuses from the ammunition it uses.&lt;/p&gt;&lt;p&gt;A &lt;i&gt;bow spirit&lt;/i&gt;'s attacks do not provoke attacks of opportunity.&lt;/p&gt;&lt;p&gt;There must be ammunition available for the &lt;i&gt;bow spirit&lt;/i&gt; to use, and it expends ammunition as if used by you.&lt;/p&gt;&lt;p&gt;A &lt;i&gt;bow spirit&lt;/i&gt; occupies your space, and moves with you.&lt;/p&gt;&lt;p&gt;It cannot be attacked or harmed by physical attacks, but &lt;i&gt;dispel magic&lt;/i&gt;, &lt;i&gt;disintegrate&lt;/i&gt;, &lt;i&gt;a sphere of annihilation&lt;/i&gt;, or a &lt;i&gt;rod of cancellation&lt;/i&gt; affects it. A &lt;i&gt;bow spirit&lt;/i&gt;'s AC against touch attacks is 10 + your Dexterity modifier.&lt;/p&gt;</t>
  </si>
  <si>
    <t>&lt;link rel="stylesheet"href="PF.css"&gt;&lt;div class="heading"&gt;&lt;p class="alignleft"&gt;Bow Spirit&lt;/p&gt;&lt;div style="clear: both;"&gt;&lt;/div&gt;&lt;/div&gt;&lt;div&gt;&lt;h5&gt;&lt;b&gt;School &lt;/b&gt;conjuration (creation); &lt;b&gt;Level &lt;/b&gt;ranger 4&lt;/h5&gt;&lt;/div&gt;&lt;hr/&gt;&lt;div&gt;&lt;h5&gt;&lt;b&gt;CASTING&lt;/b&gt;&lt;/h5&gt;&lt;/div&gt;&lt;hr/&gt;&lt;div&gt;&lt;h5&gt;&lt;b&gt;Casting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&lt;/b&gt;you&lt;/h5&gt;&lt;h5&gt;&lt;b&gt;Duration &lt;/b&gt;1 round/level&lt;/h5&gt;&lt;/div&gt;&lt;hr/&gt;&lt;div&gt;&lt;h5&gt;&lt;b&gt;DESCRIPTION&lt;/b&gt;&lt;/h5&gt;&lt;/div&gt;&lt;hr/&gt;&lt;div&gt;&lt;h4&gt;&lt;p&gt;A &lt;i&gt;bow spirit&lt;/i&gt; is a shapeless force that hovers about you, taking ammunition from your quiver and firing it. For as long as the &lt;i&gt;bow spirit&lt;/i&gt; lasts, you can spend a swift action to direct the &lt;i&gt;bow spirit&lt;/i&gt; to fire an arrow or a bolt at a target of your choice, as if the &lt;i&gt;bow spirit&lt;/i&gt; were firing the necessary ranged weapon. The &lt;i&gt;bow spirit&lt;/i&gt; uses your base attack bonus plus your Dexterity modifier, as well as any bonuses and effects from feats you have that affect ranged attacks, or bonuses from the ammunition it uses.&lt;/p&gt;&lt;p&gt;A &lt;i&gt;bow spirit&lt;/i&gt;'s attacks do not provoke attacks of opportunity.&lt;/p&gt;&lt;p&gt;There must be ammunition available for the &lt;i&gt;bow spirit&lt;/i&gt; to use, and it expends ammunition as if used by you.&lt;/p&gt;&lt;p&gt;A &lt;i&gt;bow spirit&lt;/i&gt; occupies your space, and moves with you.&lt;/p&gt;&lt;p&gt;It cannot be attacked or harmed by physical attacks, but &lt;i&gt;dispel magic&lt;/i&gt;, &lt;i&gt;disintegrate&lt;/i&gt;, &lt;i&gt;a sphere of annihilation&lt;/i&gt;, or a &lt;i&gt;rod of cancellation&lt;/i&gt; affects it. A &lt;i&gt;bow spirit&lt;/i&gt;'s AC against touch attacks is 10 + your Dexterity modifier.&lt;/p&gt;&lt;/h4&gt;&lt;/div&gt;</t>
  </si>
  <si>
    <t>Summons an invisible spirit that fires your arrows for you as a swift action.</t>
  </si>
  <si>
    <t>Brand</t>
  </si>
  <si>
    <t>inquisitor 0</t>
  </si>
  <si>
    <t>Brand etches an indelible rune or mark of no more than 6 characters onto a creature, inflicting 1 point of damage. The mark may be placed on any exposed portion of the creature, typically the head or forearm. A brand can be hidden by clothing or removed by scraping it away (causing 1d6 points of damage), though the brand returns if the damage is healed.</t>
  </si>
  <si>
    <t>&lt;p&gt;&lt;i&gt;Brand&lt;/i&gt; etches an indelible rune or mark of no more than 6 characters onto a creature, inflicting 1 point of damage. The mark may be placed on any exposed portion of the creature, typically the head or forearm. A &lt;i&gt;brand&lt;/i&gt; can be hidden by clothing or removed by scraping it away (causing 1d6 points of damage), though the &lt;i&gt;brand&lt;/i&gt; returns if the damage is healed.&lt;/p&gt;</t>
  </si>
  <si>
    <t>&lt;link rel="stylesheet"href="PF.css"&gt;&lt;div class="heading"&gt;&lt;p class="alignleft"&gt;Brand&lt;/p&gt;&lt;div style="clear: both;"&gt;&lt;/div&gt;&lt;/div&gt;&lt;div&gt;&lt;h5&gt;&lt;b&gt;School &lt;/b&gt;transmutation [curse]; &lt;b&gt;Level &lt;/b&gt;inquisitor 0&lt;/h5&gt;&lt;/div&gt;&lt;hr/&gt;&lt;div&gt;&lt;h5&gt;&lt;b&gt;CASTING&lt;/b&gt;&lt;/h5&gt;&lt;/div&gt;&lt;hr/&gt;&lt;div&gt;&lt;h5&gt;&lt;b&gt;Casting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 touched&lt;/h5&gt;&lt;h5&gt;&lt;b&gt;Duration &lt;/b&gt;1 day/level&lt;/h5&gt;&lt;h5&gt;&lt;b&gt;Saving Throw &lt;/b&gt;Fortitude negates; &lt;b&gt;Spell Resistance &lt;/b&gt;yes&lt;/h5&gt;&lt;/div&gt;&lt;hr/&gt;&lt;div&gt;&lt;h5&gt;&lt;b&gt;DESCRIPTION&lt;/b&gt;&lt;/h5&gt;&lt;/div&gt;&lt;hr/&gt;&lt;div&gt;&lt;h4&gt;&lt;p&gt;&lt;i&gt;Brand&lt;/i&gt; etches an indelible rune or mark of no more than 6 characters onto a creature, inflicting 1 point of damage. The mark may be placed on any exposed portion of the creature, typically the head or forearm. A &lt;i&gt;brand&lt;/i&gt; can be hidden by clothing or removed by scraping it away (causing 1d6 points of damage), though the &lt;i&gt;brand&lt;/i&gt; returns if the damage is healed.&lt;/p&gt;&lt;/h4&gt;&lt;/div&gt;</t>
  </si>
  <si>
    <t>Creates permanent brand on target creature.</t>
  </si>
  <si>
    <t>Brand, Greater</t>
  </si>
  <si>
    <t>inquisitor 4</t>
  </si>
  <si>
    <t>This spell functions like brand, except that it inflicts 1d6 points of damage when applied and cannot be removed, even temporarily. In addition, a greater brand blazes as bright as a torch when brought within 30 feet of a visible symbol of your faith. While the symbol is blazing, the recipient is sickened. Like the effects of bestow curse, a greater brand cannot be dispelled, but it can be removed by any means that removes a mark of justice.</t>
  </si>
  <si>
    <t>&lt;p&gt;This spell functions like &lt;i&gt;brand&lt;/i&gt;, except that it inflicts 1d6 points of damage when applied and cannot be removed, even temporarily. In addition, a greater &lt;i&gt;brand&lt;/i&gt; blazes as bright as a torch when brought within 30 feet of a visible symbol of your faith. While the symbol is blazing, the recipient is sickened.&lt;/p&gt;&lt;p&gt;Like the effects of &lt;i&gt;bestow curse&lt;/i&gt;, a greater &lt;i&gt;brand&lt;/i&gt; cannot be dispelled, but it can be removed by any means that removes a &lt;i&gt;mark of justice&lt;/i&gt;.&lt;/p&gt;</t>
  </si>
  <si>
    <t>&lt;link rel="stylesheet"href="PF.css"&gt;&lt;div class="heading"&gt;&lt;p class="alignleft"&gt;Brand, Greater&lt;/p&gt;&lt;div style="clear: both;"&gt;&lt;/div&gt;&lt;/div&gt;&lt;div&gt;&lt;h5&gt;&lt;b&gt;School &lt;/b&gt;transmutation [curse]; &lt;b&gt;Level &lt;/b&gt;inquisitor 4&lt;/h5&gt;&lt;/div&gt;&lt;hr/&gt;&lt;div&gt;&lt;h5&gt;&lt;b&gt;CASTING&lt;/b&gt;&lt;/h5&gt;&lt;/div&gt;&lt;hr/&gt;&lt;div&gt;&lt;h5&gt;&lt;b&gt;Casting Time &lt;/b&gt;1 round&lt;/h5&gt;&lt;h5&gt;&lt;b&gt;Components &lt;/b&gt;V, S, DF&lt;/h5&gt;&lt;/div&gt;&lt;hr/&gt;&lt;div&gt;&lt;h5&gt;&lt;b&gt;EFFECT&lt;/b&gt;&lt;/h5&gt;&lt;/div&gt;&lt;hr/&gt;&lt;div&gt;&lt;h5&gt;&lt;b&gt;Range &lt;/b&gt;touch&lt;/h5&gt;&lt;h5&gt;&lt;b&gt;Targets &lt;/b&gt;creature touched&lt;/h5&gt;&lt;h5&gt;&lt;b&gt;Duration &lt;/b&gt;permanent&lt;/h5&gt;&lt;h5&gt;&lt;b&gt;Saving Throw &lt;/b&gt;Fortitude negates; &lt;b&gt;Spell Resistance &lt;/b&gt;yes&lt;/h5&gt;&lt;/div&gt;&lt;hr/&gt;&lt;div&gt;&lt;h5&gt;&lt;b&gt;DESCRIPTION&lt;/b&gt;&lt;/h5&gt;&lt;/div&gt;&lt;hr/&gt;&lt;div&gt;&lt;h4&gt;&lt;p&gt;This spell functions like &lt;i&gt;brand&lt;/i&gt;, except that it inflicts 1d6 points of damage when applied and cannot be removed, even temporarily. In addition, a greater &lt;i&gt;brand&lt;/i&gt; blazes as bright as a torch when brought within 30 feet of a visible symbol of your faith. While the symbol is blazing, the recipient is sickened.&lt;/p&gt;&lt;p&gt;Like the effects of &lt;i&gt;bestow curse&lt;/i&gt;, a greater &lt;i&gt;brand&lt;/i&gt; cannot be dispelled, but it can be removed by any means that removes a &lt;i&gt;mark of justice&lt;/i&gt;.&lt;/p&gt;&lt;/h4&gt;&lt;/div&gt;</t>
  </si>
  <si>
    <t>As brand, but brand glows when near your holy symbol.</t>
  </si>
  <si>
    <t>Break</t>
  </si>
  <si>
    <t>V, S, M (a twig)</t>
  </si>
  <si>
    <t>one Medium or smaller object</t>
  </si>
  <si>
    <t>You can attempt to break or at least damage any one Medium or smaller object within range. If the target fails its Fortitude saving throw, it gains the broken condition. If cast on a broken item, that item is destroyed on a failed save.</t>
  </si>
  <si>
    <t>&lt;p&gt;You can attempt to break or at least damage any one Medium or smaller object within range. If the target fails its Fortitude saving throw, it gains the broken condition. If cast on a broken item, that item is destroyed on a failed save.&lt;/p&gt;</t>
  </si>
  <si>
    <t>&lt;link rel="stylesheet"href="PF.css"&gt;&lt;div class="heading"&gt;&lt;p class="alignleft"&gt;Break&lt;/p&gt;&lt;div style="clear: both;"&gt;&lt;/div&gt;&lt;/div&gt;&lt;div&gt;&lt;h5&gt;&lt;b&gt;School &lt;/b&gt;transmutation; &lt;b&gt;Level &lt;/b&gt;sorcerer/wizard 1&lt;/h5&gt;&lt;/div&gt;&lt;hr/&gt;&lt;div&gt;&lt;h5&gt;&lt;b&gt;CASTING&lt;/b&gt;&lt;/h5&gt;&lt;/div&gt;&lt;hr/&gt;&lt;div&gt;&lt;h5&gt;&lt;b&gt;Casting Time &lt;/b&gt;1 standard action&lt;/h5&gt;&lt;h5&gt;&lt;b&gt;Components &lt;/b&gt;V, S, M (a twig)&lt;/h5&gt;&lt;/div&gt;&lt;hr/&gt;&lt;div&gt;&lt;h5&gt;&lt;b&gt;EFFECT&lt;/b&gt;&lt;/h5&gt;&lt;/div&gt;&lt;hr/&gt;&lt;div&gt;&lt;h5&gt;&lt;b&gt;Range &lt;/b&gt;close (25 ft. + 5 ft./2 levels)&lt;/h5&gt;&lt;h5&gt;&lt;b&gt;Targets &lt;/b&gt;one Medium or smaller object&lt;/h5&gt;&lt;h5&gt;&lt;b&gt;Duration &lt;/b&gt;instantaneous&lt;/h5&gt;&lt;h5&gt;&lt;b&gt;Saving Throw &lt;/b&gt;Fortitude negates (object); &lt;b&gt;Spell Resistance &lt;/b&gt;yes (object)&lt;/h5&gt;&lt;/div&gt;&lt;hr/&gt;&lt;div&gt;&lt;h5&gt;&lt;b&gt;DESCRIPTION&lt;/b&gt;&lt;/h5&gt;&lt;/div&gt;&lt;hr/&gt;&lt;div&gt;&lt;h4&gt;&lt;p&gt;You can attempt to break or at least damage any one Medium or smaller object within range. If the target fails its Fortitude saving throw, it gains the broken condition. If cast on a broken item, that item is destroyed on a failed save.&lt;/p&gt;&lt;/h4&gt;&lt;h5&gt;&lt;b&gt;Mythic: &lt;/b&gt;You can target up to 1 Medium or smaller object per caster level.&lt;/h5&gt;&lt;h5&gt;&lt;b&gt;Augmented (3rd)&lt;/b&gt;: If you expend two uses of mythic power, target objects gain the broken condition on a successful save and are destroyed on a failed save. This doesn't affect mythic objects or objects held or carried by mythic creatures.&lt;/h5&gt;&lt;/div&gt;</t>
  </si>
  <si>
    <t>Gives an object the broken condition.</t>
  </si>
  <si>
    <t>You can target up to 1 Medium or smaller object per caster level.</t>
  </si>
  <si>
    <t>Augmented (3rd): If you expend two uses of mythic power, target objects gain the broken condition on a successful save and are destroyed on a failed save. This doesn't affect mythic objects or objects held or carried by mythic creatures.</t>
  </si>
  <si>
    <t>Brilliant Inspiration</t>
  </si>
  <si>
    <t>1 round/level and special (see below)</t>
  </si>
  <si>
    <t>You open a link between your mind and the subject's mind, giving advice and encouragement for as long as the spell is in effect. Each time the subject of the spell makes an attack roll, ability check, or skill check, it rolls two d20s and takes the better result. If any roll is a natural 20, the spell's effect ends-your brilliant advice is spent.</t>
  </si>
  <si>
    <t>&lt;p&gt;You open a link between your mind and the subject's mind, giving advice and encouragement for as long as the spell is in effect. Each time the subject of the spell makes an attack roll, ability check, or skill check, it rolls two d20s and takes the better result. If any roll is a natural 20, the spell's effect ends-your brilliant advice is spent.&lt;/p&gt;</t>
  </si>
  <si>
    <t>&lt;link rel="stylesheet"href="PF.css"&gt;&lt;div class="heading"&gt;&lt;p class="alignleft"&gt;Brilliant Inspiration&lt;/p&gt;&lt;div style="clear: both;"&gt;&lt;/div&gt;&lt;/div&gt;&lt;div&gt;&lt;h5&gt;&lt;b&gt;School &lt;/b&gt;evocation [language-dependent]; &lt;b&gt;Level &lt;/b&gt;bard 6&lt;/h5&gt;&lt;/div&gt;&lt;hr/&gt;&lt;div&gt;&lt;h5&gt;&lt;b&gt;CASTING&lt;/b&gt;&lt;/h5&gt;&lt;/div&gt;&lt;hr/&gt;&lt;div&gt;&lt;h5&gt;&lt;b&gt;Casting Time &lt;/b&gt;1 standard action&lt;/h5&gt;&lt;h5&gt;&lt;b&gt;Components &lt;/b&gt;V&lt;/h5&gt;&lt;/div&gt;&lt;hr/&gt;&lt;div&gt;&lt;h5&gt;&lt;b&gt;EFFECT&lt;/b&gt;&lt;/h5&gt;&lt;/div&gt;&lt;hr/&gt;&lt;div&gt;&lt;h5&gt;&lt;b&gt;Range &lt;/b&gt;close (25 ft. + 5 ft./2 levels)&lt;/h5&gt;&lt;h5&gt;&lt;b&gt;Targets &lt;/b&gt;one living creature&lt;/h5&gt;&lt;h5&gt;&lt;b&gt;Duration &lt;/b&gt;1 round/level and special (see below)&lt;/h5&gt;&lt;h5&gt;&lt;b&gt;Saving Throw &lt;/b&gt;Will negates (harmless); &lt;b&gt;Spell Resistance &lt;/b&gt;yes (harmless)&lt;/h5&gt;&lt;/div&gt;&lt;hr/&gt;&lt;div&gt;&lt;h5&gt;&lt;b&gt;DESCRIPTION&lt;/b&gt;&lt;/h5&gt;&lt;/div&gt;&lt;hr/&gt;&lt;div&gt;&lt;h4&gt;&lt;p&gt;You open a link between your mind and the subject's mind, giving advice and encouragement for as long as the spell is in effect. Each time the subject of the spell makes an attack roll, ability check, or skill check, it rolls two d20s and takes the better result. If any roll is a natural 20, the spell's effect ends-your brilliant advice is spent.&lt;/p&gt;&lt;/h4&gt;&lt;/div&gt;</t>
  </si>
  <si>
    <t>Leadership</t>
  </si>
  <si>
    <t>Take best of two d20 rolls.</t>
  </si>
  <si>
    <t>Bristle</t>
  </si>
  <si>
    <t>You give a creature the ability to redirect a portion of its innate toughness away from its own defense and toward the amount of damage it deals with natural attacks. Each round, as a swift action at the start of its turn, the creature can choose to reduce some or all of its natural armor bonus to AC and gain an enhancement bonus on all damage rolls for natural attacks equal to that amount. The reduction to natural armor, and thus the enhancement bonus on damage rolls, cannot exceed 1 point per 3 caster levels, to a maximum penalty/bonus of -5/+5 at 15th level. A creature cannot reduce its natural armor bonus to less than 0 with this spell. All attacks directed against the creature use its adjusted AC until the start of its next turn, at which time it can choose to modify its AC again or keep it at its current level. Creatures make this decision without any need for conscious thought or reflection; even creatures with no Intelligence score can benefit from this spell, although they always opt for the maximum possible reduction and bonus, regardless of any tactical advantage they might lose.</t>
  </si>
  <si>
    <t>&lt;p&gt;You give a creature the ability to redirect a portion of its innate toughness away from its own defense and toward the amount of damage it deals with natural attacks. Each round, as a swift action at the start of its turn, the creature can choose to reduce some or all of its natural armor bonus to AC and gain an enhancement bonus on all damage rolls for natural attacks equal to that amount. The reduction to natural armor, and thus the enhancement bonus on damage rolls, cannot exceed 1 point per 3 caster levels, to a maximum penalty/bonus of -5/+5 at 15th level. A creature cannot reduce its natural armor bonus to less than 0 with this spell.&lt;/p&gt;&lt;p&gt;All attacks directed against the creature use its adjusted AC until the start of its next turn, at which time it can choose to modify its AC again or keep it at its current level. Creatures make this decision without any need for conscious thought or reflection; even creatures with no Intelligence score can benefit from this spell, although they always opt for the maximum possible reduction and bonus, regardless of any tactical advantage they might lose.&lt;/p&gt;</t>
  </si>
  <si>
    <t>&lt;link rel="stylesheet"href="PF.css"&gt;&lt;div class="heading"&gt;&lt;p class="alignleft"&gt;Bristle&lt;/p&gt;&lt;div style="clear: both;"&gt;&lt;/div&gt;&lt;/div&gt;&lt;div&gt;&lt;h5&gt;&lt;b&gt;School &lt;/b&gt;transmutation; &lt;b&gt;Level &lt;/b&gt;druid 1&lt;/h5&gt;&lt;/div&gt;&lt;hr/&gt;&lt;div&gt;&lt;h5&gt;&lt;b&gt;CASTING&lt;/b&gt;&lt;/h5&gt;&lt;/div&gt;&lt;hr/&gt;&lt;div&gt;&lt;h5&gt;&lt;b&gt;Casting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&lt;/b&gt;one creature&lt;/h5&gt;&lt;h5&gt;&lt;b&gt;Duration &lt;/b&gt;1 minute/level&lt;/h5&gt;&lt;h5&gt;&lt;b&gt;Saving Throw &lt;/b&gt;Fortitude negates (harmless); &lt;b&gt;Spell Resistance &lt;/b&gt;yes&lt;/h5&gt;&lt;/div&gt;&lt;hr/&gt;&lt;div&gt;&lt;h5&gt;&lt;b&gt;DESCRIPTION&lt;/b&gt;&lt;/h5&gt;&lt;/div&gt;&lt;hr/&gt;&lt;div&gt;&lt;h4&gt;&lt;p&gt;You give a creature the ability to redirect a portion of its innate toughness away from its own defense and toward the amount of damage it deals with natural attacks. Each round, as a swift action at the start of its turn, the creature can choose to reduce some or all of its natural armor bonus to AC and gain an enhancement bonus on all damage rolls for natural attacks equal to that amount. The reduction to natural armor, and thus the enhancement bonus on damage rolls, cannot exceed 1 point per 3 caster levels, to a maximum penalty/bonus of -5/+5 at 15th level. A creature cannot reduce its natural armor bonus to less than 0 with this spell.&lt;/p&gt;&lt;p&gt;All attacks directed against the creature use its adjusted AC until the start of its next turn, at which time it can choose to modify its AC again or keep it at its current level. Creatures make this decision without any need for conscious thought or reflection; even creatures with no Intelligence score can benefit from this spell, although they always opt for the maximum possible reduction and bonus, regardless of any tactical advantage they might lose.&lt;/p&gt;&lt;/h4&gt;&lt;/div&gt;</t>
  </si>
  <si>
    <t>Trade natural armor bonus for a bonus on attacks with natural weapons.</t>
  </si>
  <si>
    <t>Burning Gaze</t>
  </si>
  <si>
    <t>druid 2, sorcerer/wizard 2, witch 2, magus 2</t>
  </si>
  <si>
    <t>V, S, M/DF (eye of a mundane salamander)</t>
  </si>
  <si>
    <t>Fortitude negates (see text)</t>
  </si>
  <si>
    <t>Your eyes burn like hot coals, allowing you to set objects or foes alight with a glance. As a standard action as long as this spell's effects persist, you may direct your burning gaze against a single creature or object within 30 feet of your location. Targeted creatures must succeed at a Fortitude save or take 1d6 points of fire damage. Unattended objects do not get a save. Creatures damaged by the spell must make a Reflex save or catch fire. Each round, burning creatures may attempt a Reflex save to quench the flames; failure results in another 1d6 points of fire damage. Flammable items worn by a creature must also save or take the same damage as the creature. If a creature or object is already on fire, it suffers no additional effects from burning gaze. Note that this spell does not grant an actual gaze attack- foes and allies are not in danger of catching on fire simply by meeting your gaze.</t>
  </si>
  <si>
    <t>&lt;p&gt;Your eyes burn like hot coals, allowing you to set objects or foes alight with a glance.&lt;/p&gt;&lt;p&gt;As a standard action as long as this spell's effects persist, you may direct your &lt;i&gt;burning gaze&lt;/i&gt; against a single creature or object within 30 feet of your location. Targeted creatures must succeed at a Fortitude save or take 1d6 points of fire damage. Unattended objects do not get a save. Creatures damaged by the spell must make a Reflex save or catch fire.&lt;/p&gt;&lt;p&gt;Each round, burning creatures may attempt a Reflex save to quench the flames; failure results in another 1d6 points of fire damage. Flammable items worn by a creature must also save or take the same damage as the creature. If a creature or object is already on fire, it suffers no additional effects from &lt;i&gt;burning gaze&lt;/i&gt;.&lt;/p&gt;&lt;p&gt;Note that this spell does not grant an actual gaze attack- foes and allies are not in danger of catching on fire simply by meeting your gaze.&lt;/p&gt;</t>
  </si>
  <si>
    <t>&lt;link rel="stylesheet"href="PF.css"&gt;&lt;div class="heading"&gt;&lt;p class="alignleft"&gt;Burning Gaze&lt;/p&gt;&lt;div style="clear: both;"&gt;&lt;/div&gt;&lt;/div&gt;&lt;div&gt;&lt;h5&gt;&lt;b&gt;School &lt;/b&gt;evocation [fire]; &lt;b&gt;Level &lt;/b&gt;druid 2, sorcerer/wizard 2, witch 2, magus 2&lt;/h5&gt;&lt;/div&gt;&lt;hr/&gt;&lt;div&gt;&lt;h5&gt;&lt;b&gt;CASTING&lt;/b&gt;&lt;/h5&gt;&lt;/div&gt;&lt;hr/&gt;&lt;div&gt;&lt;h5&gt;&lt;b&gt;Casting Time &lt;/b&gt;1 standard action&lt;/h5&gt;&lt;h5&gt;&lt;b&gt;Components &lt;/b&gt;V, S, M/DF (eye of a mundane salamander)&lt;/h5&gt;&lt;/div&gt;&lt;hr/&gt;&lt;div&gt;&lt;h5&gt;&lt;b&gt;EFFECT&lt;/b&gt;&lt;/h5&gt;&lt;/div&gt;&lt;hr/&gt;&lt;div&gt;&lt;h5&gt;&lt;b&gt;Range &lt;/b&gt;personal&lt;/h5&gt;&lt;h5&gt;&lt;b&gt;Targets &lt;/b&gt;you&lt;/h5&gt;&lt;h5&gt;&lt;b&gt;Duration &lt;/b&gt;1 round/level&lt;/h5&gt;&lt;h5&gt;&lt;b&gt;Saving Throw &lt;/b&gt;Fortitude negates (see text); &lt;b&gt;Spell Resistance &lt;/b&gt;yes&lt;/h5&gt;&lt;/div&gt;&lt;hr/&gt;&lt;div&gt;&lt;h5&gt;&lt;b&gt;DESCRIPTION&lt;/b&gt;&lt;/h5&gt;&lt;/div&gt;&lt;hr/&gt;&lt;div&gt;&lt;h4&gt;&lt;p&gt;Your eyes burn like hot coals, allowing you to set objects or foes alight with a glance.&lt;/p&gt;&lt;p&gt;As a standard action as long as this spell's effects persist, you may direct your &lt;i&gt;burning gaze&lt;/i&gt; against a single creature or object within 30 feet of your location. Targeted creatures must succeed at a Fortitude save or take 1d6 points of fire damage. Unattended objects do not get a save. Creatures damaged by the spell must make a Reflex save or catch fire.&lt;/p&gt;&lt;p&gt;Each round, burning creatures may attempt a Reflex save to quench the flames; failure results in another 1d6 points of fire damage. Flammable items worn by a creature must also save or take the same damage as the creature. If a creature or object is already on fire, it suffers no additional effects from &lt;i&gt;burning gaze&lt;/i&gt;.&lt;/p&gt;&lt;p&gt;Note that this spell does not grant an actual gaze attack- foes and allies are not in danger of catching on fire simply by meeting your gaze.&lt;/p&gt;&lt;/h4&gt;&lt;h5&gt;&lt;b&gt;Mythic: &lt;/b&gt;You may focus your burning gaze on a creature or object as a move action instead of as a standard action. The target takes 1d8 points of fire damage for failing its save and for each round it's on fire.&lt;/h5&gt;&lt;h5&gt;&lt;b&gt;Augmented&lt;/b&gt;: If you expend two uses of mythic power, once during the spell's duration you can, as a full-round action, direct your burning gaze at up to one creature per caster level.&lt;/h5&gt;&lt;/div&gt;</t>
  </si>
  <si>
    <t>Inflict 1d6 fire damage to creature.</t>
  </si>
  <si>
    <t>You may focus your burning gaze on a creature or object as a move action instead of as a standard action. The target takes 1d8 points of fire damage for failing its save and for each round it's on fire.</t>
  </si>
  <si>
    <t>Augmented: If you expend two uses of mythic power, once during the spell's duration you can, as a full-round action, direct your burning gaze at up to one creature per caster level.</t>
  </si>
  <si>
    <t>Burst Bonds</t>
  </si>
  <si>
    <t>inquisitor 1</t>
  </si>
  <si>
    <t>one object or creature restraining you</t>
  </si>
  <si>
    <t>Fortitude half (object)</t>
  </si>
  <si>
    <t>You blast your restraints with divine wrath, dealing 1d6 points of damage per caster level to the target object (maximum 5d6), ignoring hardness of 10 or less. A Fortitude save halves the damage, although only magical restraints receive a saving throw. You can also target a creature that is grappling or otherwise restraining you (such as by adhesive or the swallow whole ability) with the spell. You don't need to make a touch attack to use burst bonds against a creature, and you can cast this spell without making a concentration check while grappled or pinned. The creature does not take damage as above. If you are grappled and your target fails its save, you may make an immediate attempt to break the grapple (but not reverse it) as a free action, with a +1 luck bonus to your CMB per caster level (maximum +5). If the target creature fails its save and you are restrained by an ability that originally allowed a saving throw, burst bonds allows a new saving throw with a +1 luck bonus per two caster levels (maximum +5).</t>
  </si>
  <si>
    <t>&lt;p&gt;You blast your restraints with divine wrath, dealing 1d6 points of damage per caster level to the target object (maximum 5d6), ignoring hardness of 10 or less. A Fortitude save halves the damage, although only magical restraints receive a saving throw.&lt;/p&gt;&lt;p&gt;You can also target a creature that is grappling or otherwise restraining you (such as by adhesive or the swallow whole ability) with the spell. You don't need to make a touch attack to use &lt;i&gt;burst bonds&lt;/i&gt; against a creature, and you can cast this spell without making a concentration check while grappled or pinned. The creature does not take damage as above. If you are grappled and your target fails its save, you may make an immediate attempt to break the grapple (but not reverse it) as a free action, with a +1 luck bonus to your CMB per caster level (maximum +5). If the target creature fails its save and you are restrained by an ability that originally allowed a saving throw, &lt;i&gt;burst bonds&lt;/i&gt; allows a new saving throw with a +1 luck bonus per two caster levels (maximum +5).&lt;/p&gt;</t>
  </si>
  <si>
    <t>&lt;link rel="stylesheet"href="PF.css"&gt;&lt;div class="heading"&gt;&lt;p class="alignleft"&gt;Burst Bonds&lt;/p&gt;&lt;div style="clear: both;"&gt;&lt;/div&gt;&lt;/div&gt;&lt;div&gt;&lt;h5&gt;&lt;b&gt;School &lt;/b&gt;evocation; &lt;b&gt;Level &lt;/b&gt;inquisitor 1&lt;/h5&gt;&lt;/div&gt;&lt;hr/&gt;&lt;div&gt;&lt;h5&gt;&lt;b&gt;CASTING&lt;/b&gt;&lt;/h5&gt;&lt;/div&gt;&lt;hr/&gt;&lt;div&gt;&lt;h5&gt;&lt;b&gt;Casting Time &lt;/b&gt;1 standard action&lt;/h5&gt;&lt;h5&gt;&lt;b&gt;Components &lt;/b&gt;V&lt;/h5&gt;&lt;/div&gt;&lt;hr/&gt;&lt;div&gt;&lt;h5&gt;&lt;b&gt;EFFECT&lt;/b&gt;&lt;/h5&gt;&lt;/div&gt;&lt;hr/&gt;&lt;div&gt;&lt;h5&gt;&lt;b&gt;Range &lt;/b&gt;touch&lt;/h5&gt;&lt;h5&gt;&lt;b&gt;Targets &lt;/b&gt;one object or creature restraining you&lt;/h5&gt;&lt;h5&gt;&lt;b&gt;Duration &lt;/b&gt;instantaneous&lt;/h5&gt;&lt;h5&gt;&lt;b&gt;Saving Throw &lt;/b&gt;Fortitude half (object); &lt;b&gt;Spell Resistance &lt;/b&gt;yes&lt;/h5&gt;&lt;/div&gt;&lt;hr/&gt;&lt;div&gt;&lt;h5&gt;&lt;b&gt;DESCRIPTION&lt;/b&gt;&lt;/h5&gt;&lt;/div&gt;&lt;hr/&gt;&lt;div&gt;&lt;h4&gt;&lt;p&gt;You blast your restraints with divine wrath, dealing 1d6 points of damage per caster level to the target object (maximum 5d6), ignoring hardness of 10 or less. A Fortitude save halves the damage, although only magical restraints receive a saving throw.&lt;/p&gt;&lt;p&gt;You can also target a creature that is grappling or otherwise restraining you (such as by adhesive or the swallow whole ability) with the spell. You don't need to make a touch attack to use &lt;i&gt;burst bonds&lt;/i&gt; against a creature, and you can cast this spell without making a concentration check while grappled or pinned. The creature does not take damage as above. If you are grappled and your target fails its save, you may make an immediate attempt to break the grapple (but not reverse it) as a free action, with a +1 luck bonus to your CMB per caster level (maximum +5). If the target creature fails its save and you are restrained by an ability that originally allowed a saving throw, &lt;i&gt;burst bonds&lt;/i&gt; allows a new saving throw with a +1 luck bonus per two caster levels (maximum +5).&lt;/p&gt;&lt;/h4&gt;&lt;/div&gt;</t>
  </si>
  <si>
    <t>1d6 damage/level (max 5d6) to restraints.</t>
  </si>
  <si>
    <t>Cacophonous Call</t>
  </si>
  <si>
    <t>bard 2</t>
  </si>
  <si>
    <t>V, S, M (a scrap of sheet music)</t>
  </si>
  <si>
    <t>You fill your target's mind with a blaring cacophony of discordant sounds, making it hard for the target to act and concentrate. The creature gains the nauseated condition for the duration of the spell if it fails its Will save.</t>
  </si>
  <si>
    <t>&lt;p&gt;You fill your target's mind with a blaring cacophony of discordant sounds, making it hard for the target to act and concentrate.&lt;/p&gt;&lt;p&gt;The creature gains the nauseated condition for the duration of the spell if it fails its Will save.&lt;/p&gt;</t>
  </si>
  <si>
    <t>&lt;link rel="stylesheet"href="PF.css"&gt;&lt;div class="heading"&gt;&lt;p class="alignleft"&gt;Cacophonous Call&lt;/p&gt;&lt;div style="clear: both;"&gt;&lt;/div&gt;&lt;/div&gt;&lt;div&gt;&lt;h5&gt;&lt;b&gt;School &lt;/b&gt;enchantment (compulsion) [mind-affecting]; &lt;b&gt;Level &lt;/b&gt;bard 2&lt;/h5&gt;&lt;/div&gt;&lt;hr/&gt;&lt;div&gt;&lt;h5&gt;&lt;b&gt;CASTING&lt;/b&gt;&lt;/h5&gt;&lt;/div&gt;&lt;hr/&gt;&lt;div&gt;&lt;h5&gt;&lt;b&gt;Casting Time &lt;/b&gt;1 standard action&lt;/h5&gt;&lt;h5&gt;&lt;b&gt;Components &lt;/b&gt;V, S, M (a scrap of sheet music)&lt;/h5&gt;&lt;/div&gt;&lt;hr/&gt;&lt;div&gt;&lt;h5&gt;&lt;b&gt;EFFECT&lt;/b&gt;&lt;/h5&gt;&lt;/div&gt;&lt;hr/&gt;&lt;div&gt;&lt;h5&gt;&lt;b&gt;Range &lt;/b&gt;close (25 ft. + 5 ft./2 levels)&lt;/h5&gt;&lt;h5&gt;&lt;b&gt;Targets &lt;/b&gt;one creature&lt;/h5&gt;&lt;h5&gt;&lt;b&gt;Duration &lt;/b&gt;1 round/level&lt;/h5&gt;&lt;h5&gt;&lt;b&gt;Saving Throw &lt;/b&gt;Will negates; &lt;b&gt;Spell Resistance &lt;/b&gt;yes&lt;/h5&gt;&lt;/div&gt;&lt;hr/&gt;&lt;div&gt;&lt;h5&gt;&lt;b&gt;DESCRIPTION&lt;/b&gt;&lt;/h5&gt;&lt;/div&gt;&lt;hr/&gt;&lt;div&gt;&lt;h4&gt;&lt;p&gt;You fill your target's mind with a blaring cacophony of discordant sounds, making it hard for the target to act and concentrate.&lt;/p&gt;&lt;p&gt;The creature gains the nauseated condition for the duration of the spell if it fails its Will save.&lt;/p&gt;&lt;/h4&gt;&lt;/div&gt;</t>
  </si>
  <si>
    <t>Nauseates target.</t>
  </si>
  <si>
    <t>Cacophonous Call, Mass</t>
  </si>
  <si>
    <t>one creature/level (all of which must be within 30 feet)</t>
  </si>
  <si>
    <t>This spell functions as cacophonous call, except that it affects multiple creatures.</t>
  </si>
  <si>
    <t>&lt;p&gt;This spell functions as &lt;i&gt;cacophonous call&lt;/i&gt;, except that it affects multiple creatures.&lt;/p&gt;</t>
  </si>
  <si>
    <t>&lt;link rel="stylesheet"href="PF.css"&gt;&lt;div class="heading"&gt;&lt;p class="alignleft"&gt;Cacophonous Call, Mass&lt;/p&gt;&lt;div style="clear: both;"&gt;&lt;/div&gt;&lt;/div&gt;&lt;div&gt;&lt;h5&gt;&lt;b&gt;School &lt;/b&gt;enchantment (compulsion) [mind-affecting]; &lt;b&gt;Level &lt;/b&gt;bard 5&lt;/h5&gt;&lt;/div&gt;&lt;hr/&gt;&lt;div&gt;&lt;h5&gt;&lt;b&gt;CASTING&lt;/b&gt;&lt;/h5&gt;&lt;/div&gt;&lt;hr/&gt;&lt;div&gt;&lt;h5&gt;&lt;b&gt;Casting Time &lt;/b&gt;1 standard action&lt;/h5&gt;&lt;h5&gt;&lt;b&gt;Components &lt;/b&gt;V, S, M (a scrap of sheet music)&lt;/h5&gt;&lt;/div&gt;&lt;hr/&gt;&lt;div&gt;&lt;h5&gt;&lt;b&gt;EFFECT&lt;/b&gt;&lt;/h5&gt;&lt;/div&gt;&lt;hr/&gt;&lt;div&gt;&lt;h5&gt;&lt;b&gt;Range &lt;/b&gt;close (25 ft. + 5 ft./2 levels)&lt;/h5&gt;&lt;h5&gt;&lt;b&gt;Targets &lt;/b&gt;one creature/level (all of which must be within 30 feet)&lt;/h5&gt;&lt;h5&gt;&lt;b&gt;Duration &lt;/b&gt;1 round/level&lt;/h5&gt;&lt;h5&gt;&lt;b&gt;Saving Throw &lt;/b&gt;Will negates; &lt;b&gt;Spell Resistance &lt;/b&gt;yes&lt;/h5&gt;&lt;/div&gt;&lt;hr/&gt;&lt;div&gt;&lt;h5&gt;&lt;b&gt;DESCRIPTION&lt;/b&gt;&lt;/h5&gt;&lt;/div&gt;&lt;hr/&gt;&lt;div&gt;&lt;h4&gt;&lt;p&gt;This spell functions as &lt;i&gt;cacophonous call&lt;/i&gt;, except that it affects multiple creatures.&lt;/p&gt;&lt;/h4&gt;&lt;/div&gt;</t>
  </si>
  <si>
    <t>Nauseates multiple targets.</t>
  </si>
  <si>
    <t>Calcific Touch</t>
  </si>
  <si>
    <t>creature or creatures touched (up to one per level)</t>
  </si>
  <si>
    <t>Your touch progressively transmutes the substance of creatures you touch into stone. Once per round, you may deliver a touch attack that inflicts 1d4 points of Dexterity damage and slows the target (as the spell) for 1 round. A successful Fortitude save negates the slow effect but not the ability damage. A target reduced to 0 Dexterity is petrified permanently. Break enchantment, restoration, or stone to flesh can reverse the effects of calcific touch.</t>
  </si>
  <si>
    <t>&lt;p&gt;Your touch progressively transmutes the substance of creatures you touch into stone. Once per round, you may deliver a touch attack that inflicts 1d4 points of Dexterity damage and slows the target (as the spell) for 1 round. A successful Fortitude save negates the slow effect but not the ability damage. A target reduced to 0 Dexterity is petrified permanently. &lt;i&gt;Break enchantment&lt;/i&gt;, &lt;i&gt;restoration&lt;/i&gt;, &lt;i&gt;or stone to flesh&lt;/i&gt; can reverse the effects of &lt;i&gt;calcific touch&lt;/i&gt;.&lt;/p&gt;</t>
  </si>
  <si>
    <t>&lt;link rel="stylesheet"href="PF.css"&gt;&lt;div class="heading"&gt;&lt;p class="alignleft"&gt;Calcific Touch&lt;/p&gt;&lt;div style="clear: both;"&gt;&lt;/div&gt;&lt;/div&gt;&lt;div&gt;&lt;h5&gt;&lt;b&gt;School &lt;/b&gt;transmutation [earth]; &lt;b&gt;Level &lt;/b&gt;sorcerer/wizard 4&lt;/h5&gt;&lt;/div&gt;&lt;hr/&gt;&lt;div&gt;&lt;h5&gt;&lt;b&gt;CASTING&lt;/b&gt;&lt;/h5&gt;&lt;/div&gt;&lt;hr/&gt;&lt;div&gt;&lt;h5&gt;&lt;b&gt;Casting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or creatures touched (up to one per level)&lt;/h5&gt;&lt;h5&gt;&lt;b&gt;Duration &lt;/b&gt;1 round/level&lt;/h5&gt;&lt;h5&gt;&lt;b&gt;Saving Throw &lt;/b&gt;Fortitude partial; &lt;b&gt;Spell Resistance &lt;/b&gt;yes&lt;/h5&gt;&lt;/div&gt;&lt;hr/&gt;&lt;div&gt;&lt;h5&gt;&lt;b&gt;DESCRIPTION&lt;/b&gt;&lt;/h5&gt;&lt;/div&gt;&lt;hr/&gt;&lt;div&gt;&lt;h4&gt;&lt;p&gt;Your touch progressively transmutes the substance of creatures you touch into stone. Once per round, you may deliver a touch attack that inflicts 1d4 points of Dexterity damage and slows the target (as the spell) for 1 round. A successful Fortitude save negates the slow effect but not the ability damage. A target reduced to 0 Dexterity is petrified permanently. &lt;i&gt;Break enchantment&lt;/i&gt;, &lt;i&gt;restoration&lt;/i&gt;, &lt;i&gt;or stone to flesh&lt;/i&gt; can reverse the effects of &lt;i&gt;calcific touch&lt;/i&gt;.&lt;/p&gt;&lt;/h4&gt;&lt;/div&gt;</t>
  </si>
  <si>
    <t>Touch slows target, 1d4 Dex damage.</t>
  </si>
  <si>
    <t>Call Animal</t>
  </si>
  <si>
    <t>see description</t>
  </si>
  <si>
    <t>one animal whose CR is equal or less than your caster level</t>
  </si>
  <si>
    <t>This spell calls the nearest wild animal of a particular type you designate (provided the animal's CR is equal to or less than your caster level) to seek you out. The animal moves toward you under its own power, so the time it takes to arrivedepends on how close an animal of the desired type is when you cast the spell. If there is no animal of that type capable of reaching you within the spell's duration, you are aware of this fact, but the spell is wasted. Knowledge of the local fauna makes this spell more effective, and the GM may permit a Knowledge (nature) skill check (DC 15) to know what animals can be found in an area. When the called animal arrives, it approaches to within 5 feet of you and remains nearby for the duration of the spell. Its starting attitude is indifferent, modified by circumstances and interaction. Other than starting attitude, this spell gives you no special influence or ability to communicate with the called animal, although you may use other spells or abilities to do so. Once the spell's duration expires, the animal acts in accordance with its attitude. Most animals will likely wander off, but a hostile predatory animal may attack, especially if it is hungry or provoked. Domesticated animals or animals trained by someone else, including such creatures as familiars or animal companions, are unaffected by call animals.</t>
  </si>
  <si>
    <t>&lt;p&gt;This spell calls the nearest wild animal of a particular type you designate (provided the animal's CR is equal to or less than your caster level) to seek you out. The animal moves toward you under its own power, so the time it takes to arrivedepends on how close an animal of the desired type is when you cast the spell. If there is no animal of that type capable of reaching you within the spell's duration, you are aware of this fact, but the spell is wasted. Knowledge of the local fauna makes this spell more effective, and the GM may permit a Knowledge (nature) skill check (DC 15) to know what animals can be found in an area.&lt;/p&gt;&lt;p&gt;When the called animal arrives, it approaches to within 5 feet of you and remains nearby for the duration of the spell.&lt;/p&gt;&lt;p&gt;Its starting attitude is indifferent, modified by circumstances and interaction. Other than starting attitude, this spell gives you no special influence or ability to communicate with the called animal, although you may use other spells or abilities to do so.&lt;/p&gt;&lt;p&gt;Once the spell's duration expires, the animal acts in accordance with its attitude. Most animals will likely wander off, but a hostile predatory animal may attack, especially if it is hungry or provoked.&lt;/p&gt;&lt;p&gt;Domesticated animals or animals trained by someone else, including such creatures as familiars or animal companions, are unaffected by &lt;i&gt;call animals&lt;/i&gt;.&lt;/p&gt;</t>
  </si>
  <si>
    <t>&lt;link rel="stylesheet"href="PF.css"&gt;&lt;div class="heading"&gt;&lt;p class="alignleft"&gt;Call Animal&lt;/p&gt;&lt;div style="clear: both;"&gt;&lt;/div&gt;&lt;/div&gt;&lt;div&gt;&lt;h5&gt;&lt;b&gt;School &lt;/b&gt;enchantment (compulsion) [mind-affecting]; &lt;b&gt;Level &lt;/b&gt;druid 1, ranger 1&lt;/h5&gt;&lt;/div&gt;&lt;hr/&gt;&lt;div&gt;&lt;h5&gt;&lt;b&gt;CASTING&lt;/b&gt;&lt;/h5&gt;&lt;/div&gt;&lt;hr/&gt;&lt;div&gt;&lt;h5&gt;&lt;b&gt;Casting Time &lt;/b&gt;1 standard action&lt;/h5&gt;&lt;h5&gt;&lt;b&gt;Components &lt;/b&gt;V, S, DF&lt;/h5&gt;&lt;/div&gt;&lt;hr/&gt;&lt;div&gt;&lt;h5&gt;&lt;b&gt;EFFECT&lt;/b&gt;&lt;/h5&gt;&lt;/div&gt;&lt;hr/&gt;&lt;div&gt;&lt;h5&gt;&lt;b&gt;Range &lt;/b&gt;see description&lt;/h5&gt;&lt;h5&gt;&lt;b&gt;Effect &lt;/b&gt;one animal whose CR is equal or less than your caster level&lt;/h5&gt;&lt;h5&gt;&lt;b&gt;Duration &lt;/b&gt;1 hour/level (D)&lt;/h5&gt;&lt;h5&gt;&lt;b&gt;Saving Throw &lt;/b&gt;none; &lt;b&gt;Spell Resistance &lt;/b&gt;none&lt;/h5&gt;&lt;/div&gt;&lt;hr/&gt;&lt;div&gt;&lt;h5&gt;&lt;b&gt;DESCRIPTION&lt;/b&gt;&lt;/h5&gt;&lt;/div&gt;&lt;hr/&gt;&lt;div&gt;&lt;h4&gt;&lt;p&gt;This spell calls the nearest wild animal of a particular type you designate (provided the animal's CR is equal to or less than your caster level) to seek you out. The animal moves toward you under its own power, so the time it takes to arrivedepends on how close an animal of the desired type is when you cast the spell. If there is no animal of that type capable of reaching you within the spell's duration, you are aware of this fact, but the spell is wasted. Knowledge of the local fauna makes this spell more effective, and the GM may permit a Knowledge (nature) skill check (DC 15) to know what animals can be found in an area.&lt;/p&gt;&lt;p&gt;When the called animal arrives, it approaches to within 5 feet of you and remains nearby for the duration of the spell.&lt;/p&gt;&lt;p&gt;Its starting attitude is indifferent, modified by circumstances and interaction. Other than starting attitude, this spell gives you no special influence or ability to communicate with the called animal, although you may use other spells or abilities to do so.&lt;/p&gt;&lt;p&gt;Once the spell's duration expires, the animal acts in accordance with its attitude. Most animals will likely wander off, but a hostile predatory animal may attack, especially if it is hungry or provoked.&lt;/p&gt;&lt;p&gt;Domesticated animals or animals trained by someone else, including such creatures as familiars or animal companions, are unaffected by &lt;i&gt;call animals&lt;/i&gt;.&lt;/p&gt;&lt;/h4&gt;&lt;h5&gt;&lt;b&gt;Mythic: &lt;/b&gt;You can call up to one animal per 2 caster levels. Animals that answer your call have a starting attitude of friendly. Add your tier to Handle Animal checks attempted to influence these animals. You may use this spell to call magical beasts with Intelligence 1 or 2, but they can attempt Will saving throws (with a +4 bonus) to resist the spell.&lt;/h5&gt;&lt;/div&gt;</t>
  </si>
  <si>
    <t>Makes an animal come to you.</t>
  </si>
  <si>
    <t>You can call up to one animal per 2 caster levels. Animals that answer your call have a starting attitude of friendly. Add your tier to Handle Animal checks attempted to influence these animals. You may use this spell to call magical beasts with Intelligence 1 or 2, but they can attempt Will saving throws (with a +4 bonus) to resist the spell.</t>
  </si>
  <si>
    <t>Campfire Wall</t>
  </si>
  <si>
    <t>fire, light</t>
  </si>
  <si>
    <t>bard 3, druid 2, ranger 2, sorcerer/wizard 3</t>
  </si>
  <si>
    <t>V, S, M/DF (ash made from burnt thorns)</t>
  </si>
  <si>
    <t>20-ft.-radius sphere centered on fire source</t>
  </si>
  <si>
    <t>2 hours/level; see below (D)</t>
  </si>
  <si>
    <t>You can create a barrier around a fire of at least campfire size that shelters everyone inside so long as the fire continues to burn. The barrier appears as a crackling sphere of light and fire that is clearly visible, providing as much illumination as a torch. The barrier bocks line of sight, granting creatures on either side of the barrier total concealment from creatures on the other side. Any object or creature passing through the barrier from outside takes 1d6 points of fire damage and is also outlined with light equivalent to that of a torch, for 1d6 minutes. Creatures outlined in this way are plainly visible regardless of the light conditions and do not benefit from any sort of concealment, magical or otherwise. The light is not bright enough to have any special effect on undead or creatures vulnerable to light. Creatures inside the barrier can leave without penalty, but if they try to return they suffer the same consequences as anyone else. If the fire source at the barrier's center is extinguished or moved, the spell ends.</t>
  </si>
  <si>
    <t>&lt;p&gt;You can create a barrier around a fire of at least campfire size that shelters everyone inside so long as the fire continues to burn. The barrier appears as a crackling sphere of light and fire that is clearly visible, providing as much illumination as a torch.&lt;/p&gt;&lt;p&gt;The barrier bocks line of sight, granting creatures on either side of the barrier total concealment from creatures on the other side. Any object or creature passing through the barrier from outside takes 1d6 points of fire damage and is also outlined with light equivalent to that of a torch, for 1d6 minutes. Creatures outlined in this way are plainly visible regardless of the light conditions and do not benefit from any sort of concealment, magical or otherwise. The light is not bright enough to have any special effect on undead or creatures vulnerable to light.&lt;/p&gt;&lt;p&gt;Creatures inside the barrier can leave without penalty, but if they try to return they suffer the same consequences as anyone else. If the fire source at the barrier's center is extinguished or moved, the spell ends.&lt;/p&gt;</t>
  </si>
  <si>
    <t>&lt;link rel="stylesheet"href="PF.css"&gt;&lt;div class="heading"&gt;&lt;p class="alignleft"&gt;Campfire Wall&lt;/p&gt;&lt;div style="clear: both;"&gt;&lt;/div&gt;&lt;/div&gt;&lt;div&gt;&lt;h5&gt;&lt;b&gt;School &lt;/b&gt;evocation [fire, light]; &lt;b&gt;Level &lt;/b&gt;bard 3, druid 2, ranger 2, sorcerer/wizard 3&lt;/h5&gt;&lt;/div&gt;&lt;hr/&gt;&lt;div&gt;&lt;h5&gt;&lt;b&gt;CASTING&lt;/b&gt;&lt;/h5&gt;&lt;/div&gt;&lt;hr/&gt;&lt;div&gt;&lt;h5&gt;&lt;b&gt;Casting Time &lt;/b&gt;1 standard action&lt;/h5&gt;&lt;h5&gt;&lt;b&gt;Components &lt;/b&gt;V, S, M/DF (ash made from burnt thorns)&lt;/h5&gt;&lt;/div&gt;&lt;hr/&gt;&lt;div&gt;&lt;h5&gt;&lt;b&gt;EFFECT&lt;/b&gt;&lt;/h5&gt;&lt;/div&gt;&lt;hr/&gt;&lt;div&gt;&lt;h5&gt;&lt;b&gt;Range &lt;/b&gt;close (25 ft. + 5 ft./2 levels)&lt;/h5&gt;&lt;h5&gt;&lt;b&gt;Effect &lt;/b&gt;20-ft.-radius sphere centered on fire source&lt;/h5&gt;&lt;h5&gt;&lt;b&gt;Duration &lt;/b&gt;2 hours/level; see below (D)&lt;/h5&gt;&lt;h5&gt;&lt;b&gt;Saving Throw &lt;/b&gt;none; &lt;b&gt;Spell Resistance &lt;/b&gt;yes&lt;/h5&gt;&lt;/div&gt;&lt;hr/&gt;&lt;div&gt;&lt;h5&gt;&lt;b&gt;DESCRIPTION&lt;/b&gt;&lt;/h5&gt;&lt;/div&gt;&lt;hr/&gt;&lt;div&gt;&lt;h4&gt;&lt;p&gt;You can create a barrier around a fire of at least campfire size that shelters everyone inside so long as the fire continues to burn. The barrier appears as a crackling sphere of light and fire that is clearly visible, providing as much illumination as a torch.&lt;/p&gt;&lt;p&gt;The barrier bocks line of sight, granting creatures on either side of the barrier total concealment from creatures on the other side. Any object or creature passing through the barrier from outside takes 1d6 points of fire damage and is also outlined with light equivalent to that of a torch, for 1d6 minutes. Creatures outlined in this way are plainly visible regardless of the light conditions and do not benefit from any sort of concealment, magical or otherwise. The light is not bright enough to have any special effect on undead or creatures vulnerable to light.&lt;/p&gt;&lt;p&gt;Creatures inside the barrier can leave without penalty, but if they try to return they suffer the same consequences as anyone else. If the fire source at the barrier's center is extinguished or moved, the spell ends.&lt;/p&gt;&lt;/h4&gt;&lt;/div&gt;</t>
  </si>
  <si>
    <t>Creates a shelter around a campfire.</t>
  </si>
  <si>
    <t>Cast Out</t>
  </si>
  <si>
    <t>inquisitor 3</t>
  </si>
  <si>
    <t>With a melee touch attack you blast a single creature and disrupt any magic controlling it. The target takes 2d8 points of damage + 1 point per caster level (maximum +15). In addition, you make a dispel check against any magic jar effect (including a ghost's malevolence ability) or enchantment (compulsion) spells on the target creature, starting with the highest level spells and proceeding to lower level spells. Treat this as a targeted dispel magic spell, except cast out can dispel one such spell for every four caster levels you possess. A successful Will save halves the damage and limits the dispelling to a single spell or effect.</t>
  </si>
  <si>
    <t>&lt;p&gt;With a melee touch attack you blast a single creature and disrupt any magic controlling it. The target takes 2d8 points of damage + 1 point per caster level (maximum +15). In addition, you make a dispel check against any &lt;i&gt;magic jar&lt;/i&gt; effect (including a ghost's malevolence ability) or enchantment (compulsion) spells on the target creature, starting with the highest level spells and proceeding to lower level spells. Treat this as a targeted &lt;i&gt;dispel magic&lt;/i&gt; spell, except &lt;i&gt;cast out&lt;/i&gt; can dispel one such spell for every four caster levels you possess. A successful Will save halves the damage and limits the dispelling to a single spell or effect.&lt;/p&gt;</t>
  </si>
  <si>
    <t>&lt;link rel="stylesheet"href="PF.css"&gt;&lt;div class="heading"&gt;&lt;p class="alignleft"&gt;Cast Out&lt;/p&gt;&lt;div style="clear: both;"&gt;&lt;/div&gt;&lt;/div&gt;&lt;div&gt;&lt;h5&gt;&lt;b&gt;School &lt;/b&gt;abjuration; &lt;b&gt;Level &lt;/b&gt;inquisitor 3&lt;/h5&gt;&lt;/div&gt;&lt;hr/&gt;&lt;div&gt;&lt;h5&gt;&lt;b&gt;CASTING&lt;/b&gt;&lt;/h5&gt;&lt;/div&gt;&lt;hr/&gt;&lt;div&gt;&lt;h5&gt;&lt;b&gt;Casting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 touched&lt;/h5&gt;&lt;h5&gt;&lt;b&gt;Duration &lt;/b&gt;instantaneous&lt;/h5&gt;&lt;h5&gt;&lt;b&gt;Saving Throw &lt;/b&gt;Will partial; &lt;b&gt;Spell Resistance &lt;/b&gt;yes&lt;/h5&gt;&lt;/div&gt;&lt;hr/&gt;&lt;div&gt;&lt;h5&gt;&lt;b&gt;DESCRIPTION&lt;/b&gt;&lt;/h5&gt;&lt;/div&gt;&lt;hr/&gt;&lt;div&gt;&lt;h4&gt;&lt;p&gt;With a melee touch attack you blast a single creature and disrupt any magic controlling it. The target takes 2d8 points of damage + 1 point per caster level (maximum +15). In addition, you make a dispel check against any &lt;i&gt;magic jar&lt;/i&gt; effect (including a ghost's malevolence ability) or enchantment (compulsion) spells on the target creature, starting with the highest level spells and proceeding to lower level spells. Treat this as a targeted &lt;i&gt;dispel magic&lt;/i&gt; spell, except &lt;i&gt;cast out&lt;/i&gt; can dispel one such spell for every four caster levels you possess. A successful Will save halves the damage and limits the dispelling to a single spell or effect.&lt;/p&gt;&lt;/h4&gt;&lt;/div&gt;</t>
  </si>
  <si>
    <t>Does 2d8 damage +1/level (max +15) to creature and dispels an effect.</t>
  </si>
  <si>
    <t>Castigate</t>
  </si>
  <si>
    <t>fear, language-dependent, mind-affecting, emotion</t>
  </si>
  <si>
    <t>inquisitor 2</t>
  </si>
  <si>
    <t>You compel the target to beg for forgiveness. On a failed save, the target cowers with fear. On a successful save, it is shaken for 1 round. Each round on its turn, a cowering subject may attempt a new save to end the effect. A creature who worships the same god as you takes a -2 penalty on its saving throw.</t>
  </si>
  <si>
    <t>&lt;p&gt;You compel the target to beg for forgiveness. On a failed save, the target cowers with fear. On a successful save, it is shaken for 1 round. Each round on its turn, a cowering subject may attempt a new save to end the effect. A creature who worships the same god as you takes a -2 penalty on its saving throw.&lt;/p&gt;</t>
  </si>
  <si>
    <t>&lt;link rel="stylesheet"href="PF.css"&gt;&lt;div class="heading"&gt;&lt;p class="alignleft"&gt;Castigate&lt;/p&gt;&lt;div style="clear: both;"&gt;&lt;/div&gt;&lt;/div&gt;&lt;div&gt;&lt;h5&gt;&lt;b&gt;School &lt;/b&gt;enchantment (compulsion) [fear, language-dependent, mind-affecting, emotion]; &lt;b&gt;Level &lt;/b&gt;inquisitor 2&lt;/h5&gt;&lt;/div&gt;&lt;hr/&gt;&lt;div&gt;&lt;h5&gt;&lt;b&gt;CASTING&lt;/b&gt;&lt;/h5&gt;&lt;/div&gt;&lt;hr/&gt;&lt;div&gt;&lt;h5&gt;&lt;b&gt;Casting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levels)&lt;/h5&gt;&lt;h5&gt;&lt;b&gt;Targets &lt;/b&gt;one living creature&lt;/h5&gt;&lt;h5&gt;&lt;b&gt;Duration &lt;/b&gt;1 round/level or 1 round; see text&lt;/h5&gt;&lt;h5&gt;&lt;b&gt;Saving Throw &lt;/b&gt;Will partial; &lt;b&gt;Spell Resistance &lt;/b&gt;yes&lt;/h5&gt;&lt;/div&gt;&lt;hr/&gt;&lt;div&gt;&lt;h5&gt;&lt;b&gt;DESCRIPTION&lt;/b&gt;&lt;/h5&gt;&lt;/div&gt;&lt;hr/&gt;&lt;div&gt;&lt;h4&gt;&lt;p&gt;You compel the target to beg for forgiveness. On a failed save, the target cowers with fear. On a successful save, it is shaken for 1 round. Each round on its turn, a cowering subject may attempt a new save to end the effect. A creature who worships the same god as you takes a -2 penalty on its saving throw.&lt;/p&gt;&lt;/h4&gt;&lt;/div&gt;</t>
  </si>
  <si>
    <t>Causes target to be shaken and cower.</t>
  </si>
  <si>
    <t>Castigate, Mass</t>
  </si>
  <si>
    <t>inquisitor 5</t>
  </si>
  <si>
    <t>This spell functions as castigate, except it affects many creatures.</t>
  </si>
  <si>
    <t>&lt;p&gt;This spell functions as &lt;i&gt;castigate&lt;/i&gt;, except it affects many creatures.&lt;/p&gt;</t>
  </si>
  <si>
    <t>&lt;link rel="stylesheet"href="PF.css"&gt;&lt;div class="heading"&gt;&lt;p class="alignleft"&gt;Castigate, Mass&lt;/p&gt;&lt;div style="clear: both;"&gt;&lt;/div&gt;&lt;/div&gt;&lt;div&gt;&lt;h5&gt;&lt;b&gt;School &lt;/b&gt;enchantment (compulsion) [fear, language-dependent, mind-affecting, emotion]; &lt;b&gt;Level &lt;/b&gt;inquisitor 5&lt;/h5&gt;&lt;/div&gt;&lt;hr/&gt;&lt;div&gt;&lt;h5&gt;&lt;b&gt;CASTING&lt;/b&gt;&lt;/h5&gt;&lt;/div&gt;&lt;hr/&gt;&lt;div&gt;&lt;h5&gt;&lt;b&gt;Casting Time &lt;/b&gt;1 standard action&lt;/h5&gt;&lt;h5&gt;&lt;b&gt;Components &lt;/b&gt;V, S, DF&lt;/h5&gt;&lt;/div&gt;&lt;hr/&gt;&lt;div&gt;&lt;h5&gt;&lt;b&gt;EFFECT&lt;/b&gt;&lt;/h5&gt;&lt;/div&gt;&lt;hr/&gt;&lt;div&gt;&lt;h5&gt;&lt;b&gt;Range &lt;/b&gt;medium (100 ft. + 10 ft./level)&lt;/h5&gt;&lt;h5&gt;&lt;b&gt;Targets &lt;/b&gt;one creature/level, no two of which can be more than 30 ft. apart&lt;/h5&gt;&lt;h5&gt;&lt;b&gt;Duration &lt;/b&gt;1 round/level or 1 round; see text&lt;/h5&gt;&lt;h5&gt;&lt;b&gt;Saving Throw &lt;/b&gt;Will partial; &lt;b&gt;Spell Resistance &lt;/b&gt;yes&lt;/h5&gt;&lt;/div&gt;&lt;hr/&gt;&lt;div&gt;&lt;h5&gt;&lt;b&gt;DESCRIPTION&lt;/b&gt;&lt;/h5&gt;&lt;/div&gt;&lt;hr/&gt;&lt;div&gt;&lt;h4&gt;&lt;p&gt;This spell functions as &lt;i&gt;castigate&lt;/i&gt;, except it affects many creatures.&lt;/p&gt;&lt;/h4&gt;&lt;/div&gt;</t>
  </si>
  <si>
    <t>As castigate, but affects multiple creatures.</t>
  </si>
  <si>
    <t>Challenge Evil</t>
  </si>
  <si>
    <t>V, DF</t>
  </si>
  <si>
    <t>one evil creature</t>
  </si>
  <si>
    <t>1 minute/level (D)</t>
  </si>
  <si>
    <t>You challenge an evil creature to bring the fight to you, or suffer the consequences. You gain a +2 sacred bonus on all melee attacks against the subject of the spell. At the end of its turn, if the target has not made at least one attack on you, it becomes sickened. If you move away from the target, the spell ends.</t>
  </si>
  <si>
    <t>&lt;p&gt;You challenge an evil creature to bring the fight to you, or suffer the consequences. You gain a +2 sacred bonus on all melee attacks against the subject of the spell. At the end of its turn, if the target has not made at least one attack on you, it becomes sickened. If you move away from the target, the spell ends.&lt;/p&gt;</t>
  </si>
  <si>
    <t>&lt;link rel="stylesheet"href="PF.css"&gt;&lt;div class="heading"&gt;&lt;p class="alignleft"&gt;Challenge Evil&lt;/p&gt;&lt;div style="clear: both;"&gt;&lt;/div&gt;&lt;/div&gt;&lt;div&gt;&lt;h5&gt;&lt;b&gt;School &lt;/b&gt;enchantment (compulsion) [mind-affecting]; &lt;b&gt;Level &lt;/b&gt;paladin 1&lt;/h5&gt;&lt;/div&gt;&lt;hr/&gt;&lt;div&gt;&lt;h5&gt;&lt;b&gt;CASTING&lt;/b&gt;&lt;/h5&gt;&lt;/div&gt;&lt;hr/&gt;&lt;div&gt;&lt;h5&gt;&lt;b&gt;Casting Time &lt;/b&gt;1 standard action&lt;/h5&gt;&lt;h5&gt;&lt;b&gt;Components &lt;/b&gt;V, DF&lt;/h5&gt;&lt;/div&gt;&lt;hr/&gt;&lt;div&gt;&lt;h5&gt;&lt;b&gt;EFFECT&lt;/b&gt;&lt;/h5&gt;&lt;/div&gt;&lt;hr/&gt;&lt;div&gt;&lt;h5&gt;&lt;b&gt;Range &lt;/b&gt;close (25 ft. + 5 ft./2 levels)&lt;/h5&gt;&lt;h5&gt;&lt;b&gt;Targets &lt;/b&gt;one evil creature&lt;/h5&gt;&lt;h5&gt;&lt;b&gt;Duration &lt;/b&gt;1 minute/level (D)&lt;/h5&gt;&lt;h5&gt;&lt;b&gt;Saving Throw &lt;/b&gt;Will negates; &lt;b&gt;Spell Resistance &lt;/b&gt;yes&lt;/h5&gt;&lt;/div&gt;&lt;hr/&gt;&lt;div&gt;&lt;h5&gt;&lt;b&gt;DESCRIPTION&lt;/b&gt;&lt;/h5&gt;&lt;/div&gt;&lt;hr/&gt;&lt;div&gt;&lt;h4&gt;&lt;p&gt;You challenge an evil creature to bring the fight to you, or suffer the consequences. You gain a +2 sacred bonus on all melee attacks against the subject of the spell. At the end of its turn, if the target has not made at least one attack on you, it becomes sickened. If you move away from the target, the spell ends.&lt;/p&gt;&lt;/h4&gt;&lt;/div&gt;</t>
  </si>
  <si>
    <t>Sickens creature if it refuses to fight you.</t>
  </si>
  <si>
    <t>Chameleon Stride</t>
  </si>
  <si>
    <t>You fade into the background, and while you are not truly invisible, you are hard to pinpoint due to your translucent state. While under the effects of this spell, you gain a +4 bonus on Stealth checks and have concealment from creatures more than 5 feet away (attacks have a 20% miss chance).</t>
  </si>
  <si>
    <t>&lt;p&gt;You fade into the background, and while you are not truly invisible, you are hard to pinpoint due to your translucent state.&lt;/p&gt;&lt;p&gt;While under the effects of this spell, you gain a +4 bonus on Stealth checks and have concealment from creatures more than 5 feet away (attacks have a 20% miss chance).&lt;/p&gt;</t>
  </si>
  <si>
    <t>&lt;link rel="stylesheet"href="PF.css"&gt;&lt;div class="heading"&gt;&lt;p class="alignleft"&gt;Chameleon Stride&lt;/p&gt;&lt;div style="clear: both;"&gt;&lt;/div&gt;&lt;/div&gt;&lt;div&gt;&lt;h5&gt;&lt;b&gt;School &lt;/b&gt;illusion (glamer); &lt;b&gt;Level &lt;/b&gt;ranger 2&lt;/h5&gt;&lt;/div&gt;&lt;hr/&gt;&lt;div&gt;&lt;h5&gt;&lt;b&gt;CASTING&lt;/b&gt;&lt;/h5&gt;&lt;/div&gt;&lt;hr/&gt;&lt;div&gt;&lt;h5&gt;&lt;b&gt;Casting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&lt;/b&gt;you&lt;/h5&gt;&lt;h5&gt;&lt;b&gt;Duration &lt;/b&gt;1 minute/level&lt;/h5&gt;&lt;/div&gt;&lt;hr/&gt;&lt;div&gt;&lt;h5&gt;&lt;b&gt;DESCRIPTION&lt;/b&gt;&lt;/h5&gt;&lt;/div&gt;&lt;hr/&gt;&lt;div&gt;&lt;h4&gt;&lt;p&gt;You fade into the background, and while you are not truly invisible, you are hard to pinpoint due to your translucent state.&lt;/p&gt;&lt;p&gt;While under the effects of this spell, you gain a +4 bonus on Stealth checks and have concealment from creatures more than 5 feet away (attacks have a 20% miss chance).&lt;/p&gt;&lt;/h4&gt;&lt;/div&gt;</t>
  </si>
  <si>
    <t>Gives a +4 bonus on Stealth checks and concealment.</t>
  </si>
  <si>
    <t>Clashing Rocks</t>
  </si>
  <si>
    <t>Reflex partial, see text</t>
  </si>
  <si>
    <t>You create two Colossal-sized masses of rock, dirt, and stone and slam them together against a single creature between them. The clashing rocks appear up to 30 feet away from the target on opposite sides and rush toward it with a mighty grinding crash. You must make a ranged touch attack to hit the target with the rocks. The clashing rocks ignore concealment and cover, and if there is a solid barrier between the target and either of the clashing rocks, the spell has a +28 bonus on the Strength check to burst through the barrier and continue unimpeded to the target. A creature struck by the clashing rocks takes 20d6 points of bludgeoning damage and is knocked prone. If the target fails a Reflex saving throw, it is also buried under the resulting rubble as if by a cave-in (see Pathfinder RPG Core Rulebook 415). If the clashing rocks miss the target, the target still takes 10d6 points of bludgeoning damage from falling rocks and is knocked prone. A successful Reflex save reduces this damage to half and the target remains standing. Creatures other than the target that occupy the spaces where the clashing rocks appear or within their path (30 feet wide, 30 feet high, and up to 60 feet long) must also make Reflex saves or take 10d6 points of bludgeoning damage and be knocked prone (save for half and remain standing). A creature can only take damage once from the clashing rocks, no matter how many times the clashing rocks pass over a target creature.</t>
  </si>
  <si>
    <t>&lt;p&gt;You create two Colossal-sized masses of rock, dirt, and stone and slam them together against a single creature between them. The &lt;i&gt;clashing rocks&lt;/i&gt; appear up to 30 feet away from the target on opposite sides and rush toward it with a mighty grinding crash. You must make a ranged touch attack to hit the target with the rocks. The &lt;i&gt;clashing rocks&lt;/i&gt; ignore concealment and cover, and if there is a solid barrier between the target and either of the &lt;i&gt;clashing rocks&lt;/i&gt;, the spell has a +28 bonus on the Strength check to burst through the barrier and continue unimpeded to the target. A creature struck by the &lt;i&gt;clashing rocks&lt;/i&gt; takes 20d6 points of bludgeoning damage and is knocked prone. If the target fails a Reflex saving throw, it is also buried under the resulting rubble as if by a cave-in (see &lt;i&gt;Pathfinder RPG Core Rulebook&lt;/i&gt; 415).&lt;/p&gt;&lt;p&gt;If the &lt;i&gt;clashing rocks&lt;/i&gt; miss the target, the target still takes 10d6 points of bludgeoning damage from falling rocks and is knocked prone. A successful Reflex save reduces this damage to half and the target remains standing. Creatures other than the target that occupy the spaces where the &lt;i&gt;clashing rocks&lt;/i&gt; appear or within their path (30 feet wide, 30 feet high, and up to 60 feet long) must also make Reflex saves or take 10d6 points of bludgeoning damage and be knocked prone (save for half and remain standing). A creature can only take damage once from the &lt;i&gt;clashing rocks&lt;/i&gt;, no matter how many times the &lt;i&gt;clashing rocks&lt;/i&gt; pass over a target creature.&lt;/p&gt;</t>
  </si>
  <si>
    <t>&lt;link rel="stylesheet"href="PF.css"&gt;&lt;div class="heading"&gt;&lt;p class="alignleft"&gt;Clashing Rocks&lt;/p&gt;&lt;div style="clear: both;"&gt;&lt;/div&gt;&lt;/div&gt;&lt;div&gt;&lt;h5&gt;&lt;b&gt;School &lt;/b&gt;conjuration (creation) [earth]; &lt;b&gt;Level &lt;/b&gt;druid 9, sorcerer/wizard 9&lt;/h5&gt;&lt;/div&gt;&lt;hr/&gt;&lt;div&gt;&lt;h5&gt;&lt;b&gt;CASTING&lt;/b&gt;&lt;/h5&gt;&lt;/div&gt;&lt;hr/&gt;&lt;div&gt;&lt;h5&gt;&lt;b&gt;Casting Time &lt;/b&gt;1 standard action&lt;/h5&gt;&lt;h5&gt;&lt;b&gt;Components &lt;/b&gt;V, S&lt;/h5&gt;&lt;/div&gt;&lt;hr/&gt;&lt;div&gt;&lt;h5&gt;&lt;b&gt;EFFECT&lt;/b&gt;&lt;/h5&gt;&lt;/div&gt;&lt;hr/&gt;&lt;div&gt;&lt;h5&gt;&lt;b&gt;Range &lt;/b&gt;long (400 ft. + 40 ft./level)&lt;/h5&gt;&lt;h5&gt;&lt;b&gt;Effect &lt;/b&gt;see text&lt;/h5&gt;&lt;h5&gt;&lt;b&gt;Duration &lt;/b&gt;instantaneous&lt;/h5&gt;&lt;h5&gt;&lt;b&gt;Saving Throw &lt;/b&gt;Reflex partial, see text; &lt;b&gt;Spell Resistance &lt;/b&gt;no&lt;/h5&gt;&lt;/div&gt;&lt;hr/&gt;&lt;div&gt;&lt;h5&gt;&lt;b&gt;DESCRIPTION&lt;/b&gt;&lt;/h5&gt;&lt;/div&gt;&lt;hr/&gt;&lt;div&gt;&lt;h4&gt;&lt;p&gt;You create two Colossal-sized masses of rock, dirt, and stone and slam them together against a single creature between them. The &lt;i&gt;clashing rocks&lt;/i&gt; appear up to 30 feet away from the target on opposite sides and rush toward it with a mighty grinding crash. You must make a ranged touch attack to hit the target with the rocks. The &lt;i&gt;clashing rocks&lt;/i&gt; ignore concealment and cover, and if there is a solid barrier between the target and either of the &lt;i&gt;clashing rocks&lt;/i&gt;, the spell has a +28 bonus on the Strength check to burst through the barrier and continue unimpeded to the target. A creature struck by the &lt;i&gt;clashing rocks&lt;/i&gt; takes 20d6 points of bludgeoning damage and is knocked prone. If the target fails a Reflex saving throw, it is also buried under the resulting rubble as if by a cave-in (see &lt;i&gt;Pathfinder RPG Core Rulebook&lt;/i&gt; 415).&lt;/p&gt;&lt;p&gt;If the &lt;i&gt;clashing rocks&lt;/i&gt; miss the target, the target still takes 10d6 points of bludgeoning damage from falling rocks and is knocked prone. A successful Reflex save reduces this damage to half and the target remains standing. Creatures other than the target that occupy the spaces where the &lt;i&gt;clashing rocks&lt;/i&gt; appear or within their path (30 feet wide, 30 feet high, and up to 60 feet long) must also make Reflex saves or take 10d6 points of bludgeoning damage and be knocked prone (save for half and remain standing). A creature can only take damage once from the &lt;i&gt;clashing rocks&lt;/i&gt;, no matter how many times the &lt;i&gt;clashing rocks&lt;/i&gt; pass over a target creature.&lt;/p&gt;&lt;/h4&gt;&lt;/div&gt;</t>
  </si>
  <si>
    <t>20d6 damage to target creature.</t>
  </si>
  <si>
    <t>Cleanse</t>
  </si>
  <si>
    <t>cleric 5/oracle 5, inquisitor 6</t>
  </si>
  <si>
    <t>Positive energy infuses and cleanses your body. This spell cures 4d8 points of damage + 1 point per caster level (maximum +25) and ends any and all of the following adverse conditions affecting you: ability damage, blinded, confused, dazzled, deafened, diseased, exhausted, fatigued, nauseated, poisoned, and sickened. In addition, cleanse functions as break enchantment upon a single additional effect of your choice that is affecting you and that can be legally affected by this effect. If used by undead or other creatures healed by negative energy, the spell cleanses with negative energy rather than positive.</t>
  </si>
  <si>
    <t>&lt;p&gt;Positive energy infuses and &lt;i&gt;cleanse&lt;/i&gt;s your body. This spell cures 4d8 points of damage + 1 point per caster level (maximum +25) and ends any and all of the following adverse conditions affecting you: ability damage, blinded, confused, dazzled, deafened, diseased, exhausted, fatigued, nauseated, poisoned, and sickened. In addition, &lt;i&gt;cleanse&lt;/i&gt; functions as &lt;i&gt;break enchantment&lt;/i&gt; upon a single additional effect of your choice that is affecting you and that can be legally affected by this effect.&lt;/p&gt;&lt;p&gt;If used by undead or other creatures healed by negative energy, the spell &lt;i&gt;cleanse&lt;/i&gt;s with negative energy rather than positive.&lt;/p&gt;</t>
  </si>
  <si>
    <t>&lt;link rel="stylesheet"href="PF.css"&gt;&lt;div class="heading"&gt;&lt;p class="alignleft"&gt;Cleanse&lt;/p&gt;&lt;div style="clear: both;"&gt;&lt;/div&gt;&lt;/div&gt;&lt;div&gt;&lt;h5&gt;&lt;b&gt;School &lt;/b&gt;evocation; &lt;b&gt;Level &lt;/b&gt;cleric 5/oracle 5, inquisitor 6&lt;/h5&gt;&lt;/div&gt;&lt;hr/&gt;&lt;div&gt;&lt;h5&gt;&lt;b&gt;CASTING&lt;/b&gt;&lt;/h5&gt;&lt;/div&gt;&lt;hr/&gt;&lt;div&gt;&lt;h5&gt;&lt;b&gt;Casting Time &lt;/b&gt;1 standard action&lt;/h5&gt;&lt;h5&gt;&lt;b&gt;Components &lt;/b&gt;S, DF&lt;/h5&gt;&lt;/div&gt;&lt;hr/&gt;&lt;div&gt;&lt;h5&gt;&lt;b&gt;EFFECT&lt;/b&gt;&lt;/h5&gt;&lt;/div&gt;&lt;hr/&gt;&lt;div&gt;&lt;h5&gt;&lt;b&gt;Range &lt;/b&gt;personal&lt;/h5&gt;&lt;h5&gt;&lt;b&gt;Targets &lt;/b&gt;you&lt;/h5&gt;&lt;h5&gt;&lt;b&gt;Duration &lt;/b&gt;instantaneous&lt;/h5&gt;&lt;/div&gt;&lt;hr/&gt;&lt;div&gt;&lt;h5&gt;&lt;b&gt;DESCRIPTION&lt;/b&gt;&lt;/h5&gt;&lt;/div&gt;&lt;hr/&gt;&lt;div&gt;&lt;h4&gt;&lt;p&gt;Positive energy infuses and &lt;i&gt;cleanse&lt;/i&gt;s your body. This spell cures 4d8 points of damage + 1 point per caster level (maximum +25) and ends any and all of the following adverse conditions affecting you: ability damage, blinded, confused, dazzled, deafened, diseased, exhausted, fatigued, nauseated, poisoned, and sickened. In addition, &lt;i&gt;cleanse&lt;/i&gt; functions as &lt;i&gt;break enchantment&lt;/i&gt; upon a single additional effect of your choice that is affecting you and that can be legally affected by this effect.&lt;/p&gt;&lt;p&gt;If used by undead or other creatures healed by negative energy, the spell &lt;i&gt;cleanse&lt;/i&gt;s with negative energy rather than positive.&lt;/p&gt;&lt;/h4&gt;&lt;/div&gt;</t>
  </si>
  <si>
    <t>As heal, but only cures 4d8 damage +1/level (max +25).</t>
  </si>
  <si>
    <t>Cloak of Dreams</t>
  </si>
  <si>
    <t>V, S, M (a rose petal and a drop of perfume)</t>
  </si>
  <si>
    <t>You are surrounded by a soporific aroma that causes living creatures that begin their turn or end their movement within 5 feet of you to fall asleep for 1 minute. Creatures must save each time they begin their turn or end their movement within the cloak of dreams, even if they have previously saved against the effect. Sleeping creatures are helpless but can be awakened with a standard action or after being wounded. Creatures with the scent special quality have a -4 penalty on their saves.</t>
  </si>
  <si>
    <t>&lt;p&gt;You are surrounded by a soporific aroma that causes living creatures that begin their turn or end their movement within 5 feet of you to fall asleep for 1 minute. Creatures must save each time they begin their turn or end their movement within the &lt;i&gt;cloak of dreams&lt;/i&gt;, even if they have previously saved against the effect. Sleeping creatures are helpless but can be awakened with a standard action or after being wounded.&lt;/p&gt;&lt;p&gt;Creatures with the scent special quality have a -4 penalty on their saves.&lt;/p&gt;</t>
  </si>
  <si>
    <t>&lt;link rel="stylesheet"href="PF.css"&gt;&lt;div class="heading"&gt;&lt;p class="alignleft"&gt;Cloak of Dreams&lt;/p&gt;&lt;div style="clear: both;"&gt;&lt;/div&gt;&lt;/div&gt;&lt;div&gt;&lt;h5&gt;&lt;b&gt;School &lt;/b&gt;enchantment (compulsion) [mind-affecting]; &lt;b&gt;Level &lt;/b&gt;bard 5, sorcerer/wizard 6, witch 6&lt;/h5&gt;&lt;/div&gt;&lt;hr/&gt;&lt;div&gt;&lt;h5&gt;&lt;b&gt;CASTING&lt;/b&gt;&lt;/h5&gt;&lt;/div&gt;&lt;hr/&gt;&lt;div&gt;&lt;h5&gt;&lt;b&gt;Casting Time &lt;/b&gt;1 round&lt;/h5&gt;&lt;h5&gt;&lt;b&gt;Components &lt;/b&gt;V, S, M (a rose petal and a drop of perfume)&lt;/h5&gt;&lt;/div&gt;&lt;hr/&gt;&lt;div&gt;&lt;h5&gt;&lt;b&gt;EFFECT&lt;/b&gt;&lt;/h5&gt;&lt;/div&gt;&lt;hr/&gt;&lt;div&gt;&lt;h5&gt;&lt;b&gt;Range &lt;/b&gt;5 ft.&lt;/h5&gt;&lt;h5&gt;&lt;b&gt;Area &lt;/b&gt;5-ft.-radius emanation centered on you&lt;/h5&gt;&lt;h5&gt;&lt;b&gt;Duration &lt;/b&gt;1 round/level (D)&lt;/h5&gt;&lt;h5&gt;&lt;b&gt;Saving Throw &lt;/b&gt;Will negates; &lt;b&gt;Spell Resistance &lt;/b&gt;yes&lt;/h5&gt;&lt;/div&gt;&lt;hr/&gt;&lt;div&gt;&lt;h5&gt;&lt;b&gt;DESCRIPTION&lt;/b&gt;&lt;/h5&gt;&lt;/div&gt;&lt;hr/&gt;&lt;div&gt;&lt;h4&gt;&lt;p&gt;You are surrounded by a soporific aroma that causes living creatures that begin their turn or end their movement within 5 feet of you to fall asleep for 1 minute. Creatures must save each time they begin their turn or end their movement within the &lt;i&gt;cloak of dreams&lt;/i&gt;, even if they have previously saved against the effect. Sleeping creatures are helpless but can be awakened with a standard action or after being wounded.&lt;/p&gt;&lt;p&gt;Creatures with the scent special quality have a -4 penalty on their saves.&lt;/p&gt;&lt;/h4&gt;&lt;/div&gt;</t>
  </si>
  <si>
    <t>Living creatures within 5 ft. fall asleep.</t>
  </si>
  <si>
    <t>Cloak of Shade</t>
  </si>
  <si>
    <t>V, S, M (a leaf from a shade tree)</t>
  </si>
  <si>
    <t>one creature per level</t>
  </si>
  <si>
    <t>(harmless) This spell provides the subject with some degree of protection from the harmful effects of the sun. The cloaked subject treats environmental heat due to sun exposure as one level less: severe heat is considered very hot conditions, while very hot is considered average temperature (see page 444 of the Core Rulebook for heat dangers). The cloak of shade also reduces any penalties from sunlight by 1. The spell does not, however, eliminate the effects of direct sunlight on creatures vulnerable to sunlight. Cloak of shade has no effect on environmental heat from sources other than the sun.</t>
  </si>
  <si>
    <t>&lt;p&gt;(harmless) This spell provides the subject with some degree of protection from the harmful effects of the sun. The cloaked subject treats environmental heat due to sun exposure as one level less: severe heat is considered very hot conditions, while very hot is considered average temperature (see page 444 of the &lt;i&gt;Core Rulebook&lt;/i&gt; for heat dangers). The &lt;i&gt;cloak of shade&lt;/i&gt; also reduces any penalties from sunlight by 1. The spell does not, however, eliminate the effects of direct sunlight on creatures vulnerable to sunlight. &lt;i&gt;Cloak of shade&lt;/i&gt; has no effect on environmental heat from sources other than the sun.&lt;/p&gt;</t>
  </si>
  <si>
    <t>&lt;link rel="stylesheet"href="PF.css"&gt;&lt;div class="heading"&gt;&lt;p class="alignleft"&gt;Cloak of Shade&lt;/p&gt;&lt;div style="clear: both;"&gt;&lt;/div&gt;&lt;/div&gt;&lt;div&gt;&lt;h5&gt;&lt;b&gt;School &lt;/b&gt;abjuration; &lt;b&gt;Level &lt;/b&gt;druid 1, ranger 1&lt;/h5&gt;&lt;/div&gt;&lt;hr/&gt;&lt;div&gt;&lt;h5&gt;&lt;b&gt;CASTING&lt;/b&gt;&lt;/h5&gt;&lt;/div&gt;&lt;hr/&gt;&lt;div&gt;&lt;h5&gt;&lt;b&gt;Casting Time &lt;/b&gt;1 standard action&lt;/h5&gt;&lt;h5&gt;&lt;b&gt;Components &lt;/b&gt;V, S, M (a leaf from a shade tree)&lt;/h5&gt;&lt;/div&gt;&lt;hr/&gt;&lt;div&gt;&lt;h5&gt;&lt;b&gt;EFFECT&lt;/b&gt;&lt;/h5&gt;&lt;/div&gt;&lt;hr/&gt;&lt;div&gt;&lt;h5&gt;&lt;b&gt;Range &lt;/b&gt;touch&lt;/h5&gt;&lt;h5&gt;&lt;b&gt;Targets &lt;/b&gt;one creature per level&lt;/h5&gt;&lt;h5&gt;&lt;b&gt;Duration &lt;/b&gt;1 hour/level (D)&lt;/h5&gt;&lt;h5&gt;&lt;b&gt;Saving Throw &lt;/b&gt;Will negates (harmless); &lt;b&gt;Spell Resistance &lt;/b&gt;yes&lt;/h5&gt;&lt;/div&gt;&lt;hr/&gt;&lt;div&gt;&lt;h5&gt;&lt;b&gt;DESCRIPTION&lt;/b&gt;&lt;/h5&gt;&lt;/div&gt;&lt;hr/&gt;&lt;div&gt;&lt;h4&gt;&lt;p&gt;(harmless) This spell provides the subject with some degree of protection from the harmful effects of the sun. The cloaked subject treats environmental heat due to sun exposure as one level less: severe heat is considered very hot conditions, while very hot is considered average temperature (see page 444 of the &lt;i&gt;Core Rulebook&lt;/i&gt; for heat dangers). The &lt;i&gt;cloak of shade&lt;/i&gt; also reduces any penalties from sunlight by 1. The spell does not, however, eliminate the effects of direct sunlight on creatures vulnerable to sunlight. &lt;i&gt;Cloak of shade&lt;/i&gt; has no effect on environmental heat from sources other than the sun.&lt;/p&gt;&lt;/h4&gt;&lt;/div&gt;</t>
  </si>
  <si>
    <t>Reduces effects of intense sun exposure and environmental heat.</t>
  </si>
  <si>
    <t>Cloak of Winds</t>
  </si>
  <si>
    <t>druid 3, ranger 3, sorcerer/wizard 3, magus 3</t>
  </si>
  <si>
    <t>You shroud a creature in a whirling screen of strong, howling wind. The subject is never checked or blown away by strong winds of windstorm or lesser strength (whether natural or magically created), and ranged attack rolls against the subject take a -4 penalty. Tiny or smaller creatures must succeed at a Fortitude save to successfully touch or attack the subject in melee. Failure knocks the attacker prone and pushes it 5 feet away from the subject per level of the caster. This movement can pass through the squares of other creatures without affecting them and does not provoke attacks of opportunity, but the creature takes 3d6 points of nonlethal damage, plus 1d6 if the creature strikes a solid object that blocks its movement.</t>
  </si>
  <si>
    <t>&lt;p&gt;You shroud a creature in a whirling screen of strong, howling wind. The subject is never checked or blown away by strong winds of windstorm or lesser strength (whether natural or magically created), and ranged attack rolls against the subject take a -4 penalty. Tiny or smaller creatures must succeed at a Fortitude save to successfully touch or attack the subject in melee. Failure knocks the attacker prone and pushes it 5 feet away from the subject per level of the caster. This movement can pass through the squares of other creatures without affecting them and does not provoke attacks of opportunity, but the creature takes 3d6 points of nonlethal damage, plus 1d6 if the creature strikes a solid object that blocks its movement.&lt;/p&gt;</t>
  </si>
  <si>
    <t>&lt;link rel="stylesheet"href="PF.css"&gt;&lt;div class="heading"&gt;&lt;p class="alignleft"&gt;Cloak of Winds&lt;/p&gt;&lt;div style="clear: both;"&gt;&lt;/div&gt;&lt;/div&gt;&lt;div&gt;&lt;h5&gt;&lt;b&gt;School &lt;/b&gt;abjuration [air]; &lt;b&gt;Level &lt;/b&gt;druid 3, ranger 3, sorcerer/wizard 3, magus 3&lt;/h5&gt;&lt;/div&gt;&lt;hr/&gt;&lt;div&gt;&lt;h5&gt;&lt;b&gt;CASTING&lt;/b&gt;&lt;/h5&gt;&lt;/div&gt;&lt;hr/&gt;&lt;div&gt;&lt;h5&gt;&lt;b&gt;Casting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living creature&lt;/h5&gt;&lt;h5&gt;&lt;b&gt;Duration &lt;/b&gt;1 minute/level&lt;/h5&gt;&lt;h5&gt;&lt;b&gt;Saving Throw &lt;/b&gt;Fortitude negates (harmless); &lt;b&gt;Spell Resistance &lt;/b&gt;yes (harmless)&lt;/h5&gt;&lt;/div&gt;&lt;hr/&gt;&lt;div&gt;&lt;h5&gt;&lt;b&gt;DESCRIPTION&lt;/b&gt;&lt;/h5&gt;&lt;/div&gt;&lt;hr/&gt;&lt;div&gt;&lt;h4&gt;&lt;p&gt;You shroud a creature in a whirling screen of strong, howling wind. The subject is never checked or blown away by strong winds of windstorm or lesser strength (whether natural or magically created), and ranged attack rolls against the subject take a -4 penalty. Tiny or smaller creatures must succeed at a Fortitude save to successfully touch or attack the subject in melee. Failure knocks the attacker prone and pushes it 5 feet away from the subject per level of the caster. This movement can pass through the squares of other creatures without affecting them and does not provoke attacks of opportunity, but the creature takes 3d6 points of nonlethal damage, plus 1d6 if the creature strikes a solid object that blocks its movement.&lt;/p&gt;&lt;/h4&gt;&lt;/div&gt;</t>
  </si>
  <si>
    <t>Creates screen of strong wind around you.</t>
  </si>
  <si>
    <t>Confess</t>
  </si>
  <si>
    <t>You ask the target creature a single question. On the subject's next action, it must answer truthfully in the same language as the question or take 1d6 points of damage per two caster levels (maximum 5d6) and be sickened for 2d4 rounds. A successful Will save negates the sickening effect and halves the damage. A creature that is unable to answer still takes damage.</t>
  </si>
  <si>
    <t>&lt;p&gt;You ask the target creature a single question. On the subject's next action, it must answer truthfully in the same language as the question or take 1d6 points of damage per two caster levels (maximum 5d6) and be sickened for 2d4 rounds. A successful Will save negates the sickening effect and halves the damage. A creature that is unable to answer still takes damage.&lt;/p&gt;</t>
  </si>
  <si>
    <t>&lt;link rel="stylesheet"href="PF.css"&gt;&lt;div class="heading"&gt;&lt;p class="alignleft"&gt;Confess&lt;/p&gt;&lt;div style="clear: both;"&gt;&lt;/div&gt;&lt;/div&gt;&lt;div&gt;&lt;h5&gt;&lt;b&gt;School &lt;/b&gt;enchantment (compulsion) [language-dependent, mind-affecting]; &lt;b&gt;Level &lt;/b&gt;inquisitor 2&lt;/h5&gt;&lt;/div&gt;&lt;hr/&gt;&lt;div&gt;&lt;h5&gt;&lt;b&gt;CASTING&lt;/b&gt;&lt;/h5&gt;&lt;/div&gt;&lt;hr/&gt;&lt;div&gt;&lt;h5&gt;&lt;b&gt;Casting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levels)&lt;/h5&gt;&lt;h5&gt;&lt;b&gt;Targets &lt;/b&gt;one creature&lt;/h5&gt;&lt;h5&gt;&lt;b&gt;Duration &lt;/b&gt;1 round&lt;/h5&gt;&lt;h5&gt;&lt;b&gt;Saving Throw &lt;/b&gt;Will partial; see text; &lt;b&gt;Spell Resistance &lt;/b&gt;yes&lt;/h5&gt;&lt;/div&gt;&lt;hr/&gt;&lt;div&gt;&lt;h5&gt;&lt;b&gt;DESCRIPTION&lt;/b&gt;&lt;/h5&gt;&lt;/div&gt;&lt;hr/&gt;&lt;div&gt;&lt;h4&gt;&lt;p&gt;You ask the target creature a single question. On the subject's next action, it must answer truthfully in the same language as the question or take 1d6 points of damage per two caster levels (maximum 5d6) and be sickened for 2d4 rounds. A successful Will save negates the sickening effect and halves the damage. A creature that is unable to answer still takes damage.&lt;/p&gt;&lt;/h4&gt;&lt;/div&gt;</t>
  </si>
  <si>
    <t>Creature answers question truthfully or takes 1d6 damage/two levels (max 5d6).</t>
  </si>
  <si>
    <t>Contagious Flame</t>
  </si>
  <si>
    <t>three or more rays</t>
  </si>
  <si>
    <t>You blast several enemies with beams of fire. You may fire three rays, plus one additional ray for every four levels beyond 11th (to a maximum of five rays at 19th level). Each ray requires a ranged touch attack to hit and deals 4d6 points of fire damage. The rays may be fired at the same or different targets, but all rays must be aimed at targets within 30 feet of each other and fired simultaneously. Every round on your turn, a new ray of fire launches from each creature who took damage from the spell in the previous round-these new rays attack as if you fired them, but their point of origin is the previous creature damaged. You can choose the new targets as a free action, all of whom must be within close range (25 ft. + 5 ft./2 levels) of their new starting point. This contagion of flame continues for a total of three rounds-a creature can be struck more than once by this spell over the course of these three rounds, although never by a ray of fire that launches from itself.</t>
  </si>
  <si>
    <t>&lt;p&gt;You blast several enemies with beams of fire. You may fire three rays, plus one additional ray for every four levels beyond 11th (to a maximum of five rays at 19th level). Each ray requires a ranged touch attack to hit and deals 4d6 points of fire damage.&lt;/p&gt;&lt;p&gt;The rays may be fired at the same or different targets, but all rays must be aimed at targets within 30 feet of each other and fired simultaneously.&lt;/p&gt;&lt;p&gt;Every round on your turn, a new ray of fire launches from each creature who took damage from the spell in the previous round-these new rays attack as if you fired them, but their point of origin is the previous creature damaged. You can choose the new targets as a free action, all of whom must be within close range (25 ft. + 5 ft./2 levels) of their new starting point. This contagion of flame continues for a total of three rounds-a creature can be struck more than once by this spell over the course of these three rounds, although never by a ray of fire that launches from itself.&lt;/p&gt;</t>
  </si>
  <si>
    <t>&lt;link rel="stylesheet"href="PF.css"&gt;&lt;div class="heading"&gt;&lt;p class="alignleft"&gt;Contagious Flame&lt;/p&gt;&lt;div style="clear: both;"&gt;&lt;/div&gt;&lt;/div&gt;&lt;div&gt;&lt;h5&gt;&lt;b&gt;School &lt;/b&gt;evocation [fire]; &lt;b&gt;Level &lt;/b&gt;sorcerer/wizard 6, magus 6&lt;/h5&gt;&lt;/div&gt;&lt;hr/&gt;&lt;div&gt;&lt;h5&gt;&lt;b&gt;CASTING&lt;/b&gt;&lt;/h5&gt;&lt;/div&gt;&lt;hr/&gt;&lt;div&gt;&lt;h5&gt;&lt;b&gt;Casting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&lt;/b&gt;three or more rays&lt;/h5&gt;&lt;h5&gt;&lt;b&gt;Duration &lt;/b&gt;3 rounds&lt;/h5&gt;&lt;h5&gt;&lt;b&gt;Saving Throw &lt;/b&gt;none; &lt;b&gt;Spell Resistance &lt;/b&gt;yes&lt;/h5&gt;&lt;/div&gt;&lt;hr/&gt;&lt;div&gt;&lt;h5&gt;&lt;b&gt;DESCRIPTION&lt;/b&gt;&lt;/h5&gt;&lt;/div&gt;&lt;hr/&gt;&lt;div&gt;&lt;h4&gt;&lt;p&gt;You blast several enemies with beams of fire. You may fire three rays, plus one additional ray for every four levels beyond 11th (to a maximum of five rays at 19th level). Each ray requires a ranged touch attack to hit and deals 4d6 points of fire damage.&lt;/p&gt;&lt;p&gt;The rays may be fired at the same or different targets, but all rays must be aimed at targets within 30 feet of each other and fired simultaneously.&lt;/p&gt;&lt;p&gt;Every round on your turn, a new ray of fire launches from each creature who took damage from the spell in the previous round-these new rays attack as if you fired them, but their point of origin is the previous creature damaged. You can choose the new targets as a free action, all of whom must be within close range (25 ft. + 5 ft./2 levels) of their new starting point. This contagion of flame continues for a total of three rounds-a creature can be struck more than once by this spell over the course of these three rounds, although never by a ray of fire that launches from itself.&lt;/p&gt;&lt;/h4&gt;&lt;/div&gt;</t>
  </si>
  <si>
    <t>Rays do 4d6 fire damage, then move on to new targets.</t>
  </si>
  <si>
    <t>Coordinated Effort</t>
  </si>
  <si>
    <t>bard 3, inquisitor 3</t>
  </si>
  <si>
    <t>you plus one willing creature per 3 levels, no two of which can be more than 30 ft. part</t>
  </si>
  <si>
    <t>Choose a single teamwork feat that you possess. You forge a link with your allies, allowing them to gain the benefits of the chosen feat even if they do not have it themselves. You must be a part of the group qualifying for a given bonus for your allies to gain the benefits. For example, two of your allies flanking an orc would gain no benefit from your Outflank feat, but an ally flanking the orc with you would. Your allies' positioning and actions must still meet the prerequisites listed in the teamwork feat for either of you to receive the listed bonus.</t>
  </si>
  <si>
    <t>&lt;p&gt;Choose a single teamwork feat that you possess. You forge a link with your allies, allowing them to gain the benefits of the chosen feat even if they do not have it themselves. You must be a part of the group qualifying for a given bonus for your allies to gain the benefits. For example, two of your allies flanking an orc would gain no benefit from your Outflank feat, but an ally flanking the orc with you would. Your allies' positioning and actions must still meet the prerequisites listed in the teamwork feat for either of you to receive the listed bonus.&lt;/p&gt;</t>
  </si>
  <si>
    <t>&lt;link rel="stylesheet"href="PF.css"&gt;&lt;div class="heading"&gt;&lt;p class="alignleft"&gt;Coordinated Effort&lt;/p&gt;&lt;div style="clear: both;"&gt;&lt;/div&gt;&lt;/div&gt;&lt;div&gt;&lt;h5&gt;&lt;b&gt;School &lt;/b&gt;divination; &lt;b&gt;Level &lt;/b&gt;bard 3, inquisitor 3&lt;/h5&gt;&lt;/div&gt;&lt;hr/&gt;&lt;div&gt;&lt;h5&gt;&lt;b&gt;CASTING&lt;/b&gt;&lt;/h5&gt;&lt;/div&gt;&lt;hr/&gt;&lt;div&gt;&lt;h5&gt;&lt;b&gt;Casting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&lt;/b&gt;you plus one willing creature per 3 levels, no two of which can be more than 30 ft. part&lt;/h5&gt;&lt;h5&gt;&lt;b&gt;Duration &lt;/b&gt;1 minute/level&lt;/h5&gt;&lt;h5&gt;&lt;b&gt;Saving Throw &lt;/b&gt;none; &lt;b&gt;Spell Resistance &lt;/b&gt;no&lt;/h5&gt;&lt;/div&gt;&lt;hr/&gt;&lt;div&gt;&lt;h5&gt;&lt;b&gt;DESCRIPTION&lt;/b&gt;&lt;/h5&gt;&lt;/div&gt;&lt;hr/&gt;&lt;div&gt;&lt;h4&gt;&lt;p&gt;Choose a single teamwork feat that you possess. You forge a link with your allies, allowing them to gain the benefits of the chosen feat even if they do not have it themselves. You must be a part of the group qualifying for a given bonus for your allies to gain the benefits. For example, two of your allies flanking an orc would gain no benefit from your Outflank feat, but an ally flanking the orc with you would. Your allies' positioning and actions must still meet the prerequisites listed in the teamwork feat for either of you to receive the listed bonus.&lt;/p&gt;&lt;/h4&gt;&lt;/div&gt;</t>
  </si>
  <si>
    <t>Grants allies a teamwork feat.</t>
  </si>
  <si>
    <t>Corruption Resistance</t>
  </si>
  <si>
    <t>chaotic, evil, good, or lawful</t>
  </si>
  <si>
    <t>antipaladin 2, inquisitor 2, paladin 2</t>
  </si>
  <si>
    <t>You grant the touched creature limited protection from magical effects that inflict damage based on the target creature's alignment, such as holy smite, order's wrath, a paladin's smite evil attack, or an unholy weapon. Choose one alignment type: chaos, evil, good, or law. The subject takes 5 less points of damage from effects that specifically harm creatures of that alignment. The value of the protection increases to 10 points at 7th level and 15 points at 11th level. The spell protects the recipient's equipment as well. Corruption resistance protects against spells, spell-like abilities, and special abilities, not physical attacks. Corruption resistance only protects against damage. The subject can still suffer side effects from such attacks. When you use this spell to protect an alignment, it gains the descriptor of that alignment.</t>
  </si>
  <si>
    <t>&lt;p&gt;You grant the touched creature limited protection from magical effects that inflict damage based on the target creature's alignment, such as &lt;i&gt;holy smite&lt;/i&gt;, order's wrath, a paladin's smite evil attack, or an &lt;i&gt;unholy&lt;/i&gt; weapon. Choose one alignment type: chaos, evil, good, or law. The subject takes 5 less points of damage from effects that specifically harm creatures of that alignment. The value of the protection increases to 10 points at 7th level and 15 points at 11th level. The spell protects the recipient's equipment as well.&lt;/p&gt;&lt;p&gt;&lt;i&gt;Corruption resistance&lt;/i&gt; protects against spells, spell-like abilities, and special abilities, not physical attacks. &lt;i&gt;Corruption resistance&lt;/i&gt; only protects against damage. The subject can still suffer side effects from such attacks. When you use this spell to protect an alignment, it gains the descriptor of that alignment.&lt;/p&gt;</t>
  </si>
  <si>
    <t>&lt;link rel="stylesheet"href="PF.css"&gt;&lt;div class="heading"&gt;&lt;p class="alignleft"&gt;Corruption Resistance&lt;/p&gt;&lt;div style="clear: both;"&gt;&lt;/div&gt;&lt;/div&gt;&lt;div&gt;&lt;h5&gt;&lt;b&gt;School &lt;/b&gt;abjuration [chaotic, evil, good, or lawful]; &lt;b&gt;Level &lt;/b&gt;antipaladin 2, inquisitor 2, paladin 2&lt;/h5&gt;&lt;/div&gt;&lt;hr/&gt;&lt;div&gt;&lt;h5&gt;&lt;b&gt;CASTING&lt;/b&gt;&lt;/h5&gt;&lt;/div&gt;&lt;hr/&gt;&lt;div&gt;&lt;h5&gt;&lt;b&gt;Casting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 touched&lt;/h5&gt;&lt;h5&gt;&lt;b&gt;Duration &lt;/b&gt;10 minutes/level&lt;/h5&gt;&lt;h5&gt;&lt;b&gt;Saving Throw &lt;/b&gt;Fortitude negates (harmless); &lt;b&gt;Spell Resistance &lt;/b&gt;yes (harmless)&lt;/h5&gt;&lt;/div&gt;&lt;hr/&gt;&lt;div&gt;&lt;h5&gt;&lt;b&gt;DESCRIPTION&lt;/b&gt;&lt;/h5&gt;&lt;/div&gt;&lt;hr/&gt;&lt;div&gt;&lt;h4&gt;&lt;p&gt;You grant the touched creature limited protection from magical effects that inflict damage based on the target creature's alignment, such as &lt;i&gt;holy smite&lt;/i&gt;, order's wrath, a paladin's smite evil attack, or an &lt;i&gt;unholy&lt;/i&gt; weapon. Choose one alignment type: chaos, evil, good, or law. The subject takes 5 less points of damage from effects that specifically harm creatures of that alignment. The value of the protection increases to 10 points at 7th level and 15 points at 11th level. The spell protects the recipient's equipment as well.&lt;/p&gt;&lt;p&gt;&lt;i&gt;Corruption resistance&lt;/i&gt; protects against spells, spell-like abilities, and special abilities, not physical attacks. &lt;i&gt;Corruption resistance&lt;/i&gt; only protects against damage. The subject can still suffer side effects from such attacks. When you use this spell to protect an alignment, it gains the descriptor of that alignment.&lt;/p&gt;&lt;/h4&gt;&lt;/div&gt;</t>
  </si>
  <si>
    <t>Protects creature against damage from alignment-based attacks.</t>
  </si>
  <si>
    <t>Coward's Lament</t>
  </si>
  <si>
    <t>You compel an opponent to face you in combat, or suffer for its cowardice. Each round that the target fails to attack you in melee, it receives a cumulative -1 penalty to its Armor Class, attack rolls, and saving throws (maximum penalty -5). Each round at the end of its turn, the target may attempt a Will saving throw to prevent the penalties from increasing for that round. All penalties reset to zero when the target attacks you in melee, but increase again if it stops attacking. If the target is prevented from attacking you by physical restraint, magic, or impassable terrain, the penalties do not increase. If you move away from the target, the spell ends.</t>
  </si>
  <si>
    <t>&lt;p&gt;You compel an opponent to face you in combat, or suffer for its cowardice. Each round that the target fails to attack you in melee, it receives a cumulative -1 penalty to its Armor Class, attack rolls, and saving throws (maximum penalty -5). Each round at the end of its turn, the target may attempt a Will saving throw to prevent the penalties from increasing for that round. All penalties reset to zero when the target attacks you in melee, but increase again if it stops attacking. If the target is prevented from attacking you by physical restraint, magic, or impassable terrain, the penalties do not increase. If you move away from the target, the spell ends.&lt;/p&gt;</t>
  </si>
  <si>
    <t>&lt;link rel="stylesheet"href="PF.css"&gt;&lt;div class="heading"&gt;&lt;p class="alignleft"&gt;Coward's Lament&lt;/p&gt;&lt;div style="clear: both;"&gt;&lt;/div&gt;&lt;/div&gt;&lt;div&gt;&lt;h5&gt;&lt;b&gt;School &lt;/b&gt;enchantment (compulsion) [mind-affecting]; &lt;b&gt;Level &lt;/b&gt;inquisitor 4&lt;/h5&gt;&lt;/div&gt;&lt;hr/&gt;&lt;div&gt;&lt;h5&gt;&lt;b&gt;CASTING&lt;/b&gt;&lt;/h5&gt;&lt;/div&gt;&lt;hr/&gt;&lt;div&gt;&lt;h5&gt;&lt;b&gt;Casting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levels)&lt;/h5&gt;&lt;h5&gt;&lt;b&gt;Targets &lt;/b&gt;one living creature&lt;/h5&gt;&lt;h5&gt;&lt;b&gt;Duration &lt;/b&gt;1 round/level (D)&lt;/h5&gt;&lt;h5&gt;&lt;b&gt;Saving Throw &lt;/b&gt;Will partial; &lt;b&gt;Spell Resistance &lt;/b&gt;yes&lt;/h5&gt;&lt;/div&gt;&lt;hr/&gt;&lt;div&gt;&lt;h5&gt;&lt;b&gt;DESCRIPTION&lt;/b&gt;&lt;/h5&gt;&lt;/div&gt;&lt;hr/&gt;&lt;div&gt;&lt;h4&gt;&lt;p&gt;You compel an opponent to face you in combat, or suffer for its cowardice. Each round that the target fails to attack you in melee, it receives a cumulative -1 penalty to its Armor Class, attack rolls, and saving throws (maximum penalty -5). Each round at the end of its turn, the target may attempt a Will saving throw to prevent the penalties from increasing for that round. All penalties reset to zero when the target attacks you in melee, but increase again if it stops attacking. If the target is prevented from attacking you by physical restraint, magic, or impassable terrain, the penalties do not increase. If you move away from the target, the spell ends.&lt;/p&gt;&lt;/h4&gt;&lt;/div&gt;</t>
  </si>
  <si>
    <t>If subject doesn't attack you it receives a penalty.</t>
  </si>
  <si>
    <t>Crafter's Curse</t>
  </si>
  <si>
    <t>V, S, M (a broken tool)</t>
  </si>
  <si>
    <t>The target of crafter's curse takes a -5 penalty on all Craft skill checks while the spell lasts.</t>
  </si>
  <si>
    <t>&lt;p&gt;The target of crafter's curse takes a -5 penalty on all Craft skill checks while the spell lasts.&lt;/p&gt;</t>
  </si>
  <si>
    <t>&lt;link rel="stylesheet"href="PF.css"&gt;&lt;div class="heading"&gt;&lt;p class="alignleft"&gt;Crafter's Curse&lt;/p&gt;&lt;div style="clear: both;"&gt;&lt;/div&gt;&lt;/div&gt;&lt;div&gt;&lt;h5&gt;&lt;b&gt;School &lt;/b&gt;transmutation [curse]; &lt;b&gt;Level &lt;/b&gt;sorcerer/wizard 1&lt;/h5&gt;&lt;/div&gt;&lt;hr/&gt;&lt;div&gt;&lt;h5&gt;&lt;b&gt;CASTING&lt;/b&gt;&lt;/h5&gt;&lt;/div&gt;&lt;hr/&gt;&lt;div&gt;&lt;h5&gt;&lt;b&gt;Casting Time &lt;/b&gt;1 standard action&lt;/h5&gt;&lt;h5&gt;&lt;b&gt;Components &lt;/b&gt;V, S, M (a broken tool)&lt;/h5&gt;&lt;/div&gt;&lt;hr/&gt;&lt;div&gt;&lt;h5&gt;&lt;b&gt;EFFECT&lt;/b&gt;&lt;/h5&gt;&lt;/div&gt;&lt;hr/&gt;&lt;div&gt;&lt;h5&gt;&lt;b&gt;Range &lt;/b&gt;close (25 ft. + 5 ft./2 levels)&lt;/h5&gt;&lt;h5&gt;&lt;b&gt;Targets &lt;/b&gt;one creature&lt;/h5&gt;&lt;h5&gt;&lt;b&gt;Duration &lt;/b&gt;1 day/level (D)&lt;/h5&gt;&lt;h5&gt;&lt;b&gt;Saving Throw &lt;/b&gt;Will negates; &lt;b&gt;Spell Resistance &lt;/b&gt;yes&lt;/h5&gt;&lt;/div&gt;&lt;hr/&gt;&lt;div&gt;&lt;h5&gt;&lt;b&gt;DESCRIPTION&lt;/b&gt;&lt;/h5&gt;&lt;/div&gt;&lt;hr/&gt;&lt;div&gt;&lt;h4&gt;&lt;p&gt;The target of crafter's curse takes a -5 penalty on all Craft skill checks while the spell lasts.&lt;/p&gt;&lt;/h4&gt;&lt;/div&gt;</t>
  </si>
  <si>
    <t>Subject takes –5 on Craft skill checks.</t>
  </si>
  <si>
    <t>Crafter's Fortune</t>
  </si>
  <si>
    <t>alchemist 1, sorcerer/wizard 1</t>
  </si>
  <si>
    <t>V, S, F (a tool)</t>
  </si>
  <si>
    <t>1 day/level or until discharged (D)</t>
  </si>
  <si>
    <t>The target is struck by inspiration and gains a +5 luck bonus on its next Craft skill check.</t>
  </si>
  <si>
    <t>&lt;p&gt;The target is struck by inspiration and gains a +5 luck bonus on its next Craft skill check.&lt;/p&gt;</t>
  </si>
  <si>
    <t>&lt;link rel="stylesheet"href="PF.css"&gt;&lt;div class="heading"&gt;&lt;p class="alignleft"&gt;Crafter's Fortune&lt;/p&gt;&lt;div style="clear: both;"&gt;&lt;/div&gt;&lt;/div&gt;&lt;div&gt;&lt;h5&gt;&lt;b&gt;School &lt;/b&gt;transmutation; &lt;b&gt;Level &lt;/b&gt;alchemist 1, sorcerer/wizard 1&lt;/h5&gt;&lt;/div&gt;&lt;hr/&gt;&lt;div&gt;&lt;h5&gt;&lt;b&gt;CASTING&lt;/b&gt;&lt;/h5&gt;&lt;/div&gt;&lt;hr/&gt;&lt;div&gt;&lt;h5&gt;&lt;b&gt;Casting Time &lt;/b&gt;1 standard action&lt;/h5&gt;&lt;h5&gt;&lt;b&gt;Components &lt;/b&gt;V, S, F (a tool)&lt;/h5&gt;&lt;/div&gt;&lt;hr/&gt;&lt;div&gt;&lt;h5&gt;&lt;b&gt;EFFECT&lt;/b&gt;&lt;/h5&gt;&lt;/div&gt;&lt;hr/&gt;&lt;div&gt;&lt;h5&gt;&lt;b&gt;Range &lt;/b&gt;close (25 ft. + 5 ft./2 levels)&lt;/h5&gt;&lt;h5&gt;&lt;b&gt;Targets &lt;/b&gt;one creature&lt;/h5&gt;&lt;h5&gt;&lt;b&gt;Duration &lt;/b&gt;1 day/level or until discharged (D)&lt;/h5&gt;&lt;h5&gt;&lt;b&gt;Saving Throw &lt;/b&gt;Will negates (harmless); &lt;b&gt;Spell Resistance &lt;/b&gt;yes (harmless)&lt;/h5&gt;&lt;/div&gt;&lt;hr/&gt;&lt;div&gt;&lt;h5&gt;&lt;b&gt;DESCRIPTION&lt;/b&gt;&lt;/h5&gt;&lt;/div&gt;&lt;hr/&gt;&lt;div&gt;&lt;h4&gt;&lt;p&gt;The target is struck by inspiration and gains a +5 luck bonus on its next Craft skill check.&lt;/p&gt;&lt;/h4&gt;&lt;/div&gt;</t>
  </si>
  <si>
    <t>Subject gains +5 on next Craft check.</t>
  </si>
  <si>
    <t>Create Pit</t>
  </si>
  <si>
    <t>sorcerer/wizard 2, summoner 2</t>
  </si>
  <si>
    <t>V, S, F (miniature shovel costing 10 gp)</t>
  </si>
  <si>
    <t>You create a 10-foot-by-10-foot extradimensional hole with a depth of 10 feet per two caster levels (maximum 30 feet). You must create the pit on a horizontal surface of sufficient size. Since it extends into another dimension, the pit has no weight and does not otherwise displace the original underlying material. You can create the pit in the deck of a ship as easily as in a dungeon floor or the ground of a forest. Any creature standing in the area where you first conjured the pit must make a Reflex saving throw to avoid falling into it. In addition, the edges of the pit are sloped, and any creature ending its turn on a square adjacent to the pit must make a Reflex saving throw with a +2 bonus to avoid falling into it. Creatures subjected to an effect intended to push them into the pit (such as bull rush) do not get a saving throw to avoid falling in if they are affected by the pushing effect. Creatures who fall into the pit take falling damage as normal. The pit's coarse stone walls have a Climb DC of 25. When the duration of the spell ends, creatures within the hole rise up with the bottom of the pit until they are standing on the surface over the course of a single round.</t>
  </si>
  <si>
    <t>&lt;p&gt;You create a 10-foot-by-10-foot extradimensional hole with a depth of 10 feet per two caster levels (maximum 30 feet).&lt;/p&gt;&lt;p&gt;You must create the pit on a horizontal surface of sufficient size. Since it extends into another dimension, the pit has no weight and does not otherwise displace the original underlying material. You can create the pit in the deck of a ship as easily as in a dungeon floor or the ground of a forest.&lt;/p&gt;&lt;p&gt;Any creature standing in the area where you first conjured the pit must make a Reflex saving throw to avoid falling into it.&lt;/p&gt;&lt;p&gt;In addition, the edges of the pit are sloped, and any creature ending its turn on a square adjacent to the pit must make a Reflex saving throw with a +2 bonus to avoid falling into it.&lt;/p&gt;&lt;p&gt;Creatures subjected to an effect intended to push them into the pit (such as bull rush) do not get a saving throw to avoid falling in if they are affected by the pushing effect.&lt;/p&gt;&lt;p&gt;Creatures who fall into the pit take falling damage as normal.&lt;/p&gt;&lt;p&gt;The pit's coarse stone walls have a Climb DC of 25. When the duration of the spell ends, creatures within the hole rise up with the bottom of the pit until they are standing on the surface over the course of a single round.&lt;/p&gt;</t>
  </si>
  <si>
    <t>&lt;link rel="stylesheet"href="PF.css"&gt;&lt;div class="heading"&gt;&lt;p class="alignleft"&gt;Create Pit&lt;/p&gt;&lt;div style="clear: both;"&gt;&lt;/div&gt;&lt;/div&gt;&lt;div&gt;&lt;h5&gt;&lt;b&gt;School &lt;/b&gt;conjuration (creation); &lt;b&gt;Level &lt;/b&gt;sorcerer/wizard 2, summoner 2&lt;/h5&gt;&lt;/div&gt;&lt;hr/&gt;&lt;div&gt;&lt;h5&gt;&lt;b&gt;CASTING&lt;/b&gt;&lt;/h5&gt;&lt;/div&gt;&lt;hr/&gt;&lt;div&gt;&lt;h5&gt;&lt;b&gt;Casting Time &lt;/b&gt;1 standard action&lt;/h5&gt;&lt;h5&gt;&lt;b&gt;Components &lt;/b&gt;V, S, F (miniature shovel costing 10 gp)&lt;/h5&gt;&lt;/div&gt;&lt;hr/&gt;&lt;div&gt;&lt;h5&gt;&lt;b&gt;EFFECT&lt;/b&gt;&lt;/h5&gt;&lt;/div&gt;&lt;hr/&gt;&lt;div&gt;&lt;h5&gt;&lt;b&gt;Range &lt;/b&gt;medium (100 ft. + 10 ft./level)&lt;/h5&gt;&lt;h5&gt;&lt;b&gt;Effect &lt;/b&gt;10-ft.-by-10-ft. hole, 10 ft. deep/2 levels&lt;/h5&gt;&lt;h5&gt;&lt;b&gt;Duration &lt;/b&gt;1 round + 1 round/level&lt;/h5&gt;&lt;h5&gt;&lt;b&gt;Saving Throw &lt;/b&gt;Reflex negates; &lt;b&gt;Spell Resistance &lt;/b&gt;no&lt;/h5&gt;&lt;/div&gt;&lt;hr/&gt;&lt;div&gt;&lt;h5&gt;&lt;b&gt;DESCRIPTION&lt;/b&gt;&lt;/h5&gt;&lt;/div&gt;&lt;hr/&gt;&lt;div&gt;&lt;h4&gt;&lt;p&gt;You create a 10-foot-by-10-foot extradimensional hole with a depth of 10 feet per two caster levels (maximum 30 feet).&lt;/p&gt;&lt;p&gt;You must create the pit on a horizontal surface of sufficient size. Since it extends into another dimension, the pit has no weight and does not otherwise displace the original underlying material. You can create the pit in the deck of a ship as easily as in a dungeon floor or the ground of a forest.&lt;/p&gt;&lt;p&gt;Any creature standing in the area where you first conjured the pit must make a Reflex saving throw to avoid falling into it.&lt;/p&gt;&lt;p&gt;In addition, the edges of the pit are sloped, and any creature ending its turn on a square adjacent to the pit must make a Reflex saving throw with a +2 bonus to avoid falling into it.&lt;/p&gt;&lt;p&gt;Creatures subjected to an effect intended to push them into the pit (such as bull rush) do not get a saving throw to avoid falling in if they are affected by the pushing effect.&lt;/p&gt;&lt;p&gt;Creatures who fall into the pit take falling damage as normal.&lt;/p&gt;&lt;p&gt;The pit's coarse stone walls have a Climb DC of 25. When the duration of the spell ends, creatures within the hole rise up with the bottom of the pit until they are standing on the surface over the course of a single round.&lt;/p&gt;&lt;/h4&gt;&lt;/div&gt;</t>
  </si>
  <si>
    <t>Caves</t>
  </si>
  <si>
    <t>Creates an extradimensional pit.</t>
  </si>
  <si>
    <t>Create Treasure Map</t>
  </si>
  <si>
    <t>bard 2, druid 3, ranger 2, sorcerer/wizard 2</t>
  </si>
  <si>
    <t>V, S, M (powdered metal and rare inks worth 100 gp)</t>
  </si>
  <si>
    <t>You can take a piece from a dead creature's body and use it to create a map that reveals the locations of any valuables that creature knew about while still alive. You must cut this piece off yourself and the creature cannot have died more than 24 hours prior to the casting of this spell. You cannot cast this spell on a creature without a physical body, and the portion you remove must have a fairly level surface such as a piece of hide, carapace, or skin. The map you create is accurate to the best knowledge the creature had at the time of its death. It reveals the location of one source of treasure for every three caster levels you possess. Any inaccuracies or faulty information held by the creature are represented on the map as well. Similarly, the map cannot account for any changes that occur after the creature's death. You must choose the scale of the map when creating it, opting between nearby (e.g., one or two dungeon levels), local (e.g., a valley or community), or broad (e.g., a country or larger). The map reveals the locations of what the creature deemed most valuable within its area. Depending on the creature, the map might reveal a source of tasty food, suitable mates, or even your own treasure vault.</t>
  </si>
  <si>
    <t>&lt;p&gt;You can take a piece from a dead creature's body and use it to create a map that reveals the locations of any valuables that creature knew about while still alive. You must cut this piece off yourself and the creature cannot have died more than 24 hours prior to the casting of this spell. You cannot cast this spell on a creature without a physical body, and the portion you remove must have a fairly level surface such as a piece of hide, carapace, or skin. The map you create is accurate to the best knowledge the creature had at the time of its death. It reveals the location of one source of treasure for every three caster levels you possess.&lt;/p&gt;&lt;p&gt;Any inaccuracies or faulty information held by the creature are represented on the map as well. Similarly, the map cannot account for any changes that occur after the creature's death.&lt;/p&gt;&lt;p&gt;You must choose the scale of the map when creating it, opting between nearby (e.g., one or two dungeon levels), local (e.g., a valley or community), or broad (e.g., a country or larger). The map reveals the locations of what the creature deemed most valuable within its area. Depending on the creature, the map might reveal a source of tasty food, suitable mates, or even your own treasure vault.&lt;/p&gt;</t>
  </si>
  <si>
    <t>&lt;link rel="stylesheet"href="PF.css"&gt;&lt;div class="heading"&gt;&lt;p class="alignleft"&gt;Create Treasure Map&lt;/p&gt;&lt;div style="clear: both;"&gt;&lt;/div&gt;&lt;/div&gt;&lt;div&gt;&lt;h5&gt;&lt;b&gt;School &lt;/b&gt;divination; &lt;b&gt;Level &lt;/b&gt;bard 2, druid 3, ranger 2, sorcerer/wizard 2&lt;/h5&gt;&lt;/div&gt;&lt;hr/&gt;&lt;div&gt;&lt;h5&gt;&lt;b&gt;CASTING&lt;/b&gt;&lt;/h5&gt;&lt;/div&gt;&lt;hr/&gt;&lt;div&gt;&lt;h5&gt;&lt;b&gt;Casting Time &lt;/b&gt;1 hour&lt;/h5&gt;&lt;h5&gt;&lt;b&gt;Components &lt;/b&gt;V, S, M (powdered metal and rare inks worth 100 gp)&lt;/h5&gt;&lt;/div&gt;&lt;hr/&gt;&lt;div&gt;&lt;h5&gt;&lt;b&gt;EFFECT&lt;/b&gt;&lt;/h5&gt;&lt;/div&gt;&lt;hr/&gt;&lt;div&gt;&lt;h5&gt;&lt;b&gt;Range &lt;/b&gt;touch&lt;/h5&gt;&lt;h5&gt;&lt;b&gt;Targets &lt;/b&gt;one dead creature&lt;/h5&gt;&lt;h5&gt;&lt;b&gt;Duration &lt;/b&gt;instantaneous&lt;/h5&gt;&lt;h5&gt;&lt;b&gt;Saving Throw &lt;/b&gt;none; &lt;b&gt;Spell Resistance &lt;/b&gt;no&lt;/h5&gt;&lt;/div&gt;&lt;hr/&gt;&lt;div&gt;&lt;h5&gt;&lt;b&gt;DESCRIPTION&lt;/b&gt;&lt;/h5&gt;&lt;/div&gt;&lt;hr/&gt;&lt;div&gt;&lt;h4&gt;&lt;p&gt;You can take a piece from a dead creature's body and use it to create a map that reveals the locations of any valuables that creature knew about while still alive. You must cut this piece off yourself and the creature cannot have died more than 24 hours prior to the casting of this spell. You cannot cast this spell on a creature without a physical body, and the portion you remove must have a fairly level surface such as a piece of hide, carapace, or skin. The map you create is accurate to the best knowledge the creature had at the time of its death. It reveals the location of one source of treasure for every three caster levels you possess.&lt;/p&gt;&lt;p&gt;Any inaccuracies or faulty information held by the creature are represented on the map as well. Similarly, the map cannot account for any changes that occur after the creature's death.&lt;/p&gt;&lt;p&gt;You must choose the scale of the map when creating it, opting between nearby (e.g., one or two dungeon levels), local (e.g., a valley or community), or broad (e.g., a country or larger). The map reveals the locations of what the creature deemed most valuable within its area. Depending on the creature, the map might reveal a source of tasty food, suitable mates, or even your own treasure vault.&lt;/p&gt;&lt;/h4&gt;&lt;/div&gt;</t>
  </si>
  <si>
    <t>Creates treasure map out of a creature's corpse.</t>
  </si>
  <si>
    <t>Cup Of Dust</t>
  </si>
  <si>
    <t>druid 3, witch 3</t>
  </si>
  <si>
    <t>V, S, M (a pinch of dust)</t>
  </si>
  <si>
    <t>You curse the target with a thirst no drink can quench. On a failed saving throw, the target begins to dehydrate (see page 444 of the Core Rulebook for starvation and thirst). The effects of this spell cannot inflict more nonlethal damage than the target has hit points. No amount of drinking can counter this effect, although the target still experiences the other normal effects of any liquid imbibed (such as poisons or potions). Cup of dust can be removed with a break enchantment, limited wish, miracle, remove curse, or wish spell, but effects suffered as a result of dehydration must be healed by normal means.</t>
  </si>
  <si>
    <t>&lt;p&gt;You curse the target with a thirst no drink can quench. On a failed saving throw, the target begins to dehydrate (see page 444 of the &lt;i&gt;Core Rulebook&lt;/i&gt; for starvation and thirst). The effects of this spell cannot inflict more nonlethal damage than the target has hit points. No amount of drinking can counter this effect, although the target still experiences the other normal effects of any liquid imbibed (such as poisons or potions). &lt;i&gt;Cup of dust&lt;/i&gt; can be removed with a &lt;i&gt;break enchantment&lt;/i&gt;, &lt;i&gt;limited &lt;i&gt;wish&lt;/i&gt;&lt;/i&gt;, &lt;i&gt;miracle&lt;/i&gt;, &lt;i&gt;remove curse&lt;/i&gt;, or &lt;i&gt;wish&lt;/i&gt; spell, but effects suffered as a result of dehydration must be healed by normal means.&lt;/p&gt;</t>
  </si>
  <si>
    <t>&lt;link rel="stylesheet"href="PF.css"&gt;&lt;div class="heading"&gt;&lt;p class="alignleft"&gt;Cup Of Dust&lt;/p&gt;&lt;div style="clear: both;"&gt;&lt;/div&gt;&lt;/div&gt;&lt;div&gt;&lt;h5&gt;&lt;b&gt;School &lt;/b&gt;transmutation; &lt;b&gt;Level &lt;/b&gt;druid 3, witch 3&lt;/h5&gt;&lt;/div&gt;&lt;hr/&gt;&lt;div&gt;&lt;h5&gt;&lt;b&gt;CASTING&lt;/b&gt;&lt;/h5&gt;&lt;/div&gt;&lt;hr/&gt;&lt;div&gt;&lt;h5&gt;&lt;b&gt;Casting Time &lt;/b&gt;1 standard action&lt;/h5&gt;&lt;h5&gt;&lt;b&gt;Components &lt;/b&gt;V, S, M (a pinch of dust)&lt;/h5&gt;&lt;/div&gt;&lt;hr/&gt;&lt;div&gt;&lt;h5&gt;&lt;b&gt;EFFECT&lt;/b&gt;&lt;/h5&gt;&lt;/div&gt;&lt;hr/&gt;&lt;div&gt;&lt;h5&gt;&lt;b&gt;Range &lt;/b&gt;close (25 ft. + 5 ft./2 levels)&lt;/h5&gt;&lt;h5&gt;&lt;b&gt;Targets &lt;/b&gt;one creature&lt;/h5&gt;&lt;h5&gt;&lt;b&gt;Duration &lt;/b&gt;1 day/level (D)&lt;/h5&gt;&lt;h5&gt;&lt;b&gt;Saving Throw &lt;/b&gt;Fortitude negates; &lt;b&gt;Spell Resistance &lt;/b&gt;yes&lt;/h5&gt;&lt;/div&gt;&lt;hr/&gt;&lt;div&gt;&lt;h5&gt;&lt;b&gt;DESCRIPTION&lt;/b&gt;&lt;/h5&gt;&lt;/div&gt;&lt;hr/&gt;&lt;div&gt;&lt;h4&gt;&lt;p&gt;You curse the target with a thirst no drink can quench. On a failed saving throw, the target begins to dehydrate (see page 444 of the &lt;i&gt;Core Rulebook&lt;/i&gt; for starvation and thirst). The effects of this spell cannot inflict more nonlethal damage than the target has hit points. No amount of drinking can counter this effect, although the target still experiences the other normal effects of any liquid imbibed (such as poisons or potions). &lt;i&gt;Cup of dust&lt;/i&gt; can be removed with a &lt;i&gt;break enchantment&lt;/i&gt;, &lt;i&gt;limited &lt;i&gt;wish&lt;/i&gt;&lt;/i&gt;, &lt;i&gt;miracle&lt;/i&gt;, &lt;i&gt;remove curse&lt;/i&gt;, or &lt;i&gt;wish&lt;/i&gt; spell, but effects suffered as a result of dehydration must be healed by normal means.&lt;/p&gt;&lt;/h4&gt;&lt;h5&gt;&lt;b&gt;Mythic: &lt;/b&gt;On a failed save, the target immediately takes 1d6 points of nonlethal damage per tier. Add your tier to the DC of any further Constitution checks the target attempts to resist dehydration as part of this spell's effects. While the curse is in effect, the target gains no benefit from any spell, effect, or item that requires drinking, such as potions and elixirs (though these are still used up when the target drinks them).&lt;/h5&gt;&lt;/div&gt;</t>
  </si>
  <si>
    <t>Causes a creature to become dehydrated.</t>
  </si>
  <si>
    <t>On a failed save, the target immediately takes 1d6 points of nonlethal damage per tier. Add your tier to the DC of any further Constitution checks the target attempts to resist dehydration as part of this spell's effects. While the curse is in effect, the target gains no benefit from any spell, effect, or item that requires drinking, such as potions and elixirs (though these are still used up when the target drinks them).</t>
  </si>
  <si>
    <t>Dancing Lantern</t>
  </si>
  <si>
    <t>bard 1, cleric 1/oracle 1, ranger 1, sorcerer/wizard 1, witch 1</t>
  </si>
  <si>
    <t>V, S, F (a lantern)</t>
  </si>
  <si>
    <t>animates one lantern</t>
  </si>
  <si>
    <t>You can animate a lantern and order it to follow you. The lantern floats at shoulder height and remains within 5 feet of you, no matter how fast you move. The lantern cannot support any additional weight. The lantern illuminates its normal area, even if it does not have any oil in it. For the purposes of spells or effects targeting it the lantern always acts as if in your possession even when not directly on your person. A dancing lantern can be made permanent with a permanency spell (CL 9th, 2,500 gp).</t>
  </si>
  <si>
    <t>&lt;p&gt;You can animate a lantern and order it to follow you. The lantern floats at shoulder height and remains within 5 feet of you, no matter how fast you move. The lantern cannot support any additional weight. The lantern illuminates its normal area, even if it does not have any oil in it. For the purposes of spells or effects targeting it the lantern always acts as if in your possession even when not directly on your person. A &lt;i&gt;dancing lantern&lt;/i&gt; can be made permanent with a &lt;i&gt;permanency&lt;/i&gt; spell (CL 9th, 2,500 gp).&lt;/p&gt;</t>
  </si>
  <si>
    <t>&lt;link rel="stylesheet"href="PF.css"&gt;&lt;div class="heading"&gt;&lt;p class="alignleft"&gt;Dancing Lantern&lt;/p&gt;&lt;div style="clear: both;"&gt;&lt;/div&gt;&lt;/div&gt;&lt;div&gt;&lt;h5&gt;&lt;b&gt;School &lt;/b&gt;transmutation [fire, light]; &lt;b&gt;Level &lt;/b&gt;bard 1, cleric 1/oracle 1, ranger 1, sorcerer/wizard 1, witch 1&lt;/h5&gt;&lt;/div&gt;&lt;hr/&gt;&lt;div&gt;&lt;h5&gt;&lt;b&gt;CASTING&lt;/b&gt;&lt;/h5&gt;&lt;/div&gt;&lt;hr/&gt;&lt;div&gt;&lt;h5&gt;&lt;b&gt;Casting Time &lt;/b&gt;1 standard action&lt;/h5&gt;&lt;h5&gt;&lt;b&gt;Components &lt;/b&gt;V, S, F (a lantern)&lt;/h5&gt;&lt;/div&gt;&lt;hr/&gt;&lt;div&gt;&lt;h5&gt;&lt;b&gt;EFFECT&lt;/b&gt;&lt;/h5&gt;&lt;/div&gt;&lt;hr/&gt;&lt;div&gt;&lt;h5&gt;&lt;b&gt;Range &lt;/b&gt;touch&lt;/h5&gt;&lt;h5&gt;&lt;b&gt;Effect &lt;/b&gt;animates one lantern&lt;/h5&gt;&lt;h5&gt;&lt;b&gt;Duration &lt;/b&gt;1 hour/level (D)&lt;/h5&gt;&lt;h5&gt;&lt;b&gt;Saving Throw &lt;/b&gt;none; &lt;b&gt;Spell Resistance &lt;/b&gt;no&lt;/h5&gt;&lt;/div&gt;&lt;hr/&gt;&lt;div&gt;&lt;h5&gt;&lt;b&gt;DESCRIPTION&lt;/b&gt;&lt;/h5&gt;&lt;/div&gt;&lt;hr/&gt;&lt;div&gt;&lt;h4&gt;&lt;p&gt;You can animate a lantern and order it to follow you. The lantern floats at shoulder height and remains within 5 feet of you, no matter how fast you move. The lantern cannot support any additional weight. The lantern illuminates its normal area, even if it does not have any oil in it. For the purposes of spells or effects targeting it the lantern always acts as if in your possession even when not directly on your person. A &lt;i&gt;dancing lantern&lt;/i&gt; can be made permanent with a &lt;i&gt;permanency&lt;/i&gt; spell (CL 9th, 2,500 gp).&lt;/p&gt;&lt;/h4&gt;&lt;/div&gt;</t>
  </si>
  <si>
    <t>Animates a lantern that follows you.</t>
  </si>
  <si>
    <t>Deadly Finale</t>
  </si>
  <si>
    <t>1 creature/3 levels no two of which can be more than 30 ft. apart</t>
  </si>
  <si>
    <t>You must have a bardic performance in effect to cast this spell. With a flourish, you immediately end your performance, dealing 2d8 points of sonic damage to each target. In addition, each target takes 3d6 points of bleed damage for 1d6 rounds. A save negates the bleed damage but not the sonic damage.</t>
  </si>
  <si>
    <t>&lt;p&gt;You must have a bardic performance in effect to cast this spell.&lt;/p&gt;&lt;p&gt;With a flourish, you immediately end your performance, dealing 2d8 points of sonic damage to each target. In addition, each target takes 3d6 points of bleed damage for 1d6 rounds. A save negates the bleed damage but not the sonic damage.&lt;/p&gt;</t>
  </si>
  <si>
    <t>&lt;link rel="stylesheet"href="PF.css"&gt;&lt;div class="heading"&gt;&lt;p class="alignleft"&gt;Deadly Finale&lt;/p&gt;&lt;div style="clear: both;"&gt;&lt;/div&gt;&lt;/div&gt;&lt;div&gt;&lt;h5&gt;&lt;b&gt;School &lt;/b&gt;evocation [sonic]; &lt;b&gt;Level &lt;/b&gt;bard 6&lt;/h5&gt;&lt;/div&gt;&lt;hr/&gt;&lt;div&gt;&lt;h5&gt;&lt;b&gt;CASTING&lt;/b&gt;&lt;/h5&gt;&lt;/div&gt;&lt;hr/&gt;&lt;div&gt;&lt;h5&gt;&lt;b&gt;Casting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&lt;/b&gt;1 creature/3 levels no two of which can be more than 30 ft. apart&lt;/h5&gt;&lt;h5&gt;&lt;b&gt;Duration &lt;/b&gt;instantaneous&lt;/h5&gt;&lt;h5&gt;&lt;b&gt;Saving Throw &lt;/b&gt;Fortitude partial; &lt;b&gt;Spell Resistance &lt;/b&gt;yes&lt;/h5&gt;&lt;/div&gt;&lt;hr/&gt;&lt;div&gt;&lt;h5&gt;&lt;b&gt;DESCRIPTION&lt;/b&gt;&lt;/h5&gt;&lt;/div&gt;&lt;hr/&gt;&lt;div&gt;&lt;h4&gt;&lt;p&gt;You must have a bardic performance in effect to cast this spell.&lt;/p&gt;&lt;p&gt;With a flourish, you immediately end your performance, dealing 2d8 points of sonic damage to each target. In addition, each target takes 3d6 points of bleed damage for 1d6 rounds. A save negates the bleed damage but not the sonic damage.&lt;/p&gt;&lt;/h4&gt;&lt;/div&gt;</t>
  </si>
  <si>
    <t>Deals 2d8 damage to multiple targets.</t>
  </si>
  <si>
    <t>Deafening Song Bolt</t>
  </si>
  <si>
    <t>up to 3 creatures, no two of which can be more than 30 ft. apart</t>
  </si>
  <si>
    <t>Three notes you sing or perform become tangible bolts of arcane energy that shriek across the battlefield. Each bolt requires a ranged touch attack to hit and deals 3d10 points of sonic damage, deafening the target for 1d6 rounds. The bolts may be fired at the same or different targets, but all must be fired simultaneously.</t>
  </si>
  <si>
    <t>&lt;p&gt;Three notes you sing or perform become tangible bolts of arcane energy that shriek across the battlefield. Each bolt requires a ranged touch attack to hit and deals 3d10 points of sonic damage, deafening the target for 1d6 rounds. The bolts may be fired at the same or different targets, but all must be fired simultaneously.&lt;/p&gt;</t>
  </si>
  <si>
    <t>&lt;link rel="stylesheet"href="PF.css"&gt;&lt;div class="heading"&gt;&lt;p class="alignleft"&gt;Deafening Song Bolt&lt;/p&gt;&lt;div style="clear: both;"&gt;&lt;/div&gt;&lt;/div&gt;&lt;div&gt;&lt;h5&gt;&lt;b&gt;School &lt;/b&gt;evocation [sonic]; &lt;b&gt;Level &lt;/b&gt;bard 5&lt;/h5&gt;&lt;/div&gt;&lt;hr/&gt;&lt;div&gt;&lt;h5&gt;&lt;b&gt;CASTING&lt;/b&gt;&lt;/h5&gt;&lt;/div&gt;&lt;hr/&gt;&lt;div&gt;&lt;h5&gt;&lt;b&gt;Casting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&lt;/b&gt;up to 3 creatures, no two of which can be more than 30 ft. apart&lt;/h5&gt;&lt;h5&gt;&lt;b&gt;Duration &lt;/b&gt;instantaneous&lt;/h5&gt;&lt;h5&gt;&lt;b&gt;Saving Throw &lt;/b&gt;none; &lt;b&gt;Spell Resistance &lt;/b&gt;no&lt;/h5&gt;&lt;/div&gt;&lt;hr/&gt;&lt;div&gt;&lt;h5&gt;&lt;b&gt;DESCRIPTION&lt;/b&gt;&lt;/h5&gt;&lt;/div&gt;&lt;hr/&gt;&lt;div&gt;&lt;h4&gt;&lt;p&gt;Three notes you sing or perform become tangible bolts of arcane energy that shriek across the battlefield. Each bolt requires a ranged touch attack to hit and deals 3d10 points of sonic damage, deafening the target for 1d6 rounds. The bolts may be fired at the same or different targets, but all must be fired simultaneously.&lt;/p&gt;&lt;/h4&gt;&lt;/div&gt;</t>
  </si>
  <si>
    <t>Blast of song deals 3d10 damage and deafens targets.</t>
  </si>
  <si>
    <t>Defile Armor</t>
  </si>
  <si>
    <t>inquisitor 4, antipaladin 3</t>
  </si>
  <si>
    <t>armor touched</t>
  </si>
  <si>
    <t>As sanctify armor, except you gain DR 5/good when using your judgment or smite ability.</t>
  </si>
  <si>
    <t>&lt;p&gt;As &lt;i&gt;sanctify armor&lt;/i&gt;, except you gain DR 5/good when using your judgment or smite ability.&lt;/p&gt;</t>
  </si>
  <si>
    <t>&lt;link rel="stylesheet"href="PF.css"&gt;&lt;div class="heading"&gt;&lt;p class="alignleft"&gt;Defile Armor&lt;/p&gt;&lt;div style="clear: both;"&gt;&lt;/div&gt;&lt;/div&gt;&lt;div&gt;&lt;h5&gt;&lt;b&gt;School &lt;/b&gt;abjuration [evil]; &lt;b&gt;Level &lt;/b&gt;inquisitor 4, antipaladin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&lt;/b&gt;armor touched&lt;/h5&gt;&lt;h5&gt;&lt;b&gt;Duration &lt;/b&gt;1 minute/level&lt;/h5&gt;&lt;h5&gt;&lt;b&gt;Saving Throw &lt;/b&gt;Will negates (harmless, object); &lt;b&gt;Spell Resistance &lt;/b&gt;yes (harmless, object)&lt;/h5&gt;&lt;/div&gt;&lt;hr/&gt;&lt;div&gt;&lt;h5&gt;&lt;b&gt;DESCRIPTION&lt;/b&gt;&lt;/h5&gt;&lt;/div&gt;&lt;hr/&gt;&lt;div&gt;&lt;h4&gt;&lt;p&gt;As &lt;i&gt;sanctify armor&lt;/i&gt;, except you gain DR 5/good when using your judgment or smite ability.&lt;/p&gt;&lt;/h4&gt;&lt;h5&gt;&lt;b&gt;Mythic: &lt;/b&gt;You gain DR 5/good while wearing the target armor. While using your judgment or smite ability, this improves to DR 10/good.&lt;/h5&gt;&lt;h5&gt;&lt;b&gt;Augmented (3rd)&lt;/b&gt;: If you expend two uses of mythic power, while you use your judgment or smite, add half your tier to your AC as a profane bonus.&lt;/h5&gt;&lt;/div&gt;</t>
  </si>
  <si>
    <t>As sanctify armor, but gain DR 5/good when using judgment or smite.</t>
  </si>
  <si>
    <t>You gain DR 5/good while wearing the target armor. While using your judgment or smite ability, this improves to DR 10/good.</t>
  </si>
  <si>
    <t>Augmented (3rd): If you expend two uses of mythic power, while you use your judgment or smite, add half your tier to your AC as a profane bonus.</t>
  </si>
  <si>
    <t>Deflection</t>
  </si>
  <si>
    <t>V, S, M (a piece of rubber dipped in glue)</t>
  </si>
  <si>
    <t>You surround yourself in a whirling barrier of force that sends any attack that misses you hurling back toward its source. This applies to any melee or ranged attack directed against you so long as it uses an attack roll to determine whether or not it strikes you. If an attack misses you, the attacker must make a second attack roll against its own Armor Class, using all of the applicable modifiers of the original attack and if it hits, the attacker takes the attack's damage and suffers all the other consequences of getting struck with that attack. You cannot deflect attacks that miss you for any reason besides a failed attack roll (such as concealment). Similarly, you cannot deflect attacks that actually do strike you but simply fail to do any harm.</t>
  </si>
  <si>
    <t>&lt;p&gt;You surround yourself in a whirling barrier of force that sends any attack that misses you hurling back toward its source.&lt;/p&gt;&lt;p&gt;This applies to any melee or ranged attack directed against you so long as it uses an attack roll to determine whether or not it strikes you. If an attack misses you, the attacker must make a second attack roll against its own Armor Class, using all of the applicable modifiers of the original attack and if it hits, the attacker takes the attack's damage and suffers all the other consequences of getting struck with that attack. You cannot deflect attacks that miss you for any reason besides a failed attack roll (such as concealment). Similarly, you cannot deflect attacks that actually do strike you but simply fail to do any harm.&lt;/p&gt;</t>
  </si>
  <si>
    <t>&lt;link rel="stylesheet"href="PF.css"&gt;&lt;div class="heading"&gt;&lt;p class="alignleft"&gt;Deflection&lt;/p&gt;&lt;div style="clear: both;"&gt;&lt;/div&gt;&lt;/div&gt;&lt;div&gt;&lt;h5&gt;&lt;b&gt;School &lt;/b&gt;abjuration [force]; &lt;b&gt;Level &lt;/b&gt;sorcerer/wizard 7&lt;/h5&gt;&lt;/div&gt;&lt;hr/&gt;&lt;div&gt;&lt;h5&gt;&lt;b&gt;CASTING&lt;/b&gt;&lt;/h5&gt;&lt;/div&gt;&lt;hr/&gt;&lt;div&gt;&lt;h5&gt;&lt;b&gt;Casting Time &lt;/b&gt;1 standard action&lt;/h5&gt;&lt;h5&gt;&lt;b&gt;Components &lt;/b&gt;V, S, M (a piece of rubber dipped in glue)&lt;/h5&gt;&lt;/div&gt;&lt;hr/&gt;&lt;div&gt;&lt;h5&gt;&lt;b&gt;EFFECT&lt;/b&gt;&lt;/h5&gt;&lt;/div&gt;&lt;hr/&gt;&lt;div&gt;&lt;h5&gt;&lt;b&gt;Range &lt;/b&gt;personal&lt;/h5&gt;&lt;h5&gt;&lt;b&gt;Targets &lt;/b&gt;you&lt;/h5&gt;&lt;h5&gt;&lt;b&gt;Duration &lt;/b&gt;1 round/level&lt;/h5&gt;&lt;/div&gt;&lt;hr/&gt;&lt;div&gt;&lt;h5&gt;&lt;b&gt;DESCRIPTION&lt;/b&gt;&lt;/h5&gt;&lt;/div&gt;&lt;hr/&gt;&lt;div&gt;&lt;h4&gt;&lt;p&gt;You surround yourself in a whirling barrier of force that sends any attack that misses you hurling back toward its source.&lt;/p&gt;&lt;p&gt;This applies to any melee or ranged attack directed against you so long as it uses an attack roll to determine whether or not it strikes you. If an attack misses you, the attacker must make a second attack roll against its own Armor Class, using all of the applicable modifiers of the original attack and if it hits, the attacker takes the attack's damage and suffers all the other consequences of getting struck with that attack. You cannot deflect attacks that miss you for any reason besides a failed attack roll (such as concealment). Similarly, you cannot deflect attacks that actually do strike you but simply fail to do any harm.&lt;/p&gt;&lt;/h4&gt;&lt;/div&gt;</t>
  </si>
  <si>
    <t>Attacks that miss are redirected back to the source of the attack.</t>
  </si>
  <si>
    <t>Delayed Consumption</t>
  </si>
  <si>
    <t>alchemist 5</t>
  </si>
  <si>
    <t>When you consume this extract, you quickly consume another extract of your choice-this second extract's effects do not come into effect until a later point. You must consume this second, companion extract on the round following delayed consumption or waste the extract. The companion extract can be no higher than 4th level, and you must pay any costs associated with the companion extract when you consume it. At any point during the duration of this extract, you can cause the companion extract to take effect as an immediate action. You can only have one delayed consumption in effect at one time. If a second is consumed, the first is dispelled without any effect.</t>
  </si>
  <si>
    <t>&lt;p&gt;When you consume this extract, you quickly consume another extract of your choice-this second extract's effects do not come into effect until a later point. You must consume this second, companion extract on the round following &lt;i&gt;delayed consumption&lt;/i&gt; or waste the extract. The companion extract can be no higher than 4th level, and you must pay any costs associated with the companion extract when you consume it.&lt;/p&gt;&lt;p&gt;At any point during the duration of this extract, you can cause the companion extract to take effect as an immediate action. You can only have one &lt;i&gt;delayed consumption&lt;/i&gt; in effect at one time. If a second is consumed, the first is dispelled without any effect.&lt;/p&gt;</t>
  </si>
  <si>
    <t>&lt;link rel="stylesheet"href="PF.css"&gt;&lt;div class="heading"&gt;&lt;p class="alignleft"&gt;Delayed Consumption&lt;/p&gt;&lt;div style="clear: both;"&gt;&lt;/div&gt;&lt;/div&gt;&lt;div&gt;&lt;h5&gt;&lt;b&gt;School &lt;/b&gt;transmutation; &lt;b&gt;Level &lt;/b&gt;alchemist 5&lt;/h5&gt;&lt;/div&gt;&lt;hr/&gt;&lt;div&gt;&lt;h5&gt;&lt;b&gt;CASTING&lt;/b&gt;&lt;/h5&gt;&lt;/div&gt;&lt;hr/&gt;&lt;div&gt;&lt;h5&gt;&lt;b&gt;Casting Time &lt;/b&gt;1 standard action&lt;/h5&gt;&lt;h5&gt;&lt;b&gt;Components &lt;/b&gt;S&lt;/h5&gt;&lt;/div&gt;&lt;hr/&gt;&lt;div&gt;&lt;h5&gt;&lt;b&gt;EFFECT&lt;/b&gt;&lt;/h5&gt;&lt;/div&gt;&lt;hr/&gt;&lt;div&gt;&lt;h5&gt;&lt;b&gt;Range &lt;/b&gt;personal&lt;/h5&gt;&lt;h5&gt;&lt;b&gt;Targets &lt;/b&gt;you&lt;/h5&gt;&lt;h5&gt;&lt;b&gt;Duration &lt;/b&gt;1 day/level (D) or until discharged&lt;/h5&gt;&lt;/div&gt;&lt;hr/&gt;&lt;div&gt;&lt;h5&gt;&lt;b&gt;DESCRIPTION&lt;/b&gt;&lt;/h5&gt;&lt;/div&gt;&lt;hr/&gt;&lt;div&gt;&lt;h4&gt;&lt;p&gt;When you consume this extract, you quickly consume another extract of your choice-this second extract's effects do not come into effect until a later point. You must consume this second, companion extract on the round following &lt;i&gt;delayed consumption&lt;/i&gt; or waste the extract. The companion extract can be no higher than 4th level, and you must pay any costs associated with the companion extract when you consume it.&lt;/p&gt;&lt;p&gt;At any point during the duration of this extract, you can cause the companion extract to take effect as an immediate action. You can only have one &lt;i&gt;delayed consumption&lt;/i&gt; in effect at one time. If a second is consumed, the first is dispelled without any effect.&lt;/p&gt;&lt;/h4&gt;&lt;/div&gt;</t>
  </si>
  <si>
    <t>Extract doesn't come into effect until you want it to.</t>
  </si>
  <si>
    <t>Denounce</t>
  </si>
  <si>
    <t>bard 4, inquisitor 4</t>
  </si>
  <si>
    <t>You speak out against a single creature within line of sight and turn possible allies against it by drawing upon the power of your voice and conviction. Creatures in the area who can see the denounced creature must make a Will saving throw or have their starting attitude toward the denounced creature worsened by two levels (see page 94 of the Core Rulebook). For example, creatures previously indifferent to the subject turn unfriendly. Diplomacy checks made to reverse the effects of denounce are made at a -10 penalty.</t>
  </si>
  <si>
    <t>&lt;p&gt;You speak out against a single creature within line of sight and turn possible allies against it by drawing upon the power of your voice and conviction. Creatures in the area who can see the &lt;i&gt;denounce&lt;/i&gt;d creature must make a Will saving throw or have their starting attitude toward the &lt;i&gt;denounce&lt;/i&gt;d creature worsened by two levels (see page 94 of the &lt;i&gt;Core Rulebook&lt;/i&gt;). For example, creatures previously indifferent to the subject turn unfriendly.&lt;/p&gt;&lt;p&gt;Diplomacy checks made to reverse the effects of &lt;i&gt;denounce&lt;/i&gt; are made at a -10 penalty.&lt;/p&gt;</t>
  </si>
  <si>
    <t>&lt;link rel="stylesheet"href="PF.css"&gt;&lt;div class="heading"&gt;&lt;p class="alignleft"&gt;Denounce&lt;/p&gt;&lt;div style="clear: both;"&gt;&lt;/div&gt;&lt;/div&gt;&lt;div&gt;&lt;h5&gt;&lt;b&gt;School &lt;/b&gt;enchantment (compulsion) [language-dependent, mind-affecting]; &lt;b&gt;Level &lt;/b&gt;bard 4, inquisitor 4&lt;/h5&gt;&lt;/div&gt;&lt;hr/&gt;&lt;div&gt;&lt;h5&gt;&lt;b&gt;CASTING&lt;/b&gt;&lt;/h5&gt;&lt;/div&gt;&lt;hr/&gt;&lt;div&gt;&lt;h5&gt;&lt;b&gt;Casting Time &lt;/b&gt;1 standard action&lt;/h5&gt;&lt;h5&gt;&lt;b&gt;Components &lt;/b&gt;V&lt;/h5&gt;&lt;/div&gt;&lt;hr/&gt;&lt;div&gt;&lt;h5&gt;&lt;b&gt;EFFECT&lt;/b&gt;&lt;/h5&gt;&lt;/div&gt;&lt;hr/&gt;&lt;div&gt;&lt;h5&gt;&lt;b&gt;Range &lt;/b&gt;close (25 ft. + 5 ft./2 levels)&lt;/h5&gt;&lt;h5&gt;&lt;b&gt;Area &lt;/b&gt;30-ft.-radius burst&lt;/h5&gt;&lt;h5&gt;&lt;b&gt;Duration &lt;/b&gt;1 hour/level&lt;/h5&gt;&lt;h5&gt;&lt;b&gt;Saving Throw &lt;/b&gt;Will negates; &lt;b&gt;Spell Resistance &lt;/b&gt;yes&lt;/h5&gt;&lt;/div&gt;&lt;hr/&gt;&lt;div&gt;&lt;h5&gt;&lt;b&gt;DESCRIPTION&lt;/b&gt;&lt;/h5&gt;&lt;/div&gt;&lt;hr/&gt;&lt;div&gt;&lt;h4&gt;&lt;p&gt;You speak out against a single creature within line of sight and turn possible allies against it by drawing upon the power of your voice and conviction. Creatures in the area who can see the &lt;i&gt;denounce&lt;/i&gt;d creature must make a Will saving throw or have their starting attitude toward the &lt;i&gt;denounce&lt;/i&gt;d creature worsened by two levels (see page 94 of the &lt;i&gt;Core Rulebook&lt;/i&gt;). For example, creatures previously indifferent to the subject turn unfriendly.&lt;/p&gt;&lt;p&gt;Diplomacy checks made to reverse the effects of &lt;i&gt;denounce&lt;/i&gt; are made at a -10 penalty.&lt;/p&gt;&lt;/h4&gt;&lt;/div&gt;</t>
  </si>
  <si>
    <t>Worsens attitudes toward target creature.</t>
  </si>
  <si>
    <t>Detect Aberration</t>
  </si>
  <si>
    <t>concentration, up to 10 minutes/level (D)</t>
  </si>
  <si>
    <t>This spell functions like detect animals or plants, except it detects creatures of the aberration type.</t>
  </si>
  <si>
    <t>&lt;p&gt;This spell functions like &lt;i&gt;detect animals or plants&lt;/i&gt;, except it detects creatures of the aberration type.&lt;/p&gt;</t>
  </si>
  <si>
    <t>&lt;link rel="stylesheet"href="PF.css"&gt;&lt;div class="heading"&gt;&lt;p class="alignleft"&gt;Detect Aberration&lt;/p&gt;&lt;div style="clear: both;"&gt;&lt;/div&gt;&lt;/div&gt;&lt;div&gt;&lt;h5&gt;&lt;b&gt;School &lt;/b&gt;divination; &lt;b&gt;Level &lt;/b&gt;druid 1, ranger 1&lt;/h5&gt;&lt;/div&gt;&lt;hr/&gt;&lt;div&gt;&lt;h5&gt;&lt;b&gt;CASTING&lt;/b&gt;&lt;/h5&gt;&lt;/div&gt;&lt;hr/&gt;&lt;div&gt;&lt;h5&gt;&lt;b&gt;Casting Time &lt;/b&gt;1 standard action&lt;/h5&gt;&lt;h5&gt;&lt;b&gt;Components &lt;/b&gt;V, S&lt;/h5&gt;&lt;/div&gt;&lt;hr/&gt;&lt;div&gt;&lt;h5&gt;&lt;b&gt;EFFECT&lt;/b&gt;&lt;/h5&gt;&lt;/div&gt;&lt;hr/&gt;&lt;div&gt;&lt;h5&gt;&lt;b&gt;Range &lt;/b&gt;long (400 ft. + 40 ft./level)&lt;/h5&gt;&lt;h5&gt;&lt;b&gt;Area &lt;/b&gt;cone-shaped emanation&lt;/h5&gt;&lt;h5&gt;&lt;b&gt;Duration &lt;/b&gt;concentration, up to 10 minutes/level (D)&lt;/h5&gt;&lt;h5&gt;&lt;b&gt;Saving Throw &lt;/b&gt;none; &lt;b&gt;Spell Resistance &lt;/b&gt;no&lt;/h5&gt;&lt;/div&gt;&lt;hr/&gt;&lt;div&gt;&lt;h5&gt;&lt;b&gt;DESCRIPTION&lt;/b&gt;&lt;/h5&gt;&lt;/div&gt;&lt;hr/&gt;&lt;div&gt;&lt;h4&gt;&lt;p&gt;This spell functions like &lt;i&gt;detect animals or plants&lt;/i&gt;, except it detects creatures of the aberration type.&lt;/p&gt;&lt;/h4&gt;&lt;/div&gt;</t>
  </si>
  <si>
    <t>Reveals presence of aberrations.</t>
  </si>
  <si>
    <t>Detonate</t>
  </si>
  <si>
    <t>acid, cold, electricity, or fire</t>
  </si>
  <si>
    <t>alchemist 4, sorcerer/wizard 4, magus 4</t>
  </si>
  <si>
    <t>V, S, M (two vials; one containing acid and one containing an alkaline solution worth a total of 50 gp)</t>
  </si>
  <si>
    <t>30-ft.-radius spread centered on you</t>
  </si>
  <si>
    <t>1 round, then instantaneous</t>
  </si>
  <si>
    <t>You flood yourself with a potent surge of elemental energy. One round after completing the casting of the spell, the energy explodes from your body. When this spell creates the explosion of energy, choose one of the following four energy types: acid, cold, electricity, or fire. The explosion inflicts 1d8 points of damage of that energy type per caster level (maximum 10d8) to all creatures and unattended objects within 15 feet, and half that amount to targets past 15 feet but within 30 feet. You automatically take half damage from the explosion, without a saving throw, but any other energy resistance or energy immunity effects you may have in place can prevent or lessen this overflow damage caused by the explosion.</t>
  </si>
  <si>
    <t>&lt;p&gt;You flood yourself with a potent surge of elemental energy.&lt;/p&gt;&lt;p&gt;One round after completing the casting of the spell, the energy explodes from your body.&lt;/p&gt;&lt;p&gt;When this spell creates the explosion of energy, choose one of the following four energy types: acid, cold, electricity, or fire. The explosion inflicts 1d8 points of damage of that energy type per caster level (maximum 10d8) to all creatures and unattended objects within 15 feet, and half that amount to targets past 15 feet but within 30 feet. You automatically take half damage from the explosion, without a saving throw, but any other energy resistance or energy immunity effects you may have in place can prevent or lessen this overflow damage caused by the explosion.&lt;/p&gt;</t>
  </si>
  <si>
    <t>&lt;link rel="stylesheet"href="PF.css"&gt;&lt;div class="heading"&gt;&lt;p class="alignleft"&gt;Detonate&lt;/p&gt;&lt;div style="clear: both;"&gt;&lt;/div&gt;&lt;/div&gt;&lt;div&gt;&lt;h5&gt;&lt;b&gt;School &lt;/b&gt;evocation [acid, cold, electricity, or fire]; &lt;b&gt;Level &lt;/b&gt;alchemist 4, sorcerer/wizard 4, magus 4&lt;/h5&gt;&lt;/div&gt;&lt;hr/&gt;&lt;div&gt;&lt;h5&gt;&lt;b&gt;CASTING&lt;/b&gt;&lt;/h5&gt;&lt;/div&gt;&lt;hr/&gt;&lt;div&gt;&lt;h5&gt;&lt;b&gt;Casting Time &lt;/b&gt;1 standard action&lt;/h5&gt;&lt;h5&gt;&lt;b&gt;Components &lt;/b&gt;V, S, M (two vials; one containing acid and one containing an alkaline solution worth a total of 50 gp)&lt;/h5&gt;&lt;/div&gt;&lt;hr/&gt;&lt;div&gt;&lt;h5&gt;&lt;b&gt;EFFECT&lt;/b&gt;&lt;/h5&gt;&lt;/div&gt;&lt;hr/&gt;&lt;div&gt;&lt;h5&gt;&lt;b&gt;Range &lt;/b&gt;30 ft.&lt;/h5&gt;&lt;h5&gt;&lt;b&gt;Area &lt;/b&gt;30-ft.-radius spread centered on you&lt;/h5&gt;&lt;h5&gt;&lt;b&gt;Duration &lt;/b&gt;1 round, then instantaneous&lt;/h5&gt;&lt;h5&gt;&lt;b&gt;Saving Throw &lt;/b&gt;Reflex half; &lt;b&gt;Spell Resistance &lt;/b&gt;yes&lt;/h5&gt;&lt;/div&gt;&lt;hr/&gt;&lt;div&gt;&lt;h5&gt;&lt;b&gt;DESCRIPTION&lt;/b&gt;&lt;/h5&gt;&lt;/div&gt;&lt;hr/&gt;&lt;div&gt;&lt;h4&gt;&lt;p&gt;You flood yourself with a potent surge of elemental energy.&lt;/p&gt;&lt;p&gt;One round after completing the casting of the spell, the energy explodes from your body.&lt;/p&gt;&lt;p&gt;When this spell creates the explosion of energy, choose one of the following four energy types: acid, cold, electricity, or fire. The explosion inflicts 1d8 points of damage of that energy type per caster level (maximum 10d8) to all creatures and unattended objects within 15 feet, and half that amount to targets past 15 feet but within 30 feet. You automatically take half damage from the explosion, without a saving throw, but any other energy resistance or energy immunity effects you may have in place can prevent or lessen this overflow damage caused by the explosion.&lt;/p&gt;&lt;/h4&gt;&lt;/div&gt;</t>
  </si>
  <si>
    <t>Inflicts 1d8/level energy damage to all creatures within 15 ft.</t>
  </si>
  <si>
    <t>Devolution</t>
  </si>
  <si>
    <t>sorcerer/wizard 3, summoner 3</t>
  </si>
  <si>
    <t>V, S, M (a chameleon scale)</t>
  </si>
  <si>
    <t>one eidolon</t>
  </si>
  <si>
    <t>This spell causes an eidolon to lose one evolution plus one additional evolution for every five caster levels. Evolutions with the highest total cost are lost first. If there is a tie, randomly determine which is lost. If this spell causes an eidolon to fail to meet the prerequisites for other evolutions or abilities, those evolutions or abilities are lost as long as this spell persists.</t>
  </si>
  <si>
    <t>&lt;p&gt;This spell causes an eidolon to lose one evolution plus one additional evolution for every five caster levels. Evolutions with the highest total cost are lost first. If there is a tie, randomly determine which is lost. If this spell causes an eidolon to fail to meet the prerequisites for other evolutions or abilities, those evolutions or abilities are lost as long as this spell persists.&lt;/p&gt;</t>
  </si>
  <si>
    <t>&lt;link rel="stylesheet"href="PF.css"&gt;&lt;div class="heading"&gt;&lt;p class="alignleft"&gt;Devolution&lt;/p&gt;&lt;div style="clear: both;"&gt;&lt;/div&gt;&lt;/div&gt;&lt;div&gt;&lt;h5&gt;&lt;b&gt;School &lt;/b&gt;transmutation; &lt;b&gt;Level &lt;/b&gt;sorcerer/wizard 3, summoner 3&lt;/h5&gt;&lt;/div&gt;&lt;hr/&gt;&lt;div&gt;&lt;h5&gt;&lt;b&gt;CASTING&lt;/b&gt;&lt;/h5&gt;&lt;/div&gt;&lt;hr/&gt;&lt;div&gt;&lt;h5&gt;&lt;b&gt;Casting Time &lt;/b&gt;1 standard action&lt;/h5&gt;&lt;h5&gt;&lt;b&gt;Components &lt;/b&gt;V, S, M (a chameleon scale)&lt;/h5&gt;&lt;/div&gt;&lt;hr/&gt;&lt;div&gt;&lt;h5&gt;&lt;b&gt;EFFECT&lt;/b&gt;&lt;/h5&gt;&lt;/div&gt;&lt;hr/&gt;&lt;div&gt;&lt;h5&gt;&lt;b&gt;Range &lt;/b&gt;close (25 ft. + 5 ft./2 levels)&lt;/h5&gt;&lt;h5&gt;&lt;b&gt;Targets &lt;/b&gt;one eidolon&lt;/h5&gt;&lt;h5&gt;&lt;b&gt;Duration &lt;/b&gt;1 round/level&lt;/h5&gt;&lt;h5&gt;&lt;b&gt;Saving Throw &lt;/b&gt;Will negates; &lt;b&gt;Spell Resistance &lt;/b&gt;yes&lt;/h5&gt;&lt;/div&gt;&lt;hr/&gt;&lt;div&gt;&lt;h5&gt;&lt;b&gt;DESCRIPTION&lt;/b&gt;&lt;/h5&gt;&lt;/div&gt;&lt;hr/&gt;&lt;div&gt;&lt;h4&gt;&lt;p&gt;This spell causes an eidolon to lose one evolution plus one additional evolution for every five caster levels. Evolutions with the highest total cost are lost first. If there is a tie, randomly determine which is lost. If this spell causes an eidolon to fail to meet the prerequisites for other evolutions or abilities, those evolutions or abilities are lost as long as this spell persists.&lt;/p&gt;&lt;/h4&gt;&lt;h5&gt;&lt;b&gt;Mythic: &lt;/b&gt;The saving throw changes to Will (partial). If it succeeds at its save, the eidolon loses one evolution, chosen at random.&lt;/h5&gt;&lt;/div&gt;</t>
  </si>
  <si>
    <t>An eidolon temporarily loses 1 evolution +1/five levels.</t>
  </si>
  <si>
    <t>The saving throw changes to Will (partial). If it succeeds at its save, the eidolon loses one evolution, chosen at random.</t>
  </si>
  <si>
    <t>Discordant Blast</t>
  </si>
  <si>
    <t>10 ft. or 30 ft.</t>
  </si>
  <si>
    <t>You create a wave of thunder and force, either in a 10-foot-radius burst centered on you or in 30-foot cone-shaped burst. Creatures in the area take 3d6 points of sonic damage and are pushed away as if bull rushed. Make a combat maneuver check and apply its results to each creature in the area. Your CMB for this bull rush is equal to your caster level plus your Charisma modifier. This bull rush does not provoke an attack of opportunity. A discordant blast cannot penetrate a silence spell (or any similar magical silence effect).</t>
  </si>
  <si>
    <t>&lt;p&gt;You create a wave of thunder and force, either in a 10-foot-radius burst centered on you or in 30-foot cone-shaped burst.&lt;/p&gt;&lt;p&gt;Creatures in the area take 3d6 points of sonic damage and are pushed away as if bull rushed. Make a combat maneuver check and apply its results to each creature in the area. Your CMB for this bull rush is equal to your caster level plus your Charisma modifier. This bull rush does not provoke an attack of opportunity. A &lt;i&gt;discordant blast&lt;/i&gt; cannot penetrate a &lt;i&gt;silence&lt;/i&gt; spell (or any similar magical &lt;i&gt;silence&lt;/i&gt; effect).&lt;/p&gt;</t>
  </si>
  <si>
    <t>&lt;link rel="stylesheet"href="PF.css"&gt;&lt;div class="heading"&gt;&lt;p class="alignleft"&gt;Discordant Blast&lt;/p&gt;&lt;div style="clear: both;"&gt;&lt;/div&gt;&lt;/div&gt;&lt;div&gt;&lt;h5&gt;&lt;b&gt;School &lt;/b&gt;evocation [sonic]; &lt;b&gt;Level &lt;/b&gt;bard 4&lt;/h5&gt;&lt;/div&gt;&lt;hr/&gt;&lt;div&gt;&lt;h5&gt;&lt;b&gt;CASTING&lt;/b&gt;&lt;/h5&gt;&lt;/div&gt;&lt;hr/&gt;&lt;div&gt;&lt;h5&gt;&lt;b&gt;Casting Time &lt;/b&gt;1 standard action&lt;/h5&gt;&lt;h5&gt;&lt;b&gt;Components &lt;/b&gt;V, S&lt;/h5&gt;&lt;/div&gt;&lt;hr/&gt;&lt;div&gt;&lt;h5&gt;&lt;b&gt;EFFECT&lt;/b&gt;&lt;/h5&gt;&lt;/div&gt;&lt;hr/&gt;&lt;div&gt;&lt;h5&gt;&lt;b&gt;Range &lt;/b&gt;10 ft. or 30 ft.&lt;/h5&gt;&lt;h5&gt;&lt;b&gt;Area &lt;/b&gt;see text&lt;/h5&gt;&lt;h5&gt;&lt;b&gt;Duration &lt;/b&gt;instantaneous&lt;/h5&gt;&lt;h5&gt;&lt;b&gt;Saving Throw &lt;/b&gt;none; &lt;b&gt;Spell Resistance &lt;/b&gt;yes&lt;/h5&gt;&lt;/div&gt;&lt;hr/&gt;&lt;div&gt;&lt;h5&gt;&lt;b&gt;DESCRIPTION&lt;/b&gt;&lt;/h5&gt;&lt;/div&gt;&lt;hr/&gt;&lt;div&gt;&lt;h4&gt;&lt;p&gt;You create a wave of thunder and force, either in a 10-foot-radius burst centered on you or in 30-foot cone-shaped burst.&lt;/p&gt;&lt;p&gt;Creatures in the area take 3d6 points of sonic damage and are pushed away as if bull rushed. Make a combat maneuver check and apply its results to each creature in the area. Your CMB for this bull rush is equal to your caster level plus your Charisma modifier. This bull rush does not provoke an attack of opportunity. A &lt;i&gt;discordant blast&lt;/i&gt; cannot penetrate a &lt;i&gt;silence&lt;/i&gt; spell (or any similar magical &lt;i&gt;silence&lt;/i&gt; effect).&lt;/p&gt;&lt;/h4&gt;&lt;h5&gt;&lt;b&gt;Mythic: &lt;/b&gt;The damage dealt increases to 5d6 points of sonic damage, and you gain a +2 bonus on combat maneuver checks to the bull rush opponents. The spell can penetrate non-mythic magical silence and dispels any non-mythic silence effect of 4th level or lower.&lt;/h5&gt;&lt;/div&gt;</t>
  </si>
  <si>
    <t>3d6 sonic damage in 10-ft. burst or 30-ft. cone can also bull rush creatures.</t>
  </si>
  <si>
    <t>The damage dealt increases to 5d6 points of sonic damage, and you gain a +2 bonus on combat maneuver checks to the bull rush opponents. The spell can penetrate non-mythic magical silence and dispels any non-mythic silence effect of 4th level or lower.</t>
  </si>
  <si>
    <t>Divine Transfer</t>
  </si>
  <si>
    <t>With a single touch, you transfer some of your life essence to the subject, transferring your hit points and your resolve. When you touch the subject you can transfer up to a number of hit points equal to your Constitution score to the target. These hit points heal the subject, but cannot raise the subject's hit points higher than its normal hit point total. In addition, the subject gains DR/evil equal to your Charisma bonus (if any) for the duration of the spell.</t>
  </si>
  <si>
    <t>&lt;p&gt;With a single touch, you transfer some of your life essence to the subject, transferring your hit points and your resolve. When you touch the subject you can transfer up to a number of hit points equal to your Constitution score to the target. These hit points heal the subject, but cannot raise the subject's hit points higher than its normal hit point total. In addition, the subject gains DR/evil equal to your Charisma bonus (if any) for the duration of the spell.&lt;/p&gt;</t>
  </si>
  <si>
    <t>&lt;link rel="stylesheet"href="PF.css"&gt;&lt;div class="heading"&gt;&lt;p class="alignleft"&gt;Divine Transfer&lt;/p&gt;&lt;div style="clear: both;"&gt;&lt;/div&gt;&lt;/div&gt;&lt;div&gt;&lt;h5&gt;&lt;b&gt;School &lt;/b&gt;necromancy; &lt;b&gt;Level &lt;/b&gt;paladin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&lt;/b&gt;living creature touched&lt;/h5&gt;&lt;h5&gt;&lt;b&gt;Duration &lt;/b&gt;1 round/level&lt;/h5&gt;&lt;h5&gt;&lt;b&gt;Saving Throw &lt;/b&gt;Fortitude negates (harmless); &lt;b&gt;Spell Resistance &lt;/b&gt;yes (harmless)&lt;/h5&gt;&lt;/div&gt;&lt;hr/&gt;&lt;div&gt;&lt;h5&gt;&lt;b&gt;DESCRIPTION&lt;/b&gt;&lt;/h5&gt;&lt;/div&gt;&lt;hr/&gt;&lt;div&gt;&lt;h4&gt;&lt;p&gt;With a single touch, you transfer some of your life essence to the subject, transferring your hit points and your resolve. When you touch the subject you can transfer up to a number of hit points equal to your Constitution score to the target. These hit points heal the subject, but cannot raise the subject's hit points higher than its normal hit point total. In addition, the subject gains DR/evil equal to your Charisma bonus (if any) for the duration of the spell.&lt;/p&gt;&lt;/h4&gt;&lt;/div&gt;</t>
  </si>
  <si>
    <t>Transfer hit points and give DR/evil to target creature.</t>
  </si>
  <si>
    <t>Divine Vessel</t>
  </si>
  <si>
    <t>oracle 8</t>
  </si>
  <si>
    <t>You accept otherworldly energies into your body and transform. Your size increases by one category, your height doubles, and your weight increases by a factor of eight. Your features shift into those of a cold and alien being of logic, a creature of primal chaos, an angelic presence, or a fiendish monster, as chosen by you. You gain a +6 size bonus to Strength and Constitution, a +3 natural armor bonus, darkvision 60 ft., and SR of 12 + your caster level. These modifiers replace the normal modifiers for increasing your size. The size modifier for AC, attacks, CMB, and CMD changes as appropriate for your new size category. This spell doesn't change your base speed. Determine space and reach as appropriate for your new size. If insufficient room is available for the desired growth, you attain the maximum possible size and may make a Strength check (using your increased Strength) to burst any enclosures in the process (see page 175 of the Core Rulebook for rules on breaking objects). If you fail, you are constrained without harm by the materials enclosing you-the spell cannot crush you by increasing your size. All equipment you wear or carry is similarly enlarged by this spell. Melee weapons deal more damage. Other magical properties are not affected by this spell. Any enlarged item that leaves your possession (including a projectile or thrown weapon) instantly returns to its normal size. This means that thrown and projectile weapons deal their normal damage. Magical effects that increase size do not stack. You gain additional abilities as noted below. Anarchic aspect: You gain the following abilities: an additional +2 bonus to Constitution, DR 10/lawful, resist acid 10, electricity 10, and sonic 10, a +4 bonus on saves against poison, blindsense 30 feet, and a fly speed of 60 feet (good maneuverability). You gain a bite attack dealing 2d6 points of damage. Your natural weapons and any weapons you wield are considered chaotic-aligned for the purpose of overcoming damage resistance. Axiomatic aspect: You gain the following abilities: an additional +2 bonus to Strength, DR 10/chaotic, resist cold 10, electricity 10, and fire 10, a +4 bonus on saves against poison, low-light vision, and a fly speed of 60 feet (good maneuverability). You gain 2 slam attacks dealing 1d6 points of damage each. Your natural weapons and any weapons you wield are considered lawful-aligned for the purpose of overcoming damage resistance. Celestial aspect: You gain the following abilities: a +2 bonus to Dexterity, DR 10/evil, resist acid 10, cold 10, and electricity 10, a +4 bonus on saves against poison, low-light vision, and a fly speed of 60 feet (good maneuverability). You gain 2 slam attacks dealing 1d6 points of damage each. Your natural weapons and any weapons you wield are considered goodaligned for the purpose of overcoming damage resistance. Fiendish aspect: You gain the following abilities: an additional +2 bonus to Strength, DR 10/good, resist acid 10, cold 10, and fire 10, a +4 bonus on saves against poison, see in darkness, and a fly speed of 60 feet (good maneuverability). You gain 2 claw attacks dealing 1d6 points of damage each. Your natural weapons and any weapons you wield are considered evil-aligned for the purpose of overcoming damage resistance. When used to assume an anarchic, axiomatic, celestial, or fiendish aspect, this spell is a chaotic, lawful, good, or evil spell respectively.</t>
  </si>
  <si>
    <t>&lt;p&gt;You accept otherworldly energies into your body and transform.&lt;/p&gt;&lt;p&gt;Your size increases by one category, your height doubles, and your weight increases by a factor of eight. Your features shift into those of a cold and alien being of logic, a creature of primal chaos, an angelic presence, or a fiendish monster, as chosen by you. You gain a +6 size bonus to Strength and Constitution, a +3 natural armor bonus, darkvision 60 ft., and SR of 12 + your caster level. These modifiers replace the normal modifiers for increasing your size. The size modifier for AC, attacks, CMB, and CMD changes as appropriate for your new size category.&lt;/p&gt;&lt;p&gt;This spell doesn't change your base speed. Determine space and reach as appropriate for your new size.&lt;/p&gt;&lt;p&gt;If insufficient room is available for the desired growth, you attain the maximum possible size and may make a Strength check (using your increased Strength) to burst any enclosures in the process (see page 175 of the &lt;i&gt;Core Rulebook&lt;/i&gt; for rules on breaking objects). If you fail, you are constrained without harm by the materials enclosing you-the spell cannot crush you by increasing your size.&lt;/p&gt;&lt;p&gt;All equipment you wear or carry is similarly enlarged by this spell. Melee weapons deal more damage. Other magical properties are not affected by this spell. Any enlarged item that leaves your possession (including a projectile or thrown weapon) instantly returns to its normal size. This means that thrown and projectile weapons deal their normal damage.&lt;/p&gt;&lt;p&gt;Magical effects that increase size do not stack.&lt;/p&gt;&lt;p&gt;You gain additional abilities as noted below.&lt;/p&gt;&lt;p&gt;&lt;b&gt;Anarchic&lt;/b&gt; aspect: You gain the following abilities: an additional +2 bonus to Constitution, DR 10/lawful, resist acid 10, electricity 10, and sonic 10, a +4 bonus on saves against poison, blindsense 30 feet, and a fly speed of 60 feet (good maneuverability). You gain a bite attack dealing 2d6 points of damage. Your natural weapons and any weapons you wield are considered chaotic-aligned for the purpose of overcoming damage resistance.&lt;/p&gt;&lt;p&gt;&lt;b&gt;Axiomatic&lt;/b&gt; aspect: You gain the following abilities: an additional +2 bonus to Strength, DR 10/chaotic, resist cold 10, electricity 10, and fire 10, a +4 bonus on saves against poison, low-light vision, and a fly speed of 60 feet (good maneuverability). You gain 2 slam attacks dealing 1d6 points of damage each. Your natural weapons and any weapons you wield are considered lawful-aligned for the purpose of overcoming damage resistance.&lt;/p&gt;&lt;p&gt;&lt;b&gt;Celestial&lt;/b&gt; aspect: You gain the following abilities: a +2 bonus to Dexterity, DR 10/evil, resist acid 10, cold 10, and electricity 10, a +4 bonus on saves against poison, low-light vision, and a fly speed of 60 feet (good maneuverability). You gain 2 slam attacks dealing 1d6 points of damage each. Your natural weapons and any weapons you wield are considered goodaligned for the purpose of overcoming damage resistance.&lt;/p&gt;&lt;p&gt;&lt;b&gt;Fiendish&lt;/b&gt; aspect: You gain the following abilities: an additional +2 bonus to Strength, DR 10/good, resist acid 10, cold 10, and fire 10, a +4 bonus on saves against poison, see in darkness, and a fly speed of 60 feet (good maneuverability).&lt;/p&gt;&lt;p&gt;You gain 2 claw attacks dealing 1d6 points of damage each. Your natural weapons and any weapons you wield are considered evil-aligned for the purpose of overcoming damage resistance.&lt;/p&gt;&lt;p&gt;When used to assume an anarchic, axiomatic, celestial, or fiendish aspect, this spell is a chaotic, lawful, good, or evil spell respectively.&lt;/p&gt;</t>
  </si>
  <si>
    <t>&lt;link rel="stylesheet"href="PF.css"&gt;&lt;div class="heading"&gt;&lt;p class="alignleft"&gt;Divine Vessel&lt;/p&gt;&lt;div style="clear: both;"&gt;&lt;/div&gt;&lt;/div&gt;&lt;div&gt;&lt;h5&gt;&lt;b&gt;School &lt;/b&gt;transmutation [chaotic, evil, good, or lawful]; &lt;b&gt;Level &lt;/b&gt;oracle 8&lt;/h5&gt;&lt;/div&gt;&lt;hr/&gt;&lt;div&gt;&lt;h5&gt;&lt;b&gt;CASTING&lt;/b&gt;&lt;/h5&gt;&lt;/div&gt;&lt;hr/&gt;&lt;div&gt;&lt;h5&gt;&lt;b&gt;Casting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 (D)&lt;/h5&gt;&lt;/div&gt;&lt;hr/&gt;&lt;div&gt;&lt;h5&gt;&lt;b&gt;DESCRIPTION&lt;/b&gt;&lt;/h5&gt;&lt;/div&gt;&lt;hr/&gt;&lt;div&gt;&lt;h4&gt;&lt;p&gt;You accept otherworldly energies into your body and transform.&lt;/p&gt;&lt;p&gt;Your size increases by one category, your height doubles, and your weight increases by a factor of eight. Your features shift into those of a cold and alien being of logic, a creature of primal chaos, an angelic presence, or a fiendish monster, as chosen by you. You gain a +6 size bonus to Strength and Constitution, a +3 natural armor bonus, darkvision 60 ft., and SR of 12 + your caster level. These modifiers replace the normal modifiers for increasing your size. The size modifier for AC, attacks, CMB, and CMD changes as appropriate for your new size category.&lt;/p&gt;&lt;p&gt;This spell doesn't change your base speed. Determine space and reach as appropriate for your new size.&lt;/p&gt;&lt;p&gt;If insufficient room is available for the desired growth, you attain the maximum possible size and may make a Strength check (using your increased Strength) to burst any enclosures in the process (see page 175 of the &lt;i&gt;Core Rulebook&lt;/i&gt; for rules on breaking objects). If you fail, you are constrained without harm by the materials enclosing you-the spell cannot crush you by increasing your size.&lt;/p&gt;&lt;p&gt;All equipment you wear or carry is similarly enlarged by this spell. Melee weapons deal more damage. Other magical properties are not affected by this spell. Any enlarged item that leaves your possession (including a projectile or thrown weapon) instantly returns to its normal size. This means that thrown and projectile weapons deal their normal damage.&lt;/p&gt;&lt;p&gt;Magical effects that increase size do not stack.&lt;/p&gt;&lt;p&gt;You gain additional abilities as noted below.&lt;/p&gt;&lt;p&gt;&lt;b&gt;Anarchic&lt;/b&gt; aspect: You gain the following abilities: an additional +2 bonus to Constitution, DR 10/lawful, resist acid 10, electricity 10, and sonic 10, a +4 bonus on saves against poison, blindsense 30 feet, and a fly speed of 60 feet (good maneuverability). You gain a bite attack dealing 2d6 points of damage. Your natural weapons and any weapons you wield are considered chaotic-aligned for the purpose of overcoming damage resistance.&lt;/p&gt;&lt;p&gt;&lt;b&gt;Axiomatic&lt;/b&gt; aspect: You gain the following abilities: an additional +2 bonus to Strength, DR 10/chaotic, resist cold 10, electricity 10, and fire 10, a +4 bonus on saves against poison, low-light vision, and a fly speed of 60 feet (good maneuverability). You gain 2 slam attacks dealing 1d6 points of damage each. Your natural weapons and any weapons you wield are considered lawful-aligned for the purpose of overcoming damage resistance.&lt;/p&gt;&lt;p&gt;&lt;b&gt;Celestial&lt;/b&gt; aspect: You gain the following abilities: a +2 bonus to Dexterity, DR 10/evil, resist acid 10, cold 10, and electricity 10, a +4 bonus on saves against poison, low-light vision, and a fly speed of 60 feet (good maneuverability). You gain 2 slam attacks dealing 1d6 points of damage each. Your natural weapons and any weapons you wield are considered goodaligned for the purpose of overcoming damage resistance.&lt;/p&gt;&lt;p&gt;&lt;b&gt;Fiendish&lt;/b&gt; aspect: You gain the following abilities: an additional +2 bonus to Strength, DR 10/good, resist acid 10, cold 10, and fire 10, a +4 bonus on saves against poison, see in darkness, and a fly speed of 60 feet (good maneuverability).&lt;/p&gt;&lt;p&gt;You gain 2 claw attacks dealing 1d6 points of damage each. Your natural weapons and any weapons you wield are considered evil-aligned for the purpose of overcoming damage resistance.&lt;/p&gt;&lt;p&gt;When used to assume an anarchic, axiomatic, celestial, or fiendish aspect, this spell is a chaotic, lawful, good, or evil spell respectively.&lt;/p&gt;&lt;/h4&gt;&lt;/div&gt;</t>
  </si>
  <si>
    <t>(Oracle only.) Change into a huge, otherworldly creature.</t>
  </si>
  <si>
    <t>Draconic Reservoir</t>
  </si>
  <si>
    <t>alchemist 3, sorcerer/wizard 3</t>
  </si>
  <si>
    <t>V, S, M (a scale from dragon that produces the energy you seek to absorb)</t>
  </si>
  <si>
    <t>10 minutes/level or until discharged; see text</t>
  </si>
  <si>
    <t>Draconic reservoir functions as protection from energy, absorbing 6 points of one type of energy damage per caster level (acid, cold, electricity, or fire, maximum 60 points). Each round, as a swift action, the subject can release 1d6 points of the absorbed energy and apply it to any melee attack, as if using an acidic, flaming, frost, or shock weapon. The first creature the subject strikes with this attack takes the energy damage in addition to any other consequences of the attack. Releasing energy in this way does not "free up" space to absorb still more energy; the maximum amount of energy the spell can absorb remains fixed. The subject cannot release more energy than he currently has absorbed. Once the subject has absorbed all the energy allowed by the spell, he takes damage as normal from that energy type. Once the energy has been released, the spell is discharged. Draconic reservoir does not stack with protection from energy. Draconic reservoir overlaps (and does not stack with) resist energy. If a character is warded by draconic reservoir and resist energy, draconic reservoir absorbs damage until it reaches its maximum limit.</t>
  </si>
  <si>
    <t>&lt;p&gt;&lt;i&gt;Draconic reservoir&lt;/i&gt; functions as &lt;i&gt;protection from energy&lt;/i&gt;, absorbing 6 points of one type of energy damage per caster level (acid, cold, electricity, or fire, maximum 60 points). Each round, as a swift action, the subject can release 1d6 points of the absorbed energy and apply it to any melee attack, as if using an &lt;i&gt;acidic&lt;/i&gt;, &lt;i&gt;flaming&lt;/i&gt;, &lt;i&gt;frost&lt;/i&gt;, or &lt;i&gt;shock&lt;/i&gt; weapon. The first creature the subject strikes with this attack takes the energy damage in addition to any other consequences of the attack.&lt;/p&gt;&lt;p&gt;Releasing energy in this way does not "free up" space to absorb still more energy; the maximum amount of energy the spell can absorb remains fixed. The subject cannot release more energy than he currently has absorbed. Once the subject has absorbed all the energy allowed by the spell, he takes damage as normal from that energy type. Once the energy has been released, the spell is discharged.&lt;/p&gt;&lt;p&gt;&lt;i&gt;Draconic reservoir&lt;/i&gt; does not stack with &lt;i&gt;protection from energy&lt;/i&gt;.&lt;/p&gt;&lt;p&gt;&lt;i&gt;Draconic reservoir&lt;/i&gt; overlaps (and does not stack with) &lt;i&gt;resist energy&lt;/i&gt;. If a character is warded by &lt;i&gt;draconic reservoir&lt;/i&gt; and &lt;i&gt;resist energy&lt;/i&gt;, &lt;i&gt;draconic reservoir&lt;/i&gt; absorbs damage until it reaches its maximum limit.&lt;/p&gt;</t>
  </si>
  <si>
    <t>&lt;link rel="stylesheet"href="PF.css"&gt;&lt;div class="heading"&gt;&lt;p class="alignleft"&gt;Draconic Reservoir&lt;/p&gt;&lt;div style="clear: both;"&gt;&lt;/div&gt;&lt;/div&gt;&lt;div&gt;&lt;h5&gt;&lt;b&gt;School &lt;/b&gt;evocation [acid, cold, electricity, or fire]; &lt;b&gt;Level &lt;/b&gt;alchemist 3, sorcerer/wizard 3&lt;/h5&gt;&lt;/div&gt;&lt;hr/&gt;&lt;div&gt;&lt;h5&gt;&lt;b&gt;CASTING&lt;/b&gt;&lt;/h5&gt;&lt;/div&gt;&lt;hr/&gt;&lt;div&gt;&lt;h5&gt;&lt;b&gt;Casting Time &lt;/b&gt;1 standard action&lt;/h5&gt;&lt;h5&gt;&lt;b&gt;Components &lt;/b&gt;V, S, M (a scale from dragon that produces the energy you seek to absorb)&lt;/h5&gt;&lt;/div&gt;&lt;hr/&gt;&lt;div&gt;&lt;h5&gt;&lt;b&gt;EFFECT&lt;/b&gt;&lt;/h5&gt;&lt;/div&gt;&lt;hr/&gt;&lt;div&gt;&lt;h5&gt;&lt;b&gt;Range &lt;/b&gt;touch&lt;/h5&gt;&lt;h5&gt;&lt;b&gt;Targets &lt;/b&gt;creature touched&lt;/h5&gt;&lt;h5&gt;&lt;b&gt;Duration &lt;/b&gt;10 minutes/level or until discharged; see text&lt;/h5&gt;&lt;h5&gt;&lt;b&gt;Saving Throw &lt;/b&gt;Fortitude negates (harmless); &lt;b&gt;Spell Resistance &lt;/b&gt;yes (harmless)&lt;/h5&gt;&lt;/div&gt;&lt;hr/&gt;&lt;div&gt;&lt;h5&gt;&lt;b&gt;DESCRIPTION&lt;/b&gt;&lt;/h5&gt;&lt;/div&gt;&lt;hr/&gt;&lt;div&gt;&lt;h4&gt;&lt;p&gt;&lt;i&gt;Draconic reservoir&lt;/i&gt; functions as &lt;i&gt;protection from energy&lt;/i&gt;, absorbing 6 points of one type of energy damage per caster level (acid, cold, electricity, or fire, maximum 60 points). Each round, as a swift action, the subject can release 1d6 points of the absorbed energy and apply it to any melee attack, as if using an &lt;i&gt;acidic&lt;/i&gt;, &lt;i&gt;flaming&lt;/i&gt;, &lt;i&gt;frost&lt;/i&gt;, or &lt;i&gt;shock&lt;/i&gt; weapon. The first creature the subject strikes with this attack takes the energy damage in addition to any other consequences of the attack.&lt;/p&gt;&lt;p&gt;Releasing energy in this way does not "free up" space to absorb still more energy; the maximum amount of energy the spell can absorb remains fixed. The subject cannot release more energy than he currently has absorbed. Once the subject has absorbed all the energy allowed by the spell, he takes damage as normal from that energy type. Once the energy has been released, the spell is discharged.&lt;/p&gt;&lt;p&gt;&lt;i&gt;Draconic reservoir&lt;/i&gt; does not stack with &lt;i&gt;protection from energy&lt;/i&gt;.&lt;/p&gt;&lt;p&gt;&lt;i&gt;Draconic reservoir&lt;/i&gt; overlaps (and does not stack with) &lt;i&gt;resist energy&lt;/i&gt;. If a character is warded by &lt;i&gt;draconic reservoir&lt;/i&gt; and &lt;i&gt;resist energy&lt;/i&gt;, &lt;i&gt;draconic reservoir&lt;/i&gt; absorbs damage until it reaches its maximum limit.&lt;/p&gt;&lt;/h4&gt;&lt;h5&gt;&lt;b&gt;Mythic: &lt;/b&gt;The amount of energy damage the spell absorbs increases to 10 points per caster level (maximum 100 points). The energy damage from the weapons improves as if using a corrosive burst, flaming burst, icy burst, or shocking burst weapon.&lt;/h5&gt;&lt;h5&gt;&lt;b&gt;Augmented (3rd)&lt;/b&gt;: If you expend two uses of mythic power, spending a swift action applies the energy damage to any number of creatures the target hits this round, not just the first.&lt;/h5&gt;&lt;/div&gt;</t>
  </si>
  <si>
    <t>Subject can absorb energy damage and enhance melee attacks with it.</t>
  </si>
  <si>
    <t>The amount of energy damage the spell absorbs increases to 10 points per caster level (maximum 100 points). The energy damage from the weapons improves as if using a corrosive burst, flaming burst, icy burst, or shocking burst weapon.</t>
  </si>
  <si>
    <t>Augmented (3rd): If you expend two uses of mythic power, spending a swift action applies the energy damage to any number of creatures the target hits this round, not just the first.</t>
  </si>
  <si>
    <t>Dragon's Breath</t>
  </si>
  <si>
    <t>alchemist 4, sorcerer/wizard 4</t>
  </si>
  <si>
    <t>V, S, M (a dragon scale)</t>
  </si>
  <si>
    <t>30 ft. or 60 ft.</t>
  </si>
  <si>
    <t>cone-shaped burst or line</t>
  </si>
  <si>
    <t>You breathe out a blast of energy. Creatures in the affected area take 1d6 points of energy damage per caster level (maximum of 12d6). A successful Reflex save results in half damage. The spell's effect and energy type depend on the type of dragon scale used: Black dragon: 60-foot line of acid. Blue or bronze dragon: 60-foot line of electricity. Green dragon: 30-foot cone of acid. Gold or red dragon: 30-foot cone of fire. Silver or white dragon: 30-foot cone of cold. Brass dragon: 60-foot line of fire. Copper dragon: 60-foot line of acid.</t>
  </si>
  <si>
    <t>&lt;p&gt;You breathe out a blast of energy. Creatures in the affected area take 1d6 points of energy damage per caster level (maximum of 12d6). A successful Reflex save results in half damage. The spell's effect and energy type depend on the type of dragon scale used: &lt;/p&gt;&lt;p&gt;&lt;i&gt;Black dragon&lt;/i&gt;: 60-foot line of acid.&lt;/p&gt;&lt;p&gt;&lt;i&gt;Blue or bronze dragon&lt;/i&gt;: 60-foot line of electricity.&lt;/p&gt;&lt;p&gt;&lt;i&gt;Green dragon&lt;/i&gt;: 30-foot cone of acid.&lt;/p&gt;&lt;p&gt;&lt;i&gt;Gold or red dragon&lt;/i&gt;: 30-foot cone of fire.&lt;/p&gt;&lt;p&gt;&lt;i&gt;Silver or white dragon&lt;/i&gt;: 30-foot cone of cold.&lt;/p&gt;&lt;p&gt;&lt;i&gt;Brass dragon&lt;/i&gt;: 60-foot line of fire.&lt;/p&gt;&lt;p&gt;&lt;i&gt;Copper dragon&lt;/i&gt;: 60-foot line of acid.&lt;/p&gt;</t>
  </si>
  <si>
    <t>&lt;link rel="stylesheet"href="PF.css"&gt;&lt;div class="heading"&gt;&lt;p class="alignleft"&gt;Dragon's Breath&lt;/p&gt;&lt;div style="clear: both;"&gt;&lt;/div&gt;&lt;/div&gt;&lt;div&gt;&lt;h5&gt;&lt;b&gt;School &lt;/b&gt;evocation [acid, cold, electricity, or fire]; &lt;b&gt;Level &lt;/b&gt;alchemist 4, sorcerer/wizard 4&lt;/h5&gt;&lt;/div&gt;&lt;hr/&gt;&lt;div&gt;&lt;h5&gt;&lt;b&gt;CASTING&lt;/b&gt;&lt;/h5&gt;&lt;/div&gt;&lt;hr/&gt;&lt;div&gt;&lt;h5&gt;&lt;b&gt;Casting Time &lt;/b&gt;1 standard action&lt;/h5&gt;&lt;h5&gt;&lt;b&gt;Components &lt;/b&gt;V, S, M (a dragon scale)&lt;/h5&gt;&lt;/div&gt;&lt;hr/&gt;&lt;div&gt;&lt;h5&gt;&lt;b&gt;EFFECT&lt;/b&gt;&lt;/h5&gt;&lt;/div&gt;&lt;hr/&gt;&lt;div&gt;&lt;h5&gt;&lt;b&gt;Range &lt;/b&gt;30 ft. or 60 ft.&lt;/h5&gt;&lt;h5&gt;&lt;b&gt;Area &lt;/b&gt;cone-shaped burst or line&lt;/h5&gt;&lt;h5&gt;&lt;b&gt;Duration &lt;/b&gt;instantaneous&lt;/h5&gt;&lt;h5&gt;&lt;b&gt;Saving Throw &lt;/b&gt;Reflex half; &lt;b&gt;Spell Resistance &lt;/b&gt;yes&lt;/h5&gt;&lt;/div&gt;&lt;hr/&gt;&lt;div&gt;&lt;h5&gt;&lt;b&gt;DESCRIPTION&lt;/b&gt;&lt;/h5&gt;&lt;/div&gt;&lt;hr/&gt;&lt;div&gt;&lt;h4&gt;&lt;p&gt;You breathe out a blast of energy. Creatures in the affected area take 1d6 points of energy damage per caster level (maximum of 12d6). A successful Reflex save results in half damage. The spell's effect and energy type depend on the type of dragon scale used: &lt;/p&gt;&lt;p&gt;&lt;i&gt;Black dragon&lt;/i&gt;: 60-foot line of acid.&lt;/p&gt;&lt;p&gt;&lt;i&gt;Blue or bronze dragon&lt;/i&gt;: 60-foot line of electricity.&lt;/p&gt;&lt;p&gt;&lt;i&gt;Green dragon&lt;/i&gt;: 30-foot cone of acid.&lt;/p&gt;&lt;p&gt;&lt;i&gt;Gold or red dragon&lt;/i&gt;: 30-foot cone of fire.&lt;/p&gt;&lt;p&gt;&lt;i&gt;Silver or white dragon&lt;/i&gt;: 30-foot cone of cold.&lt;/p&gt;&lt;p&gt;&lt;i&gt;Brass dragon&lt;/i&gt;: 60-foot line of fire.&lt;/p&gt;&lt;p&gt;&lt;i&gt;Copper dragon&lt;/i&gt;: 60-foot line of acid.&lt;/p&gt;&lt;/h4&gt;&lt;h5&gt;&lt;b&gt;Mythic: &lt;/b&gt;The spell's duration changes to 1 minute/level or until discharged. You can use the breath weapon up to three times during this duration. On the round you cast the spell, using the breath weapon is a free action; later uses require a standard action. You must wait 1d4 rounds between each use of the breath weapon. All uses for a particular casting have the same range, area, and energy type. You can have only one dragon's breath spell in effect at a time; casting a new one ends the previous one.&lt;/h5&gt;&lt;/div&gt;</t>
  </si>
  <si>
    <t>Gives you a dragon's breath weapon.</t>
  </si>
  <si>
    <t>The spell's duration changes to 1 minute/level or until discharged. You can use the breath weapon up to three times during this duration. On the round you cast the spell, using the breath weapon is a free action; later uses require a standard action. You must wait 1d4 rounds between each use of the breath weapon. All uses for a particular casting have the same range, area, and energy type. You can have only one dragon's breath spell in effect at a time; casting a new one ends the previous one.</t>
  </si>
  <si>
    <t>Dust Of Twilight</t>
  </si>
  <si>
    <t>V, S, M (coal dust)</t>
  </si>
  <si>
    <t>creatures and objects in a 10-ft. spread</t>
  </si>
  <si>
    <t>Fortitude negates (fatigue only)</t>
  </si>
  <si>
    <t>A shower of iridescent black particles clings to and extinguishes torches, lanterns, sunrods, and similar mundane light sources and dispels any spell of 2nd level or lower with the light descriptor (as dispel magic). Creatures in the area must make a Fortitude save or become fatigued.</t>
  </si>
  <si>
    <t>&lt;p&gt;A shower of iridescent black particles clings to and extinguishes torches, lanterns, sunrods, and similar mundane light sources and &lt;i&gt;dispel&lt;/i&gt;s any spell of 2nd level or lower with the light descriptor (as &lt;i&gt;dispel&lt;/i&gt; magic). Creatures in the area must make a Fortitude save or become fatigued.&lt;/p&gt;</t>
  </si>
  <si>
    <t>&lt;link rel="stylesheet"href="PF.css"&gt;&lt;div class="heading"&gt;&lt;p class="alignleft"&gt;Dust Of Twilight&lt;/p&gt;&lt;div style="clear: both;"&gt;&lt;/div&gt;&lt;/div&gt;&lt;div&gt;&lt;h5&gt;&lt;b&gt;School &lt;/b&gt;conjuration [darkness]; &lt;b&gt;Level &lt;/b&gt;bard 2, sorcerer/wizard 2&lt;/h5&gt;&lt;/div&gt;&lt;hr/&gt;&lt;div&gt;&lt;h5&gt;&lt;b&gt;CASTING&lt;/b&gt;&lt;/h5&gt;&lt;/div&gt;&lt;hr/&gt;&lt;div&gt;&lt;h5&gt;&lt;b&gt;Casting Time &lt;/b&gt;1 standard action&lt;/h5&gt;&lt;h5&gt;&lt;b&gt;Components &lt;/b&gt;V, S, M (coal dust)&lt;/h5&gt;&lt;/div&gt;&lt;hr/&gt;&lt;div&gt;&lt;h5&gt;&lt;b&gt;EFFECT&lt;/b&gt;&lt;/h5&gt;&lt;/div&gt;&lt;hr/&gt;&lt;div&gt;&lt;h5&gt;&lt;b&gt;Range &lt;/b&gt;medium (100 ft. + 10 ft./level)&lt;/h5&gt;&lt;h5&gt;&lt;b&gt;Targets &lt;/b&gt;creatures and objects in a 10-ft. spread&lt;/h5&gt;&lt;h5&gt;&lt;b&gt;Duration &lt;/b&gt;instantaneous&lt;/h5&gt;&lt;h5&gt;&lt;b&gt;Saving Throw &lt;/b&gt;Fortitude negates (fatigue only); &lt;b&gt;Spell Resistance &lt;/b&gt;no&lt;/h5&gt;&lt;/div&gt;&lt;hr/&gt;&lt;div&gt;&lt;h5&gt;&lt;b&gt;DESCRIPTION&lt;/b&gt;&lt;/h5&gt;&lt;/div&gt;&lt;hr/&gt;&lt;div&gt;&lt;h4&gt;&lt;p&gt;A shower of iridescent black particles clings to and extinguishes torches, lanterns, sunrods, and similar mundane light sources and &lt;i&gt;dispel&lt;/i&gt;s any spell of 2nd level or lower with the light descriptor (as &lt;i&gt;dispel&lt;/i&gt; magic). Creatures in the area must make a Fortitude save or become fatigued.&lt;/p&gt;&lt;/h4&gt;&lt;h5&gt;&lt;b&gt;Mythic: &lt;/b&gt;A creature that fails its Fortitude save against the spell must also succeed at a Will save at the same DC or fall asleep (as the sleep spell). Creatures that succeed at their saves are merely drowsy (as the lullaby spell).&lt;/h5&gt;&lt;h5&gt;&lt;b&gt;Augmented&lt;/b&gt;: If you expend two uses of mythic power, add half your tier to the level of light spells mythic dust of twilight dispels.&lt;/h5&gt;&lt;/div&gt;</t>
  </si>
  <si>
    <t>Black particles extinguish light sources.</t>
  </si>
  <si>
    <t>A creature that fails its Fortitude save against the spell must also succeed at a Will save at the same DC or fall asleep (as the sleep spell). Creatures that succeed at their saves are merely drowsy (as the lullaby spell).</t>
  </si>
  <si>
    <t>Augmented: If you expend two uses of mythic power, add half your tier to the level of light spells mythic dust of twilight dispels.</t>
  </si>
  <si>
    <t>Eagle Eye</t>
  </si>
  <si>
    <t>Eagle eye creates a magical sensor directly above you. The sensor can appear anywhere above you, to a maximum height equal to the spell's range. You can see from this vantage as if you were actually there, rotating your viewpoint 360 degrees. You perceive with your normal visual senses. A caster using eagle eye can easily see for a considerable distance. The spell does not penetrate any solid surface, although it is unaffected by foliage and the like.</t>
  </si>
  <si>
    <t>&lt;p&gt;&lt;i&gt;Eagle eye&lt;/i&gt; creates a magical sensor directly above you. The sensor can appear anywhere above you, to a maximum height equal to the spell's range. You can see from this vantage as if you were actually there, rotating your viewpoint 360 degrees.&lt;/p&gt;&lt;p&gt;You perceive with your normal visual senses. A caster using &lt;i&gt;eagle eye&lt;/i&gt; can easily see for a considerable distance. The spell does not penetrate any solid surface, although it is unaffected by foliage and the like.&lt;/p&gt;</t>
  </si>
  <si>
    <t>&lt;link rel="stylesheet"href="PF.css"&gt;&lt;div class="heading"&gt;&lt;p class="alignleft"&gt;Eagle Eye&lt;/p&gt;&lt;div style="clear: both;"&gt;&lt;/div&gt;&lt;/div&gt;&lt;div&gt;&lt;h5&gt;&lt;b&gt;School &lt;/b&gt;divination; &lt;b&gt;Level &lt;/b&gt;druid 2, ranger 2&lt;/h5&gt;&lt;/div&gt;&lt;hr/&gt;&lt;div&gt;&lt;h5&gt;&lt;b&gt;CASTING&lt;/b&gt;&lt;/h5&gt;&lt;/div&gt;&lt;hr/&gt;&lt;div&gt;&lt;h5&gt;&lt;b&gt;Casting Time &lt;/b&gt;1 minute&lt;/h5&gt;&lt;h5&gt;&lt;b&gt;Components &lt;/b&gt;V, S, DF&lt;/h5&gt;&lt;/div&gt;&lt;hr/&gt;&lt;div&gt;&lt;h5&gt;&lt;b&gt;EFFECT&lt;/b&gt;&lt;/h5&gt;&lt;/div&gt;&lt;hr/&gt;&lt;div&gt;&lt;h5&gt;&lt;b&gt;Range &lt;/b&gt;long (400 ft. + 40 ft./level)&lt;/h5&gt;&lt;h5&gt;&lt;b&gt;Effect &lt;/b&gt;magical sensor&lt;/h5&gt;&lt;h5&gt;&lt;b&gt;Duration &lt;/b&gt;1 minute/level (D)&lt;/h5&gt;&lt;h5&gt;&lt;b&gt;Saving Throw &lt;/b&gt;none; &lt;b&gt;Spell Resistance &lt;/b&gt;no&lt;/h5&gt;&lt;/div&gt;&lt;hr/&gt;&lt;div&gt;&lt;h5&gt;&lt;b&gt;DESCRIPTION&lt;/b&gt;&lt;/h5&gt;&lt;/div&gt;&lt;hr/&gt;&lt;div&gt;&lt;h4&gt;&lt;p&gt;&lt;i&gt;Eagle eye&lt;/i&gt; creates a magical sensor directly above you. The sensor can appear anywhere above you, to a maximum height equal to the spell's range. You can see from this vantage as if you were actually there, rotating your viewpoint 360 degrees.&lt;/p&gt;&lt;p&gt;You perceive with your normal visual senses. A caster using &lt;i&gt;eagle eye&lt;/i&gt; can easily see for a considerable distance. The spell does not penetrate any solid surface, although it is unaffected by foliage and the like.&lt;/p&gt;&lt;/h4&gt;&lt;/div&gt;</t>
  </si>
  <si>
    <t>Creates a magical sensor high above you.</t>
  </si>
  <si>
    <t>Elemental Aura</t>
  </si>
  <si>
    <t>alchemist 3, sorcerer/wizard 3, magus 3</t>
  </si>
  <si>
    <t>This spell forms an aura of energy around you, damaging all those that come near you. Choose an energy type: acid, cold, electricity, or fire. Creatures adjacent to you when this spell is cast and at the start of your turn take 2d6 points of energy damage of the selected type. This aura has an additional effect, depending upon the type of energy chosen. Acid: Creatures affected by your aura take 1 point of ongoing acid damage per round for 1 round per three caster levels, and are sickened for the duration of the ongoing acid damage. Cold: Creatures affected by your aura are fatigued. A creature that is already fatigued suffers no additional effect. Electricity: Creatures affected by your aura are staggered for 1 round. Fire: Creatures affected by your aura catch on fire (Core Rulebook 444). Creatures adjacent to you are allowed a Reflex save to halve the damage and negate the additional effect. The aura's additional effects do not stack if a creature takes damage from your aura multiple times. You may only have one elemental aura in effect at one time. When you cast this spell to deal acid, cold, electricity, or fire damage, it is a spell of that type.</t>
  </si>
  <si>
    <t>&lt;p&gt;This spell forms an aura of energy around you, damaging all those that come near you. Choose an energy type: acid, cold, electricity, or fire. Creatures adjacent to you when this spell is cast and at the start of your turn take 2d6 points of energy damage of the selected type. This aura has an additional effect, depending upon the type of energy chosen.&lt;/p&gt;&lt;p&gt;&lt;b&gt;Acid:&lt;/b&gt; Creatures affected by your aura take 1 point of ongoing acid damage per round for 1 round per three caster levels, and are sickened for the duration of the ongoing acid damage.&lt;/p&gt;&lt;p&gt;&lt;b&gt;Cold:&lt;/b&gt; Creatures affected by your aura are fatigued. A creature that is already fatigued suffers no additional effect.&lt;/p&gt;&lt;p&gt;&lt;b&gt;Electricity:&lt;/b&gt; Creatures affected by your aura are staggered for 1 round.&lt;/p&gt;&lt;p&gt;&lt;b&gt;Fire:&lt;/b&gt; Creatures affected by your aura catch on fire (&lt;i&gt;Core Rulebook&lt;/i&gt; 444).&lt;/p&gt;&lt;p&gt;Creatures adjacent to you are allowed a Reflex save to halve the damage and negate the additional effect. The aura's additional effects do not stack if a creature takes damage from your aura multiple times. You may only have one &lt;i&gt;elemental aura&lt;/i&gt; in effect at one time. When you cast this spell to deal acid, cold, electricity, or fire damage, it is a spell of that type.&lt;/p&gt;</t>
  </si>
  <si>
    <t>&lt;link rel="stylesheet"href="PF.css"&gt;&lt;div class="heading"&gt;&lt;p class="alignleft"&gt;Elemental Aura&lt;/p&gt;&lt;div style="clear: both;"&gt;&lt;/div&gt;&lt;/div&gt;&lt;div&gt;&lt;h5&gt;&lt;b&gt;School &lt;/b&gt;evocation [acid, cold, electricity, or fire]; &lt;b&gt;Level &lt;/b&gt;alchemist 3, sorcerer/wizard 3, magus 3&lt;/h5&gt;&lt;/div&gt;&lt;hr/&gt;&lt;div&gt;&lt;h5&gt;&lt;b&gt;CASTING&lt;/b&gt;&lt;/h5&gt;&lt;/div&gt;&lt;hr/&gt;&lt;div&gt;&lt;h5&gt;&lt;b&gt;Casting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 (D)&lt;/h5&gt;&lt;h5&gt;&lt;b&gt;Saving Throw &lt;/b&gt;Reflex half; see text; &lt;b&gt;Spell Resistance &lt;/b&gt;yes&lt;/h5&gt;&lt;/div&gt;&lt;hr/&gt;&lt;div&gt;&lt;h5&gt;&lt;b&gt;DESCRIPTION&lt;/b&gt;&lt;/h5&gt;&lt;/div&gt;&lt;hr/&gt;&lt;div&gt;&lt;h4&gt;&lt;p&gt;This spell forms an aura of energy around you, damaging all those that come near you. Choose an energy type: acid, cold, electricity, or fire. Creatures adjacent to you when this spell is cast and at the start of your turn take 2d6 points of energy damage of the selected type. This aura has an additional effect, depending upon the type of energy chosen.&lt;/p&gt;&lt;p&gt;&lt;b&gt;Acid:&lt;/b&gt; Creatures affected by your aura take 1 point of ongoing acid damage per round for 1 round per three caster levels, and are sickened for the duration of the ongoing acid damage.&lt;/p&gt;&lt;p&gt;&lt;b&gt;Cold:&lt;/b&gt; Creatures affected by your aura are fatigued. A creature that is already fatigued suffers no additional effect.&lt;/p&gt;&lt;p&gt;&lt;b&gt;Electricity:&lt;/b&gt; Creatures affected by your aura are staggered for 1 round.&lt;/p&gt;&lt;p&gt;&lt;b&gt;Fire:&lt;/b&gt; Creatures affected by your aura catch on fire (&lt;i&gt;Core Rulebook&lt;/i&gt; 444).&lt;/p&gt;&lt;p&gt;Creatures adjacent to you are allowed a Reflex save to halve the damage and negate the additional effect. The aura's additional effects do not stack if a creature takes damage from your aura multiple times. You may only have one &lt;i&gt;elemental aura&lt;/i&gt; in effect at one time. When you cast this spell to deal acid, cold, electricity, or fire damage, it is a spell of that type.&lt;/p&gt;&lt;/h4&gt;&lt;/div&gt;</t>
  </si>
  <si>
    <t>Creates an aura of energy around you.</t>
  </si>
  <si>
    <t>Elemental Speech</t>
  </si>
  <si>
    <t>air, earth, fire, or water</t>
  </si>
  <si>
    <t>bard 3, cleric 3/oracle 3, druid 2, sorcerer/wizard 2</t>
  </si>
  <si>
    <t>This spell enables you to converse with creatures associated with a chosen element, including but not limited to true elemental creatures. This spell gains the elemental subtype based on the version of the spell you cast. Elemental speech does not guarantee a friendly reaction; it merely enables communication. You may converse with all creatures of the selected type with an Intelligence score of 1 or greater, even if they do not understand one another. When cast as an air spell, you can converse in Auran and with any creature that has the air subtype or a fly speed. When cast as an earth spell, you can converse in Terran and with any creature that has the earth subtype or a burrow speed. When cast as a fire spell, you can converse in Ignan and with any creature that has the fire subtype. When cast as a water spell, you can converse in Aquan and with any creature that has the water subtype or a swim speed.</t>
  </si>
  <si>
    <t>&lt;p&gt;This spell enables you to converse with creatures associated with a chosen element, including but not limited to true elemental creatures. This spell gains the elemental subtype based on the version of the spell you cast. &lt;i&gt;Elemental speech&lt;/i&gt; does not guarantee a friendly reaction; it merely enables communication. You may converse with all creatures of the selected type with an Intelligence score of 1 or greater, even if they do not understand one another.&lt;/p&gt;&lt;p&gt;When cast as an air spell, you can converse in Auran and with any creature that has the air subtype or a fly speed.&lt;/p&gt;&lt;p&gt;When cast as an earth spell, you can converse in Terran and with any creature that has the earth subtype or a burrow speed.&lt;/p&gt;&lt;p&gt;When cast as a fire spell, you can converse in Ignan and with any creature that has the fire subtype.&lt;/p&gt;&lt;p&gt;When cast as a water spell, you can converse in Aquan and with any creature that has the water subtype or a swim speed.&lt;/p&gt;</t>
  </si>
  <si>
    <t>&lt;link rel="stylesheet"href="PF.css"&gt;&lt;div class="heading"&gt;&lt;p class="alignleft"&gt;Elemental Speech&lt;/p&gt;&lt;div style="clear: both;"&gt;&lt;/div&gt;&lt;/div&gt;&lt;div&gt;&lt;h5&gt;&lt;b&gt;School &lt;/b&gt;divination [air, earth, fire, or water]; &lt;b&gt;Level &lt;/b&gt;bard 3, cleric 3/oracle 3, druid 2, sorcerer/wizard 2&lt;/h5&gt;&lt;/div&gt;&lt;hr/&gt;&lt;div&gt;&lt;h5&gt;&lt;b&gt;CASTING&lt;/b&gt;&lt;/h5&gt;&lt;/div&gt;&lt;hr/&gt;&lt;div&gt;&lt;h5&gt;&lt;b&gt;Casting Time &lt;/b&gt;1 standard action&lt;/h5&gt;&lt;h5&gt;&lt;b&gt;Components &lt;/b&gt;V, S, M (iron filings)&lt;/h5&gt;&lt;/div&gt;&lt;hr/&gt;&lt;div&gt;&lt;h5&gt;&lt;b&gt;EFFECT&lt;/b&gt;&lt;/h5&gt;&lt;/div&gt;&lt;hr/&gt;&lt;div&gt;&lt;h5&gt;&lt;b&gt;Range &lt;/b&gt;personal&lt;/h5&gt;&lt;h5&gt;&lt;b&gt;Targets &lt;/b&gt;you&lt;/h5&gt;&lt;h5&gt;&lt;b&gt;Duration &lt;/b&gt;1 minute/level&lt;/h5&gt;&lt;/div&gt;&lt;hr/&gt;&lt;div&gt;&lt;h5&gt;&lt;b&gt;DESCRIPTION&lt;/b&gt;&lt;/h5&gt;&lt;/div&gt;&lt;hr/&gt;&lt;div&gt;&lt;h4&gt;&lt;p&gt;This spell enables you to converse with creatures associated with a chosen element, including but not limited to true elemental creatures. This spell gains the elemental subtype based on the version of the spell you cast. &lt;i&gt;Elemental speech&lt;/i&gt; does not guarantee a friendly reaction; it merely enables communication. You may converse with all creatures of the selected type with an Intelligence score of 1 or greater, even if they do not understand one another.&lt;/p&gt;&lt;p&gt;When cast as an air spell, you can converse in Auran and with any creature that has the air subtype or a fly speed.&lt;/p&gt;&lt;p&gt;When cast as an earth spell, you can converse in Terran and with any creature that has the earth subtype or a burrow speed.&lt;/p&gt;&lt;p&gt;When cast as a fire spell, you can converse in Ignan and with any creature that has the fire subtype.&lt;/p&gt;&lt;p&gt;When cast as a water spell, you can converse in Aquan and with any creature that has the water subtype or a swim speed.&lt;/p&gt;&lt;/h4&gt;&lt;/div&gt;</t>
  </si>
  <si>
    <t>Enables you to speak to elementals and some creatures.</t>
  </si>
  <si>
    <t>Elemental Touch</t>
  </si>
  <si>
    <t>alchemist 2, sorcerer/wizard 2, magus 2</t>
  </si>
  <si>
    <t>V, S, M (a bit of the chosen element: earth, water, air, or fire)</t>
  </si>
  <si>
    <t>Upon completing the casting of this spell, elemental energy infuses your hands. Choose an energy type: acid, cold, electricity, or fire. You gain a melee touch attack causing 1d6 points of damage of that energy type, along with a special effect described below. You also deal energy damage and the related special effect when you attack with your hands using an unarmed strike, a single claw, or a single slam attack. This bonus damage can never apply to multiple weapons. Acid: Your touch attack causes 1 point of ongoing acid damage per round for 1 round per three caster levels. The target must make a Fortitude save or be sickened for the duration of the ongoing acid damage. Cold: The target must make a Fortitude save or be fatigued. A creature that is already fatigued suffers no additional effect. Electricity: The target must make a Fortitude save or be staggered for 1 round. Fire: Your hands ignite and shed light as a torch. Your touch may cause targets to catch on fire (Core Rulebook 444). Subsequent attacks inflict the normal damage, but the additional effects do not stack. This spell grants no special protection to anything held in or worn on your hands. When you cast this spell to deal acid, cold, electricity, or fire damage, it is a spell of that type.</t>
  </si>
  <si>
    <t>&lt;p&gt;Upon completing the casting of this spell, elemental energy infuses your hands. Choose an energy type: acid, cold, electricity, or fire. You gain a melee touch attack causing 1d6 points of damage of that energy type, along with a special effect described below. You also deal energy damage and the related special effect when you attack with your hands using an unarmed strike, a single claw, or a single slam attack. This bonus damage can never apply to multiple weapons.&lt;/p&gt;&lt;p&gt;&lt;b&gt;Acid:&lt;/b&gt; Your touch attack causes 1 point of ongoing acid damage per round for 1 round per three caster levels. The target must make a Fortitude save or be sickened for the duration of the ongoing acid damage.&lt;/p&gt;&lt;p&gt;&lt;b&gt;Cold:&lt;/b&gt; The target must make a Fortitude save or be fatigued.&lt;/p&gt;&lt;p&gt;A creature that is already fatigued suffers no additional effect.&lt;/p&gt;&lt;p&gt;&lt;b&gt;Electricity:&lt;/b&gt; The target must make a Fortitude save or be staggered for 1 round.&lt;/p&gt;&lt;p&gt;&lt;b&gt;Fire:&lt;/b&gt; Your hands ignite and shed light as a torch. Your touch may cause targets to catch on fire (&lt;i&gt;Core Rulebook&lt;/i&gt; 444).&lt;/p&gt;&lt;p&gt;Subsequent attacks inflict the normal damage, but the additional effects do not stack. This spell grants no special protection to anything held in or worn on your hands. When you cast this spell to deal acid, cold, electricity, or fire damage, it is a spell of that type.&lt;/p&gt;</t>
  </si>
  <si>
    <t>&lt;link rel="stylesheet"href="PF.css"&gt;&lt;div class="heading"&gt;&lt;p class="alignleft"&gt;Elemental Touch&lt;/p&gt;&lt;div style="clear: both;"&gt;&lt;/div&gt;&lt;/div&gt;&lt;div&gt;&lt;h5&gt;&lt;b&gt;School &lt;/b&gt;evocation [acid, cold, electricity, or fire]; &lt;b&gt;Level &lt;/b&gt;alchemist 2, sorcerer/wizard 2, magus 2&lt;/h5&gt;&lt;/div&gt;&lt;hr/&gt;&lt;div&gt;&lt;h5&gt;&lt;b&gt;CASTING&lt;/b&gt;&lt;/h5&gt;&lt;/div&gt;&lt;hr/&gt;&lt;div&gt;&lt;h5&gt;&lt;b&gt;Casting Time &lt;/b&gt;1 standard action&lt;/h5&gt;&lt;h5&gt;&lt;b&gt;Components &lt;/b&gt;V, S, M (a bit of the chosen element: earth, water, air, or fire)&lt;/h5&gt;&lt;/div&gt;&lt;hr/&gt;&lt;div&gt;&lt;h5&gt;&lt;b&gt;EFFECT&lt;/b&gt;&lt;/h5&gt;&lt;/div&gt;&lt;hr/&gt;&lt;div&gt;&lt;h5&gt;&lt;b&gt;Range &lt;/b&gt;personal&lt;/h5&gt;&lt;h5&gt;&lt;b&gt;Targets &lt;/b&gt;you&lt;/h5&gt;&lt;h5&gt;&lt;b&gt;Duration &lt;/b&gt;1 round/level (D)&lt;/h5&gt;&lt;h5&gt;&lt;b&gt;Saving Throw &lt;/b&gt;see text; &lt;b&gt;Spell Resistance &lt;/b&gt;no&lt;/h5&gt;&lt;/div&gt;&lt;hr/&gt;&lt;div&gt;&lt;h5&gt;&lt;b&gt;DESCRIPTION&lt;/b&gt;&lt;/h5&gt;&lt;/div&gt;&lt;hr/&gt;&lt;div&gt;&lt;h4&gt;&lt;p&gt;Upon completing the casting of this spell, elemental energy infuses your hands. Choose an energy type: acid, cold, electricity, or fire. You gain a melee touch attack causing 1d6 points of damage of that energy type, along with a special effect described below. You also deal energy damage and the related special effect when you attack with your hands using an unarmed strike, a single claw, or a single slam attack. This bonus damage can never apply to multiple weapons.&lt;/p&gt;&lt;p&gt;&lt;b&gt;Acid:&lt;/b&gt; Your touch attack causes 1 point of ongoing acid damage per round for 1 round per three caster levels. The target must make a Fortitude save or be sickened for the duration of the ongoing acid damage.&lt;/p&gt;&lt;p&gt;&lt;b&gt;Cold:&lt;/b&gt; The target must make a Fortitude save or be fatigued.&lt;/p&gt;&lt;p&gt;A creature that is already fatigued suffers no additional effect.&lt;/p&gt;&lt;p&gt;&lt;b&gt;Electricity:&lt;/b&gt; The target must make a Fortitude save or be staggered for 1 round.&lt;/p&gt;&lt;p&gt;&lt;b&gt;Fire:&lt;/b&gt; Your hands ignite and shed light as a torch. Your touch may cause targets to catch on fire (&lt;i&gt;Core Rulebook&lt;/i&gt; 444).&lt;/p&gt;&lt;p&gt;Subsequent attacks inflict the normal damage, but the additional effects do not stack. This spell grants no special protection to anything held in or worn on your hands. When you cast this spell to deal acid, cold, electricity, or fire damage, it is a spell of that type.&lt;/p&gt;&lt;/h4&gt;&lt;/div&gt;</t>
  </si>
  <si>
    <t>Gain energy damage touch attack.</t>
  </si>
  <si>
    <t>Elude Time</t>
  </si>
  <si>
    <t>V, S, M (powdered diamond, emerald, ruby, and sapphire dust worth 500 gp)</t>
  </si>
  <si>
    <t>up to 1 minute/level; see text</t>
  </si>
  <si>
    <t>You place yourself in a state of suspended animation, similar to temporal stasis. At the time of casting, you choose when the stasis will expire, up to the maximum duration of the spell. Until the duration ends, time ceases to flow for you, and all bodily functions cease. No force or effect can harm you until the spell expires or is removed, such as by a successful dispel magic spell.</t>
  </si>
  <si>
    <t>&lt;p&gt;You place yourself in a state of suspended animation, similar to &lt;i&gt;temporal stasis&lt;/i&gt;. At the time of casting, you choose when the stasis will expire, up to the maximum duration of the spell.&lt;/p&gt;&lt;p&gt;Until the duration ends, time ceases to flow for you, and all bodily functions cease. No force or effect can harm you until the spell expires or is removed, such as by a successful &lt;i&gt;dispel magic&lt;/i&gt; spell.&lt;/p&gt;</t>
  </si>
  <si>
    <t>&lt;link rel="stylesheet"href="PF.css"&gt;&lt;div class="heading"&gt;&lt;p class="alignleft"&gt;Elude Time&lt;/p&gt;&lt;div style="clear: both;"&gt;&lt;/div&gt;&lt;/div&gt;&lt;div&gt;&lt;h5&gt;&lt;b&gt;School &lt;/b&gt;transmutation; &lt;b&gt;Level &lt;/b&gt;alchemist 5&lt;/h5&gt;&lt;/div&gt;&lt;hr/&gt;&lt;div&gt;&lt;h5&gt;&lt;b&gt;CASTING&lt;/b&gt;&lt;/h5&gt;&lt;/div&gt;&lt;hr/&gt;&lt;div&gt;&lt;h5&gt;&lt;b&gt;Casting Time &lt;/b&gt;1 standard action&lt;/h5&gt;&lt;h5&gt;&lt;b&gt;Components &lt;/b&gt;V, S, M (powdered diamond, emerald, ruby, and sapphire dust worth 500 gp)&lt;/h5&gt;&lt;/div&gt;&lt;hr/&gt;&lt;div&gt;&lt;h5&gt;&lt;b&gt;EFFECT&lt;/b&gt;&lt;/h5&gt;&lt;/div&gt;&lt;hr/&gt;&lt;div&gt;&lt;h5&gt;&lt;b&gt;Range &lt;/b&gt;personal&lt;/h5&gt;&lt;h5&gt;&lt;b&gt;Targets &lt;/b&gt;you&lt;/h5&gt;&lt;h5&gt;&lt;b&gt;Duration &lt;/b&gt;up to 1 minute/level; see text&lt;/h5&gt;&lt;/div&gt;&lt;hr/&gt;&lt;div&gt;&lt;h5&gt;&lt;b&gt;DESCRIPTION&lt;/b&gt;&lt;/h5&gt;&lt;/div&gt;&lt;hr/&gt;&lt;div&gt;&lt;h4&gt;&lt;p&gt;You place yourself in a state of suspended animation, similar to &lt;i&gt;temporal stasis&lt;/i&gt;. At the time of casting, you choose when the stasis will expire, up to the maximum duration of the spell.&lt;/p&gt;&lt;p&gt;Until the duration ends, time ceases to flow for you, and all bodily functions cease. No force or effect can harm you until the spell expires or is removed, such as by a successful &lt;i&gt;dispel magic&lt;/i&gt; spell.&lt;/p&gt;&lt;/h4&gt;&lt;/div&gt;</t>
  </si>
  <si>
    <t>Puts you in temporary suspended animation.</t>
  </si>
  <si>
    <t>Enemy Hammer</t>
  </si>
  <si>
    <t>V, S, M (puppet strings)</t>
  </si>
  <si>
    <t>You grab a creature with telekinesis and use it to batter nearby opponents or objects. You must target a specific creature when casting this spell and once you select that creature you cannot switch to another. Each round, as a standard action, you can attempt to hurl the target at any creature or object within 30 feet of it. You must make an attack roll whenever you use the target as a weapon. The attack bonus for this attack is equal to your caster level plus either your Intelligence or Charisma modifier (whichever is higher). If you successfully hit the new target with the creature both it and the creature take damage based on the creature's size. Creature Size Damage Dealt Fine 1d4 Diminutive 1d6 Tiny 1d8 Small 1d10 Medium 2d6 Large 2d8 Huge 2d10 Gargantuan 3d6 Colossal 3d8 The target creature can make a Fortitude saving throw each time you attempt to use it as a weapon. If it makes its saving throw it can act normally, but if it fails its save it loses all actions for the round and ends its turn prone in a square adjacent to the target of your attack. However, if the creature chooses to resist your efforts to move it, taking no other actions for the round, it gets a +4 circumstance bonus on its saving throw. The spell ends immediately if the target creature dies or is destroyed.</t>
  </si>
  <si>
    <t>&lt;p&gt;You grab a creature with telekinesis and use it to batter nearby opponents or objects. You must target a specific creature when casting this spell and once you select that creature you cannot switch to another. Each round, as a standard action, you can attempt to hurl the target at any creature or object within 30 feet of it. You must make an attack roll whenever you use the target as a weapon. The attack bonus for this attack is equal to your caster level plus either your Intelligence or Charisma modifier (whichever is higher). If you successfully hit the new target with the creature both it and the creature take damage based on the creature's size.&lt;/p&gt;&lt;p&gt;&lt;b&gt;&lt;table&gt;&lt;tr&gt;&lt;th&gt;Creature Size&lt;/th&gt;&lt;th&gt;Damage Dealt&lt;/th&gt;&lt;/tr&gt;&lt;tr&gt;&lt;td&gt;Fine&lt;/td&gt;&lt;td&gt;1d4&lt;/td&gt;&lt;/tr&gt;&lt;tr&gt;&lt;td&gt;Diminutive&lt;/td&gt;&lt;td&gt;1d6&lt;/td&gt;&lt;/tr&gt;&lt;tr&gt;&lt;td&gt;Tiny&lt;/td&gt;&lt;td&gt;1d8&lt;/td&gt;&lt;/tr&gt;&lt;tr&gt;&lt;td&gt;Small&lt;/td&gt;&lt;td&gt;1d10&lt;/td&gt;&lt;/tr&gt;&lt;tr&gt;&lt;td&gt;Medium&lt;/td&gt;&lt;td&gt;2d6&lt;/td&gt;&lt;/tr&gt;&lt;tr&gt;&lt;td&gt;Large&lt;/td&gt;&lt;td&gt;2d8&lt;/td&gt;&lt;/tr&gt;&lt;tr&gt;&lt;td&gt;Huge&lt;/td&gt;&lt;td&gt;2d10&lt;/td&gt;&lt;/tr&gt;&lt;tr&gt;&lt;td&gt;Gargantuan&lt;/td&gt;&lt;td&gt;3d6&lt;/td&gt;&lt;/tr&gt;&lt;tr&gt;&lt;td&gt;Colossal&lt;/td&gt;&lt;td&gt;3d8&lt;/td&gt;&lt;/tr&gt;&lt;/table&gt; The target creature can make a Fortitude saving throw each time you attempt to use it as a weapon. If it makes its saving throw it can act normally, but if it fails its save it loses all actions for the round and ends its turn prone in a square adjacent to the target of your attack. However, if the creature chooses to resist your efforts to move it, taking no other actions for the round, it gets a +4 circumstance bonus on its saving throw. The spell ends immediately if the target creature dies or is destroyed.&lt;/p&gt;</t>
  </si>
  <si>
    <t>&lt;link rel="stylesheet"href="PF.css"&gt;&lt;div class="heading"&gt;&lt;p class="alignleft"&gt;Enemy Hammer&lt;/p&gt;&lt;div style="clear: both;"&gt;&lt;/div&gt;&lt;/div&gt;&lt;div&gt;&lt;h5&gt;&lt;b&gt;School &lt;/b&gt;transmutation; &lt;b&gt;Level &lt;/b&gt;sorcerer/wizard 6&lt;/h5&gt;&lt;/div&gt;&lt;hr/&gt;&lt;div&gt;&lt;h5&gt;&lt;b&gt;CASTING&lt;/b&gt;&lt;/h5&gt;&lt;/div&gt;&lt;hr/&gt;&lt;div&gt;&lt;h5&gt;&lt;b&gt;Casting Time &lt;/b&gt;1 standard action&lt;/h5&gt;&lt;h5&gt;&lt;b&gt;Components &lt;/b&gt;V, S, M (puppet strings)&lt;/h5&gt;&lt;/div&gt;&lt;hr/&gt;&lt;div&gt;&lt;h5&gt;&lt;b&gt;EFFECT&lt;/b&gt;&lt;/h5&gt;&lt;/div&gt;&lt;hr/&gt;&lt;div&gt;&lt;h5&gt;&lt;b&gt;Range &lt;/b&gt;long (400 ft. + 40 ft./level)&lt;/h5&gt;&lt;h5&gt;&lt;b&gt;Targets &lt;/b&gt;one creature&lt;/h5&gt;&lt;h5&gt;&lt;b&gt;Duration &lt;/b&gt;1 round/level (D)&lt;/h5&gt;&lt;h5&gt;&lt;b&gt;Saving Throw &lt;/b&gt;Fortitude partial; &lt;b&gt;Spell Resistance &lt;/b&gt;yes&lt;/h5&gt;&lt;/div&gt;&lt;hr/&gt;&lt;div&gt;&lt;h5&gt;&lt;b&gt;DESCRIPTION&lt;/b&gt;&lt;/h5&gt;&lt;/div&gt;&lt;hr/&gt;&lt;div&gt;&lt;h4&gt;&lt;p&gt;You grab a creature with telekinesis and use it to batter nearby opponents or objects. You must target a specific creature when casting this spell and once you select that creature you cannot switch to another. Each round, as a standard action, you can attempt to hurl the target at any creature or object within 30 feet of it. You must make an attack roll whenever you use the target as a weapon. The attack bonus for this attack is equal to your caster level plus either your Intelligence or Charisma modifier (whichever is higher). If you successfully hit the new target with the creature both it and the creature take damage based on the creature's size.&lt;/p&gt; &lt;table border ='1'&gt;&lt;tr&gt;&lt;th&gt;Creature Size&lt;/th&gt;&lt;th&gt;Damage Dealt&lt;/th&gt;&lt;/tr&gt;&lt;tr&gt;&lt;td&gt;Fine&lt;/td&gt;&lt;td&gt;1d4&lt;/td&gt;&lt;/tr&gt;&lt;tr&gt;&lt;td&gt;Diminutive&lt;/td&gt;&lt;td&gt;1d6&lt;/td&gt;&lt;/tr&gt;&lt;tr&gt;&lt;td&gt;Tiny&lt;/td&gt;&lt;td&gt;1d8&lt;/td&gt;&lt;/tr&gt;&lt;tr&gt;&lt;td&gt;Small&lt;/td&gt;&lt;td&gt;1d10&lt;/td&gt;&lt;/tr&gt;&lt;tr&gt;&lt;td&gt;Medium&lt;/td&gt;&lt;td&gt;2d6&lt;/td&gt;&lt;/tr&gt;&lt;tr&gt;&lt;td&gt;Large&lt;/td&gt;&lt;td&gt;2d8&lt;/td&gt;&lt;/tr&gt;&lt;tr&gt;&lt;td&gt;Huge&lt;/td&gt;&lt;td&gt;2d10&lt;/td&gt;&lt;/tr&gt;&lt;tr&gt;&lt;td&gt;Gargantuan&lt;/td&gt;&lt;td&gt;3d6&lt;/td&gt;&lt;/tr&gt;&lt;tr&gt;&lt;td&gt;Colossal&lt;/td&gt;&lt;td&gt;3d8&lt;/td&gt;&lt;/tr&gt;&lt;/table&gt; The target creature can make a Fortitude saving throw each time you attempt to use it as a weapon. If it makes its saving throw it can act normally, but if it fails its save it loses all actions for the round and ends its turn prone in a square adjacent to the target of your attack. However, if the creature chooses to resist your efforts to move it, taking no other actions for the round, it gets a +4 circumstance bonus on its saving throw. The spell ends immediately if the target creature dies or is destroyed.&lt;/p&gt;&lt;/h4&gt;&lt;h5&gt;&lt;b&gt;Mythic: &lt;/b&gt;The target becomes entangled whether or not it succeeds at its saving throw. When using the target as a weapon, add half your tier to your attack roll, and add your tier to the damage roll.&lt;/h5&gt;&lt;h5&gt;&lt;b&gt;Augmented (3rd)&lt;/b&gt;: If you expend two uses of mythic power, when you use the target to hit a creature, you can attempt a free bull rush combat maneuver against that creature. Your CMB for this maneuver is equal to your attack bonus for mythic enemy hammer, except you add your tier instead of half your tier.&lt;/h5&gt;&lt;/div&gt;</t>
  </si>
  <si>
    <t>Allows you to telekinetically use a creature as a weapon.</t>
  </si>
  <si>
    <t>The target becomes entangled whether or not it succeeds at its saving throw. When using the target as a weapon, add half your tier to your attack roll, and add your tier to the damage roll.</t>
  </si>
  <si>
    <t>Augmented (3rd): If you expend two uses of mythic power, when you use the target to hit a creature, you can attempt a free bull rush combat maneuver against that creature. Your CMB for this maneuver is equal to your attack bonus for mythic enemy hammer, except you add your tier instead of half your tier.</t>
  </si>
  <si>
    <t>Enter Image</t>
  </si>
  <si>
    <t>bard 2, cleric 3/oracle 3, sorcerer/wizard 3</t>
  </si>
  <si>
    <t>V, S, M/DF (a drop of paint and a ball of clay)</t>
  </si>
  <si>
    <t>50 ft./level</t>
  </si>
  <si>
    <t>transfer consciousness to any object bearing your likeness</t>
  </si>
  <si>
    <t>You gain a dim impression of the activities around any object bearing your face or form and can also project your consciousness into one such object at a time, allowing you to observe or even interact with nearby creatures. This spell allows you to leave your body and subconsciously monitor the immediate area around any depiction of your image whether one, hundreds, or even thousands. Each such image has the full range of your normal senses (sight, hearing, smell, etc.) and you can make a Perception check to notice anything occurring nearby. The DC of this check is always 10 greater than what it would be if you were actually present at that location, so even if you would normally notice something automatically (such as talking, normally a DC of 0), you would need to make a DC 10 Perception check to notice it. You may, at any time, choose to fill one specific image within range with your consciousness. While inside an image you lose the ability to monitor any other images within range but remain fully aware of your own body's surroundings. Your body is defenseless and helpless (always failing any saving throw) while your consciousness is filling an image, but you can return to it at any time as an immediate action. When you fill an image with your consciousness it gains a limited form of animation. Statues and similar three-dimensional representations can move their heads, make gestures, and talk, but cannot attack or leave their square without assistance. Portraits or similar two-dimensional representations bearing your likeness can also talk and your image can move anywhere within the picture or even temporarily alter it (such as by picking a flower in the painting). You cannot use any spells or other abilities while within an image. You may leave the image at any time, returning you to your body. Once your consciousness departs from an object bearing your likeness, it immediately reverts to the appearance it had before you entered it. If someone destroys or damages the image you return to your body unharmed. The spell lasts until you cease concentrating, or until it is terminated by some outside means, such as a dispel magic cast upon either the image or your body, or if your body is killed.</t>
  </si>
  <si>
    <t>&lt;p&gt;You gain a dim impression of the activities around any object bearing your face or form and can also project your consciousness into one such object at a time, allowing you to observe or even interact with nearby creatures. This spell allows you to leave your body and subconsciously monitor the immediate area around any depiction of your image whether one, hundreds, or even thousands. Each such image has the full range of your normal senses (sight, hearing, smell, etc.) and you can make a Perception check to notice anything occurring nearby. The DC of this check is always 10 greater than what it would be if you were actually present at that location, so even if you would normally notice something automatically (such as talking, normally a DC of 0), you would need to make a DC 10 Perception check to notice it.&lt;/p&gt;&lt;p&gt;You may, at any time, choose to fill one specific image within range with your consciousness. While inside an image you lose the ability to monitor any other images within range but remain fully aware of your own body's surroundings. Your body is defenseless and helpless (always failing any saving throw) while your consciousness is filling an image, but you can return to it at any time as an immediate action.&lt;/p&gt;&lt;p&gt;When you fill an image with your consciousness it gains a limited form of animation. Statues and similar three-dimensional representations can move their heads, make gestures, and talk, but cannot attack or leave their square without assistance.&lt;/p&gt;&lt;p&gt;Portraits or similar two-dimensional representations bearing your likeness can also talk and your image can move anywhere within the picture or even temporarily alter it (such as by picking a flower in the painting). You cannot use any spells or other abilities while within an image.&lt;/p&gt;&lt;p&gt;You may leave the image at any time, returning you to your body. Once your consciousness departs from an object bearing your likeness, it immediately reverts to the appearance it had before you entered it. If someone destroys or damages the image you return to your body unharmed. The spell lasts until you cease concentrating, or until it is terminated by some outside means, such as a &lt;i&gt;dispel magic&lt;/i&gt; cast upon either the image or your body, or if your body is killed.&lt;/p&gt;</t>
  </si>
  <si>
    <t>&lt;link rel="stylesheet"href="PF.css"&gt;&lt;div class="heading"&gt;&lt;p class="alignleft"&gt;Enter Image&lt;/p&gt;&lt;div style="clear: both;"&gt;&lt;/div&gt;&lt;/div&gt;&lt;div&gt;&lt;h5&gt;&lt;b&gt;School &lt;/b&gt;transmutation; &lt;b&gt;Level &lt;/b&gt;bard 2, cleric 3/oracle 3, sorcerer/wizard 3&lt;/h5&gt;&lt;/div&gt;&lt;hr/&gt;&lt;div&gt;&lt;h5&gt;&lt;b&gt;CASTING&lt;/b&gt;&lt;/h5&gt;&lt;/div&gt;&lt;hr/&gt;&lt;div&gt;&lt;h5&gt;&lt;b&gt;Casting Time &lt;/b&gt;1 standard action&lt;/h5&gt;&lt;h5&gt;&lt;b&gt;Components &lt;/b&gt;V, S, M/DF (a drop of paint and a ball of clay)&lt;/h5&gt;&lt;/div&gt;&lt;hr/&gt;&lt;div&gt;&lt;h5&gt;&lt;b&gt;EFFECT&lt;/b&gt;&lt;/h5&gt;&lt;/div&gt;&lt;hr/&gt;&lt;div&gt;&lt;h5&gt;&lt;b&gt;Range &lt;/b&gt;50 ft./level&lt;/h5&gt;&lt;h5&gt;&lt;b&gt;Effect &lt;/b&gt;transfer consciousness to any object bearing your likeness&lt;/h5&gt;&lt;h5&gt;&lt;b&gt;Duration &lt;/b&gt;concentration&lt;/h5&gt;&lt;h5&gt;&lt;b&gt;Saving Throw &lt;/b&gt;none; &lt;b&gt;Spell Resistance &lt;/b&gt;no&lt;/h5&gt;&lt;/div&gt;&lt;hr/&gt;&lt;div&gt;&lt;h5&gt;&lt;b&gt;DESCRIPTION&lt;/b&gt;&lt;/h5&gt;&lt;/div&gt;&lt;hr/&gt;&lt;div&gt;&lt;h4&gt;&lt;p&gt;You gain a dim impression of the activities around any object bearing your face or form and can also project your consciousness into one such object at a time, allowing you to observe or even interact with nearby creatures. This spell allows you to leave your body and subconsciously monitor the immediate area around any depiction of your image whether one, hundreds, or even thousands. Each such image has the full range of your normal senses (sight, hearing, smell, etc.) and you can make a Perception check to notice anything occurring nearby. The DC of this check is always 10 greater than what it would be if you were actually present at that location, so even if you would normally notice something automatically (such as talking, normally a DC of 0), you would need to make a DC 10 Perception check to notice it.&lt;/p&gt;&lt;p&gt;You may, at any time, choose to fill one specific image within range with your consciousness. While inside an image you lose the ability to monitor any other images within range but remain fully aware of your own body's surroundings. Your body is defenseless and helpless (always failing any saving throw) while your consciousness is filling an image, but you can return to it at any time as an immediate action.&lt;/p&gt;&lt;p&gt;When you fill an image with your consciousness it gains a limited form of animation. Statues and similar three-dimensional representations can move their heads, make gestures, and talk, but cannot attack or leave their square without assistance.&lt;/p&gt;&lt;p&gt;Portraits or similar two-dimensional representations bearing your likeness can also talk and your image can move anywhere within the picture or even temporarily alter it (such as by picking a flower in the painting). You cannot use any spells or other abilities while within an image.&lt;/p&gt;&lt;p&gt;You may leave the image at any time, returning you to your body. Once your consciousness departs from an object bearing your likeness, it immediately reverts to the appearance it had before you entered it. If someone destroys or damages the image you return to your body unharmed. The spell lasts until you cease concentrating, or until it is terminated by some outside means, such as a &lt;i&gt;dispel magic&lt;/i&gt; cast upon either the image or your body, or if your body is killed.&lt;/p&gt;&lt;/h4&gt;&lt;/div&gt;</t>
  </si>
  <si>
    <t>Transfers your consciousness to an object bearing your likeness.</t>
  </si>
  <si>
    <t>Euphoric Tranquility</t>
  </si>
  <si>
    <t>bard 6, cleric 8/oracle 8, druid 8, sorcerer/wizard 8</t>
  </si>
  <si>
    <t>V, S, M/DF (a poppy flower)</t>
  </si>
  <si>
    <t>none and Will partial (see below)</t>
  </si>
  <si>
    <t>A creature under the effect of this enchantment enters a state of euphoria. The target treats all creatures as dear friends and abhors violence, but may rise up to protect itself if violence is perpetrated against it. Until the end of the spell's duration, the creature's speed is halved, and it cannot make attacks or cast spells. If the creature is attacked, it gets a Will saving throw. If the saving throw succeeds, the creature can make act normally for 1 round. If the saving throw fails, the creature moves half its speed away from the attacker as its next action. Furthermore, if the creature is interacted with, or questioned while under the effects of this spell, it is considered to have an attitude of Helpful (see the Diplomacy skill, Core Rulebook 94), though any advice or answers it gives may be disjointed or stream of consciousness due to its euphoric state.</t>
  </si>
  <si>
    <t>&lt;p&gt;A creature under the effect of this enchantment enters a state of euphoria. The target treats all creatures as dear friends and abhors violence, but may rise up to protect itself if violence is perpetrated against it. Until the end of the spell's duration, the creature's speed is halved, and it cannot make attacks or cast spells. If the creature is attacked, it gets a Will saving throw. If the saving throw succeeds, the creature can make act normally for 1 round. If the saving throw fails, the creature moves half its speed away from the attacker as its next action.&lt;/p&gt;&lt;p&gt;Furthermore, if the creature is interacted with, or questioned while under the effects of this spell, it is considered to have an attitude of Helpful (see the Diplomacy skill, &lt;i&gt;Core Rulebook&lt;/i&gt; 94), though any advice or answers it gives may be disjointed or stream of consciousness due to its euphoric state.&lt;/p&gt;</t>
  </si>
  <si>
    <t>&lt;link rel="stylesheet"href="PF.css"&gt;&lt;div class="heading"&gt;&lt;p class="alignleft"&gt;Euphoric Tranquility&lt;/p&gt;&lt;div style="clear: both;"&gt;&lt;/div&gt;&lt;/div&gt;&lt;div&gt;&lt;h5&gt;&lt;b&gt;School &lt;/b&gt;enchantment (compulsion) [mind-affecting, emotion]; &lt;b&gt;Level &lt;/b&gt;bard 6, cleric 8/oracle 8, druid 8, sorcerer/wizard 8&lt;/h5&gt;&lt;/div&gt;&lt;hr/&gt;&lt;div&gt;&lt;h5&gt;&lt;b&gt;CASTING&lt;/b&gt;&lt;/h5&gt;&lt;/div&gt;&lt;hr/&gt;&lt;div&gt;&lt;h5&gt;&lt;b&gt;Casting Time &lt;/b&gt;1 standard action&lt;/h5&gt;&lt;h5&gt;&lt;b&gt;Components &lt;/b&gt;V, S, M/DF (a poppy flower)&lt;/h5&gt;&lt;/div&gt;&lt;hr/&gt;&lt;div&gt;&lt;h5&gt;&lt;b&gt;EFFECT&lt;/b&gt;&lt;/h5&gt;&lt;/div&gt;&lt;hr/&gt;&lt;div&gt;&lt;h5&gt;&lt;b&gt;Range &lt;/b&gt;touch&lt;/h5&gt;&lt;h5&gt;&lt;b&gt;Targets &lt;/b&gt;creature touched&lt;/h5&gt;&lt;h5&gt;&lt;b&gt;Duration &lt;/b&gt;1 round/level&lt;/h5&gt;&lt;h5&gt;&lt;b&gt;Saving Throw &lt;/b&gt;none and Will partial (see below); &lt;b&gt;Spell Resistance &lt;/b&gt;yes&lt;/h5&gt;&lt;/div&gt;&lt;hr/&gt;&lt;div&gt;&lt;h5&gt;&lt;b&gt;DESCRIPTION&lt;/b&gt;&lt;/h5&gt;&lt;/div&gt;&lt;hr/&gt;&lt;div&gt;&lt;h4&gt;&lt;p&gt;A creature under the effect of this enchantment enters a state of euphoria. The target treats all creatures as dear friends and abhors violence, but may rise up to protect itself if violence is perpetrated against it. Until the end of the spell's duration, the creature's speed is halved, and it cannot make attacks or cast spells. If the creature is attacked, it gets a Will saving throw. If the saving throw succeeds, the creature can make act normally for 1 round. If the saving throw fails, the creature moves half its speed away from the attacker as its next action.&lt;/p&gt;&lt;p&gt;Furthermore, if the creature is interacted with, or questioned while under the effects of this spell, it is considered to have an attitude of Helpful (see the Diplomacy skill, &lt;i&gt;Core Rulebook&lt;/i&gt; 94), though any advice or answers it gives may be disjointed or stream of consciousness due to its euphoric state.&lt;/p&gt;&lt;/h4&gt;&lt;/div&gt;</t>
  </si>
  <si>
    <t>Love</t>
  </si>
  <si>
    <t>Makes a single creature peaceful and friendly.</t>
  </si>
  <si>
    <t>Ancestors, Enchantment, Peace, Stars</t>
  </si>
  <si>
    <t>Evolution Surge, Lesser</t>
  </si>
  <si>
    <t>summoner 2</t>
  </si>
  <si>
    <t>your eidolon</t>
  </si>
  <si>
    <t>This spell causes your eidolon to take on new characteristics. You can grant the eidolon any evolution whose total cost does not exceed 2 evolution points. You may only grant one evolution with this spell, even if that evolution can be taken multiple times. You can grant an evolution that allows you to spend additional evolution points to upgrade that evolution. This spell cannot be used to grant an upgrade to an evolution that the eidolon already possesses. The eidolon must meet any prerequisites of the selected evolution. This spell does not allow an eidolon to exceed its maximum number of natural attacks.</t>
  </si>
  <si>
    <t>&lt;p&gt;This spell causes your eidolon to take on new characteristics.&lt;/p&gt;&lt;p&gt;You can grant the eidolon any evolution whose total cost does not exceed 2 evolution points. You may only grant one evolution with this spell, even if that evolution can be taken multiple times.&lt;/p&gt;&lt;p&gt;You can grant an evolution that allows you to spend additional evolution points to upgrade that evolution. This spell cannot be used to grant an upgrade to an evolution that the eidolon already possesses. The eidolon must meet any prerequisites of the selected evolution. This spell does not allow an eidolon to exceed its maximum number of natural attacks.&lt;/p&gt;</t>
  </si>
  <si>
    <t>&lt;link rel="stylesheet"href="PF.css"&gt;&lt;div class="heading"&gt;&lt;p class="alignleft"&gt;Evolution Surge, Lesser&lt;/p&gt;&lt;div style="clear: both;"&gt;&lt;/div&gt;&lt;/div&gt;&lt;div&gt;&lt;h5&gt;&lt;b&gt;School &lt;/b&gt;transmutation; &lt;b&gt;Level &lt;/b&gt;summoner 2&lt;/h5&gt;&lt;/div&gt;&lt;hr/&gt;&lt;div&gt;&lt;h5&gt;&lt;b&gt;CASTING&lt;/b&gt;&lt;/h5&gt;&lt;/div&gt;&lt;hr/&gt;&lt;div&gt;&lt;h5&gt;&lt;b&gt;Casting Time &lt;/b&gt;1 standard action&lt;/h5&gt;&lt;h5&gt;&lt;b&gt;Components &lt;/b&gt;V, S, M (a chameleon scale)&lt;/h5&gt;&lt;/div&gt;&lt;hr/&gt;&lt;div&gt;&lt;h5&gt;&lt;b&gt;EFFECT&lt;/b&gt;&lt;/h5&gt;&lt;/div&gt;&lt;hr/&gt;&lt;div&gt;&lt;h5&gt;&lt;b&gt;Range &lt;/b&gt;touch&lt;/h5&gt;&lt;h5&gt;&lt;b&gt;Targets &lt;/b&gt;your eidolon&lt;/h5&gt;&lt;h5&gt;&lt;b&gt;Duration &lt;/b&gt;1 minute/level&lt;/h5&gt;&lt;h5&gt;&lt;b&gt;Saving Throw &lt;/b&gt;Will negates (harmless); &lt;b&gt;Spell Resistance &lt;/b&gt;no&lt;/h5&gt;&lt;/div&gt;&lt;hr/&gt;&lt;div&gt;&lt;h5&gt;&lt;b&gt;DESCRIPTION&lt;/b&gt;&lt;/h5&gt;&lt;/div&gt;&lt;hr/&gt;&lt;div&gt;&lt;h4&gt;&lt;p&gt;This spell causes your eidolon to take on new characteristics.&lt;/p&gt;&lt;p&gt;You can grant the eidolon any evolution whose total cost does not exceed 2 evolution points. You may only grant one evolution with this spell, even if that evolution can be taken multiple times.&lt;/p&gt;&lt;p&gt;You can grant an evolution that allows you to spend additional evolution points to upgrade that evolution. This spell cannot be used to grant an upgrade to an evolution that the eidolon already possesses. The eidolon must meet any prerequisites of the selected evolution. This spell does not allow an eidolon to exceed its maximum number of natural attacks.&lt;/p&gt;&lt;/h4&gt;&lt;/div&gt;</t>
  </si>
  <si>
    <t>Grants eidolon an evolution with 2 evolution points.</t>
  </si>
  <si>
    <t>Evolution Surge</t>
  </si>
  <si>
    <t>summoner 3</t>
  </si>
  <si>
    <t>This spell functions as lesser evolution surge, except that you can grant any evolution whose total cost does not exceed 4 evolution points.</t>
  </si>
  <si>
    <t>&lt;p&gt;This spell functions as &lt;i&gt;lesser evolution surge&lt;/i&gt;, except that you can grant any evolution whose total cost does not exceed 4 evolution points.&lt;/p&gt;</t>
  </si>
  <si>
    <t>&lt;link rel="stylesheet"href="PF.css"&gt;&lt;div class="heading"&gt;&lt;p class="alignleft"&gt;Evolution Surge&lt;/p&gt;&lt;div style="clear: both;"&gt;&lt;/div&gt;&lt;/div&gt;&lt;div&gt;&lt;h5&gt;&lt;b&gt;School &lt;/b&gt;transmutation; &lt;b&gt;Level &lt;/b&gt;summoner 3&lt;/h5&gt;&lt;/div&gt;&lt;hr/&gt;&lt;div&gt;&lt;h5&gt;&lt;b&gt;CASTING&lt;/b&gt;&lt;/h5&gt;&lt;/div&gt;&lt;hr/&gt;&lt;div&gt;&lt;h5&gt;&lt;b&gt;Casting Time &lt;/b&gt;1 standard action&lt;/h5&gt;&lt;h5&gt;&lt;b&gt;Components &lt;/b&gt;V, S, M (a chameleon scale)&lt;/h5&gt;&lt;/div&gt;&lt;hr/&gt;&lt;div&gt;&lt;h5&gt;&lt;b&gt;EFFECT&lt;/b&gt;&lt;/h5&gt;&lt;/div&gt;&lt;hr/&gt;&lt;div&gt;&lt;h5&gt;&lt;b&gt;Range &lt;/b&gt;touch&lt;/h5&gt;&lt;h5&gt;&lt;b&gt;Targets &lt;/b&gt;your eidolon&lt;/h5&gt;&lt;h5&gt;&lt;b&gt;Duration &lt;/b&gt;1 minute/level&lt;/h5&gt;&lt;h5&gt;&lt;b&gt;Saving Throw &lt;/b&gt;Will negates (harmless); &lt;b&gt;Spell Resistance &lt;/b&gt;no&lt;/h5&gt;&lt;/div&gt;&lt;hr/&gt;&lt;div&gt;&lt;h5&gt;&lt;b&gt;DESCRIPTION&lt;/b&gt;&lt;/h5&gt;&lt;/div&gt;&lt;hr/&gt;&lt;div&gt;&lt;h4&gt;&lt;p&gt;This spell functions as &lt;i&gt;lesser evolution surge&lt;/i&gt;, except that you can grant any evolution whose total cost does not exceed 4 evolution points.&lt;/p&gt;&lt;/h4&gt;&lt;/div&gt;</t>
  </si>
  <si>
    <t>Grants eidolon an evolution with 4 evolution points.</t>
  </si>
  <si>
    <t>Evolution Surge, Greater</t>
  </si>
  <si>
    <t>summoner 4</t>
  </si>
  <si>
    <t>This spell functions as lesser evolution surge, except that you can grant any two evolutions whose total cost does not exceed 6 evolution points.</t>
  </si>
  <si>
    <t>&lt;p&gt;This spell functions as &lt;i&gt;lesser evolution surge&lt;/i&gt;, except that you can grant any two evolutions whose total cost does not exceed 6 evolution points.&lt;/p&gt;</t>
  </si>
  <si>
    <t>&lt;link rel="stylesheet"href="PF.css"&gt;&lt;div class="heading"&gt;&lt;p class="alignleft"&gt;Evolution Surge, Greater&lt;/p&gt;&lt;div style="clear: both;"&gt;&lt;/div&gt;&lt;/div&gt;&lt;div&gt;&lt;h5&gt;&lt;b&gt;School &lt;/b&gt;transmutation; &lt;b&gt;Level &lt;/b&gt;summoner 4&lt;/h5&gt;&lt;/div&gt;&lt;hr/&gt;&lt;div&gt;&lt;h5&gt;&lt;b&gt;CASTING&lt;/b&gt;&lt;/h5&gt;&lt;/div&gt;&lt;hr/&gt;&lt;div&gt;&lt;h5&gt;&lt;b&gt;Casting Time &lt;/b&gt;1 standard action&lt;/h5&gt;&lt;h5&gt;&lt;b&gt;Components &lt;/b&gt;V, S, M (a chameleon scale)&lt;/h5&gt;&lt;/div&gt;&lt;hr/&gt;&lt;div&gt;&lt;h5&gt;&lt;b&gt;EFFECT&lt;/b&gt;&lt;/h5&gt;&lt;/div&gt;&lt;hr/&gt;&lt;div&gt;&lt;h5&gt;&lt;b&gt;Range &lt;/b&gt;touch&lt;/h5&gt;&lt;h5&gt;&lt;b&gt;Targets &lt;/b&gt;your eidolon&lt;/h5&gt;&lt;h5&gt;&lt;b&gt;Duration &lt;/b&gt;1 minute/level&lt;/h5&gt;&lt;h5&gt;&lt;b&gt;Saving Throw &lt;/b&gt;Will negates (harmless); &lt;b&gt;Spell Resistance &lt;/b&gt;no&lt;/h5&gt;&lt;/div&gt;&lt;hr/&gt;&lt;div&gt;&lt;h5&gt;&lt;b&gt;DESCRIPTION&lt;/b&gt;&lt;/h5&gt;&lt;/div&gt;&lt;hr/&gt;&lt;div&gt;&lt;h4&gt;&lt;p&gt;This spell functions as &lt;i&gt;lesser evolution surge&lt;/i&gt;, except that you can grant any two evolutions whose total cost does not exceed 6 evolution points.&lt;/p&gt;&lt;/h4&gt;&lt;/div&gt;</t>
  </si>
  <si>
    <t>Grants eidolon two evolutions with a total of 6 evolution points.</t>
  </si>
  <si>
    <t>Expeditious Excavation</t>
  </si>
  <si>
    <t>V, S, M (tiny shovel)</t>
  </si>
  <si>
    <t>dirt in a 5-ft. cube</t>
  </si>
  <si>
    <t>You can excavate and move earth, dust, and sand up to the size of a 5-foot cube. If you are buried, you may open a 5-foot cube around yourself, but the spell cannot be used for tunneling. Besides its mundane applications, you can open a 5-foot-deep pit at a creature's feet. A Medium or smaller creature falls prone in the pit unless it succeeds on a Reflex save. With a successful save, it can choose to land harmlessly on its feet in the pit or hop to an adjacent square; this movement does not provoke attacks of opportunity. A creature can escape a 5-foot-deep pit with a DC 5 Climb check. Larger creatures may ignore pits smaller than their size. The earth excavated by this spell is ordinarily distributed harmlessly across the spell's range, but you may choose to throw up a burst of grit and debris when you dig a pit. This cloud of debris provides concealment to any creatures in the square affected and all adjacent squares for 1 round. Expeditious excavation has no effect on solid rock or earth creatures.</t>
  </si>
  <si>
    <t>&lt;p&gt;You can excavate and move earth, dust, and sand up to the size of a 5-foot cube. If you are buried, you may open a 5-foot cube around yourself, but the spell cannot be used for tunneling.&lt;/p&gt;&lt;p&gt;Besides its mundane applications, you can open a 5-foot-deep pit at a creature's feet. A Medium or smaller creature falls prone in the pit unless it succeeds on a Reflex save. With a successful save, it can choose to land harmlessly on its feet in the pit or hop to an adjacent square; this movement does not provoke attacks of opportunity. A creature can escape a 5-foot-deep pit with a DC 5 Climb check. Larger creatures may ignore pits smaller than their size.&lt;/p&gt;&lt;p&gt;The earth excavated by this spell is ordinarily distributed harmlessly across the spell's range, but you may choose to throw up a burst of grit and debris when you dig a pit. This cloud of debris provides concealment to any creatures in the square affected and all adjacent squares for 1 round. &lt;i&gt;Expeditious excavation&lt;/i&gt; has no effect on solid rock or earth creatures.&lt;/p&gt;</t>
  </si>
  <si>
    <t>&lt;link rel="stylesheet"href="PF.css"&gt;&lt;div class="heading"&gt;&lt;p class="alignleft"&gt;Expeditious Excavation&lt;/p&gt;&lt;div style="clear: both;"&gt;&lt;/div&gt;&lt;/div&gt;&lt;div&gt;&lt;h5&gt;&lt;b&gt;School &lt;/b&gt;transmutation [earth]; &lt;b&gt;Level &lt;/b&gt;druid 1, sorcerer/wizard 1&lt;/h5&gt;&lt;/div&gt;&lt;hr/&gt;&lt;div&gt;&lt;h5&gt;&lt;b&gt;CASTING&lt;/b&gt;&lt;/h5&gt;&lt;/div&gt;&lt;hr/&gt;&lt;div&gt;&lt;h5&gt;&lt;b&gt;Casting Time &lt;/b&gt;1 standard action&lt;/h5&gt;&lt;h5&gt;&lt;b&gt;Components &lt;/b&gt;V, S, M (tiny shovel)&lt;/h5&gt;&lt;/div&gt;&lt;hr/&gt;&lt;div&gt;&lt;h5&gt;&lt;b&gt;EFFECT&lt;/b&gt;&lt;/h5&gt;&lt;/div&gt;&lt;hr/&gt;&lt;div&gt;&lt;h5&gt;&lt;b&gt;Range &lt;/b&gt;close (25 ft. + 5 ft./2 levels)&lt;/h5&gt;&lt;h5&gt;&lt;b&gt;Area &lt;/b&gt;dirt in a 5-ft. cube&lt;/h5&gt;&lt;h5&gt;&lt;b&gt;Duration &lt;/b&gt;instantaneous&lt;/h5&gt;&lt;h5&gt;&lt;b&gt;Saving Throw &lt;/b&gt;see text; &lt;b&gt;Spell Resistance &lt;/b&gt;no&lt;/h5&gt;&lt;/div&gt;&lt;hr/&gt;&lt;div&gt;&lt;h5&gt;&lt;b&gt;DESCRIPTION&lt;/b&gt;&lt;/h5&gt;&lt;/div&gt;&lt;hr/&gt;&lt;div&gt;&lt;h4&gt;&lt;p&gt;You can excavate and move earth, dust, and sand up to the size of a 5-foot cube. If you are buried, you may open a 5-foot cube around yourself, but the spell cannot be used for tunneling.&lt;/p&gt;&lt;p&gt;Besides its mundane applications, you can open a 5-foot-deep pit at a creature's feet. A Medium or smaller creature falls prone in the pit unless it succeeds on a Reflex save. With a successful save, it can choose to land harmlessly on its feet in the pit or hop to an adjacent square; this movement does not provoke attacks of opportunity. A creature can escape a 5-foot-deep pit with a DC 5 Climb check. Larger creatures may ignore pits smaller than their size.&lt;/p&gt;&lt;p&gt;The earth excavated by this spell is ordinarily distributed harmlessly across the spell's range, but you may choose to throw up a burst of grit and debris when you dig a pit. This cloud of debris provides concealment to any creatures in the square affected and all adjacent squares for 1 round. &lt;i&gt;Expeditious excavation&lt;/i&gt; has no effect on solid rock or earth creatures.&lt;/p&gt;&lt;/h4&gt;&lt;/div&gt;</t>
  </si>
  <si>
    <t>Moves 5-ft. cubes of earth.</t>
  </si>
  <si>
    <t>Expend</t>
  </si>
  <si>
    <t>V, S, M (miniature broken hourglass)</t>
  </si>
  <si>
    <t>You cause all creatures in the affected area to use up one or more of their limited-use magical abilities without any actual effect. A limited-use magical ability is any supernatural or spelllike ability which a creature can only activate a certain number of times during a set interval (3/day, 1/hour, etc.). The spell does not affect abilities which the creature can use at will or which are constant. It also does not apply to magical items or anything else external to a creature. A creature in the spell's area must make a Will saving throw or expend a single use of one of its abilities. Abilities with the greatest number of uses per day are affected first; if more than one ability has the same number of uses, randomly determine which one is affected first. Creatures must continue making Will saves, expending an additional use of an ability for each failed save, until they succeed, at which point the spell has no further effect.</t>
  </si>
  <si>
    <t>&lt;p&gt;You cause all creatures in the affected area to use up one or more of their limited-use magical abilities without any actual effect. A limited-use magical ability is any supernatural or spelllike ability which a creature can only activate a certain number of times during a set interval (3/day, 1/hour, etc.). The spell does not affect abilities which the creature can use at will or which are constant. It also does not apply to magical items or anything else external to a creature. A creature in the spell's area must make a Will saving throw or expend a single use of one of its abilities. Abilities with the greatest number of uses per day are affected first; if more than one ability has the same number of uses, randomly determine which one is affected first. Creatures must continue making Will saves, expending an additional use of an ability for each failed save, until they succeed, at which point the spell has no further effect.&lt;/p&gt;</t>
  </si>
  <si>
    <t>&lt;link rel="stylesheet"href="PF.css"&gt;&lt;div class="heading"&gt;&lt;p class="alignleft"&gt;Expend&lt;/p&gt;&lt;div style="clear: both;"&gt;&lt;/div&gt;&lt;/div&gt;&lt;div&gt;&lt;h5&gt;&lt;b&gt;School &lt;/b&gt;abjuration; &lt;b&gt;Level &lt;/b&gt;sorcerer/wizard 7&lt;/h5&gt;&lt;/div&gt;&lt;hr/&gt;&lt;div&gt;&lt;h5&gt;&lt;b&gt;CASTING&lt;/b&gt;&lt;/h5&gt;&lt;/div&gt;&lt;hr/&gt;&lt;div&gt;&lt;h5&gt;&lt;b&gt;Casting Time &lt;/b&gt;1 standard action&lt;/h5&gt;&lt;h5&gt;&lt;b&gt;Components &lt;/b&gt;V, S, M (miniature broken hourglass)&lt;/h5&gt;&lt;/div&gt;&lt;hr/&gt;&lt;div&gt;&lt;h5&gt;&lt;b&gt;EFFECT&lt;/b&gt;&lt;/h5&gt;&lt;/div&gt;&lt;hr/&gt;&lt;div&gt;&lt;h5&gt;&lt;b&gt;Range &lt;/b&gt;medium (100 ft. + 10 ft./level)&lt;/h5&gt;&lt;h5&gt;&lt;b&gt;Area &lt;/b&gt;20-ft.-radius burst&lt;/h5&gt;&lt;h5&gt;&lt;b&gt;Duration &lt;/b&gt;instantaneous&lt;/h5&gt;&lt;h5&gt;&lt;b&gt;Saving Throw &lt;/b&gt;Will negates; &lt;b&gt;Spell Resistance &lt;/b&gt;yes&lt;/h5&gt;&lt;/div&gt;&lt;hr/&gt;&lt;div&gt;&lt;h5&gt;&lt;b&gt;DESCRIPTION&lt;/b&gt;&lt;/h5&gt;&lt;/div&gt;&lt;hr/&gt;&lt;div&gt;&lt;h4&gt;&lt;p&gt;You cause all creatures in the affected area to use up one or more of their limited-use magical abilities without any actual effect. A limited-use magical ability is any supernatural or spelllike ability which a creature can only activate a certain number of times during a set interval (3/day, 1/hour, etc.). The spell does not affect abilities which the creature can use at will or which are constant. It also does not apply to magical items or anything else external to a creature. A creature in the spell's area must make a Will saving throw or expend a single use of one of its abilities. Abilities with the greatest number of uses per day are affected first; if more than one ability has the same number of uses, randomly determine which one is affected first. Creatures must continue making Will saves, expending an additional use of an ability for each failed save, until they succeed, at which point the spell has no further effect.&lt;/p&gt;&lt;/h4&gt;&lt;/div&gt;</t>
  </si>
  <si>
    <t>Wastes creatures' limited use magical ability.</t>
  </si>
  <si>
    <t>Feast Of Ashes</t>
  </si>
  <si>
    <t>druid 2, witch 2</t>
  </si>
  <si>
    <t>V, S, M (a pinch of ash)</t>
  </si>
  <si>
    <t>close (25 ft. + 5 ft/2 levels)</t>
  </si>
  <si>
    <t>2 days/level (D)</t>
  </si>
  <si>
    <t>You curse the target with a hunger no food can assuage. On a failed saving throw, the target begins to starve (see page 444 of the Core Rulebook). The effects of this spell cannot inflict more nonlethal damage than the target has hit points. No amount of eating can counter the effect and, further, even attempting to eat causes the target to become nauseated for 1 round unless they make a DC 12 Fortitude save. The target still experiences the other normal effects of anything consumed (such as poisons or potions). Feast of ashes can be removed with a break enchantment, limited wish, miracle, remove curse, or wish spell, but effects suffered as a result of starvation must be healed by normal means.</t>
  </si>
  <si>
    <t>&lt;p&gt;You curse the target with a hunger no food can assuage. On a failed saving throw, the target begins to starve (see page 444 of the &lt;i&gt;Core&lt;/i&gt; Rulebook). The effects of this spell cannot inflict more nonlethal damage than the target has hit points. No amount of eating can counter the effect and, further, even attempting to eat causes the target to become nauseated for 1 round unless they make a DC 12 Fortitude save. The target still experiences the other normal effects of anything consumed (such as poisons or potions).&lt;/p&gt;&lt;p&gt;&lt;i&gt;Feast of ashes&lt;/i&gt; can be removed with a &lt;i&gt;break enchantment&lt;/i&gt;, &lt;i&gt;limited &lt;i&gt;wish&lt;/i&gt;&lt;/i&gt;, &lt;i&gt;miracle&lt;/i&gt;, &lt;i&gt;remove curse&lt;/i&gt;, or &lt;i&gt;wish&lt;/i&gt; spell, but effects suffered as a result of starvation must be healed by normal means.&lt;/p&gt;</t>
  </si>
  <si>
    <t>&lt;link rel="stylesheet"href="PF.css"&gt;&lt;div class="heading"&gt;&lt;p class="alignleft"&gt;Feast Of Ashes&lt;/p&gt;&lt;div style="clear: both;"&gt;&lt;/div&gt;&lt;/div&gt;&lt;div&gt;&lt;h5&gt;&lt;b&gt;School &lt;/b&gt;transmutation; &lt;b&gt;Level &lt;/b&gt;druid 2, witch 2&lt;/h5&gt;&lt;/div&gt;&lt;hr/&gt;&lt;div&gt;&lt;h5&gt;&lt;b&gt;CASTING&lt;/b&gt;&lt;/h5&gt;&lt;/div&gt;&lt;hr/&gt;&lt;div&gt;&lt;h5&gt;&lt;b&gt;Casting Time &lt;/b&gt;1 standard action&lt;/h5&gt;&lt;h5&gt;&lt;b&gt;Components &lt;/b&gt;V, S, M (a pinch of ash)&lt;/h5&gt;&lt;/div&gt;&lt;hr/&gt;&lt;div&gt;&lt;h5&gt;&lt;b&gt;EFFECT&lt;/b&gt;&lt;/h5&gt;&lt;/div&gt;&lt;hr/&gt;&lt;div&gt;&lt;h5&gt;&lt;b&gt;Range &lt;/b&gt;close (25 ft. + 5 ft/2 levels)&lt;/h5&gt;&lt;h5&gt;&lt;b&gt;Targets &lt;/b&gt;one creature&lt;/h5&gt;&lt;h5&gt;&lt;b&gt;Duration &lt;/b&gt;2 days/level (D)&lt;/h5&gt;&lt;h5&gt;&lt;b&gt;Saving Throw &lt;/b&gt;Fortitude negates; &lt;b&gt;Spell Resistance &lt;/b&gt;yes&lt;/h5&gt;&lt;/div&gt;&lt;hr/&gt;&lt;div&gt;&lt;h5&gt;&lt;b&gt;DESCRIPTION&lt;/b&gt;&lt;/h5&gt;&lt;/div&gt;&lt;hr/&gt;&lt;div&gt;&lt;h4&gt;&lt;p&gt;You curse the target with a hunger no food can assuage. On a failed saving throw, the target begins to starve (see page 444 of the &lt;i&gt;Core&lt;/i&gt; Rulebook). The effects of this spell cannot inflict more nonlethal damage than the target has hit points. No amount of eating can counter the effect and, further, even attempting to eat causes the target to become nauseated for 1 round unless they make a DC 12 Fortitude save. The target still experiences the other normal effects of anything consumed (such as poisons or potions).&lt;/p&gt;&lt;p&gt;&lt;i&gt;Feast of ashes&lt;/i&gt; can be removed with a &lt;i&gt;break enchantment&lt;/i&gt;, &lt;i&gt;limited &lt;i&gt;wish&lt;/i&gt;&lt;/i&gt;, &lt;i&gt;miracle&lt;/i&gt;, &lt;i&gt;remove curse&lt;/i&gt;, or &lt;i&gt;wish&lt;/i&gt; spell, but effects suffered as a result of starvation must be healed by normal means.&lt;/p&gt;&lt;/h4&gt;&lt;h5&gt;&lt;b&gt;Mythic: &lt;/b&gt;On a failed save, the target immediately takes 1d6 points of nonlethal damage per tier. Add your tier to the DC of any further Constitution checks the target attempts to resist the effects of starvation as part of this spell's effects. While the curse is in effect, the target gains no benefit from any spell, effect, or item that requires eating, such as the food from a heroes' feast spell (though the food is still used up when the target eats it).&lt;/h5&gt;&lt;/div&gt;</t>
  </si>
  <si>
    <t>A target starves with an insatiable hunger.</t>
  </si>
  <si>
    <t>On a failed save, the target immediately takes 1d6 points of nonlethal damage per tier. Add your tier to the DC of any further Constitution checks the target attempts to resist the effects of starvation as part of this spell's effects. While the curse is in effect, the target gains no benefit from any spell, effect, or item that requires eating, such as the food from a heroes' feast spell (though the food is still used up when the target eats it).</t>
  </si>
  <si>
    <t>Feather Step</t>
  </si>
  <si>
    <t>bard 1, druid 1, ranger 1</t>
  </si>
  <si>
    <t>For the duration of this spell, the subject ignores the adverse movement effects of difficult terrain, and can even take 5-foot steps in difficult terrain.</t>
  </si>
  <si>
    <t>&lt;p&gt;For the duration of this spell, the subject ignores the adverse movement effects of difficult terrain, and can even take 5-foot steps in difficult terrain.&lt;/p&gt;</t>
  </si>
  <si>
    <t>&lt;link rel="stylesheet"href="PF.css"&gt;&lt;div class="heading"&gt;&lt;p class="alignleft"&gt;Feather Step&lt;/p&gt;&lt;div style="clear: both;"&gt;&lt;/div&gt;&lt;/div&gt;&lt;div&gt;&lt;h5&gt;&lt;b&gt;School &lt;/b&gt;transmutation; &lt;b&gt;Level &lt;/b&gt;bard 1, druid 1, ranger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&lt;/b&gt;10 minutes/level&lt;/h5&gt;&lt;h5&gt;&lt;b&gt;Saving Throw &lt;/b&gt;Fortitude negates (harmless); &lt;b&gt;Spell Resistance &lt;/b&gt;yes&lt;/h5&gt;&lt;/div&gt;&lt;hr/&gt;&lt;div&gt;&lt;h5&gt;&lt;b&gt;DESCRIPTION&lt;/b&gt;&lt;/h5&gt;&lt;/div&gt;&lt;hr/&gt;&lt;div&gt;&lt;h4&gt;&lt;p&gt;For the duration of this spell, the subject ignores the adverse movement effects of difficult terrain, and can even take 5-foot steps in difficult terrain.&lt;/p&gt;&lt;/h4&gt;&lt;/div&gt;</t>
  </si>
  <si>
    <t>Ignore movement penalty in difficult terrain.</t>
  </si>
  <si>
    <t>Feather Step, Mass</t>
  </si>
  <si>
    <t>bard 3, druid 3, ranger 3</t>
  </si>
  <si>
    <t>As feather step, except this spell affects multiple creatures.</t>
  </si>
  <si>
    <t>&lt;p&gt;As &lt;i&gt;feather step&lt;/i&gt;, except this spell affects multiple creatures.&lt;/p&gt;</t>
  </si>
  <si>
    <t>&lt;link rel="stylesheet"href="PF.css"&gt;&lt;div class="heading"&gt;&lt;p class="alignleft"&gt;Feather Step, Mass&lt;/p&gt;&lt;div style="clear: both;"&gt;&lt;/div&gt;&lt;/div&gt;&lt;div&gt;&lt;h5&gt;&lt;b&gt;School &lt;/b&gt;transmutation; &lt;b&gt;Level &lt;/b&gt;bard 3, druid 3, ranger 3&lt;/h5&gt;&lt;/div&gt;&lt;hr/&gt;&lt;div&gt;&lt;h5&gt;&lt;b&gt;CASTING&lt;/b&gt;&lt;/h5&gt;&lt;/div&gt;&lt;hr/&gt;&lt;div&gt;&lt;h5&gt;&lt;b&gt;Casting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creature/level, no two of which can be more than 30 ft. apart&lt;/h5&gt;&lt;h5&gt;&lt;b&gt;Duration &lt;/b&gt;10 minutes/level&lt;/h5&gt;&lt;h5&gt;&lt;b&gt;Saving Throw &lt;/b&gt;Fortitude negates (harmless); &lt;b&gt;Spell Resistance &lt;/b&gt;yes&lt;/h5&gt;&lt;/div&gt;&lt;hr/&gt;&lt;div&gt;&lt;h5&gt;&lt;b&gt;DESCRIPTION&lt;/b&gt;&lt;/h5&gt;&lt;/div&gt;&lt;hr/&gt;&lt;div&gt;&lt;h4&gt;&lt;p&gt;As &lt;i&gt;feather step&lt;/i&gt;, except this spell affects multiple creatures.&lt;/p&gt;&lt;/h4&gt;&lt;/div&gt;</t>
  </si>
  <si>
    <t>As feather step, but affects many targets rather than one.</t>
  </si>
  <si>
    <t>Fester</t>
  </si>
  <si>
    <t>inquisitor 3, witch 2</t>
  </si>
  <si>
    <t>V, S, M (rotted meat)</t>
  </si>
  <si>
    <t>Necrotic energy permeates the target, blocking healing abilities. The subject gains spell resistance equal to 12 + your caster level against effects that restore hit points or grant temporary hit points. In addition, any healing provided by effects that ignore spell resistance (such as fast healing, regeneration, and some spells) are halved. If the target succeeds on a Fortitude saving throw, fester lasts only a single round.</t>
  </si>
  <si>
    <t>&lt;p&gt;Necrotic energy permeates the target, blocking healing abilities.&lt;/p&gt;&lt;p&gt;The subject gains spell resistance equal to 12 + your caster level against effects that restore hit points or grant temporary hit points. In addition, any healing provided by effects that ignore spell resistance (such as fast healing, regeneration, and some spells) are halved. If the target succeeds on a Fortitude saving throw, &lt;i&gt;fester&lt;/i&gt; lasts only a single round.&lt;/p&gt;</t>
  </si>
  <si>
    <t>&lt;link rel="stylesheet"href="PF.css"&gt;&lt;div class="heading"&gt;&lt;p class="alignleft"&gt;Fester&lt;/p&gt;&lt;div style="clear: both;"&gt;&lt;/div&gt;&lt;/div&gt;&lt;div&gt;&lt;h5&gt;&lt;b&gt;School &lt;/b&gt;necromancy; &lt;b&gt;Level &lt;/b&gt;inquisitor 3, witch 2&lt;/h5&gt;&lt;/div&gt;&lt;hr/&gt;&lt;div&gt;&lt;h5&gt;&lt;b&gt;CASTING&lt;/b&gt;&lt;/h5&gt;&lt;/div&gt;&lt;hr/&gt;&lt;div&gt;&lt;h5&gt;&lt;b&gt;Casting Time &lt;/b&gt;1 standard action&lt;/h5&gt;&lt;h5&gt;&lt;b&gt;Components &lt;/b&gt;V, S, M (rotted meat)&lt;/h5&gt;&lt;/div&gt;&lt;hr/&gt;&lt;div&gt;&lt;h5&gt;&lt;b&gt;EFFECT&lt;/b&gt;&lt;/h5&gt;&lt;/div&gt;&lt;hr/&gt;&lt;div&gt;&lt;h5&gt;&lt;b&gt;Range &lt;/b&gt;close (25 ft. + 5 ft./2 levels)&lt;/h5&gt;&lt;h5&gt;&lt;b&gt;Targets &lt;/b&gt;one living creature&lt;/h5&gt;&lt;h5&gt;&lt;b&gt;Duration &lt;/b&gt;1 round/level or 1 round; see text&lt;/h5&gt;&lt;h5&gt;&lt;b&gt;Saving Throw &lt;/b&gt;Fortitude partial; &lt;b&gt;Spell Resistance &lt;/b&gt;yes&lt;/h5&gt;&lt;/div&gt;&lt;hr/&gt;&lt;div&gt;&lt;h5&gt;&lt;b&gt;DESCRIPTION&lt;/b&gt;&lt;/h5&gt;&lt;/div&gt;&lt;hr/&gt;&lt;div&gt;&lt;h4&gt;&lt;p&gt;Necrotic energy permeates the target, blocking healing abilities.&lt;/p&gt;&lt;p&gt;The subject gains spell resistance equal to 12 + your caster level against effects that restore hit points or grant temporary hit points. In addition, any healing provided by effects that ignore spell resistance (such as fast healing, regeneration, and some spells) are halved. If the target succeeds on a Fortitude saving throw, &lt;i&gt;fester&lt;/i&gt; lasts only a single round.&lt;/p&gt;&lt;/h4&gt;&lt;/div&gt;</t>
  </si>
  <si>
    <t>Gives subject SR 12 + your level vs. healing effects.</t>
  </si>
  <si>
    <t>Fester, Mass</t>
  </si>
  <si>
    <t>inquisitor 6, witch 6</t>
  </si>
  <si>
    <t>This spell functions as fester, except that it affects multiple foes.</t>
  </si>
  <si>
    <t>&lt;p&gt;This spell functions as &lt;i&gt;fester&lt;/i&gt;, except that it affects multiple foes.&lt;/p&gt;</t>
  </si>
  <si>
    <t>&lt;link rel="stylesheet"href="PF.css"&gt;&lt;div class="heading"&gt;&lt;p class="alignleft"&gt;Fester, Mass&lt;/p&gt;&lt;div style="clear: both;"&gt;&lt;/div&gt;&lt;/div&gt;&lt;div&gt;&lt;h5&gt;&lt;b&gt;School &lt;/b&gt;necromancy; &lt;b&gt;Level &lt;/b&gt;inquisitor 6, witch 6&lt;/h5&gt;&lt;/div&gt;&lt;hr/&gt;&lt;div&gt;&lt;h5&gt;&lt;b&gt;CASTING&lt;/b&gt;&lt;/h5&gt;&lt;/div&gt;&lt;hr/&gt;&lt;div&gt;&lt;h5&gt;&lt;b&gt;Casting Time &lt;/b&gt;1 standard action&lt;/h5&gt;&lt;h5&gt;&lt;b&gt;Components &lt;/b&gt;V, S, M (rotted meat)&lt;/h5&gt;&lt;/div&gt;&lt;hr/&gt;&lt;div&gt;&lt;h5&gt;&lt;b&gt;EFFECT&lt;/b&gt;&lt;/h5&gt;&lt;/div&gt;&lt;hr/&gt;&lt;div&gt;&lt;h5&gt;&lt;b&gt;Range &lt;/b&gt;close (25 ft. + 5 ft./2 levels)&lt;/h5&gt;&lt;h5&gt;&lt;b&gt;Targets &lt;/b&gt;one creature/level, no two of which can be more than 30 ft. apart&lt;/h5&gt;&lt;h5&gt;&lt;b&gt;Duration &lt;/b&gt;1 round/level or 1 round; see text&lt;/h5&gt;&lt;h5&gt;&lt;b&gt;Saving Throw &lt;/b&gt;Fortitude partial; &lt;b&gt;Spell Resistance &lt;/b&gt;yes&lt;/h5&gt;&lt;/div&gt;&lt;hr/&gt;&lt;div&gt;&lt;h5&gt;&lt;b&gt;DESCRIPTION&lt;/b&gt;&lt;/h5&gt;&lt;/div&gt;&lt;hr/&gt;&lt;div&gt;&lt;h4&gt;&lt;p&gt;This spell functions as &lt;i&gt;fester&lt;/i&gt;, except that it affects multiple foes.&lt;/p&gt;&lt;/h4&gt;&lt;/div&gt;</t>
  </si>
  <si>
    <t>As fester, but affecting multiple targets.</t>
  </si>
  <si>
    <t>Fiery Body</t>
  </si>
  <si>
    <t>This spell transforms your body into living flame. You and your equipment are immune to fire damage. In fact, every time you would normally take damage from fire, you are instead healed of damage at a rate of 1 point per 3 points of damage the fire attack would have normally inflicted. You are immune to blindness, critical hits, ability score damage, deafness, disease, drowning, electricity, poison, stunning, and all spells that affect your physiology or respiration. You take only half damage from acid or electricity. You take 150% as much damage from cold than normal. You gain a +6 enhancement bonus to your Dexterity score and a fly speed of 40 ft. (perfect maneuverability). Your unarmed attack deals an additional 3d6 points of fire damage, and you are considered armed when making unarmed attacks. Your body burns so brightly that creatures who do not avert their gaze from you are dazzled. Fire spells you cast have their save DCs increased by +1. If you enter water, you are surrounded by a 5-foot radius of steam and bubbles that grant you concealment (50% miss chance) but you take 2d6 points of damage each round you remain in water.</t>
  </si>
  <si>
    <t>&lt;p&gt;This spell transforms your body into living flame. You and your equipment are immune to fire damage. In fact, every time you would normally take damage from fire, you are instead healed of damage at a rate of 1 point per 3 points of damage the fire attack would have normally inflicted. You are immune to blindness, critical hits, ability score damage, deafness, disease, drowning, electricity, poison, stunning, and all spells that affect your physiology or respiration. You take only half damage from acid or electricity. You take 150% as much damage from cold than normal.&lt;/p&gt;&lt;p&gt;You gain a +6 enhancement bonus to your Dexterity score and a fly speed of 40 ft. (perfect maneuverability). Your unarmed attack deals an additional 3d6 points of fire damage, and you are considered armed when making unarmed attacks. Your body burns so brightly that creatures who do not avert their gaze from you are dazzled. Fire spells you cast have their save DCs increased by +1. If you enter water, you are surrounded by a 5-foot radius of steam and bubbles that grant you concealment (50% miss chance) but you take 2d6 points of damage each round you remain in water.&lt;/p&gt;</t>
  </si>
  <si>
    <t>&lt;link rel="stylesheet"href="PF.css"&gt;&lt;div class="heading"&gt;&lt;p class="alignleft"&gt;Fiery Body&lt;/p&gt;&lt;div style="clear: both;"&gt;&lt;/div&gt;&lt;/div&gt;&lt;div&gt;&lt;h5&gt;&lt;b&gt;School &lt;/b&gt;transmutation [fire]; &lt;b&gt;Level &lt;/b&gt;sorcerer/wizard 9&lt;/h5&gt;&lt;/div&gt;&lt;hr/&gt;&lt;div&gt;&lt;h5&gt;&lt;b&gt;CASTING&lt;/b&gt;&lt;/h5&gt;&lt;/div&gt;&lt;hr/&gt;&lt;div&gt;&lt;h5&gt;&lt;b&gt;Casting Time &lt;/b&gt;1 standard action&lt;/h5&gt;&lt;h5&gt;&lt;b&gt;Components &lt;/b&gt;V&lt;/h5&gt;&lt;/div&gt;&lt;hr/&gt;&lt;div&gt;&lt;h5&gt;&lt;b&gt;EFFECT&lt;/b&gt;&lt;/h5&gt;&lt;/div&gt;&lt;hr/&gt;&lt;div&gt;&lt;h5&gt;&lt;b&gt;Range &lt;/b&gt;personal&lt;/h5&gt;&lt;h5&gt;&lt;b&gt;Targets &lt;/b&gt;you&lt;/h5&gt;&lt;h5&gt;&lt;b&gt;Duration &lt;/b&gt;1 minute/level&lt;/h5&gt;&lt;/div&gt;&lt;hr/&gt;&lt;div&gt;&lt;h5&gt;&lt;b&gt;DESCRIPTION&lt;/b&gt;&lt;/h5&gt;&lt;/div&gt;&lt;hr/&gt;&lt;div&gt;&lt;h4&gt;&lt;p&gt;This spell transforms your body into living flame. You and your equipment are immune to fire damage. In fact, every time you would normally take damage from fire, you are instead healed of damage at a rate of 1 point per 3 points of damage the fire attack would have normally inflicted. You are immune to blindness, critical hits, ability score damage, deafness, disease, drowning, electricity, poison, stunning, and all spells that affect your physiology or respiration. You take only half damage from acid or electricity. You take 150% as much damage from cold than normal.&lt;/p&gt;&lt;p&gt;You gain a +6 enhancement bonus to your Dexterity score and a fly speed of 40 ft. (perfect maneuverability). Your unarmed attack deals an additional 3d6 points of fire damage, and you are considered armed when making unarmed attacks. Your body burns so brightly that creatures who do not avert their gaze from you are dazzled. Fire spells you cast have their save DCs increased by +1. If you enter water, you are surrounded by a 5-foot radius of steam and bubbles that grant you concealment (50% miss chance) but you take 2d6 points of damage each round you remain in water.&lt;/p&gt;&lt;/h4&gt;&lt;/div&gt;</t>
  </si>
  <si>
    <t>Ash</t>
  </si>
  <si>
    <t>You gain various fire-related powers.</t>
  </si>
  <si>
    <t>Fire Breath</t>
  </si>
  <si>
    <t>V, S, M (a chili pepper)</t>
  </si>
  <si>
    <t>1 round/level or until discharged; see text</t>
  </si>
  <si>
    <t>Up to thrice during this spell's duration, you can belch forth a cone of fire as a standard action. The first cone deals 4d6 points of fire damage to every creature in the area. The second cone of flame deals 2d6 points of fire damage to every creature in the area. The third cone of flame deals 1d6 points of fire damage to every creature in the area. A successful Reflex save halves this damage. After the third cone of flame, the spell ends.</t>
  </si>
  <si>
    <t>&lt;p&gt;Up to thrice during this spell's duration, you can belch forth a cone of fire as a standard action. The first cone deals 4d6 points of fire damage to every creature in the area. The second cone of flame deals 2d6 points of fire damage to every creature in the area. The third cone of flame deals 1d6 points of fire damage to every creature in the area. A successful Reflex save halves this damage. After the third cone of flame, the spell ends.&lt;/p&gt;</t>
  </si>
  <si>
    <t>&lt;link rel="stylesheet"href="PF.css"&gt;&lt;div class="heading"&gt;&lt;p class="alignleft"&gt;Fire Breath&lt;/p&gt;&lt;div style="clear: both;"&gt;&lt;/div&gt;&lt;/div&gt;&lt;div&gt;&lt;h5&gt;&lt;b&gt;School &lt;/b&gt;evocation [fire]; &lt;b&gt;Level &lt;/b&gt;alchemist 2, sorcerer/wizard 2, magus 2&lt;/h5&gt;&lt;/div&gt;&lt;hr/&gt;&lt;div&gt;&lt;h5&gt;&lt;b&gt;CASTING&lt;/b&gt;&lt;/h5&gt;&lt;/div&gt;&lt;hr/&gt;&lt;div&gt;&lt;h5&gt;&lt;b&gt;Casting Time &lt;/b&gt;1 standard action&lt;/h5&gt;&lt;h5&gt;&lt;b&gt;Components &lt;/b&gt;V, S, M (a chili pepper)&lt;/h5&gt;&lt;/div&gt;&lt;hr/&gt;&lt;div&gt;&lt;h5&gt;&lt;b&gt;EFFECT&lt;/b&gt;&lt;/h5&gt;&lt;/div&gt;&lt;hr/&gt;&lt;div&gt;&lt;h5&gt;&lt;b&gt;Range &lt;/b&gt;15 ft.&lt;/h5&gt;&lt;h5&gt;&lt;b&gt;Area &lt;/b&gt;cone-shaped burst&lt;/h5&gt;&lt;h5&gt;&lt;b&gt;Duration &lt;/b&gt;1 round/level or until discharged; see text&lt;/h5&gt;&lt;h5&gt;&lt;b&gt;Saving Throw &lt;/b&gt;Reflex half; see text; &lt;b&gt;Spell Resistance &lt;/b&gt;yes&lt;/h5&gt;&lt;/div&gt;&lt;hr/&gt;&lt;div&gt;&lt;h5&gt;&lt;b&gt;DESCRIPTION&lt;/b&gt;&lt;/h5&gt;&lt;/div&gt;&lt;hr/&gt;&lt;div&gt;&lt;h4&gt;&lt;p&gt;Up to thrice during this spell's duration, you can belch forth a cone of fire as a standard action. The first cone deals 4d6 points of fire damage to every creature in the area. The second cone of flame deals 2d6 points of fire damage to every creature in the area. The third cone of flame deals 1d6 points of fire damage to every creature in the area. A successful Reflex save halves this damage. After the third cone of flame, the spell ends.&lt;/p&gt;&lt;/h4&gt;&lt;/div&gt;</t>
  </si>
  <si>
    <t>Exhale a cone of flame at will.</t>
  </si>
  <si>
    <t>Fire of Entanglement</t>
  </si>
  <si>
    <t>1 swift action</t>
  </si>
  <si>
    <t>special; see text</t>
  </si>
  <si>
    <t>The next creature you attack using your smite evil class ability is wreathed in flames that impede its movement. Until the end of the spell's duration, the target is entangled. If the target starts its turn in a square adjacent to you, it is considered to be entangled to an immobile object (you) and cannot move. A target that saves against this spell is affected for only 1 round.</t>
  </si>
  <si>
    <t>&lt;p&gt;The next creature you attack using your smite evil class ability is wreathed in flames that impede its movement.&lt;/p&gt;&lt;p&gt;Until the end of the spell's duration, the target is entangled.&lt;/p&gt;&lt;p&gt;If the target starts its turn in a square adjacent to you, it is considered to be entangled to an immobile object (you) and cannot move. A target that saves against this spell is affected for only 1 round.&lt;/p&gt;</t>
  </si>
  <si>
    <t>&lt;link rel="stylesheet"href="PF.css"&gt;&lt;div class="heading"&gt;&lt;p class="alignleft"&gt;Fire of Entanglement&lt;/p&gt;&lt;div style="clear: both;"&gt;&lt;/div&gt;&lt;/div&gt;&lt;div&gt;&lt;h5&gt;&lt;b&gt;School &lt;/b&gt;evocation; &lt;b&gt;Level &lt;/b&gt;paladin 2&lt;/h5&gt;&lt;/div&gt;&lt;hr/&gt;&lt;div&gt;&lt;h5&gt;&lt;b&gt;CASTING&lt;/b&gt;&lt;/h5&gt;&lt;/div&gt;&lt;hr/&gt;&lt;div&gt;&lt;h5&gt;&lt;b&gt;Casting Time &lt;/b&gt;1 swift action&lt;/h5&gt;&lt;h5&gt;&lt;b&gt;Components &lt;/b&gt;V, S&lt;/h5&gt;&lt;/div&gt;&lt;hr/&gt;&lt;div&gt;&lt;h5&gt;&lt;b&gt;EFFECT&lt;/b&gt;&lt;/h5&gt;&lt;/div&gt;&lt;hr/&gt;&lt;div&gt;&lt;h5&gt;&lt;b&gt;Range &lt;/b&gt;special; see text&lt;/h5&gt;&lt;h5&gt;&lt;b&gt;Targets &lt;/b&gt;one creature&lt;/h5&gt;&lt;h5&gt;&lt;b&gt;Duration &lt;/b&gt;1 round/level&lt;/h5&gt;&lt;h5&gt;&lt;b&gt;Saving Throw &lt;/b&gt;Reflex partial; &lt;b&gt;Spell Resistance &lt;/b&gt;yes&lt;/h5&gt;&lt;/div&gt;&lt;hr/&gt;&lt;div&gt;&lt;h5&gt;&lt;b&gt;DESCRIPTION&lt;/b&gt;&lt;/h5&gt;&lt;/div&gt;&lt;hr/&gt;&lt;div&gt;&lt;h4&gt;&lt;p&gt;The next creature you attack using your smite evil class ability is wreathed in flames that impede its movement.&lt;/p&gt;&lt;p&gt;Until the end of the spell's duration, the target is entangled.&lt;/p&gt;&lt;p&gt;If the target starts its turn in a square adjacent to you, it is considered to be entangled to an immobile object (you) and cannot move. A target that saves against this spell is affected for only 1 round.&lt;/p&gt;&lt;/h4&gt;&lt;/div&gt;</t>
  </si>
  <si>
    <t>Your ability to smite evil also entangles your foe.</t>
  </si>
  <si>
    <t>Fire of Judgment</t>
  </si>
  <si>
    <t>After casting this spell, the next creature you attack using your smite evil class ability is engulfed in flames of positive energy. At the start of its turn, the target takes 1d6 points of damage, and takes an additional 1d6 points of damage each time it attacks a creature other than you. If the creature is an outsider with the evil subtype, an evil-aligned dragon, or an undead creature this damage increases to 1d10. With a successful saving throw, a creature is affected by this spell for only 1 round. This damage is divine in nature and bypasses any DR the creature possesses.</t>
  </si>
  <si>
    <t>&lt;p&gt;After casting this spell, the next creature you attack using your smite evil class ability is engulfed in flames of positive energy. At the start of its turn, the target takes 1d6 points of damage, and takes an additional 1d6 points of damage each time it attacks a creature other than you. If the creature is an outsider with the evil subtype, an evil-aligned dragon, or an undead creature this damage increases to 1d10. With a successful saving throw, a creature is affected by this spell for only 1 round. This damage is divine in nature and bypasses any DR the creature possesses.&lt;/p&gt;</t>
  </si>
  <si>
    <t>&lt;link rel="stylesheet"href="PF.css"&gt;&lt;div class="heading"&gt;&lt;p class="alignleft"&gt;Fire of Judgment&lt;/p&gt;&lt;div style="clear: both;"&gt;&lt;/div&gt;&lt;/div&gt;&lt;div&gt;&lt;h5&gt;&lt;b&gt;School &lt;/b&gt;evocation; &lt;b&gt;Level &lt;/b&gt;paladin 3&lt;/h5&gt;&lt;/div&gt;&lt;hr/&gt;&lt;div&gt;&lt;h5&gt;&lt;b&gt;CASTING&lt;/b&gt;&lt;/h5&gt;&lt;/div&gt;&lt;hr/&gt;&lt;div&gt;&lt;h5&gt;&lt;b&gt;Casting Time &lt;/b&gt;1 swift action&lt;/h5&gt;&lt;h5&gt;&lt;b&gt;Components &lt;/b&gt;V, S&lt;/h5&gt;&lt;/div&gt;&lt;hr/&gt;&lt;div&gt;&lt;h5&gt;&lt;b&gt;EFFECT&lt;/b&gt;&lt;/h5&gt;&lt;/div&gt;&lt;hr/&gt;&lt;div&gt;&lt;h5&gt;&lt;b&gt;Range &lt;/b&gt;special; see text&lt;/h5&gt;&lt;h5&gt;&lt;b&gt;Targets &lt;/b&gt;one creature&lt;/h5&gt;&lt;h5&gt;&lt;b&gt;Duration &lt;/b&gt;1 round/level&lt;/h5&gt;&lt;h5&gt;&lt;b&gt;Saving Throw &lt;/b&gt;Will partial; &lt;b&gt;Spell Resistance &lt;/b&gt;yes&lt;/h5&gt;&lt;/div&gt;&lt;hr/&gt;&lt;div&gt;&lt;h5&gt;&lt;b&gt;DESCRIPTION&lt;/b&gt;&lt;/h5&gt;&lt;/div&gt;&lt;hr/&gt;&lt;div&gt;&lt;h4&gt;&lt;p&gt;After casting this spell, the next creature you attack using your smite evil class ability is engulfed in flames of positive energy. At the start of its turn, the target takes 1d6 points of damage, and takes an additional 1d6 points of damage each time it attacks a creature other than you. If the creature is an outsider with the evil subtype, an evil-aligned dragon, or an undead creature this damage increases to 1d10. With a successful saving throw, a creature is affected by this spell for only 1 round. This damage is divine in nature and bypasses any DR the creature possesses.&lt;/p&gt;&lt;/h4&gt;&lt;/div&gt;</t>
  </si>
  <si>
    <t>Smited creature takes damage when it attacks.</t>
  </si>
  <si>
    <t>Fire of Vengeance</t>
  </si>
  <si>
    <t>After casting this spell, the next creature you attack using your smite evil class ability is engulfed in holy flames that flare up when the target attacks someone other than you. If at any time during the duration of your smite evil effect the target makes an attack that does not include you, it takes 3d8 points of fire damage. Once triggered in this manner, or when your smite evil ability expires, the spell ends.</t>
  </si>
  <si>
    <t>&lt;p&gt;After casting this spell, the next creature you attack using your smite evil class ability is engulfed in holy flames that flare up when the target attacks someone other than you. If at any time during the duration of your smite evil effect the target makes an attack that does not include you, it takes 3d8 points of fire damage. Once triggered in this manner, or when your smite evil ability expires, the spell ends.&lt;/p&gt;</t>
  </si>
  <si>
    <t>&lt;link rel="stylesheet"href="PF.css"&gt;&lt;div class="heading"&gt;&lt;p class="alignleft"&gt;Fire of Vengeance&lt;/p&gt;&lt;div style="clear: both;"&gt;&lt;/div&gt;&lt;/div&gt;&lt;div&gt;&lt;h5&gt;&lt;b&gt;School &lt;/b&gt;evocation [fire]; &lt;b&gt;Level &lt;/b&gt;paladin 4&lt;/h5&gt;&lt;/div&gt;&lt;hr/&gt;&lt;div&gt;&lt;h5&gt;&lt;b&gt;CASTING&lt;/b&gt;&lt;/h5&gt;&lt;/div&gt;&lt;hr/&gt;&lt;div&gt;&lt;h5&gt;&lt;b&gt;Casting Time &lt;/b&gt;1 swift action&lt;/h5&gt;&lt;h5&gt;&lt;b&gt;Components &lt;/b&gt;V, S&lt;/h5&gt;&lt;/div&gt;&lt;hr/&gt;&lt;div&gt;&lt;h5&gt;&lt;b&gt;EFFECT&lt;/b&gt;&lt;/h5&gt;&lt;/div&gt;&lt;hr/&gt;&lt;div&gt;&lt;h5&gt;&lt;b&gt;Range &lt;/b&gt;special; see text&lt;/h5&gt;&lt;h5&gt;&lt;b&gt;Targets &lt;/b&gt;one creature&lt;/h5&gt;&lt;h5&gt;&lt;b&gt;Duration &lt;/b&gt;see text&lt;/h5&gt;&lt;h5&gt;&lt;b&gt;Saving Throw &lt;/b&gt;none; &lt;b&gt;Spell Resistance &lt;/b&gt;no&lt;/h5&gt;&lt;/div&gt;&lt;hr/&gt;&lt;div&gt;&lt;h5&gt;&lt;b&gt;DESCRIPTION&lt;/b&gt;&lt;/h5&gt;&lt;/div&gt;&lt;hr/&gt;&lt;div&gt;&lt;h4&gt;&lt;p&gt;After casting this spell, the next creature you attack using your smite evil class ability is engulfed in holy flames that flare up when the target attacks someone other than you. If at any time during the duration of your smite evil effect the target makes an attack that does not include you, it takes 3d8 points of fire damage. Once triggered in this manner, or when your smite evil ability expires, the spell ends.&lt;/p&gt;&lt;/h4&gt;&lt;/div&gt;</t>
  </si>
  <si>
    <t>Smited creature takes 3d8 damage.</t>
  </si>
  <si>
    <t>Fire Snake</t>
  </si>
  <si>
    <t>druid 5, sorcerer/wizard 5, magus 5</t>
  </si>
  <si>
    <t>V, S, M (a snake scale)</t>
  </si>
  <si>
    <t>You create a sinuous line of flames that you may shape as desired. The fire snake affects one 5-foot square per caster level, and each square must be adjacent to the previous square, starting with you. The fire snake may not extend beyond its maximum range. Creatures in the path of the fire snake take 1d6 points of fire damage per caster level (maximum 15d6).</t>
  </si>
  <si>
    <t>&lt;p&gt;You create a sinuous line of flames that you may shape as desired. The &lt;i&gt;fire snake&lt;/i&gt; affects one 5-foot square per caster level, and each square must be adjacent to the previous square, starting with you. The &lt;i&gt;fire snake&lt;/i&gt; may not extend beyond its maximum range. Creatures in the path of the &lt;i&gt;fire snake&lt;/i&gt; take 1d6 points of fire damage per caster level (maximum 15d6).&lt;/p&gt;</t>
  </si>
  <si>
    <t>&lt;link rel="stylesheet"href="PF.css"&gt;&lt;div class="heading"&gt;&lt;p class="alignleft"&gt;Fire Snake&lt;/p&gt;&lt;div style="clear: both;"&gt;&lt;/div&gt;&lt;/div&gt;&lt;div&gt;&lt;h5&gt;&lt;b&gt;School &lt;/b&gt;evocation [fire]; &lt;b&gt;Level &lt;/b&gt;druid 5, sorcerer/wizard 5, magus 5&lt;/h5&gt;&lt;/div&gt;&lt;hr/&gt;&lt;div&gt;&lt;h5&gt;&lt;b&gt;CASTING&lt;/b&gt;&lt;/h5&gt;&lt;/div&gt;&lt;hr/&gt;&lt;div&gt;&lt;h5&gt;&lt;b&gt;Casting Time &lt;/b&gt;1 standard action&lt;/h5&gt;&lt;h5&gt;&lt;b&gt;Components &lt;/b&gt;V, S, M (a snake scale)&lt;/h5&gt;&lt;/div&gt;&lt;hr/&gt;&lt;div&gt;&lt;h5&gt;&lt;b&gt;EFFECT&lt;/b&gt;&lt;/h5&gt;&lt;/div&gt;&lt;hr/&gt;&lt;div&gt;&lt;h5&gt;&lt;b&gt;Range &lt;/b&gt;60 ft.&lt;/h5&gt;&lt;h5&gt;&lt;b&gt;Area &lt;/b&gt;see text&lt;/h5&gt;&lt;h5&gt;&lt;b&gt;Duration &lt;/b&gt;instantaneous&lt;/h5&gt;&lt;h5&gt;&lt;b&gt;Saving Throw &lt;/b&gt;Reflex half; &lt;b&gt;Spell Resistance &lt;/b&gt;yes&lt;/h5&gt;&lt;/div&gt;&lt;hr/&gt;&lt;div&gt;&lt;h5&gt;&lt;b&gt;DESCRIPTION&lt;/b&gt;&lt;/h5&gt;&lt;/div&gt;&lt;hr/&gt;&lt;div&gt;&lt;h4&gt;&lt;p&gt;You create a sinuous line of flames that you may shape as desired. The &lt;i&gt;fire snake&lt;/i&gt; affects one 5-foot square per caster level, and each square must be adjacent to the previous square, starting with you. The &lt;i&gt;fire snake&lt;/i&gt; may not extend beyond its maximum range. Creatures in the path of the &lt;i&gt;fire snake&lt;/i&gt; take 1d6 points of fire damage per caster level (maximum 15d6).&lt;/p&gt;&lt;/h4&gt;&lt;h5&gt;&lt;b&gt;Mythic: &lt;/b&gt;The damage dealt increases to 1d10 points of damage per level (maximum 15d10). Any creature that fails its saving throw against the spell is grappled by a snake made of fire that lasts for 1 round per caster level. The snake can be dispelled, but not attacked. A grappled creature takes 1d10 points of fire damage on your turn each round. The snake's CMB is equal to your caster level plus your tier, and its CMD is equal to its CMB + 10.&lt;/h5&gt;&lt;h5&gt;&lt;b&gt;Augmented (6th)&lt;/b&gt;: If you expend two uses of mythic power, the maximum damage increases to 20d10, and any creature that fails its saving throw against the spell is pinned instead of grappled.&lt;/h5&gt;&lt;/div&gt;</t>
  </si>
  <si>
    <t>Creates a serpentine path of fire 5 ft. long/level that deals 1d6 fire damage/level.</t>
  </si>
  <si>
    <t>The damage dealt increases to 1d10 points of damage per level (maximum 15d10). Any creature that fails its saving throw against the spell is grappled by a snake made of fire that lasts for 1 round per caster level. The snake can be dispelled, but not attacked. A grappled creature takes 1d10 points of fire damage on your turn each round. The snake's CMB is equal to your caster level plus your tier, and its CMD is equal to its CMB + 10.</t>
  </si>
  <si>
    <t>Augmented (6th): If you expend two uses of mythic power, the maximum damage increases to 20d10, and any creature that fails its saving throw against the spell is pinned instead of grappled.</t>
  </si>
  <si>
    <t>Firebrand</t>
  </si>
  <si>
    <t>one creature/4 levels, no two of which can be more than 30 ft. apart</t>
  </si>
  <si>
    <t>Will negates (harmless), but see below</t>
  </si>
  <si>
    <t>You mark several allies with a flaming rune. This rune does not cause damage, and sheds light as if it were a torch. While the firebrand burns, any creature it marks is immune to damage from any fire spell you cast. All of the target's weapons (both natural and manufactured) inflict +1d6 points of fire damage on a hit (this bonus fire damage stacks with any amount of fire damage a creature's weapons might already inflict). At any point during the spell's duration, a creature bearing a firebrand can launch a beam of fire at any target within 30 feet as a swift action. This ray requires a ranged touch attack to hit and deals 6d6 points of fire damage. Once a creature uses its firebrand to fire a ray in this manner, the effects of the spell end for that creature.</t>
  </si>
  <si>
    <t>&lt;p&gt;You mark several allies with a flaming rune. This rune does not cause damage, and sheds light as if it were a torch. While the &lt;i&gt;firebrand&lt;/i&gt; burns, any creature it marks is immune to damage from any fire spell you cast. All of the target's weapons (both natural and manufactured) inflict +1d6 points of fire damage on a hit (this bonus fire damage stacks with any amount of fire damage a creature's weapons might already inflict). At any point during the spell's duration, a creature bearing a &lt;i&gt;firebrand&lt;/i&gt; can launch a beam of fire at any target within 30 feet as a swift action. This ray requires a ranged touch attack to hit and deals 6d6 points of fire damage. Once a creature uses its &lt;i&gt;firebrand&lt;/i&gt; to fire a ray in this manner, the effects of the spell end for that creature.&lt;/p&gt;</t>
  </si>
  <si>
    <t>&lt;link rel="stylesheet"href="PF.css"&gt;&lt;div class="heading"&gt;&lt;p class="alignleft"&gt;Firebrand&lt;/p&gt;&lt;div style="clear: both;"&gt;&lt;/div&gt;&lt;/div&gt;&lt;div&gt;&lt;h5&gt;&lt;b&gt;School &lt;/b&gt;transmutation [fire]; &lt;b&gt;Level &lt;/b&gt;sorcerer/wizard 7&lt;/h5&gt;&lt;/div&gt;&lt;hr/&gt;&lt;div&gt;&lt;h5&gt;&lt;b&gt;CASTING&lt;/b&gt;&lt;/h5&gt;&lt;/div&gt;&lt;hr/&gt;&lt;div&gt;&lt;h5&gt;&lt;b&gt;Casting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creature/4 levels, no two of which can be more than 30 ft. apart&lt;/h5&gt;&lt;h5&gt;&lt;b&gt;Duration &lt;/b&gt;1 round/level&lt;/h5&gt;&lt;h5&gt;&lt;b&gt;Saving Throw &lt;/b&gt;Will negates (harmless), but see below; &lt;b&gt;Spell Resistance &lt;/b&gt;yes (harmless)&lt;/h5&gt;&lt;/div&gt;&lt;hr/&gt;&lt;div&gt;&lt;h5&gt;&lt;b&gt;DESCRIPTION&lt;/b&gt;&lt;/h5&gt;&lt;/div&gt;&lt;hr/&gt;&lt;div&gt;&lt;h4&gt;&lt;p&gt;You mark several allies with a flaming rune. This rune does not cause damage, and sheds light as if it were a torch. While the &lt;i&gt;firebrand&lt;/i&gt; burns, any creature it marks is immune to damage from any fire spell you cast. All of the target's weapons (both natural and manufactured) inflict +1d6 points of fire damage on a hit (this bonus fire damage stacks with any amount of fire damage a creature's weapons might already inflict). At any point during the spell's duration, a creature bearing a &lt;i&gt;firebrand&lt;/i&gt; can launch a beam of fire at any target within 30 feet as a swift action. This ray requires a ranged touch attack to hit and deals 6d6 points of fire damage. Once a creature uses its &lt;i&gt;firebrand&lt;/i&gt; to fire a ray in this manner, the effects of the spell end for that creature.&lt;/p&gt;&lt;/h4&gt;&lt;/div&gt;</t>
  </si>
  <si>
    <t>Allies gain flaming weapons, immunity to your fire spells, and a one-use ray of fire attack.</t>
  </si>
  <si>
    <t>Firefall</t>
  </si>
  <si>
    <t>sorcerer/wizard 4, magus 4</t>
  </si>
  <si>
    <t>one fire source, up to a 20-foot cube</t>
  </si>
  <si>
    <t>Will negates and Reflex negates; see text</t>
  </si>
  <si>
    <t>Firefall causes a fire to erupt into a geyser of dazzlingly bright liquid flame. The spell uses one fire source, which is immediately extinguished. A fire larger than a 20-foot cube is only partly extinguished. Magical fires are not extinguished, but a creature of the fire subtype used as the source takes 1 point of damage per caster level (no saving throw). The coruscating rain of fire fills a hemispherical burst with a radius of 60 feet. All creatures and objects in the area take 5d6 points of fire damage and catch on fire (Core Rulebook 444). Creatures who make successful Reflex saves take half damage and don't catch on fire. Creatures within 120 feet of the original fire source are blinded for 1d4+1 rounds (Will negates).</t>
  </si>
  <si>
    <t>&lt;p&gt;&lt;i&gt;Firefall&lt;/i&gt; causes a fire to erupt into a geyser of dazzlingly bright liquid flame. The spell uses one fire source, which is immediately extinguished. A fire larger than a 20-foot cube is only partly extinguished. Magical fires are not extinguished, but a creature of the fire subtype used as the source takes 1 point of damage per caster level (no saving throw).&lt;/p&gt;&lt;p&gt;The coruscating rain of fire fills a hemispherical burst with a radius of 60 feet. All creatures and objects in the area take 5d6 points of fire damage and catch on fire (&lt;i&gt;Core Rulebook&lt;/i&gt; 444).&lt;/p&gt;&lt;p&gt;Creatures who make successful Reflex saves take half damage and don't catch on fire. Creatures within 120 feet of the original fire source are blinded for 1d4+1 rounds (Will negates).&lt;/p&gt;</t>
  </si>
  <si>
    <t>&lt;link rel="stylesheet"href="PF.css"&gt;&lt;div class="heading"&gt;&lt;p class="alignleft"&gt;Firefall&lt;/p&gt;&lt;div style="clear: both;"&gt;&lt;/div&gt;&lt;/div&gt;&lt;div&gt;&lt;h5&gt;&lt;b&gt;School &lt;/b&gt;transmutation [fire]; &lt;b&gt;Level &lt;/b&gt;sorcerer/wizard 4, magus 4&lt;/h5&gt;&lt;/div&gt;&lt;hr/&gt;&lt;div&gt;&lt;h5&gt;&lt;b&gt;CASTING&lt;/b&gt;&lt;/h5&gt;&lt;/div&gt;&lt;hr/&gt;&lt;div&gt;&lt;h5&gt;&lt;b&gt;Casting Time &lt;/b&gt;1 standard action&lt;/h5&gt;&lt;h5&gt;&lt;b&gt;Components &lt;/b&gt;V, S, M (one fire source)&lt;/h5&gt;&lt;/div&gt;&lt;hr/&gt;&lt;div&gt;&lt;h5&gt;&lt;b&gt;EFFECT&lt;/b&gt;&lt;/h5&gt;&lt;/div&gt;&lt;hr/&gt;&lt;div&gt;&lt;h5&gt;&lt;b&gt;Range &lt;/b&gt;long (400 ft. + 40 ft./level)&lt;/h5&gt;&lt;h5&gt;&lt;b&gt;Targets &lt;/b&gt;one fire source, up to a 20-foot cube&lt;/h5&gt;&lt;h5&gt;&lt;b&gt;Duration &lt;/b&gt;instantaneous&lt;/h5&gt;&lt;h5&gt;&lt;b&gt;Saving Throw &lt;/b&gt;Will negates and Reflex negates; see text; &lt;b&gt;Spell Resistance &lt;/b&gt;no&lt;/h5&gt;&lt;/div&gt;&lt;hr/&gt;&lt;div&gt;&lt;h5&gt;&lt;b&gt;DESCRIPTION&lt;/b&gt;&lt;/h5&gt;&lt;/div&gt;&lt;hr/&gt;&lt;div&gt;&lt;h4&gt;&lt;p&gt;&lt;i&gt;Firefall&lt;/i&gt; causes a fire to erupt into a geyser of dazzlingly bright liquid flame. The spell uses one fire source, which is immediately extinguished. A fire larger than a 20-foot cube is only partly extinguished. Magical fires are not extinguished, but a creature of the fire subtype used as the source takes 1 point of damage per caster level (no saving throw).&lt;/p&gt;&lt;p&gt;The coruscating rain of fire fills a hemispherical burst with a radius of 60 feet. All creatures and objects in the area take 5d6 points of fire damage and catch on fire (&lt;i&gt;Core Rulebook&lt;/i&gt; 444).&lt;/p&gt;&lt;p&gt;Creatures who make successful Reflex saves take half damage and don't catch on fire. Creatures within 120 feet of the original fire source are blinded for 1d4+1 rounds (Will negates).&lt;/p&gt;&lt;/h4&gt;&lt;/div&gt;</t>
  </si>
  <si>
    <t>Fire bursts upward, dealing 2d6 fire damage.</t>
  </si>
  <si>
    <t>Flames Of The Faithful</t>
  </si>
  <si>
    <t>Fortitude negates (object, harmless)</t>
  </si>
  <si>
    <t>yes (object, harmless)</t>
  </si>
  <si>
    <t>With a touch, you cause a glowing rune to appear on a single weapon, granting that weapon the flaming property (and allowing it to cause an extra 1d6 points of fire damage on a successful hit). If you are using the judgment class feature, your weapon gains the flaming burst property instead. The spell functions only for weapons that you wield. If the weapon leaves your hand for any reason, the spell effect ends. The effects of this spell do not stack with any existing flaming or flaming burst weapon property that the target weapon may already possess.</t>
  </si>
  <si>
    <t>&lt;p&gt;With a touch, you cause a glowing rune to appear on a single weapon, granting that weapon the &lt;i&gt;flaming&lt;/i&gt; property (and allowing it to cause an extra 1d6 points of fire damage on a successful hit). If you are using the judgment class feature, your weapon gains the &lt;i&gt;flaming&lt;/i&gt; burst property instead. The spell functions only for weapons that you wield. If the weapon leaves your hand for any reason, the spell effect ends. The effects of this spell do not stack with any existing &lt;i&gt;flaming&lt;/i&gt; or &lt;i&gt;flaming&lt;/i&gt; burst weapon property that the target weapon may already possess.&lt;/p&gt;</t>
  </si>
  <si>
    <t>&lt;link rel="stylesheet"href="PF.css"&gt;&lt;div class="heading"&gt;&lt;p class="alignleft"&gt;Flames Of The Faithful&lt;/p&gt;&lt;div style="clear: both;"&gt;&lt;/div&gt;&lt;/div&gt;&lt;div&gt;&lt;h5&gt;&lt;b&gt;School &lt;/b&gt;transmutation [fire]; &lt;b&gt;Level &lt;/b&gt;inquisitor 2&lt;/h5&gt;&lt;/div&gt;&lt;hr/&gt;&lt;div&gt;&lt;h5&gt;&lt;b&gt;CASTING&lt;/b&gt;&lt;/h5&gt;&lt;/div&gt;&lt;hr/&gt;&lt;div&gt;&lt;h5&gt;&lt;b&gt;Casting Time &lt;/b&gt;1 standard action&lt;/h5&gt;&lt;h5&gt;&lt;b&gt;Components &lt;/b&gt;V&lt;/h5&gt;&lt;/div&gt;&lt;hr/&gt;&lt;div&gt;&lt;h5&gt;&lt;b&gt;EFFECT&lt;/b&gt;&lt;/h5&gt;&lt;/div&gt;&lt;hr/&gt;&lt;div&gt;&lt;h5&gt;&lt;b&gt;Range &lt;/b&gt;touch&lt;/h5&gt;&lt;h5&gt;&lt;b&gt;Targets &lt;/b&gt;weapon touched&lt;/h5&gt;&lt;h5&gt;&lt;b&gt;Duration &lt;/b&gt;1 round/level&lt;/h5&gt;&lt;h5&gt;&lt;b&gt;Saving Throw &lt;/b&gt;Fortitude negates (object, harmless); &lt;b&gt;Spell Resistance &lt;/b&gt;yes (object, harmless)&lt;/h5&gt;&lt;/div&gt;&lt;hr/&gt;&lt;div&gt;&lt;h5&gt;&lt;b&gt;DESCRIPTION&lt;/b&gt;&lt;/h5&gt;&lt;/div&gt;&lt;hr/&gt;&lt;div&gt;&lt;h4&gt;&lt;p&gt;With a touch, you cause a glowing rune to appear on a single weapon, granting that weapon the &lt;i&gt;flaming&lt;/i&gt; property (and allowing it to cause an extra 1d6 points of fire damage on a successful hit). If you are using the judgment class feature, your weapon gains the &lt;i&gt;flaming&lt;/i&gt; burst property instead. The spell functions only for weapons that you wield. If the weapon leaves your hand for any reason, the spell effect ends. The effects of this spell do not stack with any existing &lt;i&gt;flaming&lt;/i&gt; or &lt;i&gt;flaming&lt;/i&gt; burst weapon property that the target weapon may already possess.&lt;/p&gt;&lt;/h4&gt;&lt;h5&gt;&lt;b&gt;Mythic: &lt;/b&gt;The fire damage dealt by this spell bypasses fire resistance andfire immunity. On a successful critical hit, the target catches onfire (Core Rulebook 444).&lt;/h5&gt;&lt;/div&gt;</t>
  </si>
  <si>
    <t>Gives weapon flaming property.</t>
  </si>
  <si>
    <t>The fire damage dealt by this spell bypasses fire resistance andfire immunity. On a successful critical hit, the target catches onfire (Core Rulebook 444).</t>
  </si>
  <si>
    <t>Flare Burst</t>
  </si>
  <si>
    <t>bard 1, druid 1, sorcerer/wizard 1, magus 1</t>
  </si>
  <si>
    <t>10-ft.-radius burst of light</t>
  </si>
  <si>
    <t>This spell functions as flare, except it affects all creatures in a 10-foot-radius burst from the target point.</t>
  </si>
  <si>
    <t>&lt;p&gt;This spell functions as &lt;i&gt;flare&lt;/i&gt;, except it affects all creatures in a 10-foot-radius burst from the target point.&lt;/p&gt;</t>
  </si>
  <si>
    <t>&lt;link rel="stylesheet"href="PF.css"&gt;&lt;div class="heading"&gt;&lt;p class="alignleft"&gt;Flare Burst&lt;/p&gt;&lt;div style="clear: both;"&gt;&lt;/div&gt;&lt;/div&gt;&lt;div&gt;&lt;h5&gt;&lt;b&gt;School &lt;/b&gt;evocation (light); &lt;b&gt;Level &lt;/b&gt;bard 1, druid 1, sorcerer/wizard 1, magus 1&lt;/h5&gt;&lt;/div&gt;&lt;hr/&gt;&lt;div&gt;&lt;h5&gt;&lt;b&gt;CASTING&lt;/b&gt;&lt;/h5&gt;&lt;/div&gt;&lt;hr/&gt;&lt;div&gt;&lt;h5&gt;&lt;b&gt;Casting Time &lt;/b&gt;1 standard action&lt;/h5&gt;&lt;h5&gt;&lt;b&gt;Components &lt;/b&gt;V&lt;/h5&gt;&lt;/div&gt;&lt;hr/&gt;&lt;div&gt;&lt;h5&gt;&lt;b&gt;EFFECT&lt;/b&gt;&lt;/h5&gt;&lt;/div&gt;&lt;hr/&gt;&lt;div&gt;&lt;h5&gt;&lt;b&gt;Range &lt;/b&gt;close (25 ft. + 5 ft./2 levels)&lt;/h5&gt;&lt;h5&gt;&lt;b&gt;Effect &lt;/b&gt;10-ft.-radius burst of light&lt;/h5&gt;&lt;h5&gt;&lt;b&gt;Duration &lt;/b&gt;instantaneous&lt;/h5&gt;&lt;h5&gt;&lt;b&gt;Saving Throw &lt;/b&gt;Fortitude negates; &lt;b&gt;Spell Resistance &lt;/b&gt;yes&lt;/h5&gt;&lt;/div&gt;&lt;hr/&gt;&lt;div&gt;&lt;h5&gt;&lt;b&gt;DESCRIPTION&lt;/b&gt;&lt;/h5&gt;&lt;/div&gt;&lt;hr/&gt;&lt;div&gt;&lt;h4&gt;&lt;p&gt;This spell functions as &lt;i&gt;flare&lt;/i&gt;, except it affects all creatures in a 10-foot-radius burst from the target point.&lt;/p&gt;&lt;/h4&gt;&lt;/div&gt;</t>
  </si>
  <si>
    <t>As flare, but all creatures within 10 ft.</t>
  </si>
  <si>
    <t>Fluid Form</t>
  </si>
  <si>
    <t>alchemist 4, sorcerer/wizard 6</t>
  </si>
  <si>
    <t>S, M (a mixture of oil and water)</t>
  </si>
  <si>
    <t>When you cast this spell, your body takes on a slick, oily appearance. For the duration of this spell, your form can stretch and shift with ease and becomes slightly transparent, as if you were composed of liquid. This transparency is not enough to grant concealment. You gain DR 10/slashing and your reach increases by 10 feet. In addition, you can pass through small holes or narrow openings, even mere cracks, with anything you were carrying at the time the spell was cast (except other creatures). Finally, you can move through water with a swim speed of 60 feet and can breathe both water and air for the duration of this effect. You are treated as if you had the water subtype while this spell is in effect.</t>
  </si>
  <si>
    <t>&lt;p&gt;When you cast this spell, your body takes on a slick, oily appearance. For the duration of this spell, your form can stretch and shift with ease and becomes slightly transparent, as if you were composed of liquid. This transparency is not enough to grant concealment. You gain DR 10/slashing and your reach increases by 10 feet. In addition, you can pass through small holes or narrow openings, even mere cracks, with anything you were carrying at the time the spell was cast (except other creatures). Finally, you can move through water with a swim speed of 60 feet and can breathe both water and air for the duration of this effect. You are treated as if you had the water subtype while this spell is in effect.&lt;/p&gt;</t>
  </si>
  <si>
    <t>&lt;link rel="stylesheet"href="PF.css"&gt;&lt;div class="heading"&gt;&lt;p class="alignleft"&gt;Fluid Form&lt;/p&gt;&lt;div style="clear: both;"&gt;&lt;/div&gt;&lt;/div&gt;&lt;div&gt;&lt;h5&gt;&lt;b&gt;School &lt;/b&gt;transmutation [water]; &lt;b&gt;Level &lt;/b&gt;alchemist 4, sorcerer/wizard 6&lt;/h5&gt;&lt;/div&gt;&lt;hr/&gt;&lt;div&gt;&lt;h5&gt;&lt;b&gt;CASTING&lt;/b&gt;&lt;/h5&gt;&lt;/div&gt;&lt;hr/&gt;&lt;div&gt;&lt;h5&gt;&lt;b&gt;Casting Time &lt;/b&gt;1 standard action&lt;/h5&gt;&lt;h5&gt;&lt;b&gt;Components &lt;/b&gt;S, M (a mixture of oil and water)&lt;/h5&gt;&lt;/div&gt;&lt;hr/&gt;&lt;div&gt;&lt;h5&gt;&lt;b&gt;EFFECT&lt;/b&gt;&lt;/h5&gt;&lt;/div&gt;&lt;hr/&gt;&lt;div&gt;&lt;h5&gt;&lt;b&gt;Range &lt;/b&gt;personal&lt;/h5&gt;&lt;h5&gt;&lt;b&gt;Targets &lt;/b&gt;you&lt;/h5&gt;&lt;h5&gt;&lt;b&gt;Duration &lt;/b&gt;1 minute/level&lt;/h5&gt;&lt;/div&gt;&lt;hr/&gt;&lt;div&gt;&lt;h5&gt;&lt;b&gt;DESCRIPTION&lt;/b&gt;&lt;/h5&gt;&lt;/div&gt;&lt;hr/&gt;&lt;div&gt;&lt;h4&gt;&lt;p&gt;When you cast this spell, your body takes on a slick, oily appearance. For the duration of this spell, your form can stretch and shift with ease and becomes slightly transparent, as if you were composed of liquid. This transparency is not enough to grant concealment. You gain DR 10/slashing and your reach increases by 10 feet. In addition, you can pass through small holes or narrow openings, even mere cracks, with anything you were carrying at the time the spell was cast (except other creatures). Finally, you can move through water with a swim speed of 60 feet and can breathe both water and air for the duration of this effect. You are treated as if you had the water subtype while this spell is in effect.&lt;/p&gt;&lt;/h4&gt;&lt;/div&gt;</t>
  </si>
  <si>
    <t>Gain DR 10/slashing, increases reach 10 ft., and breathe water.</t>
  </si>
  <si>
    <t>Fly, Mass</t>
  </si>
  <si>
    <t>This spell functions as fly (Core Rulebook 284), save that it can target numerous creatures and lasts longer.</t>
  </si>
  <si>
    <t>&lt;p&gt;This spell functions as &lt;i&gt;fly&lt;/i&gt; (&lt;i&gt;Core Rulebook&lt;/i&gt; 284), save that it can target numerous creatures and lasts longer.&lt;/p&gt;</t>
  </si>
  <si>
    <t>&lt;link rel="stylesheet"href="PF.css"&gt;&lt;div class="heading"&gt;&lt;p class="alignleft"&gt;Fly, Mass&lt;/p&gt;&lt;div style="clear: both;"&gt;&lt;/div&gt;&lt;/div&gt;&lt;div&gt;&lt;h5&gt;&lt;b&gt;School &lt;/b&gt;transmutation; &lt;b&gt;Level &lt;/b&gt;sorcerer/wizard 7&lt;/h5&gt;&lt;/div&gt;&lt;hr/&gt;&lt;div&gt;&lt;h5&gt;&lt;b&gt;CASTING&lt;/b&gt;&lt;/h5&gt;&lt;/div&gt;&lt;hr/&gt;&lt;div&gt;&lt;h5&gt;&lt;b&gt;Casting Time &lt;/b&gt;1 standard action&lt;/h5&gt;&lt;h5&gt;&lt;b&gt;Components &lt;/b&gt;V, S, F (a wing feather)&lt;/h5&gt;&lt;/div&gt;&lt;hr/&gt;&lt;div&gt;&lt;h5&gt;&lt;b&gt;EFFECT&lt;/b&gt;&lt;/h5&gt;&lt;/div&gt;&lt;hr/&gt;&lt;div&gt;&lt;h5&gt;&lt;b&gt;Range &lt;/b&gt;close (25 ft. + 5 ft./2 levels)&lt;/h5&gt;&lt;h5&gt;&lt;b&gt;Targets &lt;/b&gt;one creature/level, no two of which can be more than 30 ft. apart&lt;/h5&gt;&lt;h5&gt;&lt;b&gt;Duration &lt;/b&gt;10 minutes/level&lt;/h5&gt;&lt;h5&gt;&lt;b&gt;Saving Throw &lt;/b&gt;Will negates (harmless); &lt;b&gt;Spell Resistance &lt;/b&gt;yes (harmless)&lt;/h5&gt;&lt;/div&gt;&lt;hr/&gt;&lt;div&gt;&lt;h5&gt;&lt;b&gt;DESCRIPTION&lt;/b&gt;&lt;/h5&gt;&lt;/div&gt;&lt;hr/&gt;&lt;div&gt;&lt;h4&gt;&lt;p&gt;This spell functions as &lt;i&gt;fly&lt;/i&gt; (&lt;i&gt;Core Rulebook&lt;/i&gt; 284), save that it can target numerous creatures and lasts longer.&lt;/p&gt;&lt;/h4&gt;&lt;/div&gt;</t>
  </si>
  <si>
    <t>One creature/level gains ability to fly.</t>
  </si>
  <si>
    <t>Foe to Friend</t>
  </si>
  <si>
    <t>Cast this spell when an enemy is about to make an attack against an ally. The creature makes the attack against a valid target of your choice instead or the attack is negated. In addition, the target is considered an ally for determining flanking for 1 round.</t>
  </si>
  <si>
    <t>&lt;p&gt;Cast this spell when an enemy is about to make an attack against an ally. The creature makes the attack against a valid target of your choice instead or the attack is negated.&lt;/p&gt;&lt;p&gt;In addition, the target is considered an ally for determining flanking for 1 round.&lt;/p&gt;</t>
  </si>
  <si>
    <t>&lt;link rel="stylesheet"href="PF.css"&gt;&lt;div class="heading"&gt;&lt;p class="alignleft"&gt;Foe to Friend&lt;/p&gt;&lt;div style="clear: both;"&gt;&lt;/div&gt;&lt;/div&gt;&lt;div&gt;&lt;h5&gt;&lt;b&gt;School &lt;/b&gt;enchantment (compulsion) [mind-affecting]; &lt;b&gt;Level &lt;/b&gt;bard 5&lt;/h5&gt;&lt;/div&gt;&lt;hr/&gt;&lt;div&gt;&lt;h5&gt;&lt;b&gt;CASTING&lt;/b&gt;&lt;/h5&gt;&lt;/div&gt;&lt;hr/&gt;&lt;div&gt;&lt;h5&gt;&lt;b&gt;Casting Time &lt;/b&gt;1 immediate action&lt;/h5&gt;&lt;h5&gt;&lt;b&gt;Components &lt;/b&gt;V, S&lt;/h5&gt;&lt;/div&gt;&lt;hr/&gt;&lt;div&gt;&lt;h5&gt;&lt;b&gt;EFFECT&lt;/b&gt;&lt;/h5&gt;&lt;/div&gt;&lt;hr/&gt;&lt;div&gt;&lt;h5&gt;&lt;b&gt;Range &lt;/b&gt;medium (100 ft. + 10 ft./level)&lt;/h5&gt;&lt;h5&gt;&lt;b&gt;Targets &lt;/b&gt;one living creature&lt;/h5&gt;&lt;h5&gt;&lt;b&gt;Duration &lt;/b&gt;1 round&lt;/h5&gt;&lt;h5&gt;&lt;b&gt;Saving Throw &lt;/b&gt;Will negates; &lt;b&gt;Spell Resistance &lt;/b&gt;yes&lt;/h5&gt;&lt;/div&gt;&lt;hr/&gt;&lt;div&gt;&lt;h5&gt;&lt;b&gt;DESCRIPTION&lt;/b&gt;&lt;/h5&gt;&lt;/div&gt;&lt;hr/&gt;&lt;div&gt;&lt;h4&gt;&lt;p&gt;Cast this spell when an enemy is about to make an attack against an ally. The creature makes the attack against a valid target of your choice instead or the attack is negated.&lt;/p&gt;&lt;p&gt;In addition, the target is considered an ally for determining flanking for 1 round.&lt;/p&gt;&lt;/h4&gt;&lt;/div&gt;</t>
  </si>
  <si>
    <t>Redirect an enemy creature's attack.</t>
  </si>
  <si>
    <t>Follow Aura</t>
  </si>
  <si>
    <t>10 minutes/level (D)</t>
  </si>
  <si>
    <t>Choose one alignment type: chaotic, evil, good, or lawful. You gain the ability to follow the trail of a strong or overwhelming aura of that alignment (see detect evil, Core Rulebook 266). This is treated as tracking using the scent special quality, except you are following the traces of their aura upon the ground rather than their scent, and you receive no bonus on Perception checks. At 10th level, you can track the trail of creatures with a moderate alignment aura as well. When you use this spell to track a given alignment, it gains the descriptor of the opposite alignment. For example, when follow aura is used to track evil, it gains the good descriptor.</t>
  </si>
  <si>
    <t>&lt;p&gt;Choose one alignment type: chaotic, evil, good, or lawful. You gain the ability to follow the trail of a strong or overwhelming aura of that alignment (see &lt;i&gt;detect evil&lt;/i&gt;, &lt;i&gt;Core Rulebook&lt;/i&gt; 266). This is treated as tracking using the scent special quality, except you are following the traces of their aura upon the ground rather than their scent, and you receive no bonus on Perception checks. At 10th level, you can track the trail of creatures with a moderate alignment aura as well.&lt;/p&gt;&lt;p&gt;When you use this spell to track a given alignment, it gains the descriptor of the opposite alignment. For example, when &lt;i&gt;follow aura&lt;/i&gt; is used to track evil, it gains the good descriptor.&lt;/p&gt;</t>
  </si>
  <si>
    <t>&lt;link rel="stylesheet"href="PF.css"&gt;&lt;div class="heading"&gt;&lt;p class="alignleft"&gt;Follow Aura&lt;/p&gt;&lt;div style="clear: both;"&gt;&lt;/div&gt;&lt;/div&gt;&lt;div&gt;&lt;h5&gt;&lt;b&gt;School &lt;/b&gt;divination [chaotic, evil, good, or lawful]; &lt;b&gt;Level &lt;/b&gt;inquisitor 2&lt;/h5&gt;&lt;/div&gt;&lt;hr/&gt;&lt;div&gt;&lt;h5&gt;&lt;b&gt;CASTING&lt;/b&gt;&lt;/h5&gt;&lt;/div&gt;&lt;hr/&gt;&lt;div&gt;&lt;h5&gt;&lt;b&gt;Casting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&lt;/b&gt;you&lt;/h5&gt;&lt;h5&gt;&lt;b&gt;Duration &lt;/b&gt;10 minutes/level (D)&lt;/h5&gt;&lt;/div&gt;&lt;hr/&gt;&lt;div&gt;&lt;h5&gt;&lt;b&gt;DESCRIPTION&lt;/b&gt;&lt;/h5&gt;&lt;/div&gt;&lt;hr/&gt;&lt;div&gt;&lt;h4&gt;&lt;p&gt;Choose one alignment type: chaotic, evil, good, or lawful. You gain the ability to follow the trail of a strong or overwhelming aura of that alignment (see &lt;i&gt;detect evil&lt;/i&gt;, &lt;i&gt;Core Rulebook&lt;/i&gt; 266). This is treated as tracking using the scent special quality, except you are following the traces of their aura upon the ground rather than their scent, and you receive no bonus on Perception checks. At 10th level, you can track the trail of creatures with a moderate alignment aura as well.&lt;/p&gt;&lt;p&gt;When you use this spell to track a given alignment, it gains the descriptor of the opposite alignment. For example, when &lt;i&gt;follow aura&lt;/i&gt; is used to track evil, it gains the good descriptor.&lt;/p&gt;&lt;/h4&gt;&lt;/div&gt;</t>
  </si>
  <si>
    <t>Gain ability to follow the trail of the aura of an alignment.</t>
  </si>
  <si>
    <t>Fool's Forbiddance</t>
  </si>
  <si>
    <t>V, S, M (a ring of keys)</t>
  </si>
  <si>
    <t>10-ft.-radius spherical emanation centered on you</t>
  </si>
  <si>
    <t>Through your antics and performance, you create an area of warding that adversely affects all enemies that dare enter it. When an enemy creature enters the area it must make an immediate Will saving throw. If it fails, the creature is confused as long as it is in the area and for 1 round after it leaves. If it succeeds on the saving throw, the creature is staggered as long as it is in the area and for 1 round after it leaves.</t>
  </si>
  <si>
    <t>&lt;p&gt;Through your antics and performance, you create an area of warding that adversely affects all enemies that dare enter it. When an enemy creature enters the area it must make an immediate Will saving throw. If it fails, the creature is confused as long as it is in the area and for 1 round after it leaves. If it succeeds on the saving throw, the creature is staggered as long as it is in the area and for 1 round after it leaves.&lt;/p&gt;</t>
  </si>
  <si>
    <t>&lt;link rel="stylesheet"href="PF.css"&gt;&lt;div class="heading"&gt;&lt;p class="alignleft"&gt;Fool's Forbiddance&lt;/p&gt;&lt;div style="clear: both;"&gt;&lt;/div&gt;&lt;/div&gt;&lt;div&gt;&lt;h5&gt;&lt;b&gt;School &lt;/b&gt;abjuration [mind-affecting]; &lt;b&gt;Level &lt;/b&gt;bard 6&lt;/h5&gt;&lt;/div&gt;&lt;hr/&gt;&lt;div&gt;&lt;h5&gt;&lt;b&gt;CASTING&lt;/b&gt;&lt;/h5&gt;&lt;/div&gt;&lt;hr/&gt;&lt;div&gt;&lt;h5&gt;&lt;b&gt;Casting Time &lt;/b&gt;1 standard action&lt;/h5&gt;&lt;h5&gt;&lt;b&gt;Components &lt;/b&gt;V, S, M (a ring of keys)&lt;/h5&gt;&lt;/div&gt;&lt;hr/&gt;&lt;div&gt;&lt;h5&gt;&lt;b&gt;EFFECT&lt;/b&gt;&lt;/h5&gt;&lt;/div&gt;&lt;hr/&gt;&lt;div&gt;&lt;h5&gt;&lt;b&gt;Range &lt;/b&gt;10 ft.&lt;/h5&gt;&lt;h5&gt;&lt;b&gt;Area &lt;/b&gt;10-ft.-radius spherical emanation centered on you&lt;/h5&gt;&lt;h5&gt;&lt;b&gt;Duration &lt;/b&gt;concentration&lt;/h5&gt;&lt;h5&gt;&lt;b&gt;Saving Throw &lt;/b&gt;Will partial; &lt;b&gt;Spell Resistance &lt;/b&gt;yes&lt;/h5&gt;&lt;/div&gt;&lt;hr/&gt;&lt;div&gt;&lt;h5&gt;&lt;b&gt;DESCRIPTION&lt;/b&gt;&lt;/h5&gt;&lt;/div&gt;&lt;hr/&gt;&lt;div&gt;&lt;h4&gt;&lt;p&gt;Through your antics and performance, you create an area of warding that adversely affects all enemies that dare enter it. When an enemy creature enters the area it must make an immediate Will saving throw. If it fails, the creature is confused as long as it is in the area and for 1 round after it leaves. If it succeeds on the saving throw, the creature is staggered as long as it is in the area and for 1 round after it leaves.&lt;/p&gt;&lt;/h4&gt;&lt;/div&gt;</t>
  </si>
  <si>
    <t>Confuses enemies who come within a magical emanation centered on you.</t>
  </si>
  <si>
    <t>Forced Repentance</t>
  </si>
  <si>
    <t>inquisitor 4, paladin 4</t>
  </si>
  <si>
    <t>one evil creature without the evil subtype</t>
  </si>
  <si>
    <t>You force an evil creature that does not have the evil subtype to momentarily reflect on its past actions and be overcome by grief and conscience. The target immediately drops prone and begins to loudly confess all of its sins and transgressions to the caster for the duration of the spell. The spell immediately ends if you move out of line of sight or if the target is attacked.</t>
  </si>
  <si>
    <t>&lt;p&gt;You force an evil creature that does not have the evil subtype to momentarily reflect on its past actions and be overcome by grief and conscience. The target immediately drops prone and begins to loudly confess all of its sins and transgressions to the caster for the duration of the spell. The spell immediately ends if you move out of line of sight or if the target is attacked.&lt;/p&gt;</t>
  </si>
  <si>
    <t>&lt;link rel="stylesheet"href="PF.css"&gt;&lt;div class="heading"&gt;&lt;p class="alignleft"&gt;Forced Repentance&lt;/p&gt;&lt;div style="clear: both;"&gt;&lt;/div&gt;&lt;/div&gt;&lt;div&gt;&lt;h5&gt;&lt;b&gt;School &lt;/b&gt;enchantment (compulsion) [mind-affecting, emotion]; &lt;b&gt;Level &lt;/b&gt;inquisitor 4, paladin 4&lt;/h5&gt;&lt;/div&gt;&lt;hr/&gt;&lt;div&gt;&lt;h5&gt;&lt;b&gt;CASTING&lt;/b&gt;&lt;/h5&gt;&lt;/div&gt;&lt;hr/&gt;&lt;div&gt;&lt;h5&gt;&lt;b&gt;Casting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levels)&lt;/h5&gt;&lt;h5&gt;&lt;b&gt;Targets &lt;/b&gt;one evil creature without the evil subtype&lt;/h5&gt;&lt;h5&gt;&lt;b&gt;Duration &lt;/b&gt;1 round/level&lt;/h5&gt;&lt;h5&gt;&lt;b&gt;Saving Throw &lt;/b&gt;Will negates; &lt;b&gt;Spell Resistance &lt;/b&gt;yes&lt;/h5&gt;&lt;/div&gt;&lt;hr/&gt;&lt;div&gt;&lt;h5&gt;&lt;b&gt;DESCRIPTION&lt;/b&gt;&lt;/h5&gt;&lt;/div&gt;&lt;hr/&gt;&lt;div&gt;&lt;h4&gt;&lt;p&gt;You force an evil creature that does not have the evil subtype to momentarily reflect on its past actions and be overcome by grief and conscience. The target immediately drops prone and begins to loudly confess all of its sins and transgressions to the caster for the duration of the spell. The spell immediately ends if you move out of line of sight or if the target is attacked.&lt;/p&gt;&lt;/h4&gt;&lt;/div&gt;</t>
  </si>
  <si>
    <t>Target falls prone and confesses all of its sins.</t>
  </si>
  <si>
    <t>Frozen Note</t>
  </si>
  <si>
    <t>30-ft.-radius emanation centered on you</t>
  </si>
  <si>
    <t>any number of creatures within area</t>
  </si>
  <si>
    <t>concentration (up to 1 round/level); see text</t>
  </si>
  <si>
    <t>You produce and sustain a single perfect musical note that holds nearby creatures, friend as well as foe, utterly spellbound until you stop singing. Affected creatures are both paralyzed and oblivious to their surroundings so long as you maintain the note. Maintaining this note requires your absolute attention; if you take damage or take any other action, including moving from your current square, the spell instantly ends. Creatures that succeed in their initial saving throw must make a new one for each round they spend within the area of the spell until they fail and become captivated. Creatures with 4 or more Hit Dice greater than your caster level are not affected by this spell. However, those with 4 or more Hit Dice less than your caster level do not receive a saving throw to resist it. The note is so clear and flawless that less than extraordinary attempts to avoid hearing it merely grant targets a bonus on their saving throws. Targets get a +2 circumstance bonus on their saving throw for each barrier between your voice and their ears. This includes such things as a creature stopping up its ears with wax, closing all windows and doors in a nearby building, or even crawling into a barrel and pulling down the top. If a target that had previously made its saving throw loses the benefit of one or more of its barriers it must immediately make a new saving throw. Similarly, any target that had previously failed its saving throw gets a new save each time it gains the protection of a barrier.</t>
  </si>
  <si>
    <t>&lt;p&gt;You produce and sustain a single perfect musical note that holds nearby creatures, friend as well as foe, utterly spellbound until you stop singing. Affected creatures are both paralyzed and oblivious to their surroundings so long as you maintain the note.&lt;/p&gt;&lt;p&gt;Maintaining this note requires your absolute attention; if you take damage or take any other action, including moving from your current square, the spell instantly ends. Creatures that succeed in their initial saving throw must make a new one for each round they spend within the area of the spell until they fail and become captivated. Creatures with 4 or more Hit Dice greater than your caster level are not affected by this spell. However, those with 4 or more Hit Dice less than your caster level do not receive a saving throw to resist it. The note is so clear and flawless that less than extraordinary attempts to avoid hearing it merely grant targets a bonus on their saving throws. &lt;b&gt;Target&lt;/b&gt;s get a +2 circumstance bonus on their saving throw for each barrier between your voice and their ears. This includes such things as a creature stopping up its ears with wax, closing all windows and doors in a nearby building, or even crawling into a barrel and pulling down the top.&lt;/p&gt;&lt;p&gt;If a target that had previously made its saving throw loses the benefit of one or more of its barriers it must immediately make a new saving throw. Similarly, any target that had previously failed its saving throw gets a new save each time it gains the protection of a barrier.&lt;/p&gt;</t>
  </si>
  <si>
    <t>&lt;link rel="stylesheet"href="PF.css"&gt;&lt;div class="heading"&gt;&lt;p class="alignleft"&gt;Frozen Note&lt;/p&gt;&lt;div style="clear: both;"&gt;&lt;/div&gt;&lt;/div&gt;&lt;div&gt;&lt;h5&gt;&lt;b&gt;School &lt;/b&gt;enchantment (compulsion) [mind-affecting, sonic]; &lt;b&gt;Level &lt;/b&gt;bard 5&lt;/h5&gt;&lt;/div&gt;&lt;hr/&gt;&lt;div&gt;&lt;h5&gt;&lt;b&gt;CASTING&lt;/b&gt;&lt;/h5&gt;&lt;/div&gt;&lt;hr/&gt;&lt;div&gt;&lt;h5&gt;&lt;b&gt;Casting Time &lt;/b&gt;1 standard action&lt;/h5&gt;&lt;h5&gt;&lt;b&gt;Components &lt;/b&gt;V&lt;/h5&gt;&lt;/div&gt;&lt;hr/&gt;&lt;div&gt;&lt;h5&gt;&lt;b&gt;EFFECT&lt;/b&gt;&lt;/h5&gt;&lt;/div&gt;&lt;hr/&gt;&lt;div&gt;&lt;h5&gt;&lt;b&gt;Area &lt;/b&gt;30-ft.-radius emanation centered on you&lt;/h5&gt;&lt;h5&gt;&lt;b&gt;Targets &lt;/b&gt;any number of creatures within area&lt;/h5&gt;&lt;h5&gt;&lt;b&gt;Duration &lt;/b&gt;concentration (up to 1 round/level); see text&lt;/h5&gt;&lt;h5&gt;&lt;b&gt;Saving Throw &lt;/b&gt;Will partial; see text; &lt;b&gt;Spell Resistance &lt;/b&gt;yes&lt;/h5&gt;&lt;/div&gt;&lt;hr/&gt;&lt;div&gt;&lt;h5&gt;&lt;b&gt;DESCRIPTION&lt;/b&gt;&lt;/h5&gt;&lt;/div&gt;&lt;hr/&gt;&lt;div&gt;&lt;h4&gt;&lt;p&gt;You produce and sustain a single perfect musical note that holds nearby creatures, friend as well as foe, utterly spellbound until you stop singing. Affected creatures are both paralyzed and oblivious to their surroundings so long as you maintain the note.&lt;/p&gt;&lt;p&gt;Maintaining this note requires your absolute attention; if you take damage or take any other action, including moving from your current square, the spell instantly ends. Creatures that succeed in their initial saving throw must make a new one for each round they spend within the area of the spell until they fail and become captivated. Creatures with 4 or more Hit Dice greater than your caster level are not affected by this spell. However, those with 4 or more Hit Dice less than your caster level do not receive a saving throw to resist it. The note is so clear and flawless that less than extraordinary attempts to avoid hearing it merely grant targets a bonus on their saving throws. &lt;b&gt;Target&lt;/b&gt;s get a +2 circumstance bonus on their saving throw for each barrier between your voice and their ears. This includes such things as a creature stopping up its ears with wax, closing all windows and doors in a nearby building, or even crawling into a barrel and pulling down the top.&lt;/p&gt;&lt;p&gt;If a target that had previously made its saving throw loses the benefit of one or more of its barriers it must immediately make a new saving throw. Similarly, any target that had previously failed its saving throw gets a new save each time it gains the protection of a barrier.&lt;/p&gt;&lt;/h4&gt;&lt;/div&gt;</t>
  </si>
  <si>
    <t>Paralyzes creatures listening to your song.</t>
  </si>
  <si>
    <t>Gallant Inspiration</t>
  </si>
  <si>
    <t>This word of arcane-empowered inspiration often ensures success of a crucial endeavor. Cast this spell when a creature fails an attack roll or skill check. The creature gains a +2d4 competence bonus to the attack roll or skill check retroactively. If the bonus is enough to turn the failure into a success, the roll succeeds.</t>
  </si>
  <si>
    <t>&lt;p&gt;This word of arcane-empowered inspiration often ensures success of a crucial endeavor. Cast this spell when a creature fails an attack roll or skill check. The creature gains a +2d4 competence bonus to the attack roll or skill check retroactively.&lt;/p&gt;&lt;p&gt;If the bonus is enough to turn the failure into a success, the roll succeeds.&lt;/p&gt;</t>
  </si>
  <si>
    <t>&lt;link rel="stylesheet"href="PF.css"&gt;&lt;div class="heading"&gt;&lt;p class="alignleft"&gt;Gallant Inspiration&lt;/p&gt;&lt;div style="clear: both;"&gt;&lt;/div&gt;&lt;/div&gt;&lt;div&gt;&lt;h5&gt;&lt;b&gt;School &lt;/b&gt;divination; &lt;b&gt;Level &lt;/b&gt;bard 2&lt;/h5&gt;&lt;/div&gt;&lt;hr/&gt;&lt;div&gt;&lt;h5&gt;&lt;b&gt;CASTING&lt;/b&gt;&lt;/h5&gt;&lt;/div&gt;&lt;hr/&gt;&lt;div&gt;&lt;h5&gt;&lt;b&gt;Casting Time &lt;/b&gt;1 immediate action&lt;/h5&gt;&lt;h5&gt;&lt;b&gt;Components &lt;/b&gt;V&lt;/h5&gt;&lt;/div&gt;&lt;hr/&gt;&lt;div&gt;&lt;h5&gt;&lt;b&gt;EFFECT&lt;/b&gt;&lt;/h5&gt;&lt;/div&gt;&lt;hr/&gt;&lt;div&gt;&lt;h5&gt;&lt;b&gt;Range &lt;/b&gt;close (25 ft. + 5 ft./2 levels)&lt;/h5&gt;&lt;h5&gt;&lt;b&gt;Targets &lt;/b&gt;one living creature&lt;/h5&gt;&lt;h5&gt;&lt;b&gt;Duration &lt;/b&gt;instantaneous&lt;/h5&gt;&lt;h5&gt;&lt;b&gt;Saving Throw &lt;/b&gt;Will negates (harmless); &lt;b&gt;Spell Resistance &lt;/b&gt;yes&lt;/h5&gt;&lt;/div&gt;&lt;hr/&gt;&lt;div&gt;&lt;h5&gt;&lt;b&gt;DESCRIPTION&lt;/b&gt;&lt;/h5&gt;&lt;/div&gt;&lt;hr/&gt;&lt;div&gt;&lt;h4&gt;&lt;p&gt;This word of arcane-empowered inspiration often ensures success of a crucial endeavor. Cast this spell when a creature fails an attack roll or skill check. The creature gains a +2d4 competence bonus to the attack roll or skill check retroactively.&lt;/p&gt;&lt;p&gt;If the bonus is enough to turn the failure into a success, the roll succeeds.&lt;/p&gt;&lt;/h4&gt;&lt;/div&gt;</t>
  </si>
  <si>
    <t>+2d4 bonus on failed attack roll or skill check.</t>
  </si>
  <si>
    <t>Getaway</t>
  </si>
  <si>
    <t>V, S, M (a brass doorknob)</t>
  </si>
  <si>
    <t>you and one willing creature/2 levels, all of which must be within 30 feet of you</t>
  </si>
  <si>
    <t>Getaway teleports you and allies you designate at the time of casting to a predetermined location. You must initially cast the spell at that location-all creatures affected by the spell must be present at that time and within 30 feet of you. At any time before the spell's duration expires, you may trigger the spell as a swift action. At this time, all affected creatures (or their remains and gear) within 30 feet of you are teleported to the location where you first cast the spell. Creatures more than 30 feet away from you are left behind. Selected creatures within 30 feet of you who do not wish to travel with you at that time can simply choose not to go. You can be transported any distance within a plane but cannot travel between planes.</t>
  </si>
  <si>
    <t>&lt;p&gt;&lt;i&gt;Getaway&lt;/i&gt; teleports you and allies you designate at the time of casting to a predetermined location. You must initially cast the spell at that location-all creatures affected by the spell must be present at that time and within 30 feet of you. At any time before the spell's duration expires, you may trigger the spell as a swift action. At this time, all affected creatures (or their remains and gear) within 30 feet of you are teleported to the location where you first cast the spell. Creatures more than 30 feet away from you are left behind. Selected creatures within 30 feet of you who do not wish to travel with you at that time can simply choose not to go. You can be transported any distance within a plane but cannot travel between planes.&lt;/p&gt;</t>
  </si>
  <si>
    <t>&lt;link rel="stylesheet"href="PF.css"&gt;&lt;div class="heading"&gt;&lt;p class="alignleft"&gt;Getaway&lt;/p&gt;&lt;div style="clear: both;"&gt;&lt;/div&gt;&lt;/div&gt;&lt;div&gt;&lt;h5&gt;&lt;b&gt;School &lt;/b&gt;conjuration (teleportation); &lt;b&gt;Level &lt;/b&gt;bard 6, sorcerer/wizard 6&lt;/h5&gt;&lt;/div&gt;&lt;hr/&gt;&lt;div&gt;&lt;h5&gt;&lt;b&gt;CASTING&lt;/b&gt;&lt;/h5&gt;&lt;/div&gt;&lt;hr/&gt;&lt;div&gt;&lt;h5&gt;&lt;b&gt;Casting Time &lt;/b&gt;1 minute&lt;/h5&gt;&lt;h5&gt;&lt;b&gt;Components &lt;/b&gt;V, S, M (a brass doorknob)&lt;/h5&gt;&lt;/div&gt;&lt;hr/&gt;&lt;div&gt;&lt;h5&gt;&lt;b&gt;EFFECT&lt;/b&gt;&lt;/h5&gt;&lt;/div&gt;&lt;hr/&gt;&lt;div&gt;&lt;h5&gt;&lt;b&gt;Range &lt;/b&gt;unlimited&lt;/h5&gt;&lt;h5&gt;&lt;b&gt;Targets &lt;/b&gt;you and one willing creature/2 levels, all of which must be within 30 feet of you&lt;/h5&gt;&lt;h5&gt;&lt;b&gt;Duration &lt;/b&gt;1 hour/level&lt;/h5&gt;&lt;h5&gt;&lt;b&gt;Saving Throw &lt;/b&gt;none; &lt;b&gt;Spell Resistance &lt;/b&gt;no&lt;/h5&gt;&lt;/div&gt;&lt;hr/&gt;&lt;div&gt;&lt;h5&gt;&lt;b&gt;DESCRIPTION&lt;/b&gt;&lt;/h5&gt;&lt;/div&gt;&lt;hr/&gt;&lt;div&gt;&lt;h4&gt;&lt;p&gt;&lt;i&gt;Getaway&lt;/i&gt; teleports you and allies you designate at the time of casting to a predetermined location. You must initially cast the spell at that location-all creatures affected by the spell must be present at that time and within 30 feet of you. At any time before the spell's duration expires, you may trigger the spell as a swift action. At this time, all affected creatures (or their remains and gear) within 30 feet of you are teleported to the location where you first cast the spell. Creatures more than 30 feet away from you are left behind. Selected creatures within 30 feet of you who do not wish to travel with you at that time can simply choose not to go. You can be transported any distance within a plane but cannot travel between planes.&lt;/p&gt;&lt;/h4&gt;&lt;/div&gt;</t>
  </si>
  <si>
    <t>Teleports a group of predetermined allies and creatures to a predetermined location.</t>
  </si>
  <si>
    <t>Geyser</t>
  </si>
  <si>
    <t>fire, water</t>
  </si>
  <si>
    <t>druid 4, sorcerer/wizard 5, magus 5</t>
  </si>
  <si>
    <t>V, S, M/DF (a piece of lava rock)</t>
  </si>
  <si>
    <t>spout of boiling water filling a 5 ft. square and spraying upward 10 ft./2 levels</t>
  </si>
  <si>
    <t>Reflex partial (see below)</t>
  </si>
  <si>
    <t>You cause a column of boiling water to spring forth from any horizontal surface, knocking over creatures directly over it and exposing nearby creatures to searing droplets as its spray falls back to the ground. Any creature entering the geyser, or occupying the square it appears in, must make a Reflex saving throw to avoid being hurled into the air and then tossed to the ground. If the creature fails its saving throw, it takes 3d6 points of fire damage from the boiling water and also takes falling damage based upon the height of the geyser (e.g., if the geyser is 50 feet tall, the creature takes 5d6 falling damage), landing prone in a random square adjacent to the geyser. A successful saving throw halves the damage and negates the falling damage, and the creature is moved to the closest square adjacent to the geyser (Large-sized or larger creatures are moved enough so that they are not on top of the geyser but still adjacent to it). This movement does not provoke attacks of opportunity and does not count toward the creature's normal movement. In addition, the geyser sprays boiling water in a hemispherical emanation around its square. The radius of this emanation is equal to one-half the geyser's height (e.g., a 50-foot geyser has a 25-foot-radius emanation). Any creature within this area, including yourself, takes 1d6 points of fire damage each round as droplets of boiling water cascade on them. You can choose to make a smaller geyser than your level permits if an obstruction prevents it from reaching its full height, or if you simply want to create a spread of boiling rain that's smaller than what would be created by a full-height geyser spell.</t>
  </si>
  <si>
    <t>&lt;p&gt;You cause a column of boiling water to spring forth from any horizontal surface, knocking over creatures directly over it and exposing nearby creatures to searing droplets as its spray falls back to the ground.&lt;/p&gt;&lt;p&gt;Any creature entering the &lt;i&gt;geyser&lt;/i&gt;, or occupying the square it appears in, must make a Reflex saving throw to avoid being hurled into the air and then tossed to the ground. If the creature fails its saving throw, it takes 3d6 points of fire damage from the boiling water and also takes falling damage based upon the height of the &lt;i&gt;geyser&lt;/i&gt; (e.g., if the &lt;i&gt;geyser&lt;/i&gt; is 50 feet tall, the creature takes 5d6 falling damage), landing prone in a random square adjacent to the &lt;i&gt;geyser&lt;/i&gt;. A successful saving throw halves the damage and negates the falling damage, and the creature is moved to the closest square adjacent to the &lt;i&gt;geyser&lt;/i&gt; (Large-sized or larger creatures are moved enough so that they are not on top of the &lt;i&gt;geyser&lt;/i&gt; but still adjacent to it).&lt;/p&gt;&lt;p&gt;This movement does not provoke attacks of opportunity and does not count toward the creature's normal movement.&lt;/p&gt;&lt;p&gt;In addition, the &lt;i&gt;geyser&lt;/i&gt; sprays boiling water in a hemispherical emanation around its square. The radius of this emanation is equal to one-half the &lt;i&gt;geyser&lt;/i&gt;'s height (e.g., a 50-foot &lt;i&gt;geyser&lt;/i&gt; has a 25-foot-radius emanation). Any creature within this area, including yourself, takes 1d6 points of fire damage each round as droplets of boiling water cascade on them.&lt;/p&gt;&lt;p&gt;You can choose to make a smaller &lt;i&gt;geyser&lt;/i&gt; than your level permits if an obstruction prevents it from reaching its full height, or if you simply want to create a spread of boiling rain that's smaller than what would be created by a full-height &lt;i&gt;geyser&lt;/i&gt; spell.&lt;/p&gt;</t>
  </si>
  <si>
    <t>&lt;link rel="stylesheet"href="PF.css"&gt;&lt;div class="heading"&gt;&lt;p class="alignleft"&gt;Geyser&lt;/p&gt;&lt;div style="clear: both;"&gt;&lt;/div&gt;&lt;/div&gt;&lt;div&gt;&lt;h5&gt;&lt;b&gt;School &lt;/b&gt;conjuration (creation) [fire, water]; &lt;b&gt;Level &lt;/b&gt;druid 4, sorcerer/wizard 5, magus 5&lt;/h5&gt;&lt;/div&gt;&lt;hr/&gt;&lt;div&gt;&lt;h5&gt;&lt;b&gt;CASTING&lt;/b&gt;&lt;/h5&gt;&lt;/div&gt;&lt;hr/&gt;&lt;div&gt;&lt;h5&gt;&lt;b&gt;Casting Time &lt;/b&gt;1 standard action&lt;/h5&gt;&lt;h5&gt;&lt;b&gt;Components &lt;/b&gt;V, S, M/DF (a piece of lava rock)&lt;/h5&gt;&lt;/div&gt;&lt;hr/&gt;&lt;div&gt;&lt;h5&gt;&lt;b&gt;EFFECT&lt;/b&gt;&lt;/h5&gt;&lt;/div&gt;&lt;hr/&gt;&lt;div&gt;&lt;h5&gt;&lt;b&gt;Range &lt;/b&gt;long (400 ft. + 40 ft./level)&lt;/h5&gt;&lt;h5&gt;&lt;b&gt;Effect &lt;/b&gt;spout of boiling water filling a 5 ft. square and spraying upward 10 ft./2 levels&lt;/h5&gt;&lt;h5&gt;&lt;b&gt;Duration &lt;/b&gt;concentration + 1 round/level&lt;/h5&gt;&lt;h5&gt;&lt;b&gt;Saving Throw &lt;/b&gt;Reflex partial (see below); &lt;b&gt;Spell Resistance &lt;/b&gt;no&lt;/h5&gt;&lt;/div&gt;&lt;hr/&gt;&lt;div&gt;&lt;h5&gt;&lt;b&gt;DESCRIPTION&lt;/b&gt;&lt;/h5&gt;&lt;/div&gt;&lt;hr/&gt;&lt;div&gt;&lt;h4&gt;&lt;p&gt;You cause a column of boiling water to spring forth from any horizontal surface, knocking over creatures directly over it and exposing nearby creatures to searing droplets as its spray falls back to the ground.&lt;/p&gt;&lt;p&gt;Any creature entering the &lt;i&gt;geyser&lt;/i&gt;, or occupying the square it appears in, must make a Reflex saving throw to avoid being hurled into the air and then tossed to the ground. If the creature fails its saving throw, it takes 3d6 points of fire damage from the boiling water and also takes falling damage based upon the height of the &lt;i&gt;geyser&lt;/i&gt; (e.g., if the &lt;i&gt;geyser&lt;/i&gt; is 50 feet tall, the creature takes 5d6 falling damage), landing prone in a random square adjacent to the &lt;i&gt;geyser&lt;/i&gt;. A successful saving throw halves the damage and negates the falling damage, and the creature is moved to the closest square adjacent to the &lt;i&gt;geyser&lt;/i&gt; (Large-sized or larger creatures are moved enough so that they are not on top of the &lt;i&gt;geyser&lt;/i&gt; but still adjacent to it).&lt;/p&gt;&lt;p&gt;This movement does not provoke attacks of opportunity and does not count toward the creature's normal movement.&lt;/p&gt;&lt;p&gt;In addition, the &lt;i&gt;geyser&lt;/i&gt; sprays boiling water in a hemispherical emanation around its square. The radius of this emanation is equal to one-half the &lt;i&gt;geyser&lt;/i&gt;'s height (e.g., a 50-foot &lt;i&gt;geyser&lt;/i&gt; has a 25-foot-radius emanation). Any creature within this area, including yourself, takes 1d6 points of fire damage each round as droplets of boiling water cascade on them.&lt;/p&gt;&lt;p&gt;You can choose to make a smaller &lt;i&gt;geyser&lt;/i&gt; than your level permits if an obstruction prevents it from reaching its full height, or if you simply want to create a spread of boiling rain that's smaller than what would be created by a full-height &lt;i&gt;geyser&lt;/i&gt; spell.&lt;/p&gt;&lt;/h4&gt;&lt;/div&gt;</t>
  </si>
  <si>
    <t>Creates a geyser of boiling water.</t>
  </si>
  <si>
    <t>Ghostbane Dirge</t>
  </si>
  <si>
    <t>bard 2, cleric 2/oracle 2, inquisitor 2, paladin 1</t>
  </si>
  <si>
    <t>V, S, M/DF (an old reed from a wind instrument)</t>
  </si>
  <si>
    <t>one incorporeal creature</t>
  </si>
  <si>
    <t>The target coalesces into a semi-physical form for a short period of time. While subject to the spell, the incorporeal creature takes half damage (50%) from nonmagical attack forms, and full damage from magic weapons, spells, spell-like effects, and supernatural effects.</t>
  </si>
  <si>
    <t>&lt;p&gt;The target coalesces into a semi-physical form for a short period of time. While subject to the spell, the incorporeal creature takes half damage (50%) from nonmagical attack forms, and full damage from magic weapons, spells, spell-like effects, and supernatural effects.&lt;/p&gt;</t>
  </si>
  <si>
    <t>&lt;link rel="stylesheet"href="PF.css"&gt;&lt;div class="heading"&gt;&lt;p class="alignleft"&gt;Ghostbane Dirge&lt;/p&gt;&lt;div style="clear: both;"&gt;&lt;/div&gt;&lt;/div&gt;&lt;div&gt;&lt;h5&gt;&lt;b&gt;School &lt;/b&gt;transmutation; &lt;b&gt;Level &lt;/b&gt;bard 2, cleric 2/oracle 2, inquisitor 2, paladin 1&lt;/h5&gt;&lt;/div&gt;&lt;hr/&gt;&lt;div&gt;&lt;h5&gt;&lt;b&gt;CASTING&lt;/b&gt;&lt;/h5&gt;&lt;/div&gt;&lt;hr/&gt;&lt;div&gt;&lt;h5&gt;&lt;b&gt;Casting Time &lt;/b&gt;1 standard action&lt;/h5&gt;&lt;h5&gt;&lt;b&gt;Components &lt;/b&gt;V, S, M/DF (an old reed from a wind instrument)&lt;/h5&gt;&lt;/div&gt;&lt;hr/&gt;&lt;div&gt;&lt;h5&gt;&lt;b&gt;EFFECT&lt;/b&gt;&lt;/h5&gt;&lt;/div&gt;&lt;hr/&gt;&lt;div&gt;&lt;h5&gt;&lt;b&gt;Range &lt;/b&gt;close (25 ft. + 5 ft./2 levels)&lt;/h5&gt;&lt;h5&gt;&lt;b&gt;Targets &lt;/b&gt;one incorporeal creature&lt;/h5&gt;&lt;h5&gt;&lt;b&gt;Duration &lt;/b&gt;1 round/level&lt;/h5&gt;&lt;h5&gt;&lt;b&gt;Saving Throw &lt;/b&gt;Will negates; &lt;b&gt;Spell Resistance &lt;/b&gt;yes&lt;/h5&gt;&lt;/div&gt;&lt;hr/&gt;&lt;div&gt;&lt;h5&gt;&lt;b&gt;DESCRIPTION&lt;/b&gt;&lt;/h5&gt;&lt;/div&gt;&lt;hr/&gt;&lt;div&gt;&lt;h4&gt;&lt;p&gt;The target coalesces into a semi-physical form for a short period of time. While subject to the spell, the incorporeal creature takes half damage (50%) from nonmagical attack forms, and full damage from magic weapons, spells, spell-like effects, and supernatural effects.&lt;/p&gt;&lt;/h4&gt;&lt;/div&gt;</t>
  </si>
  <si>
    <t>Incorporeal creature takes half damage from nonmagical weapons.</t>
  </si>
  <si>
    <t>Ghostbane Dirge, Mass</t>
  </si>
  <si>
    <t>bard 4, cleric 5/oracle 5, inquisitor 5, paladin 3</t>
  </si>
  <si>
    <t>one incorporeal creature/level, no two of which can be more than 30 ft. apart</t>
  </si>
  <si>
    <t>This spell functions as ghostbane dirge, except that it affects multiple targets.</t>
  </si>
  <si>
    <t>&lt;p&gt;This spell functions as &lt;i&gt;ghostbane dirge&lt;/i&gt;, except that it affects multiple targets.&lt;/p&gt;</t>
  </si>
  <si>
    <t>&lt;link rel="stylesheet"href="PF.css"&gt;&lt;div class="heading"&gt;&lt;p class="alignleft"&gt;Ghostbane Dirge, Mass&lt;/p&gt;&lt;div style="clear: both;"&gt;&lt;/div&gt;&lt;/div&gt;&lt;div&gt;&lt;h5&gt;&lt;b&gt;School &lt;/b&gt;transmutation; &lt;b&gt;Level &lt;/b&gt;bard 4, cleric 5/oracle 5, inquisitor 5, paladin 3&lt;/h5&gt;&lt;/div&gt;&lt;hr/&gt;&lt;div&gt;&lt;h5&gt;&lt;b&gt;CASTING&lt;/b&gt;&lt;/h5&gt;&lt;/div&gt;&lt;hr/&gt;&lt;div&gt;&lt;h5&gt;&lt;b&gt;Casting Time &lt;/b&gt;1 standard action&lt;/h5&gt;&lt;h5&gt;&lt;b&gt;Components &lt;/b&gt;V, S, M/DF (an old reed from a wind instrument)&lt;/h5&gt;&lt;/div&gt;&lt;hr/&gt;&lt;div&gt;&lt;h5&gt;&lt;b&gt;EFFECT&lt;/b&gt;&lt;/h5&gt;&lt;/div&gt;&lt;hr/&gt;&lt;div&gt;&lt;h5&gt;&lt;b&gt;Range &lt;/b&gt;close (25 ft. + 5 ft./2 levels)&lt;/h5&gt;&lt;h5&gt;&lt;b&gt;Targets &lt;/b&gt;one incorporeal creature/level, no two of which can be more than 30 ft. apart&lt;/h5&gt;&lt;h5&gt;&lt;b&gt;Duration &lt;/b&gt;1 round/level&lt;/h5&gt;&lt;h5&gt;&lt;b&gt;Saving Throw &lt;/b&gt;Will negates; &lt;b&gt;Spell Resistance &lt;/b&gt;yes&lt;/h5&gt;&lt;/div&gt;&lt;hr/&gt;&lt;div&gt;&lt;h5&gt;&lt;b&gt;DESCRIPTION&lt;/b&gt;&lt;/h5&gt;&lt;/div&gt;&lt;hr/&gt;&lt;div&gt;&lt;h4&gt;&lt;p&gt;This spell functions as &lt;i&gt;ghostbane dirge&lt;/i&gt;, except that it affects multiple targets.&lt;/p&gt;&lt;/h4&gt;&lt;/div&gt;</t>
  </si>
  <si>
    <t>As ghostbane dirge, but affecting multiple creatures.</t>
  </si>
  <si>
    <t>Glide</t>
  </si>
  <si>
    <t>druid 2, ranger 1, sorcerer/wizard 2, summoner 2, witch 2</t>
  </si>
  <si>
    <t>V, S, M/DF (a leaf )</t>
  </si>
  <si>
    <t>until landing or 1 minute/level (D)</t>
  </si>
  <si>
    <t>You take no damage from falls (as if from feather fall). In addition, you can move up to 5 feet in any horizontal direction for every 1 foot you fall, at a speed of 60 feet per round. You cannot use this spell to actually gain height, merely coast in other directions as you fall. If subjected to a strong wind or any other effect that causes you to rise you can take advantage of it in order to increase the distance you can glide. The spell ends as soon as your feet touch the ground regardless of its remaining duration. If the spell expires while you are still in the air you fall the remaining distance as normal.</t>
  </si>
  <si>
    <t>&lt;p&gt;You take no damage from falls (as if from &lt;i&gt;feather fall&lt;/i&gt;). In addition, you can move up to 5 feet in any horizontal direction for every 1 foot you fall, at a speed of 60 feet per round. You cannot use this spell to actually gain height, merely coast in other directions as you fall. If subjected to a strong wind or any other effect that causes you to rise you can take advantage of it in order to increase the distance you can glide. The spell ends as soon as your feet touch the ground regardless of its remaining duration. If the spell expires while you are still in the air you fall the remaining distance as normal.&lt;/p&gt;</t>
  </si>
  <si>
    <t>&lt;link rel="stylesheet"href="PF.css"&gt;&lt;div class="heading"&gt;&lt;p class="alignleft"&gt;Glide&lt;/p&gt;&lt;div style="clear: both;"&gt;&lt;/div&gt;&lt;/div&gt;&lt;div&gt;&lt;h5&gt;&lt;b&gt;School &lt;/b&gt;transmutation; &lt;b&gt;Level &lt;/b&gt;druid 2, ranger 1, sorcerer/wizard 2, summoner 2, witch 2&lt;/h5&gt;&lt;/div&gt;&lt;hr/&gt;&lt;div&gt;&lt;h5&gt;&lt;b&gt;CASTING&lt;/b&gt;&lt;/h5&gt;&lt;/div&gt;&lt;hr/&gt;&lt;div&gt;&lt;h5&gt;&lt;b&gt;Casting Time &lt;/b&gt;1 standard action&lt;/h5&gt;&lt;h5&gt;&lt;b&gt;Components &lt;/b&gt;V, S, M/DF (a leaf )&lt;/h5&gt;&lt;/div&gt;&lt;hr/&gt;&lt;div&gt;&lt;h5&gt;&lt;b&gt;EFFECT&lt;/b&gt;&lt;/h5&gt;&lt;/div&gt;&lt;hr/&gt;&lt;div&gt;&lt;h5&gt;&lt;b&gt;Range &lt;/b&gt;personal&lt;/h5&gt;&lt;h5&gt;&lt;b&gt;Targets &lt;/b&gt;you&lt;/h5&gt;&lt;h5&gt;&lt;b&gt;Duration &lt;/b&gt;until landing or 1 minute/level (D)&lt;/h5&gt;&lt;/div&gt;&lt;hr/&gt;&lt;div&gt;&lt;h5&gt;&lt;b&gt;DESCRIPTION&lt;/b&gt;&lt;/h5&gt;&lt;/div&gt;&lt;hr/&gt;&lt;div&gt;&lt;h4&gt;&lt;p&gt;You take no damage from falls (as if from &lt;i&gt;feather fall&lt;/i&gt;). In addition, you can move up to 5 feet in any horizontal direction for every 1 foot you fall, at a speed of 60 feet per round. You cannot use this spell to actually gain height, merely coast in other directions as you fall. If subjected to a strong wind or any other effect that causes you to rise you can take advantage of it in order to increase the distance you can glide. The spell ends as soon as your feet touch the ground regardless of its remaining duration. If the spell expires while you are still in the air you fall the remaining distance as normal.&lt;/p&gt;&lt;/h4&gt;&lt;/div&gt;</t>
  </si>
  <si>
    <t>No fall damage, move 60 ft./round while falling.</t>
  </si>
  <si>
    <t>Grace</t>
  </si>
  <si>
    <t>cleric 2/oracle 2, paladin 1</t>
  </si>
  <si>
    <t>Until the end of your turn, your movement does not provoke attacks of opportunity.</t>
  </si>
  <si>
    <t>&lt;p&gt;Until the end of your turn, your movement does not provoke attacks of opportunity.&lt;/p&gt;</t>
  </si>
  <si>
    <t>&lt;link rel="stylesheet"href="PF.css"&gt;&lt;div class="heading"&gt;&lt;p class="alignleft"&gt;Grace&lt;/p&gt;&lt;div style="clear: both;"&gt;&lt;/div&gt;&lt;/div&gt;&lt;div&gt;&lt;h5&gt;&lt;b&gt;School &lt;/b&gt;abjuration; &lt;b&gt;Level &lt;/b&gt;cleric 2/oracle 2, paladin 1&lt;/h5&gt;&lt;/div&gt;&lt;hr/&gt;&lt;div&gt;&lt;h5&gt;&lt;b&gt;CASTING&lt;/b&gt;&lt;/h5&gt;&lt;/div&gt;&lt;hr/&gt;&lt;div&gt;&lt;h5&gt;&lt;b&gt;Casting Time &lt;/b&gt;1 swift action&lt;/h5&gt;&lt;h5&gt;&lt;b&gt;Components &lt;/b&gt;V&lt;/h5&gt;&lt;/div&gt;&lt;hr/&gt;&lt;div&gt;&lt;h5&gt;&lt;b&gt;EFFECT&lt;/b&gt;&lt;/h5&gt;&lt;/div&gt;&lt;hr/&gt;&lt;div&gt;&lt;h5&gt;&lt;b&gt;Range &lt;/b&gt;personal&lt;/h5&gt;&lt;h5&gt;&lt;b&gt;Targets &lt;/b&gt;you&lt;/h5&gt;&lt;h5&gt;&lt;b&gt;Duration &lt;/b&gt;see text&lt;/h5&gt;&lt;/div&gt;&lt;hr/&gt;&lt;div&gt;&lt;h5&gt;&lt;b&gt;DESCRIPTION&lt;/b&gt;&lt;/h5&gt;&lt;/div&gt;&lt;hr/&gt;&lt;div&gt;&lt;h4&gt;&lt;p&gt;Until the end of your turn, your movement does not provoke attacks of opportunity.&lt;/p&gt;&lt;/h4&gt;&lt;/div&gt;</t>
  </si>
  <si>
    <t>Movement doesn't provoke attacks of opportunity.</t>
  </si>
  <si>
    <t>Gravity Bow</t>
  </si>
  <si>
    <t>ranger 1, sorcerer/wizard 1</t>
  </si>
  <si>
    <t>Gravity bow significantly increases the weight and density of arrows or bolts fired from your bow or crossbow the instant before they strike their target and then return them to normal a few moments later. Any arrow fired from a bow or crossbow you are carrying when the spell is cast deals damage as if one size larger than it actually is. For instance, an arrow fired from a Medium longbow normally deals 1d8 points of damage, but it would instead deal 2d6 points of damage if fired from a gravity bow (see page 145 of the Core Rulebook for more information). Only you can benefit from this spell. If anyone else uses your bow to make an attack the arrows deal damage as normal for their size.</t>
  </si>
  <si>
    <t>&lt;p&gt;&lt;i&gt;Gravity bow&lt;/i&gt; significantly increases the weight and density of arrows or bolts fired from your bow or crossbow the instant before they strike their target and then return them to normal a few moments later. Any arrow fired from a bow or crossbow you are carrying when the spell is cast deals damage as if one size larger than it actually is. For instance, an arrow fired from a Medium longbow normally deals 1d8 points of damage, but it would instead deal 2d6 points of damage if fired from a &lt;i&gt;gravity bow&lt;/i&gt; (see page 145 of the &lt;i&gt;Core Rulebook&lt;/i&gt; for more information). Only you can benefit from this spell. If anyone else uses your bow to make an attack the arrows deal damage as normal for their size.&lt;/p&gt;</t>
  </si>
  <si>
    <t>&lt;link rel="stylesheet"href="PF.css"&gt;&lt;div class="heading"&gt;&lt;p class="alignleft"&gt;Gravity Bow&lt;/p&gt;&lt;div style="clear: both;"&gt;&lt;/div&gt;&lt;/div&gt;&lt;div&gt;&lt;h5&gt;&lt;b&gt;School &lt;/b&gt;transmutation; &lt;b&gt;Level &lt;/b&gt;ranger 1, sorcerer/wizard 1&lt;/h5&gt;&lt;/div&gt;&lt;hr/&gt;&lt;div&gt;&lt;h5&gt;&lt;b&gt;CASTING&lt;/b&gt;&lt;/h5&gt;&lt;/div&gt;&lt;hr/&gt;&lt;div&gt;&lt;h5&gt;&lt;b&gt;Casting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minute/level (D)&lt;/h5&gt;&lt;/div&gt;&lt;hr/&gt;&lt;div&gt;&lt;h5&gt;&lt;b&gt;DESCRIPTION&lt;/b&gt;&lt;/h5&gt;&lt;/div&gt;&lt;hr/&gt;&lt;div&gt;&lt;h4&gt;&lt;p&gt;&lt;i&gt;Gravity bow&lt;/i&gt; significantly increases the weight and density of arrows or bolts fired from your bow or crossbow the instant before they strike their target and then return them to normal a few moments later. Any arrow fired from a bow or crossbow you are carrying when the spell is cast deals damage as if one size larger than it actually is. For instance, an arrow fired from a Medium longbow normally deals 1d8 points of damage, but it would instead deal 2d6 points of damage if fired from a &lt;i&gt;gravity bow&lt;/i&gt; (see page 145 of the &lt;i&gt;Core Rulebook&lt;/i&gt; for more information). Only you can benefit from this spell. If anyone else uses your bow to make an attack the arrows deal damage as normal for their size.&lt;/p&gt;&lt;/h4&gt;&lt;/div&gt;</t>
  </si>
  <si>
    <t>Arrows do damage as though one size category bigger.</t>
  </si>
  <si>
    <t>Grove of Respite</t>
  </si>
  <si>
    <t>V, S, M/DF (a leaf or blade of grass and a drop of water)</t>
  </si>
  <si>
    <t>20-ft.-radius grove</t>
  </si>
  <si>
    <t>2 hours/level (D)</t>
  </si>
  <si>
    <t>You conjure a sheltered grove of trees surrounding a shallow spring. The grove appears from nowhere even in the most barren, rocky soil regardless of season, but the spell must be cast outside on open ground. The area within the grove is temperate and comfortable, like that of a tiny hut, although the grove provides no illumination and provides no protection from the elements. The water in the grove's spring is clean and drinkable. Additionally, the trees provide a variety of ripe fruit, regardless of season, which acts as a goodberry spell for up to eight people. The grove is warded with an alarm spell that alerts you whenever any creature enters the area. Once the spell expires, the grove vanishes, including all fruit, water, and other materials from it, although any nourishment or healing gained from its effects remains.</t>
  </si>
  <si>
    <t>&lt;p&gt;You conjure a sheltered grove of trees surrounding a shallow spring. The grove appears from nowhere even in the most barren, rocky soil regardless of season, but the spell must be cast outside on open ground.&lt;/p&gt;&lt;p&gt;The area within the grove is temperate and comfortable, like that of a &lt;i&gt;tiny hut&lt;/i&gt;, although the grove provides no illumination and provides no protection from the elements. The water in the grove's spring is clean and drinkable. Additionally, the trees provide a variety of ripe fruit, regardless of season, which acts as a &lt;i&gt;goodberry&lt;/i&gt; spell for up to eight people. The grove is warded with an &lt;i&gt;alarm&lt;/i&gt; spell that alerts you whenever any creature enters the area. Once the spell expires, the grove vanishes, including all fruit, water, and other materials from it, although any nourishment or healing gained from its effects remains.&lt;/p&gt;</t>
  </si>
  <si>
    <t>&lt;link rel="stylesheet"href="PF.css"&gt;&lt;div class="heading"&gt;&lt;p class="alignleft"&gt;Grove of Respite&lt;/p&gt;&lt;div style="clear: both;"&gt;&lt;/div&gt;&lt;/div&gt;&lt;div&gt;&lt;h5&gt;&lt;b&gt;School &lt;/b&gt;conjuration (creation); &lt;b&gt;Level &lt;/b&gt;druid 4, ranger 4&lt;/h5&gt;&lt;/div&gt;&lt;hr/&gt;&lt;div&gt;&lt;h5&gt;&lt;b&gt;CASTING&lt;/b&gt;&lt;/h5&gt;&lt;/div&gt;&lt;hr/&gt;&lt;div&gt;&lt;h5&gt;&lt;b&gt;Casting Time &lt;/b&gt;10 minutes&lt;/h5&gt;&lt;h5&gt;&lt;b&gt;Components &lt;/b&gt;V, S, M/DF (a leaf or blade of grass and a drop of water)&lt;/h5&gt;&lt;/div&gt;&lt;hr/&gt;&lt;div&gt;&lt;h5&gt;&lt;b&gt;EFFECT&lt;/b&gt;&lt;/h5&gt;&lt;/div&gt;&lt;hr/&gt;&lt;div&gt;&lt;h5&gt;&lt;b&gt;Range &lt;/b&gt;close (25 ft. + 5 ft./2 levels)&lt;/h5&gt;&lt;h5&gt;&lt;b&gt;Effect &lt;/b&gt;20-ft.-radius grove&lt;/h5&gt;&lt;h5&gt;&lt;b&gt;Duration &lt;/b&gt;2 hours/level (D)&lt;/h5&gt;&lt;h5&gt;&lt;b&gt;Saving Throw &lt;/b&gt;none; &lt;b&gt;Spell Resistance &lt;/b&gt;no&lt;/h5&gt;&lt;/div&gt;&lt;hr/&gt;&lt;div&gt;&lt;h5&gt;&lt;b&gt;DESCRIPTION&lt;/b&gt;&lt;/h5&gt;&lt;/div&gt;&lt;hr/&gt;&lt;div&gt;&lt;h4&gt;&lt;p&gt;You conjure a sheltered grove of trees surrounding a shallow spring. The grove appears from nowhere even in the most barren, rocky soil regardless of season, but the spell must be cast outside on open ground.&lt;/p&gt;&lt;p&gt;The area within the grove is temperate and comfortable, like that of a &lt;i&gt;tiny hut&lt;/i&gt;, although the grove provides no illumination and provides no protection from the elements. The water in the grove's spring is clean and drinkable. Additionally, the trees provide a variety of ripe fruit, regardless of season, which acts as a &lt;i&gt;goodberry&lt;/i&gt; spell for up to eight people. The grove is warded with an &lt;i&gt;alarm&lt;/i&gt; spell that alerts you whenever any creature enters the area. Once the spell expires, the grove vanishes, including all fruit, water, and other materials from it, although any nourishment or healing gained from its effects remains.&lt;/p&gt;&lt;/h4&gt;&lt;/div&gt;</t>
  </si>
  <si>
    <t>Creates trees and a small spring.</t>
  </si>
  <si>
    <t>Guiding Star</t>
  </si>
  <si>
    <t>cleric 3/oracle 3, ranger 2, witch 3</t>
  </si>
  <si>
    <t>V, S, M (a spool of thread or string)</t>
  </si>
  <si>
    <t>You form a bond with your surroundings when you cast this spell. For the remaining duration of the spell you can always, as a standard action, determine your approximate distance from that area as well as the direction you must travel in order to reach it. You cannot determine the location of the area if you are on a different plane. The area counts as "very familiar" for the purposes of teleport or similar spells. You can only attune yourself to one location at a time. If you cast the spell at another spot you lose the ability to locate your original area.</t>
  </si>
  <si>
    <t>&lt;p&gt;You form a bond with your surroundings when you cast this spell. For the remaining duration of the spell you can always, as a standard action, determine your approximate distance from that area as well as the direction you must travel in order to reach it. You cannot determine the location of the area if you are on a different plane. The area counts as "very familiar" for the purposes of &lt;i&gt;teleport or&lt;/i&gt; similar spells. You can only attune yourself to one location at a time. If you cast the spell at another spot you lose the ability to locate your original area.&lt;/p&gt;</t>
  </si>
  <si>
    <t>&lt;link rel="stylesheet"href="PF.css"&gt;&lt;div class="heading"&gt;&lt;p class="alignleft"&gt;Guiding Star&lt;/p&gt;&lt;div style="clear: both;"&gt;&lt;/div&gt;&lt;/div&gt;&lt;div&gt;&lt;h5&gt;&lt;b&gt;School &lt;/b&gt;divination; &lt;b&gt;Level &lt;/b&gt;cleric 3/oracle 3, ranger 2, witch 3&lt;/h5&gt;&lt;/div&gt;&lt;hr/&gt;&lt;div&gt;&lt;h5&gt;&lt;b&gt;CASTING&lt;/b&gt;&lt;/h5&gt;&lt;/div&gt;&lt;hr/&gt;&lt;div&gt;&lt;h5&gt;&lt;b&gt;Casting Time &lt;/b&gt;1 minute&lt;/h5&gt;&lt;h5&gt;&lt;b&gt;Components &lt;/b&gt;V, S, M (a spool of thread or string)&lt;/h5&gt;&lt;/div&gt;&lt;hr/&gt;&lt;div&gt;&lt;h5&gt;&lt;b&gt;EFFECT&lt;/b&gt;&lt;/h5&gt;&lt;/div&gt;&lt;hr/&gt;&lt;div&gt;&lt;h5&gt;&lt;b&gt;Range &lt;/b&gt;personal&lt;/h5&gt;&lt;h5&gt;&lt;b&gt;Targets &lt;/b&gt;you&lt;/h5&gt;&lt;h5&gt;&lt;b&gt;Duration &lt;/b&gt;1 day/level (D)&lt;/h5&gt;&lt;/div&gt;&lt;hr/&gt;&lt;div&gt;&lt;h5&gt;&lt;b&gt;DESCRIPTION&lt;/b&gt;&lt;/h5&gt;&lt;/div&gt;&lt;hr/&gt;&lt;div&gt;&lt;h4&gt;&lt;p&gt;You form a bond with your surroundings when you cast this spell. For the remaining duration of the spell you can always, as a standard action, determine your approximate distance from that area as well as the direction you must travel in order to reach it. You cannot determine the location of the area if you are on a different plane. The area counts as "very familiar" for the purposes of &lt;i&gt;teleport or&lt;/i&gt; similar spells. You can only attune yourself to one location at a time. If you cast the spell at another spot you lose the ability to locate your original area.&lt;/p&gt;&lt;/h4&gt;&lt;/div&gt;</t>
  </si>
  <si>
    <t>Know approximate distance from where you cast this spell.</t>
  </si>
  <si>
    <t>Heroic Finale</t>
  </si>
  <si>
    <t>You must have a bardic performance in effect to cast this spell. With a flourish, you immediately end the performance, and one creature within range affected by your bardic performance can make a move action or a standard action of their choice.</t>
  </si>
  <si>
    <t>&lt;p&gt;You must have a bardic performance in effect to cast this spell. With a flourish, you immediately end the performance, and one creature within range affected by your bardic performance can make a move action or a standard action of their choice.&lt;/p&gt;</t>
  </si>
  <si>
    <t>&lt;link rel="stylesheet"href="PF.css"&gt;&lt;div class="heading"&gt;&lt;p class="alignleft"&gt;Heroic Finale&lt;/p&gt;&lt;div style="clear: both;"&gt;&lt;/div&gt;&lt;/div&gt;&lt;div&gt;&lt;h5&gt;&lt;b&gt;School &lt;/b&gt;enchantment (compulsion) [mind-affecting]; &lt;b&gt;Level &lt;/b&gt;bard 4&lt;/h5&gt;&lt;/div&gt;&lt;hr/&gt;&lt;div&gt;&lt;h5&gt;&lt;b&gt;CASTING&lt;/b&gt;&lt;/h5&gt;&lt;/div&gt;&lt;hr/&gt;&lt;div&gt;&lt;h5&gt;&lt;b&gt;Casting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&lt;/b&gt;instantaneous&lt;/h5&gt;&lt;h5&gt;&lt;b&gt;Saving Throw &lt;/b&gt;Will negates (harmless); &lt;b&gt;Spell Resistance &lt;/b&gt;yes (harmless)&lt;/h5&gt;&lt;/div&gt;&lt;hr/&gt;&lt;div&gt;&lt;h5&gt;&lt;b&gt;DESCRIPTION&lt;/b&gt;&lt;/h5&gt;&lt;/div&gt;&lt;hr/&gt;&lt;div&gt;&lt;h4&gt;&lt;p&gt;You must have a bardic performance in effect to cast this spell. With a flourish, you immediately end the performance, and one creature within range affected by your bardic performance can make a move action or a standard action of their choice.&lt;/p&gt;&lt;/h4&gt;&lt;/div&gt;</t>
  </si>
  <si>
    <t>Subject within range of your bardic performance can take an action.</t>
  </si>
  <si>
    <t>Hero's Defiance</t>
  </si>
  <si>
    <t>The instant before you are reduced to 0 or fewer hit points, you can expend a use of your lay on hands ability to heal yourself as if you had used lay on hands, plus an additional 1d6 hit points. If this healing brings your hit point total above 0 hit points, you do not fall, and may continue to act. If you have no more uses of lay on hands this spell has no effect.</t>
  </si>
  <si>
    <t>&lt;p&gt;The instant before you are reduced to 0 or fewer hit points, you can expend a use of your lay on hands ability to heal yourself as if you had used lay on hands, plus an additional 1d6 hit points.&lt;/p&gt;&lt;p&gt;If this healing brings your hit point total above 0 hit points, you do not fall, and may continue to act. If you have no more uses of lay on hands this spell has no effect.&lt;/p&gt;</t>
  </si>
  <si>
    <t>&lt;link rel="stylesheet"href="PF.css"&gt;&lt;div class="heading"&gt;&lt;p class="alignleft"&gt;Hero's Defiance&lt;/p&gt;&lt;div style="clear: both;"&gt;&lt;/div&gt;&lt;/div&gt;&lt;div&gt;&lt;h5&gt;&lt;b&gt;School &lt;/b&gt;conjuration (healing); &lt;b&gt;Level &lt;/b&gt;paladin 1&lt;/h5&gt;&lt;/div&gt;&lt;hr/&gt;&lt;div&gt;&lt;h5&gt;&lt;b&gt;CASTING&lt;/b&gt;&lt;/h5&gt;&lt;/div&gt;&lt;hr/&gt;&lt;div&gt;&lt;h5&gt;&lt;b&gt;Casting Time &lt;/b&gt;1 immediate action&lt;/h5&gt;&lt;h5&gt;&lt;b&gt;Components &lt;/b&gt;V&lt;/h5&gt;&lt;/div&gt;&lt;hr/&gt;&lt;div&gt;&lt;h5&gt;&lt;b&gt;EFFECT&lt;/b&gt;&lt;/h5&gt;&lt;/div&gt;&lt;hr/&gt;&lt;div&gt;&lt;h5&gt;&lt;b&gt;Range &lt;/b&gt;personal&lt;/h5&gt;&lt;h5&gt;&lt;b&gt;Targets &lt;/b&gt;you&lt;/h5&gt;&lt;h5&gt;&lt;b&gt;Duration &lt;/b&gt;instantaneous&lt;/h5&gt;&lt;/div&gt;&lt;hr/&gt;&lt;div&gt;&lt;h5&gt;&lt;b&gt;DESCRIPTION&lt;/b&gt;&lt;/h5&gt;&lt;/div&gt;&lt;hr/&gt;&lt;div&gt;&lt;h4&gt;&lt;p&gt;The instant before you are reduced to 0 or fewer hit points, you can expend a use of your lay on hands ability to heal yourself as if you had used lay on hands, plus an additional 1d6 hit points.&lt;/p&gt;&lt;p&gt;If this healing brings your hit point total above 0 hit points, you do not fall, and may continue to act. If you have no more uses of lay on hands this spell has no effect.&lt;/p&gt;&lt;/h4&gt;&lt;/div&gt;</t>
  </si>
  <si>
    <t>Allows the use of lay on hands while falling unconscious.</t>
  </si>
  <si>
    <t>Hidden Speech</t>
  </si>
  <si>
    <t>bard 2, inquisitor 3, witch 2</t>
  </si>
  <si>
    <t>V, S, M/DF (a cipher written on a piece of parchment)</t>
  </si>
  <si>
    <t>you plus one creature/level, no two of which can be more than 30 ft. apart</t>
  </si>
  <si>
    <t>You greatly enhance the ability of the subjects to communicate hidden messages to each other. Each target gains a +10 competence bonus on Bluff checks to send secret message to other recipients. Others using opposed Sense Motive checks to decipher these messages receive a -5 penalty. All subjects affected by the spell must share a language to be able to pass messages.</t>
  </si>
  <si>
    <t>&lt;p&gt;You greatly enhance the ability of the subjects to communicate hidden messages to each other. Each target gains a +10 competence bonus on Bluff checks to send secret message to other recipients. Others using opposed Sense Motive checks to decipher these messages receive a -5 penalty. All subjects affected by the spell must share a language to be able to pass messages.&lt;/p&gt;</t>
  </si>
  <si>
    <t>&lt;link rel="stylesheet"href="PF.css"&gt;&lt;div class="heading"&gt;&lt;p class="alignleft"&gt;Hidden Speech&lt;/p&gt;&lt;div style="clear: both;"&gt;&lt;/div&gt;&lt;/div&gt;&lt;div&gt;&lt;h5&gt;&lt;b&gt;School &lt;/b&gt;transmutation [language-dependent]; &lt;b&gt;Level &lt;/b&gt;bard 2, inquisitor 3, witch 2&lt;/h5&gt;&lt;/div&gt;&lt;hr/&gt;&lt;div&gt;&lt;h5&gt;&lt;b&gt;CASTING&lt;/b&gt;&lt;/h5&gt;&lt;/div&gt;&lt;hr/&gt;&lt;div&gt;&lt;h5&gt;&lt;b&gt;Casting Time &lt;/b&gt;1 standard action&lt;/h5&gt;&lt;h5&gt;&lt;b&gt;Components &lt;/b&gt;V, S, M/DF (a cipher written on a piece of parchment)&lt;/h5&gt;&lt;/div&gt;&lt;hr/&gt;&lt;div&gt;&lt;h5&gt;&lt;b&gt;EFFECT&lt;/b&gt;&lt;/h5&gt;&lt;/div&gt;&lt;hr/&gt;&lt;div&gt;&lt;h5&gt;&lt;b&gt;Range &lt;/b&gt;close (25 ft. + 5 ft./2 levels)&lt;/h5&gt;&lt;h5&gt;&lt;b&gt;Targets &lt;/b&gt;you plus one creature/level, no two of which can be more than 30 ft. apart&lt;/h5&gt;&lt;h5&gt;&lt;b&gt;Duration &lt;/b&gt;10 minutes/level (D)&lt;/h5&gt;&lt;h5&gt;&lt;b&gt;Saving Throw &lt;/b&gt;Will negates (harmless); &lt;b&gt;Spell Resistance &lt;/b&gt;yes&lt;/h5&gt;&lt;/div&gt;&lt;hr/&gt;&lt;div&gt;&lt;h5&gt;&lt;b&gt;DESCRIPTION&lt;/b&gt;&lt;/h5&gt;&lt;/div&gt;&lt;hr/&gt;&lt;div&gt;&lt;h4&gt;&lt;p&gt;You greatly enhance the ability of the subjects to communicate hidden messages to each other. Each target gains a +10 competence bonus on Bluff checks to send secret message to other recipients. Others using opposed Sense Motive checks to decipher these messages receive a -5 penalty. All subjects affected by the spell must share a language to be able to pass messages.&lt;/p&gt;&lt;/h4&gt;&lt;/div&gt;</t>
  </si>
  <si>
    <t>Gain +10 on Bluff to send secret messages.</t>
  </si>
  <si>
    <t>Hide Campsite</t>
  </si>
  <si>
    <t>V, S, M (a sprig of mistletoe, and a vial of quicksilver)</t>
  </si>
  <si>
    <t>one 20-ft. cube</t>
  </si>
  <si>
    <t>You make the area around a campsite appear to be a thicket of untouched and forbidding foliage, or some other unwelcoming feature matching the surrounding terrain. Creatures outside the area cannot sense any activity going on inside the area- they cannot smell campfires or cooking food, they cannot hear conversation, loud noises, or spells being cast, and they cannot even feel heat or a rush of wind coming from the area. Those inside the area can see out normally. Once a creature steps into the area of the spell, it can see everything in and around the area normally.</t>
  </si>
  <si>
    <t>&lt;p&gt;You make the area around a campsite appear to be a thicket of untouched and forbidding foliage, or some other unwelcoming feature matching the surrounding terrain. Creatures outside the area cannot sense any activity going on inside the area- they cannot smell campfires or cooking food, they cannot hear conversation, loud noises, or spells being cast, and they cannot even feel heat or a rush of wind coming from the area. Those inside the area can see out normally. Once a creature steps into the area of the spell, it can see everything in and around the area normally.&lt;/p&gt;</t>
  </si>
  <si>
    <t>&lt;link rel="stylesheet"href="PF.css"&gt;&lt;div class="heading"&gt;&lt;p class="alignleft"&gt;Hide Campsite&lt;/p&gt;&lt;div style="clear: both;"&gt;&lt;/div&gt;&lt;/div&gt;&lt;div&gt;&lt;h5&gt;&lt;b&gt;School &lt;/b&gt;illusion (glamer); &lt;b&gt;Level &lt;/b&gt;druid 3, ranger 2&lt;/h5&gt;&lt;/div&gt;&lt;hr/&gt;&lt;div&gt;&lt;h5&gt;&lt;b&gt;CASTING&lt;/b&gt;&lt;/h5&gt;&lt;/div&gt;&lt;hr/&gt;&lt;div&gt;&lt;h5&gt;&lt;b&gt;Casting Time &lt;/b&gt;10 minutes&lt;/h5&gt;&lt;h5&gt;&lt;b&gt;Components &lt;/b&gt;V, S, M (a sprig of mistletoe, and a vial of quicksilver)&lt;/h5&gt;&lt;/div&gt;&lt;hr/&gt;&lt;div&gt;&lt;h5&gt;&lt;b&gt;EFFECT&lt;/b&gt;&lt;/h5&gt;&lt;/div&gt;&lt;hr/&gt;&lt;div&gt;&lt;h5&gt;&lt;b&gt;Range &lt;/b&gt;close (25 ft. + 5 ft./2 levels)&lt;/h5&gt;&lt;h5&gt;&lt;b&gt;Area &lt;/b&gt;one 20-ft. cube&lt;/h5&gt;&lt;h5&gt;&lt;b&gt;Duration &lt;/b&gt;2 hours/level (D)&lt;/h5&gt;&lt;h5&gt;&lt;b&gt;Saving Throw &lt;/b&gt;Will disbelief (if interacted with); &lt;b&gt;Spell Resistance &lt;/b&gt;no&lt;/h5&gt;&lt;/div&gt;&lt;hr/&gt;&lt;div&gt;&lt;h5&gt;&lt;b&gt;DESCRIPTION&lt;/b&gt;&lt;/h5&gt;&lt;/div&gt;&lt;hr/&gt;&lt;div&gt;&lt;h4&gt;&lt;p&gt;You make the area around a campsite appear to be a thicket of untouched and forbidding foliage, or some other unwelcoming feature matching the surrounding terrain. Creatures outside the area cannot sense any activity going on inside the area- they cannot smell campfires or cooking food, they cannot hear conversation, loud noises, or spells being cast, and they cannot even feel heat or a rush of wind coming from the area. Those inside the area can see out normally. Once a creature steps into the area of the spell, it can see everything in and around the area normally.&lt;/p&gt;&lt;/h4&gt;&lt;/div&gt;</t>
  </si>
  <si>
    <t>Hides all traces of your campsite.</t>
  </si>
  <si>
    <t>Holy Whisper</t>
  </si>
  <si>
    <t>You whisper a single word in the primordial language of good that is anathema to the minions of evil and strengthens the resolve of good creatures. Evil creatures within the burst must make a Fortitude saving throw or become sickened for 1 round/ level. Evil outsiders with the evil subtype, evil-aligned dragons, and undead in the burst also take 2d8 points of damage if they fail their saves. Good-aligned creatures in the burst gain a +2 sacred bonus on attack and damage rolls for 1 round.</t>
  </si>
  <si>
    <t>&lt;p&gt;You whisper a single word in the primordial language of good that is anathema to the minions of evil and strengthens the resolve of good creatures. Evil creatures within the burst must make a Fortitude saving throw or become sickened for 1 round/ level. Evil outsiders with the evil subtype, evil-aligned dragons, and undead in the burst also take 2d8 points of damage if they fail their saves. Good-aligned creatures in the burst gain a +2 sacred bonus on attack and damage rolls for 1 round.&lt;/p&gt;</t>
  </si>
  <si>
    <t>&lt;link rel="stylesheet"href="PF.css"&gt;&lt;div class="heading"&gt;&lt;p class="alignleft"&gt;Holy Whisper&lt;/p&gt;&lt;div style="clear: both;"&gt;&lt;/div&gt;&lt;/div&gt;&lt;div&gt;&lt;h5&gt;&lt;b&gt;School &lt;/b&gt;evocation [good]; &lt;b&gt;Level &lt;/b&gt;paladin 3&lt;/h5&gt;&lt;/div&gt;&lt;hr/&gt;&lt;div&gt;&lt;h5&gt;&lt;b&gt;CASTING&lt;/b&gt;&lt;/h5&gt;&lt;/div&gt;&lt;hr/&gt;&lt;div&gt;&lt;h5&gt;&lt;b&gt;Casting Time &lt;/b&gt;1 standard action&lt;/h5&gt;&lt;h5&gt;&lt;b&gt;Components &lt;/b&gt;V, S&lt;/h5&gt;&lt;/div&gt;&lt;hr/&gt;&lt;div&gt;&lt;h5&gt;&lt;b&gt;EFFECT&lt;/b&gt;&lt;/h5&gt;&lt;/div&gt;&lt;hr/&gt;&lt;div&gt;&lt;h5&gt;&lt;b&gt;Range &lt;/b&gt;30 ft.&lt;/h5&gt;&lt;h5&gt;&lt;b&gt;Area &lt;/b&gt;cone-shaped burst&lt;/h5&gt;&lt;h5&gt;&lt;b&gt;Duration &lt;/b&gt;instantaneous&lt;/h5&gt;&lt;h5&gt;&lt;b&gt;Saving Throw &lt;/b&gt;Fortitude negates; see text; &lt;b&gt;Spell Resistance &lt;/b&gt;yes&lt;/h5&gt;&lt;/div&gt;&lt;hr/&gt;&lt;div&gt;&lt;h5&gt;&lt;b&gt;DESCRIPTION&lt;/b&gt;&lt;/h5&gt;&lt;/div&gt;&lt;hr/&gt;&lt;div&gt;&lt;h4&gt;&lt;p&gt;You whisper a single word in the primordial language of good that is anathema to the minions of evil and strengthens the resolve of good creatures. Evil creatures within the burst must make a Fortitude saving throw or become sickened for 1 round/ level. Evil outsiders with the evil subtype, evil-aligned dragons, and undead in the burst also take 2d8 points of damage if they fail their saves. Good-aligned creatures in the burst gain a +2 sacred bonus on attack and damage rolls for 1 round.&lt;/p&gt;&lt;/h4&gt;&lt;/div&gt;</t>
  </si>
  <si>
    <t>Whisper sickens evil creatures, gives good creatures bonuses.</t>
  </si>
  <si>
    <t>Honeyed Tongue</t>
  </si>
  <si>
    <t>bard 2, inquisitor 2, paladin 1</t>
  </si>
  <si>
    <t>V, M/DF (a drop of honey)</t>
  </si>
  <si>
    <t>This spell augments your diplomacies. While under the effects of spell, you roll two dice each time you make a Diplomacy check to change a creature's attitude, taking the highest roll. If this results in a roll low enough to reduce the creature's attitude by a step, that creature gets some clue that you are manipulating it with a spell. Alternatively you can cast this spell before making a Diplomacy check to gather information, gaining a +5 competence bonus on the check.</t>
  </si>
  <si>
    <t>&lt;p&gt;This spell augments your diplomacies. While under the effects of spell, you roll two dice each time you make a Diplomacy check to change a creature's attitude, taking the highest roll.&lt;/p&gt;&lt;p&gt;If this results in a roll low enough to reduce the creature's attitude by a step, that creature gets some clue that you are manipulating it with a spell. Alternatively you can cast this spell before making a Diplomacy check to gather information, gaining a +5 competence bonus on the check.&lt;/p&gt;</t>
  </si>
  <si>
    <t>&lt;link rel="stylesheet"href="PF.css"&gt;&lt;div class="heading"&gt;&lt;p class="alignleft"&gt;Honeyed Tongue&lt;/p&gt;&lt;div style="clear: both;"&gt;&lt;/div&gt;&lt;/div&gt;&lt;div&gt;&lt;h5&gt;&lt;b&gt;School &lt;/b&gt;transmutation; &lt;b&gt;Level &lt;/b&gt;bard 2, inquisitor 2, paladin 1&lt;/h5&gt;&lt;/div&gt;&lt;hr/&gt;&lt;div&gt;&lt;h5&gt;&lt;b&gt;CASTING&lt;/b&gt;&lt;/h5&gt;&lt;/div&gt;&lt;hr/&gt;&lt;div&gt;&lt;h5&gt;&lt;b&gt;Casting Time &lt;/b&gt;1 standard action&lt;/h5&gt;&lt;h5&gt;&lt;b&gt;Components &lt;/b&gt;V, M/DF (a drop of honey)&lt;/h5&gt;&lt;/div&gt;&lt;hr/&gt;&lt;div&gt;&lt;h5&gt;&lt;b&gt;EFFECT&lt;/b&gt;&lt;/h5&gt;&lt;/div&gt;&lt;hr/&gt;&lt;div&gt;&lt;h5&gt;&lt;b&gt;Range &lt;/b&gt;personal&lt;/h5&gt;&lt;h5&gt;&lt;b&gt;Targets &lt;/b&gt;you&lt;/h5&gt;&lt;h5&gt;&lt;b&gt;Duration &lt;/b&gt;10 minutes/level&lt;/h5&gt;&lt;/div&gt;&lt;hr/&gt;&lt;div&gt;&lt;h5&gt;&lt;b&gt;DESCRIPTION&lt;/b&gt;&lt;/h5&gt;&lt;/div&gt;&lt;hr/&gt;&lt;div&gt;&lt;h4&gt;&lt;p&gt;This spell augments your diplomacies. While under the effects of spell, you roll two dice each time you make a Diplomacy check to change a creature's attitude, taking the highest roll.&lt;/p&gt;&lt;p&gt;If this results in a roll low enough to reduce the creature's attitude by a step, that creature gets some clue that you are manipulating it with a spell. Alternatively you can cast this spell before making a Diplomacy check to gather information, gaining a +5 competence bonus on the check.&lt;/p&gt;&lt;/h4&gt;&lt;/div&gt;</t>
  </si>
  <si>
    <t>Roll 2 dice when using Diplomacy, take higher roll.</t>
  </si>
  <si>
    <t>Hungry Pit</t>
  </si>
  <si>
    <t>sorcerer/wizard 5, summoner 5</t>
  </si>
  <si>
    <t>Reflex negates; Reflex half; see text</t>
  </si>
  <si>
    <t>This spell functions as create pit, except that the pit has the ability to squeeze and crush any creature trapped within it and has a maximum depth of 100 feet. Creatures who fall into the hole take falling damage as normal. In addition, anyone within the pit, not just those on the bottom, takes 4d6 points of bludgeoning damage each round as the pit contracts and then returns to its normal size (a successful Reflex save halves this damage). The ever-shifting walls of the pit are quite difficult to scale and have a Climb DC of 35.</t>
  </si>
  <si>
    <t>&lt;p&gt;This spell functions as &lt;i&gt;create pit&lt;/i&gt;, except that the pit has the ability to squeeze and crush any creature trapped within it and has a maximum depth of 100 feet. Creatures who fall into the hole take falling damage as normal. In addition, anyone within the pit, not just those on the bottom, takes 4d6 points of bludgeoning damage each round as the pit contracts and then returns to its normal size (a successful Reflex save halves this damage). The ever-shifting walls of the pit are quite difficult to scale and have a Climb DC of 35.&lt;/p&gt;</t>
  </si>
  <si>
    <t>&lt;link rel="stylesheet"href="PF.css"&gt;&lt;div class="heading"&gt;&lt;p class="alignleft"&gt;Hungry Pit&lt;/p&gt;&lt;div style="clear: both;"&gt;&lt;/div&gt;&lt;/div&gt;&lt;div&gt;&lt;h5&gt;&lt;b&gt;School &lt;/b&gt;conjuration (creation); &lt;b&gt;Level &lt;/b&gt;sorcerer/wizard 5, summoner 5&lt;/h5&gt;&lt;/div&gt;&lt;hr/&gt;&lt;div&gt;&lt;h5&gt;&lt;b&gt;CASTING&lt;/b&gt;&lt;/h5&gt;&lt;/div&gt;&lt;hr/&gt;&lt;div&gt;&lt;h5&gt;&lt;b&gt;Casting Time &lt;/b&gt;1 standard action&lt;/h5&gt;&lt;h5&gt;&lt;b&gt;Components &lt;/b&gt;V, S, F (miniature shovel costing 10 gp)&lt;/h5&gt;&lt;/div&gt;&lt;hr/&gt;&lt;div&gt;&lt;h5&gt;&lt;b&gt;EFFECT&lt;/b&gt;&lt;/h5&gt;&lt;/div&gt;&lt;hr/&gt;&lt;div&gt;&lt;h5&gt;&lt;b&gt;Range &lt;/b&gt;medium (100 ft. + 10 ft./level)&lt;/h5&gt;&lt;h5&gt;&lt;b&gt;Effect &lt;/b&gt;10-ft.-by-10-ft. hole, 10 ft. deep/2 levels&lt;/h5&gt;&lt;h5&gt;&lt;b&gt;Duration &lt;/b&gt;1 round + 1 round/level&lt;/h5&gt;&lt;h5&gt;&lt;b&gt;Saving Throw &lt;/b&gt;Reflex negates; Reflex half; see text; &lt;b&gt;Spell Resistance &lt;/b&gt;no&lt;/h5&gt;&lt;/div&gt;&lt;hr/&gt;&lt;div&gt;&lt;h5&gt;&lt;b&gt;DESCRIPTION&lt;/b&gt;&lt;/h5&gt;&lt;/div&gt;&lt;hr/&gt;&lt;div&gt;&lt;h4&gt;&lt;p&gt;This spell functions as &lt;i&gt;create pit&lt;/i&gt;, except that the pit has the ability to squeeze and crush any creature trapped within it and has a maximum depth of 100 feet. Creatures who fall into the hole take falling damage as normal. In addition, anyone within the pit, not just those on the bottom, takes 4d6 points of bludgeoning damage each round as the pit contracts and then returns to its normal size (a successful Reflex save halves this damage). The ever-shifting walls of the pit are quite difficult to scale and have a Climb DC of 35.&lt;/p&gt;&lt;/h4&gt;&lt;/div&gt;</t>
  </si>
  <si>
    <t>As create pit, but dealing 4d6 damage to those in it as it closes.</t>
  </si>
  <si>
    <t>Hydraulic Push</t>
  </si>
  <si>
    <t>druid 1, sorcerer/wizard 1, magus 1</t>
  </si>
  <si>
    <t>You call forth a quick blast of water that knocks over and soaks one creature or square. You can use this blast of water to make a bull rush against any one creature or object. Your CMB for this bull rush is equal to your caster level plus your Intelligence, Wisdom, or Charisma modifier, whichever is highest. This bull rush does not provoke an attack of opportunity. Hydraulic push extinguishes any normal fires on a creature, object, or in a single 5-foot square which it is targeted against. Magical fires are unaffected.</t>
  </si>
  <si>
    <t>&lt;p&gt;You call forth a quick blast of water that knocks over and soaks one creature or square. You can use this blast of water to make a bull rush against any one creature or object. Your CMB for this bull rush is equal to your caster level plus your Intelligence, Wisdom, or Charisma modifier, whichever is highest. This bull rush does not provoke an attack of opportunity. &lt;i&gt;Hydraulic push&lt;/i&gt; extinguishes any normal fires on a creature, object, or in a single 5-foot square which it is targeted against. Magical fires are unaffected.&lt;/p&gt;</t>
  </si>
  <si>
    <t>&lt;link rel="stylesheet"href="PF.css"&gt;&lt;div class="heading"&gt;&lt;p class="alignleft"&gt;Hydraulic Push&lt;/p&gt;&lt;div style="clear: both;"&gt;&lt;/div&gt;&lt;/div&gt;&lt;div&gt;&lt;h5&gt;&lt;b&gt;School &lt;/b&gt;evocation [water]; &lt;b&gt;Level &lt;/b&gt;druid 1, sorcerer/wizard 1, magus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 or object&lt;/h5&gt;&lt;h5&gt;&lt;b&gt;Duration &lt;/b&gt;instantaneous&lt;/h5&gt;&lt;h5&gt;&lt;b&gt;Saving Throw &lt;/b&gt;none; &lt;b&gt;Spell Resistance &lt;/b&gt;yes&lt;/h5&gt;&lt;/div&gt;&lt;hr/&gt;&lt;div&gt;&lt;h5&gt;&lt;b&gt;DESCRIPTION&lt;/b&gt;&lt;/h5&gt;&lt;/div&gt;&lt;hr/&gt;&lt;div&gt;&lt;h4&gt;&lt;p&gt;You call forth a quick blast of water that knocks over and soaks one creature or square. You can use this blast of water to make a bull rush against any one creature or object. Your CMB for this bull rush is equal to your caster level plus your Intelligence, Wisdom, or Charisma modifier, whichever is highest. This bull rush does not provoke an attack of opportunity. &lt;i&gt;Hydraulic push&lt;/i&gt; extinguishes any normal fires on a creature, object, or in a single 5-foot square which it is targeted against. Magical fires are unaffected.&lt;/p&gt;&lt;/h4&gt;&lt;h5&gt;&lt;b&gt;Mythic: &lt;/b&gt;The water is boiling hot or freezing cold, dealing 1d6 points of fire or cold damage per 2 caster levels. Add your tier to your CMB for the spell.&lt;/h5&gt;&lt;/div&gt;</t>
  </si>
  <si>
    <t>Wave of water bull rushes an enemy.</t>
  </si>
  <si>
    <t>The water is boiling hot or freezing cold, dealing 1d6 points of fire or cold damage per 2 caster levels. Add your tier to your CMB for the spell.</t>
  </si>
  <si>
    <t>Hydraulic Torrent</t>
  </si>
  <si>
    <t>druid 3, sorcerer/wizard 3, magus 3</t>
  </si>
  <si>
    <t>60-ft. line</t>
  </si>
  <si>
    <t>You call forth a powerful stream of water that batters all creatures and obstacles in its path until it strikes something it cannot push past. Against creatures and moveable objects this stream acts as a bull rush. You can bull rush creatures of any size, not just those one size larger than your own. Make a combat maneuver check and apply its results to each creature within the area. Your CMB for this bull rush is equal to your caster level plus your Intelligence, Wisdom, or Charisma modifier, whichever is highest. This bull rush does not provoke an attack of opportunity. Against immovable objects this stream instead allows you to make a Strength check to destroy the target. When attempting to break an object, the stream has an effective Strength equal to your caster level plus the ability score modifier as above. The Break DC depends on the object you're trying to break-page 175 of the Pathfinder RPG Core Rulebook lists several sample Break DCs for various objects. Hydraulic torrent extinguishes any normal fires it encounters along its path. Magical fires are unaffected.</t>
  </si>
  <si>
    <t>&lt;p&gt;You call forth a powerful stream of water that batters all creatures and obstacles in its path until it strikes something it cannot push past. Against creatures and moveable objects this stream acts as a bull rush. You can bull rush creatures of any size, not just those one size larger than your own. Make a combat maneuver check and apply its results to each creature within the area. Your CMB for this bull rush is equal to your caster level plus your Intelligence, Wisdom, or Charisma modifier, whichever is highest. This bull rush does not provoke an attack of opportunity.&lt;/p&gt;&lt;p&gt;Against immovable objects this stream instead allows you to make a Strength check to destroy the target. When attempting to break an object, the stream has an effective Strength equal to your caster level plus the ability score modifier as above. The Break DC depends on the object you're trying to break-page 175 of the &lt;i&gt;Pathfinder RPG &lt;i&gt;Core Rulebook&lt;/i&gt;&lt;/i&gt; lists several sample Break DCs for various objects.&lt;/p&gt;&lt;p&gt;&lt;i&gt;Hydraulic torrent&lt;/i&gt; extinguishes any normal fires it encounters along its path. Magical fires are unaffected.&lt;/p&gt;</t>
  </si>
  <si>
    <t>&lt;link rel="stylesheet"href="PF.css"&gt;&lt;div class="heading"&gt;&lt;p class="alignleft"&gt;Hydraulic Torrent&lt;/p&gt;&lt;div style="clear: both;"&gt;&lt;/div&gt;&lt;/div&gt;&lt;div&gt;&lt;h5&gt;&lt;b&gt;School &lt;/b&gt;evocation [water]; &lt;b&gt;Level &lt;/b&gt;druid 3, sorcerer/wizard 3, magus 3&lt;/h5&gt;&lt;/div&gt;&lt;hr/&gt;&lt;div&gt;&lt;h5&gt;&lt;b&gt;CASTING&lt;/b&gt;&lt;/h5&gt;&lt;/div&gt;&lt;hr/&gt;&lt;div&gt;&lt;h5&gt;&lt;b&gt;Casting Time &lt;/b&gt;1 standard action&lt;/h5&gt;&lt;h5&gt;&lt;b&gt;Components &lt;/b&gt;V, S&lt;/h5&gt;&lt;/div&gt;&lt;hr/&gt;&lt;div&gt;&lt;h5&gt;&lt;b&gt;EFFECT&lt;/b&gt;&lt;/h5&gt;&lt;/div&gt;&lt;hr/&gt;&lt;div&gt;&lt;h5&gt;&lt;b&gt;Range &lt;/b&gt;60 ft.&lt;/h5&gt;&lt;h5&gt;&lt;b&gt;Area &lt;/b&gt;60-ft. line&lt;/h5&gt;&lt;h5&gt;&lt;b&gt;Duration &lt;/b&gt;instantaneous&lt;/h5&gt;&lt;h5&gt;&lt;b&gt;Saving Throw &lt;/b&gt;none; &lt;b&gt;Spell Resistance &lt;/b&gt;yes&lt;/h5&gt;&lt;/div&gt;&lt;hr/&gt;&lt;div&gt;&lt;h5&gt;&lt;b&gt;DESCRIPTION&lt;/b&gt;&lt;/h5&gt;&lt;/div&gt;&lt;hr/&gt;&lt;div&gt;&lt;h4&gt;&lt;p&gt;You call forth a powerful stream of water that batters all creatures and obstacles in its path until it strikes something it cannot push past. Against creatures and moveable objects this stream acts as a bull rush. You can bull rush creatures of any size, not just those one size larger than your own. Make a combat maneuver check and apply its results to each creature within the area. Your CMB for this bull rush is equal to your caster level plus your Intelligence, Wisdom, or Charisma modifier, whichever is highest. This bull rush does not provoke an attack of opportunity.&lt;/p&gt;&lt;p&gt;Against immovable objects this stream instead allows you to make a Strength check to destroy the target. When attempting to break an object, the stream has an effective Strength equal to your caster level plus the ability score modifier as above. The Break DC depends on the object you're trying to break-page 175 of the &lt;i&gt;Pathfinder RPG &lt;i&gt;Core Rulebook&lt;/i&gt;&lt;/i&gt; lists several sample Break DCs for various objects.&lt;/p&gt;&lt;p&gt;&lt;i&gt;Hydraulic torrent&lt;/i&gt; extinguishes any normal fires it encounters along its path. Magical fires are unaffected.&lt;/p&gt;&lt;/h4&gt;&lt;h5&gt;&lt;b&gt;Mythic: &lt;/b&gt;The water is boiling hot or freezing cold, dealing 1d6 points of fire or cold damage per 2 caster levels. Add your tier to your CMB for the spell and on the Strength check to destroy immovable targets.&lt;/h5&gt;&lt;h5&gt;&lt;b&gt;Augmented (3rd)&lt;/b&gt;: If you expend two uses of mythic power, the spell can extinguish magical fires as if using a targeted dispel magic. Freezing cold water hardens into ice on the ground (Core Rulebook 442), lasting as long as prevailing conditions allow. Boiling hot water turns into steam, creating an area of concealing mist (equivalent to obscuring mist) that fills the affected squares and all squares adjacent to the line of the spell.&lt;/h5&gt;&lt;/div&gt;</t>
  </si>
  <si>
    <t>Creates torrent of water that bull rushes any creature in its path.</t>
  </si>
  <si>
    <t>The water is boiling hot or freezing cold, dealing 1d6 points of fire or cold damage per 2 caster levels. Add your tier to your CMB for the spell and on the Strength check to destroy immovable targets.</t>
  </si>
  <si>
    <t>Augmented (3rd): If you expend two uses of mythic power, the spell can extinguish magical fires as if using a targeted dispel magic. Freezing cold water hardens into ice on the ground (Core Rulebook 442), lasting as long as prevailing conditions allow. Boiling hot water turns into steam, creating an area of concealing mist (equivalent to obscuring mist) that fills the affected squares and all squares adjacent to the line of the spell.</t>
  </si>
  <si>
    <t>Ill Omen</t>
  </si>
  <si>
    <t>witch 1</t>
  </si>
  <si>
    <t>V, S, M (hair from a black cat)</t>
  </si>
  <si>
    <t>1 round/level or until discharged</t>
  </si>
  <si>
    <t>You afflict the target with bad luck. On the next d20 roll the target makes, it must roll twice and take the less favorable result. For every five caster levels you have, the target must roll twice on an additional d20 roll (to a maximum of five rolls at 20th level). A target who can speak and has at least one free hand and who is aware of the spell and its effects (such as from a Spellcraft check to identify the spell as it is cast) can negate one reroll by spending a move action to utter a brief prayer or good luck charm to appease the spirits of ill fortune.</t>
  </si>
  <si>
    <t>&lt;p&gt;You afflict the target with bad luck. On the next d20 roll the target makes, it must roll twice and take the less favorable result. For every five caster levels you have, the target must roll twice on an additional d20 roll (to a maximum of five rolls at 20th level).&lt;/p&gt;&lt;p&gt;A target who can speak and has at least one free hand and who is aware of the spell and its effects (such as from a Spellcraft check to identify the spell as it is cast) can negate one reroll by spending a move action to utter a brief prayer or good luck charm to appease the spirits of ill fortune.&lt;/p&gt;</t>
  </si>
  <si>
    <t>&lt;link rel="stylesheet"href="PF.css"&gt;&lt;div class="heading"&gt;&lt;p class="alignleft"&gt;Ill Omen&lt;/p&gt;&lt;div style="clear: both;"&gt;&lt;/div&gt;&lt;/div&gt;&lt;div&gt;&lt;h5&gt;&lt;b&gt;School &lt;/b&gt;enchantment (compulsion) [mind-affecting]; &lt;b&gt;Level &lt;/b&gt;witch 1&lt;/h5&gt;&lt;/div&gt;&lt;hr/&gt;&lt;div&gt;&lt;h5&gt;&lt;b&gt;CASTING&lt;/b&gt;&lt;/h5&gt;&lt;/div&gt;&lt;hr/&gt;&lt;div&gt;&lt;h5&gt;&lt;b&gt;Casting Time &lt;/b&gt;1 standard action&lt;/h5&gt;&lt;h5&gt;&lt;b&gt;Components &lt;/b&gt;V, S, M (hair from a black cat)&lt;/h5&gt;&lt;/div&gt;&lt;hr/&gt;&lt;div&gt;&lt;h5&gt;&lt;b&gt;EFFECT&lt;/b&gt;&lt;/h5&gt;&lt;/div&gt;&lt;hr/&gt;&lt;div&gt;&lt;h5&gt;&lt;b&gt;Range &lt;/b&gt;close (25 ft. + 5 ft./2 levels)&lt;/h5&gt;&lt;h5&gt;&lt;b&gt;Targets &lt;/b&gt;one creature&lt;/h5&gt;&lt;h5&gt;&lt;b&gt;Duration &lt;/b&gt;1 round/level or until discharged&lt;/h5&gt;&lt;h5&gt;&lt;b&gt;Saving Throw &lt;/b&gt;none; &lt;b&gt;Spell Resistance &lt;/b&gt;yes&lt;/h5&gt;&lt;/div&gt;&lt;hr/&gt;&lt;div&gt;&lt;h5&gt;&lt;b&gt;DESCRIPTION&lt;/b&gt;&lt;/h5&gt;&lt;/div&gt;&lt;hr/&gt;&lt;div&gt;&lt;h4&gt;&lt;p&gt;You afflict the target with bad luck. On the next d20 roll the target makes, it must roll twice and take the less favorable result. For every five caster levels you have, the target must roll twice on an additional d20 roll (to a maximum of five rolls at 20th level).&lt;/p&gt;&lt;p&gt;A target who can speak and has at least one free hand and who is aware of the spell and its effects (such as from a Spellcraft check to identify the spell as it is cast) can negate one reroll by spending a move action to utter a brief prayer or good luck charm to appease the spirits of ill fortune.&lt;/p&gt;&lt;/h4&gt;&lt;h5&gt;&lt;b&gt;Mythic: &lt;/b&gt;For the target's unlucky d20 rolls, it must roll three times and take the lowest result. Spending a move action to utter a prayer or good luck charm allows the target to roll twice instead of three times.&lt;/h5&gt;&lt;h5&gt;&lt;b&gt;Augmented (4th)&lt;/b&gt;: If you expend two uses of mythic power, you afflict the target with especially foul luck. Any natural 20 it rolls counts as a natural 1 instead.&lt;/h5&gt;&lt;/div&gt;</t>
  </si>
  <si>
    <t>Target rolls twice for checks and attacks and uses worst roll.</t>
  </si>
  <si>
    <t>For the target's unlucky d20 rolls, it must roll three times and take the lowest result. Spending a move action to utter a prayer or good luck charm allows the target to roll twice instead of three times.</t>
  </si>
  <si>
    <t>Augmented (4th): If you expend two uses of mythic power, you afflict the target with especially foul luck. Any natural 20 it rolls counts as a natural 1 instead.</t>
  </si>
  <si>
    <t>Innocence</t>
  </si>
  <si>
    <t>You surround yourself with an aura of innocence and trustworthiness. You gain a +10 competence bonus on Bluff skill checks to convince others of your innocence. They find it difficult to believe you capable of any wrongdoing. This bonus does not apply to other uses of the Bluff skill, such as feinting in combat, creating a diversion to hide, or communicating secret messages via innuendo, nor does it apply to any use of the skill to convince anyone of anything other than your complete innocence and blamelessness.</t>
  </si>
  <si>
    <t>&lt;p&gt;You surround yourself with an aura of innocence and trustworthiness. You gain a +10 competence bonus on Bluff skill checks to convince others of your innocence. They find it difficult to believe you capable of any wrongdoing. This bonus does not apply to other uses of the Bluff skill, such as feinting in combat, creating a diversion to hide, or communicating secret messages via innuendo, nor does it apply to any use of the skill to convince anyone of anything other than your complete innocence and blamelessness.&lt;/p&gt;</t>
  </si>
  <si>
    <t>&lt;link rel="stylesheet"href="PF.css"&gt;&lt;div class="heading"&gt;&lt;p class="alignleft"&gt;Innocence&lt;/p&gt;&lt;div style="clear: both;"&gt;&lt;/div&gt;&lt;/div&gt;&lt;div&gt;&lt;h5&gt;&lt;b&gt;School &lt;/b&gt;transmutation; &lt;b&gt;Level &lt;/b&gt;bard 1&lt;/h5&gt;&lt;/div&gt;&lt;hr/&gt;&lt;div&gt;&lt;h5&gt;&lt;b&gt;CASTING&lt;/b&gt;&lt;/h5&gt;&lt;/div&gt;&lt;hr/&gt;&lt;div&gt;&lt;h5&gt;&lt;b&gt;Casting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minute/level (D)&lt;/h5&gt;&lt;/div&gt;&lt;hr/&gt;&lt;div&gt;&lt;h5&gt;&lt;b&gt;DESCRIPTION&lt;/b&gt;&lt;/h5&gt;&lt;/div&gt;&lt;hr/&gt;&lt;div&gt;&lt;h4&gt;&lt;p&gt;You surround yourself with an aura of innocence and trustworthiness. You gain a +10 competence bonus on Bluff skill checks to convince others of your innocence. They find it difficult to believe you capable of any wrongdoing. This bonus does not apply to other uses of the Bluff skill, such as feinting in combat, creating a diversion to hide, or communicating secret messages via innuendo, nor does it apply to any use of the skill to convince anyone of anything other than your complete innocence and blamelessness.&lt;/p&gt;&lt;/h4&gt;&lt;/div&gt;</t>
  </si>
  <si>
    <t>Gain +10 on Bluff checks to seem innocent.</t>
  </si>
  <si>
    <t>Instant Armor</t>
  </si>
  <si>
    <t>cleric 2/oracle 2, paladin 2</t>
  </si>
  <si>
    <t>You instantly wrap your body in a suit of armor made from opaque force. At your option, the armor can be decorated with your religion's holy symbol in a prominent place, such as upon the breastplate or helm. While it exists, this armor replaces any garments or other sort of armor worn, magical as well as mundane. You lose access to, and all benefits from, armor replaced by this spell until the spell ends and the instant armor disappears. Instant armor acts in all ways as armor typical of its type (armor bonus, maximum Dexterity bonus, arcane spell failure chance, and so on). Since instant armor is made of force, incorporeal creatures can't bypass it the way they do normal armor. The sort of armor you can create with this spell depends on your caster level. Caster Level Armor Created 5th or lower chainmail 6th-8th banded mail 9th-11th half-plate 12th or higher full plate If you choose to create lesser armor than your level allows you gain a +1 magical enhancement bonus to the armor you do create for every type of armor you pass over. For instance, if you have the capacity to create full plate instant armor you could instead choose to create +1 half-plate, +2 banded mail, or +3 chainmail. You cannot replace these bonuses with armor special properties.</t>
  </si>
  <si>
    <t>&lt;p&gt;You instantly wrap your body in a suit of armor made from opaque force. At your option, the armor can be decorated with your religion's holy symbol in a prominent place, such as upon the breastplate or helm. While it exists, this armor replaces any garments or other sort of armor worn, magical as well as mundane. You lose access to, and all benefits from, armor replaced by this spell until the spell ends and the &lt;i&gt;instant armor&lt;/i&gt; disappears.&lt;/p&gt;&lt;p&gt;&lt;i&gt;Instant armor&lt;/i&gt; acts in all ways as armor typical of its type (armor bonus, maximum Dexterity bonus, arcane spell failure chance, and so on). Since &lt;i&gt;instant armor&lt;/i&gt; is made of force, incorporeal creatures can't bypass it the way they do normal armor. The sort of armor you can create with this spell depends on your caster level.&lt;/p&gt;&lt;p&gt; &lt;table&gt;&lt;tr&gt;&lt;th&gt;Caster Level&lt;/th&gt;&lt;th&gt;Armor Created&lt;/th&gt;&lt;/tr&gt;&lt;tr&gt;&lt;td&gt;5th or lower&lt;/td&gt;&lt;td&gt;chainmail&lt;/td&gt;&lt;/tr&gt;&lt;tr&gt;&lt;td&gt;6th-8th banded&lt;/td&gt;&lt;td&gt;mail&lt;/td&gt;&lt;/tr&gt;&lt;tr&gt;&lt;td&gt;9th-11th&lt;/td&gt;&lt;td&gt;half-plate&lt;/td&gt;&lt;/tr&gt;&lt;tr&gt;&lt;td&gt;12th or higher&lt;/td&gt;&lt;td&gt;full plate&lt;/td&gt;&lt;/tr&gt;&lt;/table&gt; If you choose to create lesser armor than your level allows you gain a +1 magical enhancement bonus to the armor you do create for every type of armor you pass over. For instance, if you have the capacity to create full plate &lt;i&gt;instant armor&lt;/i&gt; you could instead choose to create &lt;i&gt;+1 half-plate&lt;/i&gt;, &lt;i&gt;+2 banded mail&lt;/i&gt;, or &lt;i&gt;+3 chainmail&lt;/i&gt;. You cannot replace these bonuses with armor special properties.&lt;/p&gt;</t>
  </si>
  <si>
    <t>&lt;link rel="stylesheet"href="PF.css"&gt;&lt;div class="heading"&gt;&lt;p class="alignleft"&gt;Instant Armor&lt;/p&gt;&lt;div style="clear: both;"&gt;&lt;/div&gt;&lt;/div&gt;&lt;div&gt;&lt;h5&gt;&lt;b&gt;School &lt;/b&gt;conjuration (creation) [force]; &lt;b&gt;Level &lt;/b&gt;cleric 2/oracle 2, paladin 2&lt;/h5&gt;&lt;/div&gt;&lt;hr/&gt;&lt;div&gt;&lt;h5&gt;&lt;b&gt;CASTING&lt;/b&gt;&lt;/h5&gt;&lt;/div&gt;&lt;hr/&gt;&lt;div&gt;&lt;h5&gt;&lt;b&gt;Casting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&lt;/b&gt;you&lt;/h5&gt;&lt;h5&gt;&lt;b&gt;Duration &lt;/b&gt;1 minute/level (D)&lt;/h5&gt;&lt;/div&gt;&lt;hr/&gt;&lt;div&gt;&lt;h5&gt;&lt;b&gt;DESCRIPTION&lt;/b&gt;&lt;/h5&gt;&lt;/div&gt;&lt;hr/&gt;&lt;div&gt;&lt;h4&gt;&lt;p&gt;You instantly wrap your body in a suit of armor made from opaque force. At your option, the armor can be decorated with your religion's holy symbol in a prominent place, such as upon the breastplate or helm. While it exists, this armor replaces any garments or other sort of armor worn, magical as well as mundane. You lose access to, and all benefits from, armor replaced by this spell until the spell ends and the &lt;i&gt;instant armor&lt;/i&gt; disappears.&lt;/p&gt;&lt;p&gt;&lt;i&gt;Instant armor&lt;/i&gt; acts in all ways as armor typical of its type (armor bonus, maximum Dexterity bonus, arcane spell failure chance, and so on). Since &lt;i&gt;instant armor&lt;/i&gt; is made of force, incorporeal creatures can't bypass it the way they do normal armor. The sort of armor you can create with this spell depends on your caster level.&lt;/p&gt;&lt;p&gt; &lt;table&gt;&lt;tr&gt;&lt;th&gt;Caster Level&lt;/th&gt;&lt;th&gt;Armor Created&lt;/th&gt;&lt;/tr&gt;&lt;tr&gt;&lt;td&gt;5th or lower&lt;/td&gt;&lt;td&gt;chainmail&lt;/td&gt;&lt;/tr&gt;&lt;tr&gt;&lt;td&gt;6th-8th banded&lt;/td&gt;&lt;td&gt;mail&lt;/td&gt;&lt;/tr&gt;&lt;tr&gt;&lt;td&gt;9th-11th&lt;/td&gt;&lt;td&gt;half-plate&lt;/td&gt;&lt;/tr&gt;&lt;tr&gt;&lt;td&gt;12th or higher&lt;/td&gt;&lt;td&gt;full plate&lt;/td&gt;&lt;/tr&gt;&lt;/table&gt; If you choose to create lesser armor than your level allows you gain a +1 magical enhancement bonus to the armor you do create for every type of armor you pass over. For instance, if you have the capacity to create full plate &lt;i&gt;instant armor&lt;/i&gt; you could instead choose to create &lt;i&gt;+1 half-plate&lt;/i&gt;, &lt;i&gt;+2 banded mail&lt;/i&gt;, or &lt;i&gt;+3 chainmail&lt;/i&gt;. You cannot replace these bonuses with armor special properties.&lt;/p&gt;&lt;/h4&gt;&lt;/div&gt;</t>
  </si>
  <si>
    <t>Summon armor temporarily replacing your current attire.</t>
  </si>
  <si>
    <t>Instant Enemy</t>
  </si>
  <si>
    <t>ranger 3</t>
  </si>
  <si>
    <t>one creature that is not your favored enemy.</t>
  </si>
  <si>
    <t>With this spell you designate the target as your favored enemy for the remainder of its duration. Select one of your favored enemy types. For the duration of the spell, you treat the target as if it were that type of favored enemy for all purposes.</t>
  </si>
  <si>
    <t>&lt;p&gt;With this spell you designate the target as your favored enemy for the remainder of its duration. Select one of your favored enemy types. For the duration of the spell, you treat the target as if it were that type of favored enemy for all purposes.&lt;/p&gt;</t>
  </si>
  <si>
    <t>&lt;link rel="stylesheet"href="PF.css"&gt;&lt;div class="heading"&gt;&lt;p class="alignleft"&gt;Instant Enemy&lt;/p&gt;&lt;div style="clear: both;"&gt;&lt;/div&gt;&lt;/div&gt;&lt;div&gt;&lt;h5&gt;&lt;b&gt;School &lt;/b&gt;enchantment; &lt;b&gt;Level &lt;/b&gt;ranger 3&lt;/h5&gt;&lt;/div&gt;&lt;hr/&gt;&lt;div&gt;&lt;h5&gt;&lt;b&gt;CASTING&lt;/b&gt;&lt;/h5&gt;&lt;/div&gt;&lt;hr/&gt;&lt;div&gt;&lt;h5&gt;&lt;b&gt;Casting Time &lt;/b&gt;1 swift action&lt;/h5&gt;&lt;h5&gt;&lt;b&gt;Components &lt;/b&gt;V, S&lt;/h5&gt;&lt;/div&gt;&lt;hr/&gt;&lt;div&gt;&lt;h5&gt;&lt;b&gt;EFFECT&lt;/b&gt;&lt;/h5&gt;&lt;/div&gt;&lt;hr/&gt;&lt;div&gt;&lt;h5&gt;&lt;b&gt;Range &lt;/b&gt;close (25 ft. + 5 ft./2 levels)&lt;/h5&gt;&lt;h5&gt;&lt;b&gt;Targets &lt;/b&gt;one creature that is not your favored enemy.&lt;/h5&gt;&lt;h5&gt;&lt;b&gt;Duration &lt;/b&gt;1 minute/level&lt;/h5&gt;&lt;h5&gt;&lt;b&gt;Saving Throw &lt;/b&gt;none; &lt;b&gt;Spell Resistance &lt;/b&gt;no&lt;/h5&gt;&lt;/div&gt;&lt;hr/&gt;&lt;div&gt;&lt;h5&gt;&lt;b&gt;DESCRIPTION&lt;/b&gt;&lt;/h5&gt;&lt;/div&gt;&lt;hr/&gt;&lt;div&gt;&lt;h4&gt;&lt;p&gt;With this spell you designate the target as your favored enemy for the remainder of its duration. Select one of your favored enemy types. For the duration of the spell, you treat the target as if it were that type of favored enemy for all purposes.&lt;/p&gt;&lt;/h4&gt;&lt;/div&gt;</t>
  </si>
  <si>
    <t>Target is treated as a favored enemy type of your choice.</t>
  </si>
  <si>
    <t>Invigorate</t>
  </si>
  <si>
    <t>This spell banishes feelings of weariness. For the duration, the subject takes no penalties from the fatigued or exhausted conditions. The effect of invigorate is merely an illusion, however, not a substitute for actual rest or respite. When the spell ends, the subject takes 1d6 points of nonlethal damage, along with the return of the original condition(s). A creature can be under the effects of only one invigorate spell at a time; if it is cast a second time on that creature, the first immediately ends.</t>
  </si>
  <si>
    <t>&lt;p&gt;This spell banishes feelings of weariness. For the duration, the subject takes no penalties from the fatigued or exhausted conditions. The effect of &lt;i&gt;invigorate&lt;/i&gt; is merely an illusion, however, not a substitute for actual rest or respite. When the spell ends, the subject takes 1d6 points of nonlethal damage, along with the return of the original condition(s). A creature can be under the effects of only one &lt;i&gt;invigorate&lt;/i&gt; spell at a time; if it is cast a second time on that creature, the first immediately ends.&lt;/p&gt;</t>
  </si>
  <si>
    <t>&lt;link rel="stylesheet"href="PF.css"&gt;&lt;div class="heading"&gt;&lt;p class="alignleft"&gt;Invigorate&lt;/p&gt;&lt;div style="clear: both;"&gt;&lt;/div&gt;&lt;/div&gt;&lt;div&gt;&lt;h5&gt;&lt;b&gt;School &lt;/b&gt;illusion [figment]; &lt;b&gt;Level &lt;/b&gt;bard 1&lt;/h5&gt;&lt;/div&gt;&lt;hr/&gt;&lt;div&gt;&lt;h5&gt;&lt;b&gt;CASTING&lt;/b&gt;&lt;/h5&gt;&lt;/div&gt;&lt;hr/&gt;&lt;div&gt;&lt;h5&gt;&lt;b&gt;Casting Time &lt;/b&gt;1 standard action&lt;/h5&gt;&lt;h5&gt;&lt;b&gt;Components &lt;/b&gt;V&lt;/h5&gt;&lt;/div&gt;&lt;hr/&gt;&lt;div&gt;&lt;h5&gt;&lt;b&gt;EFFECT&lt;/b&gt;&lt;/h5&gt;&lt;/div&gt;&lt;hr/&gt;&lt;div&gt;&lt;h5&gt;&lt;b&gt;Range &lt;/b&gt;touch&lt;/h5&gt;&lt;h5&gt;&lt;b&gt;Targets &lt;/b&gt;creature touched&lt;/h5&gt;&lt;h5&gt;&lt;b&gt;Duration &lt;/b&gt;10 minutes/level (D)&lt;/h5&gt;&lt;h5&gt;&lt;b&gt;Saving Throw &lt;/b&gt;Will negates (harmless); &lt;b&gt;Spell Resistance &lt;/b&gt;yes (harmless)&lt;/h5&gt;&lt;/div&gt;&lt;hr/&gt;&lt;div&gt;&lt;h5&gt;&lt;b&gt;DESCRIPTION&lt;/b&gt;&lt;/h5&gt;&lt;/div&gt;&lt;hr/&gt;&lt;div&gt;&lt;h4&gt;&lt;p&gt;This spell banishes feelings of weariness. For the duration, the subject takes no penalties from the fatigued or exhausted conditions. The effect of &lt;i&gt;invigorate&lt;/i&gt; is merely an illusion, however, not a substitute for actual rest or respite. When the spell ends, the subject takes 1d6 points of nonlethal damage, along with the return of the original condition(s). A creature can be under the effects of only one &lt;i&gt;invigorate&lt;/i&gt; spell at a time; if it is cast a second time on that creature, the first immediately ends.&lt;/p&gt;&lt;/h4&gt;&lt;/div&gt;</t>
  </si>
  <si>
    <t>Temporarily relieves fatigue or exhaustion.</t>
  </si>
  <si>
    <t>Invigorate, Mass</t>
  </si>
  <si>
    <t>creatures touched, up to one/level</t>
  </si>
  <si>
    <t>This spell work as invigorate, except it affects multiple creatures.</t>
  </si>
  <si>
    <t>&lt;p&gt;This spell work as &lt;i&gt;invigorate&lt;/i&gt;, except it affects multiple creatures.&lt;/p&gt;</t>
  </si>
  <si>
    <t>&lt;link rel="stylesheet"href="PF.css"&gt;&lt;div class="heading"&gt;&lt;p class="alignleft"&gt;Invigorate, Mass&lt;/p&gt;&lt;div style="clear: both;"&gt;&lt;/div&gt;&lt;/div&gt;&lt;div&gt;&lt;h5&gt;&lt;b&gt;School &lt;/b&gt;illusion [figment]; &lt;b&gt;Level &lt;/b&gt;bard 3&lt;/h5&gt;&lt;/div&gt;&lt;hr/&gt;&lt;div&gt;&lt;h5&gt;&lt;b&gt;CASTING&lt;/b&gt;&lt;/h5&gt;&lt;/div&gt;&lt;hr/&gt;&lt;div&gt;&lt;h5&gt;&lt;b&gt;Casting Time &lt;/b&gt;1 standard action&lt;/h5&gt;&lt;h5&gt;&lt;b&gt;Components &lt;/b&gt;V&lt;/h5&gt;&lt;/div&gt;&lt;hr/&gt;&lt;div&gt;&lt;h5&gt;&lt;b&gt;EFFECT&lt;/b&gt;&lt;/h5&gt;&lt;/div&gt;&lt;hr/&gt;&lt;div&gt;&lt;h5&gt;&lt;b&gt;Range &lt;/b&gt;touch&lt;/h5&gt;&lt;h5&gt;&lt;b&gt;Targets &lt;/b&gt;creatures touched, up to one/level&lt;/h5&gt;&lt;h5&gt;&lt;b&gt;Duration &lt;/b&gt;10 minutes/level (D)&lt;/h5&gt;&lt;h5&gt;&lt;b&gt;Saving Throw &lt;/b&gt;Will negates (harmless); &lt;b&gt;Spell Resistance &lt;/b&gt;yes (harmless)&lt;/h5&gt;&lt;/div&gt;&lt;hr/&gt;&lt;div&gt;&lt;h5&gt;&lt;b&gt;DESCRIPTION&lt;/b&gt;&lt;/h5&gt;&lt;/div&gt;&lt;hr/&gt;&lt;div&gt;&lt;h4&gt;&lt;p&gt;This spell work as &lt;i&gt;invigorate&lt;/i&gt;, except it affects multiple creatures.&lt;/p&gt;&lt;/h4&gt;&lt;/div&gt;</t>
  </si>
  <si>
    <t>As invigorate, but multiple creatures.</t>
  </si>
  <si>
    <t>Jester's Jaunt</t>
  </si>
  <si>
    <t>instantiations</t>
  </si>
  <si>
    <t>You teleport the target to a space you can see within 30 feet of the target. The destination must be on solid ground, and the teleportation cannot end in a space that is by nature hazardous to the creature you are teleporting.</t>
  </si>
  <si>
    <t>&lt;p&gt;You teleport the target to a space you can see within 30 feet of the target. The destination must be on solid ground, and the teleportation cannot end in a space that is by nature hazardous to the creature you are teleporting.&lt;/p&gt;</t>
  </si>
  <si>
    <t>&lt;link rel="stylesheet"href="PF.css"&gt;&lt;div class="heading"&gt;&lt;p class="alignleft"&gt;Jester's Jaunt&lt;/p&gt;&lt;div style="clear: both;"&gt;&lt;/div&gt;&lt;/div&gt;&lt;div&gt;&lt;h5&gt;&lt;b&gt;School &lt;/b&gt;conjuration (teleportation); &lt;b&gt;Level &lt;/b&gt;bard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&lt;/b&gt;one living creature&lt;/h5&gt;&lt;h5&gt;&lt;b&gt;Duration &lt;/b&gt;instantiations&lt;/h5&gt;&lt;h5&gt;&lt;b&gt;Saving Throw &lt;/b&gt;Will negates; &lt;b&gt;Spell Resistance &lt;/b&gt;yes&lt;/h5&gt;&lt;/div&gt;&lt;hr/&gt;&lt;div&gt;&lt;h5&gt;&lt;b&gt;DESCRIPTION&lt;/b&gt;&lt;/h5&gt;&lt;/div&gt;&lt;hr/&gt;&lt;div&gt;&lt;h4&gt;&lt;p&gt;You teleport the target to a space you can see within 30 feet of the target. The destination must be on solid ground, and the teleportation cannot end in a space that is by nature hazardous to the creature you are teleporting.&lt;/p&gt;&lt;/h4&gt;&lt;/div&gt;</t>
  </si>
  <si>
    <t>Teleport target within 30 ft. of itself.</t>
  </si>
  <si>
    <t>Keen Senses</t>
  </si>
  <si>
    <t>alchemist 1, druid 1, ranger 1</t>
  </si>
  <si>
    <t>V, M/DF (a hawk's feather)</t>
  </si>
  <si>
    <t>The subject gains a +2 competence bonus on Perception checks and gains low-light vision. Subjects that have low-light vision double the distance they can see under the effects of this spell.</t>
  </si>
  <si>
    <t>&lt;p&gt;The subject gains a +2 competence bonus on Perception checks and gains low-light vision. Subjects that have low-light vision double the distance they can see under the effects of this spell.&lt;/p&gt;</t>
  </si>
  <si>
    <t>&lt;link rel="stylesheet"href="PF.css"&gt;&lt;div class="heading"&gt;&lt;p class="alignleft"&gt;Keen Senses&lt;/p&gt;&lt;div style="clear: both;"&gt;&lt;/div&gt;&lt;/div&gt;&lt;div&gt;&lt;h5&gt;&lt;b&gt;School &lt;/b&gt;transmutation; &lt;b&gt;Level &lt;/b&gt;alchemist 1, druid 1, ranger 1&lt;/h5&gt;&lt;/div&gt;&lt;hr/&gt;&lt;div&gt;&lt;h5&gt;&lt;b&gt;CASTING&lt;/b&gt;&lt;/h5&gt;&lt;/div&gt;&lt;hr/&gt;&lt;div&gt;&lt;h5&gt;&lt;b&gt;Casting Time &lt;/b&gt;1 standard action&lt;/h5&gt;&lt;h5&gt;&lt;b&gt;Components &lt;/b&gt;V, M/DF (a hawk's feather)&lt;/h5&gt;&lt;/div&gt;&lt;hr/&gt;&lt;div&gt;&lt;h5&gt;&lt;b&gt;EFFECT&lt;/b&gt;&lt;/h5&gt;&lt;/div&gt;&lt;hr/&gt;&lt;div&gt;&lt;h5&gt;&lt;b&gt;Range &lt;/b&gt;touch&lt;/h5&gt;&lt;h5&gt;&lt;b&gt;Targets &lt;/b&gt;creature touched&lt;/h5&gt;&lt;h5&gt;&lt;b&gt;Duration &lt;/b&gt;1 minute/level (D)&lt;/h5&gt;&lt;h5&gt;&lt;b&gt;Saving Throw &lt;/b&gt;Will negates (harmless); &lt;b&gt;Spell Resistance &lt;/b&gt;yes (harmless)&lt;/h5&gt;&lt;/div&gt;&lt;hr/&gt;&lt;div&gt;&lt;h5&gt;&lt;b&gt;DESCRIPTION&lt;/b&gt;&lt;/h5&gt;&lt;/div&gt;&lt;hr/&gt;&lt;div&gt;&lt;h4&gt;&lt;p&gt;The subject gains a +2 competence bonus on Perception checks and gains low-light vision. Subjects that have low-light vision double the distance they can see under the effects of this spell.&lt;/p&gt;&lt;/h4&gt;&lt;/div&gt;</t>
  </si>
  <si>
    <t>Gain +2 Perception and low-light vision.</t>
  </si>
  <si>
    <t>King's Castle</t>
  </si>
  <si>
    <t>This spell allows you to switch places with an ally. When you cast this spell, choose a single ally within range. You teleport to your ally's space while your ally teleports to your former space.</t>
  </si>
  <si>
    <t>&lt;p&gt;This spell allows you to switch places with an ally. When you cast this spell, choose a single ally within range. You teleport to your ally's space while your ally teleports to your former space.&lt;/p&gt;</t>
  </si>
  <si>
    <t>&lt;link rel="stylesheet"href="PF.css"&gt;&lt;div class="heading"&gt;&lt;p class="alignleft"&gt;King's Castle&lt;/p&gt;&lt;div style="clear: both;"&gt;&lt;/div&gt;&lt;/div&gt;&lt;div&gt;&lt;h5&gt;&lt;b&gt;School &lt;/b&gt;conjuration (teleportation); &lt;b&gt;Level &lt;/b&gt;paladin 4&lt;/h5&gt;&lt;/div&gt;&lt;hr/&gt;&lt;div&gt;&lt;h5&gt;&lt;b&gt;CASTING&lt;/b&gt;&lt;/h5&gt;&lt;/div&gt;&lt;hr/&gt;&lt;div&gt;&lt;h5&gt;&lt;b&gt;Casting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levels)&lt;/h5&gt;&lt;h5&gt;&lt;b&gt;Targets &lt;/b&gt;one creature&lt;/h5&gt;&lt;h5&gt;&lt;b&gt;Duration &lt;/b&gt;instantaneous&lt;/h5&gt;&lt;h5&gt;&lt;b&gt;Saving Throw &lt;/b&gt;Will negates (harmless); &lt;b&gt;Spell Resistance &lt;/b&gt;yes (harmless)&lt;/h5&gt;&lt;/div&gt;&lt;hr/&gt;&lt;div&gt;&lt;h5&gt;&lt;b&gt;DESCRIPTION&lt;/b&gt;&lt;/h5&gt;&lt;/div&gt;&lt;hr/&gt;&lt;div&gt;&lt;h4&gt;&lt;p&gt;This spell allows you to switch places with an ally. When you cast this spell, choose a single ally within range. You teleport to your ally's space while your ally teleports to your former space.&lt;/p&gt;&lt;/h4&gt;&lt;/div&gt;</t>
  </si>
  <si>
    <t>Instantly switch places with a single ally.</t>
  </si>
  <si>
    <t>Knight's Calling</t>
  </si>
  <si>
    <t>You compel an enemy to come and fight you. On its turn, the target moves its speed toward you, avoiding any other dangers along its path (including any movement that would provoke attacks of opportunity). The target may do nothing but move on its turn. If the target ends its move adjacent to you, you can make an attack of opportunity against the target.</t>
  </si>
  <si>
    <t>&lt;p&gt;You compel an enemy to come and fight you. On its turn, the target moves its speed toward you, avoiding any other dangers along its path (including any movement that would provoke attacks of opportunity). The target may do nothing but move on its turn. If the target ends its move adjacent to you, you can make an attack of opportunity against the target.&lt;/p&gt;</t>
  </si>
  <si>
    <t>&lt;link rel="stylesheet"href="PF.css"&gt;&lt;div class="heading"&gt;&lt;p class="alignleft"&gt;Knight's Calling&lt;/p&gt;&lt;div style="clear: both;"&gt;&lt;/div&gt;&lt;/div&gt;&lt;div&gt;&lt;h5&gt;&lt;b&gt;School &lt;/b&gt;enchantment (compulsion) [mind-affecting]; &lt;b&gt;Level &lt;/b&gt;paladin 1&lt;/h5&gt;&lt;/div&gt;&lt;hr/&gt;&lt;div&gt;&lt;h5&gt;&lt;b&gt;CASTING&lt;/b&gt;&lt;/h5&gt;&lt;/div&gt;&lt;hr/&gt;&lt;div&gt;&lt;h5&gt;&lt;b&gt;Casting Time &lt;/b&gt;1 standard action&lt;/h5&gt;&lt;h5&gt;&lt;b&gt;Components &lt;/b&gt;V, DF&lt;/h5&gt;&lt;/div&gt;&lt;hr/&gt;&lt;div&gt;&lt;h5&gt;&lt;b&gt;EFFECT&lt;/b&gt;&lt;/h5&gt;&lt;/div&gt;&lt;hr/&gt;&lt;div&gt;&lt;h5&gt;&lt;b&gt;Range &lt;/b&gt;close (25 ft. + 5 ft./2 levels)&lt;/h5&gt;&lt;h5&gt;&lt;b&gt;Targets &lt;/b&gt;one creature&lt;/h5&gt;&lt;h5&gt;&lt;b&gt;Duration &lt;/b&gt;1 round&lt;/h5&gt;&lt;h5&gt;&lt;b&gt;Saving Throw &lt;/b&gt;Will negates; &lt;b&gt;Spell Resistance &lt;/b&gt;yes&lt;/h5&gt;&lt;/div&gt;&lt;hr/&gt;&lt;div&gt;&lt;h5&gt;&lt;b&gt;DESCRIPTION&lt;/b&gt;&lt;/h5&gt;&lt;/div&gt;&lt;hr/&gt;&lt;div&gt;&lt;h4&gt;&lt;p&gt;You compel an enemy to come and fight you. On its turn, the target moves its speed toward you, avoiding any other dangers along its path (including any movement that would provoke attacks of opportunity). The target may do nothing but move on its turn. If the target ends its move adjacent to you, you can make an attack of opportunity against the target.&lt;/p&gt;&lt;/h4&gt;&lt;/div&gt;</t>
  </si>
  <si>
    <t>Forces target to move toward you and fight you.</t>
  </si>
  <si>
    <t>Lead Blades</t>
  </si>
  <si>
    <t>ranger 1</t>
  </si>
  <si>
    <t>Lead blades increases the momentum and density of your melee weapons just as they strike a foe. All melee weapons you are carrying when the spell is cast deal damage as if one size category larger than they actually are. For instance, a Medium longsword normally deals 1d8 points of damage, but it would instead deal 2d6 points of damage if benefiting from lead blades (see page 145 of the Core Rulebook for more information). Only you can benefit from this spell. If anyone else uses one of your weapons to make an attack it deals damage as normal for its size.</t>
  </si>
  <si>
    <t>&lt;p&gt;&lt;i&gt;Lead blades&lt;/i&gt; increases the momentum and density of your melee weapons just as they strike a foe. All melee weapons you are carrying when the spell is cast deal damage as if one size category larger than they actually are. For instance, a Medium longsword normally deals 1d8 points of damage, but it would instead deal 2d6 points of damage if benefiting from &lt;i&gt;lead blades&lt;/i&gt; (see page 145 of the &lt;i&gt;Core Rulebook&lt;/i&gt; for more information). Only you can benefit from this spell. If anyone else uses one of your weapons to make an attack it deals damage as normal for its size.&lt;/p&gt;</t>
  </si>
  <si>
    <t>&lt;link rel="stylesheet"href="PF.css"&gt;&lt;div class="heading"&gt;&lt;p class="alignleft"&gt;Lead Blades&lt;/p&gt;&lt;div style="clear: both;"&gt;&lt;/div&gt;&lt;/div&gt;&lt;div&gt;&lt;h5&gt;&lt;b&gt;School &lt;/b&gt;transmutation; &lt;b&gt;Level &lt;/b&gt;ranger 1&lt;/h5&gt;&lt;/div&gt;&lt;hr/&gt;&lt;div&gt;&lt;h5&gt;&lt;b&gt;CASTING&lt;/b&gt;&lt;/h5&gt;&lt;/div&gt;&lt;hr/&gt;&lt;div&gt;&lt;h5&gt;&lt;b&gt;Casting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&lt;/b&gt;touch&lt;/h5&gt;&lt;h5&gt;&lt;b&gt;Duration &lt;/b&gt;1 minute/level (D)&lt;/h5&gt;&lt;/div&gt;&lt;hr/&gt;&lt;div&gt;&lt;h5&gt;&lt;b&gt;DESCRIPTION&lt;/b&gt;&lt;/h5&gt;&lt;/div&gt;&lt;hr/&gt;&lt;div&gt;&lt;h4&gt;&lt;p&gt;&lt;i&gt;Lead blades&lt;/i&gt; increases the momentum and density of your melee weapons just as they strike a foe. All melee weapons you are carrying when the spell is cast deal damage as if one size category larger than they actually are. For instance, a Medium longsword normally deals 1d8 points of damage, but it would instead deal 2d6 points of damage if benefiting from &lt;i&gt;lead blades&lt;/i&gt; (see page 145 of the &lt;i&gt;Core Rulebook&lt;/i&gt; for more information). Only you can benefit from this spell. If anyone else uses one of your weapons to make an attack it deals damage as normal for its size.&lt;/p&gt;&lt;/h4&gt;&lt;/div&gt;</t>
  </si>
  <si>
    <t>Melee weapons damage as if one size bigger.</t>
  </si>
  <si>
    <t>Life Bubble</t>
  </si>
  <si>
    <t>cleric 5/oracle 5, druid 4, ranger 3, sorcerer/wizard 5</t>
  </si>
  <si>
    <t>V, S, M/DF (a bit of eggshell)</t>
  </si>
  <si>
    <t>You surround the touched creatures with a constant and moveable 1-inch shell of tolerable living conditions. This shell enables the subjects to breathe freely, even underwater or in a vacuum, as well as making them immune to harmful gases and vapors, including inhaled diseases and poisons and spells like cloudkill and stinking cloud. In addition, the shell protects subjects from extremes of temperature (per endure elements) as well as extremes of pressure. Life bubble does not provide protection from negative or positive energy (such as found on the Negative and Positive Energy planes), the ability to see in conditions of poor visibility (such as in smoke or fog), nor the ability to move or act normally in conditions that impede movement (such as underwater). When you cast this spell it has a total duration of 2 hours per caster level. You can divide this duration up in any manner you wish, not necessarily equally, between up to 1 creature per caster level.</t>
  </si>
  <si>
    <t>&lt;p&gt;You surround the touched creatures with a constant and moveable 1-inch shell of tolerable living conditions. This shell enables the subjects to breathe freely, even underwater or in a vacuum, as well as making them immune to harmful gases and vapors, including inhaled diseases and poisons and spells like &lt;i&gt;cloudkill&lt;/i&gt; and &lt;i&gt;stinking cloud&lt;/i&gt;. In addition, the shell protects subjects from extremes of temperature (per &lt;i&gt;endure elements&lt;/i&gt;) as well as extremes of pressure.&lt;/p&gt;&lt;p&gt;&lt;i&gt;Life bubble&lt;/i&gt; does not provide protection from negative or positive energy (such as found on the Negative and Positive Energy planes), the ability to see in conditions of poor visibility (such as in smoke or fog), nor the ability to move or act normally in conditions that impede movement (such as underwater).&lt;/p&gt;&lt;p&gt;When you cast this spell it has a total duration of 2 hours per caster level. You can divide this duration up in any manner you wish, not necessarily equally, between up to 1 creature per caster level.&lt;/p&gt;</t>
  </si>
  <si>
    <t>&lt;link rel="stylesheet"href="PF.css"&gt;&lt;div class="heading"&gt;&lt;p class="alignleft"&gt;Life Bubble&lt;/p&gt;&lt;div style="clear: both;"&gt;&lt;/div&gt;&lt;/div&gt;&lt;div&gt;&lt;h5&gt;&lt;b&gt;School &lt;/b&gt;abjuration; &lt;b&gt;Level &lt;/b&gt;cleric 5/oracle 5, druid 4, ranger 3, sorcerer/wizard 5&lt;/h5&gt;&lt;/div&gt;&lt;hr/&gt;&lt;div&gt;&lt;h5&gt;&lt;b&gt;CASTING&lt;/b&gt;&lt;/h5&gt;&lt;/div&gt;&lt;hr/&gt;&lt;div&gt;&lt;h5&gt;&lt;b&gt;Casting Time &lt;/b&gt;1 standard action&lt;/h5&gt;&lt;h5&gt;&lt;b&gt;Components &lt;/b&gt;V, S, M/DF (a bit of eggshell)&lt;/h5&gt;&lt;/div&gt;&lt;hr/&gt;&lt;div&gt;&lt;h5&gt;&lt;b&gt;EFFECT&lt;/b&gt;&lt;/h5&gt;&lt;/div&gt;&lt;hr/&gt;&lt;div&gt;&lt;h5&gt;&lt;b&gt;Range &lt;/b&gt;touch&lt;/h5&gt;&lt;h5&gt;&lt;b&gt;Targets &lt;/b&gt;creatures touched, up to one/level&lt;/h5&gt;&lt;h5&gt;&lt;b&gt;Duration &lt;/b&gt;2 hours/level; see text&lt;/h5&gt;&lt;h5&gt;&lt;b&gt;Saving Throw &lt;/b&gt;Will negates (harmless); &lt;b&gt;Spell Resistance &lt;/b&gt;yes (harmless)&lt;/h5&gt;&lt;/div&gt;&lt;hr/&gt;&lt;div&gt;&lt;h5&gt;&lt;b&gt;DESCRIPTION&lt;/b&gt;&lt;/h5&gt;&lt;/div&gt;&lt;hr/&gt;&lt;div&gt;&lt;h4&gt;&lt;p&gt;You surround the touched creatures with a constant and moveable 1-inch shell of tolerable living conditions. This shell enables the subjects to breathe freely, even underwater or in a vacuum, as well as making them immune to harmful gases and vapors, including inhaled diseases and poisons and spells like &lt;i&gt;cloudkill&lt;/i&gt; and &lt;i&gt;stinking cloud&lt;/i&gt;. In addition, the shell protects subjects from extremes of temperature (per &lt;i&gt;endure elements&lt;/i&gt;) as well as extremes of pressure.&lt;/p&gt;&lt;p&gt;&lt;i&gt;Life bubble&lt;/i&gt; does not provide protection from negative or positive energy (such as found on the Negative and Positive Energy planes), the ability to see in conditions of poor visibility (such as in smoke or fog), nor the ability to move or act normally in conditions that impede movement (such as underwater).&lt;/p&gt;&lt;p&gt;When you cast this spell it has a total duration of 2 hours per caster level. You can divide this duration up in any manner you wish, not necessarily equally, between up to 1 creature per caster level.&lt;/p&gt;&lt;/h4&gt;&lt;/div&gt;</t>
  </si>
  <si>
    <t>Protects creatures from sustained environmental effects.</t>
  </si>
  <si>
    <t>Light Lance</t>
  </si>
  <si>
    <t>good, light</t>
  </si>
  <si>
    <t>lance of light</t>
  </si>
  <si>
    <t>1 round + 1 round/level (D)</t>
  </si>
  <si>
    <t>You create a glorious beam of brilliant radiance that acts as a +1 holy lance suitable for your size. You must have a free hand when casting the spell and, once you call the lance into being, you cannot switch it to another hand or put it down without prematurely ending the spell. As a standard action while holding a light lance, you can choose not to make an attack and instead hold the lance aloft as a beacon of light and truth, creating an area of bright light with a radius of 90 feet. If you choose to do this for one or more additional rounds the lance also casts a spear of brilliant light up into the sky that grows progressively more visible as it continues to climb toward the heavens. Under cover of night or other darkness, if nothing obstructs the beam, it becomes visible for an additional 2 miles during each round in which you continue to aim your lance skyward (2 miles in the second round, 4 miles in the third round, and so on).</t>
  </si>
  <si>
    <t>&lt;p&gt;You create a glorious beam of brilliant radiance that acts as a &lt;i&gt;+1 holy lance&lt;/i&gt; suitable for your size. You must have a free hand when casting the spell and, once you call the lance into being, you cannot switch it to another hand or put it down without prematurely ending the spell. As a standard action while holding a &lt;i&gt;light lance&lt;/i&gt;, you can choose not to make an attack and instead hold the lance aloft as a beacon of light and truth, creating an area of bright light with a radius of 90 feet. If you choose to do this for one or more additional rounds the lance also casts a spear of brilliant light up into the sky that grows progressively more visible as it continues to climb toward the heavens. Under cover of night or other darkness, if nothing obstructs the beam, it becomes visible for an additional 2 miles during each round in which you continue to aim your lance skyward (2 miles in the second round, 4 miles in the third round, and so on).&lt;/p&gt;</t>
  </si>
  <si>
    <t>&lt;link rel="stylesheet"href="PF.css"&gt;&lt;div class="heading"&gt;&lt;p class="alignleft"&gt;Light Lance&lt;/p&gt;&lt;div style="clear: both;"&gt;&lt;/div&gt;&lt;/div&gt;&lt;div&gt;&lt;h5&gt;&lt;b&gt;School &lt;/b&gt;evocation [good, light]; &lt;b&gt;Level &lt;/b&gt;paladin 2&lt;/h5&gt;&lt;/div&gt;&lt;hr/&gt;&lt;div&gt;&lt;h5&gt;&lt;b&gt;CASTING&lt;/b&gt;&lt;/h5&gt;&lt;/div&gt;&lt;hr/&gt;&lt;div&gt;&lt;h5&gt;&lt;b&gt;Casting Time &lt;/b&gt;1 standard action&lt;/h5&gt;&lt;h5&gt;&lt;b&gt;Components &lt;/b&gt;V, S&lt;/h5&gt;&lt;/div&gt;&lt;hr/&gt;&lt;div&gt;&lt;h5&gt;&lt;b&gt;EFFECT&lt;/b&gt;&lt;/h5&gt;&lt;/div&gt;&lt;hr/&gt;&lt;div&gt;&lt;h5&gt;&lt;b&gt;Range &lt;/b&gt;personal&lt;/h5&gt;&lt;h5&gt;&lt;b&gt;Effect &lt;/b&gt;lance of light&lt;/h5&gt;&lt;h5&gt;&lt;b&gt;Duration &lt;/b&gt;1 round + 1 round/level (D)&lt;/h5&gt;&lt;/div&gt;&lt;hr/&gt;&lt;div&gt;&lt;h5&gt;&lt;b&gt;DESCRIPTION&lt;/b&gt;&lt;/h5&gt;&lt;/div&gt;&lt;hr/&gt;&lt;div&gt;&lt;h4&gt;&lt;p&gt;You create a glorious beam of brilliant radiance that acts as a &lt;i&gt;+1 holy lance&lt;/i&gt; suitable for your size. You must have a free hand when casting the spell and, once you call the lance into being, you cannot switch it to another hand or put it down without prematurely ending the spell. As a standard action while holding a &lt;i&gt;light lance&lt;/i&gt;, you can choose not to make an attack and instead hold the lance aloft as a beacon of light and truth, creating an area of bright light with a radius of 90 feet. If you choose to do this for one or more additional rounds the lance also casts a spear of brilliant light up into the sky that grows progressively more visible as it continues to climb toward the heavens. Under cover of night or other darkness, if nothing obstructs the beam, it becomes visible for an additional 2 miles during each round in which you continue to aim your lance skyward (2 miles in the second round, 4 miles in the third round, and so on).&lt;/p&gt;&lt;/h4&gt;&lt;/div&gt;</t>
  </si>
  <si>
    <t>Creates a soaring beacon of light.</t>
  </si>
  <si>
    <t>Lily Pad Stride</t>
  </si>
  <si>
    <t>V, S, M (a frog's leg)</t>
  </si>
  <si>
    <t>trail of lily pads behind you</t>
  </si>
  <si>
    <t>10 minutes/level (D); see text</t>
  </si>
  <si>
    <t>Your every footstep creates aquatic plants capable of supporting your weight and that of any creature of your size or smaller that is following you. These lily pads only appear when you cross water or other liquids which do not immediately destroy plants. You can walk across these liquid surfaces without any fear of stumbling (though if knocked prone, dragged under, or otherwise pulled off your feet you still sink in the liquid). For the duration of the spell, any creature of your size or smaller can attempt to follow you by making a DC 10 Acrobatics check every round. Each such check allows it to move at half its normal land speed. If the creature takes a -5 penalty on its check it can move at its normal speed. If a creature fails an Acrobatics check, or if a creature that's larger than you attempts to follow, it falls through, damaging the plants. Each time a creature falls through, all subsequent creatures take a cumulative -5 penalty on their Acrobatics checks when traveling across that particular stretch of plants. As you move, the lily pads disappear behind you once you pass beyond the spell's range. Otherwise, they remain until the spell's duration expires.</t>
  </si>
  <si>
    <t>&lt;p&gt;Your every footstep creates aquatic plants capable of supporting your weight and that of any creature of your size or smaller that is following you. These lily pads only appear when you cross water or other liquids which do not immediately destroy plants. You can walk across these liquid surfaces without any fear of stumbling (though if knocked prone, dragged under, or otherwise pulled off your feet you still sink in the liquid). For the duration of the spell, any creature of your size or smaller can attempt to follow you by making a DC 10 Acrobatics check every round. Each such check allows it to move at half its normal land speed. If the creature takes a -5 penalty on its check it can move at its normal speed.&lt;/p&gt;&lt;p&gt;If a creature fails an Acrobatics check, or if a creature that's larger than you attempts to follow, it falls through, damaging the plants. Each time a creature falls through, all subsequent creatures take a cumulative -5 penalty on their Acrobatics checks when traveling across that particular stretch of plants.&lt;/p&gt;&lt;p&gt;As you move, the lily pads disappear behind you once you pass beyond the spell's range. Otherwise, they remain until the spell's duration expires.&lt;/p&gt;</t>
  </si>
  <si>
    <t>&lt;link rel="stylesheet"href="PF.css"&gt;&lt;div class="heading"&gt;&lt;p class="alignleft"&gt;Lily Pad Stride&lt;/p&gt;&lt;div style="clear: both;"&gt;&lt;/div&gt;&lt;/div&gt;&lt;div&gt;&lt;h5&gt;&lt;b&gt;School &lt;/b&gt;transmutation; &lt;b&gt;Level &lt;/b&gt;druid 3&lt;/h5&gt;&lt;/div&gt;&lt;hr/&gt;&lt;div&gt;&lt;h5&gt;&lt;b&gt;CASTING&lt;/b&gt;&lt;/h5&gt;&lt;/div&gt;&lt;hr/&gt;&lt;div&gt;&lt;h5&gt;&lt;b&gt;Casting Time &lt;/b&gt;1 standard action&lt;/h5&gt;&lt;h5&gt;&lt;b&gt;Components &lt;/b&gt;V, S, M (a frog's leg)&lt;/h5&gt;&lt;/div&gt;&lt;hr/&gt;&lt;div&gt;&lt;h5&gt;&lt;b&gt;EFFECT&lt;/b&gt;&lt;/h5&gt;&lt;/div&gt;&lt;hr/&gt;&lt;div&gt;&lt;h5&gt;&lt;b&gt;Range &lt;/b&gt;long (400 ft. + 40 ft./level)&lt;/h5&gt;&lt;h5&gt;&lt;b&gt;Effect &lt;/b&gt;trail of lily pads behind you&lt;/h5&gt;&lt;h5&gt;&lt;b&gt;Duration &lt;/b&gt;10 minutes/level (D); see text&lt;/h5&gt;&lt;h5&gt;&lt;b&gt;Saving Throw &lt;/b&gt;none; &lt;b&gt;Spell Resistance &lt;/b&gt;no&lt;/h5&gt;&lt;/div&gt;&lt;hr/&gt;&lt;div&gt;&lt;h5&gt;&lt;b&gt;DESCRIPTION&lt;/b&gt;&lt;/h5&gt;&lt;/div&gt;&lt;hr/&gt;&lt;div&gt;&lt;h4&gt;&lt;p&gt;Your every footstep creates aquatic plants capable of supporting your weight and that of any creature of your size or smaller that is following you. These lily pads only appear when you cross water or other liquids which do not immediately destroy plants. You can walk across these liquid surfaces without any fear of stumbling (though if knocked prone, dragged under, or otherwise pulled off your feet you still sink in the liquid). For the duration of the spell, any creature of your size or smaller can attempt to follow you by making a DC 10 Acrobatics check every round. Each such check allows it to move at half its normal land speed. If the creature takes a -5 penalty on its check it can move at its normal speed.&lt;/p&gt;&lt;p&gt;If a creature fails an Acrobatics check, or if a creature that's larger than you attempts to follow, it falls through, damaging the plants. Each time a creature falls through, all subsequent creatures take a cumulative -5 penalty on their Acrobatics checks when traveling across that particular stretch of plants.&lt;/p&gt;&lt;p&gt;As you move, the lily pads disappear behind you once you pass beyond the spell's range. Otherwise, they remain until the spell's duration expires.&lt;/p&gt;&lt;/h4&gt;&lt;/div&gt;</t>
  </si>
  <si>
    <t>Walk across water on moving lily pads.</t>
  </si>
  <si>
    <t>Lockjaw</t>
  </si>
  <si>
    <t>V, S, M (sticky tree gum)</t>
  </si>
  <si>
    <t>You give a creature the ability to use one of its natural attacks to firmly attach itself to an opponent. Choose one of the creature's natural attacks (usually a claw or bite attack). The creature gains the grab ability with that natural attack, including the +4 bonus on combat maneuver checks to start or maintain a grapple. A creature with multiple natural attacks can strike at its grappled opponent with its other natural attacks, but cannot attack any other creature.</t>
  </si>
  <si>
    <t>&lt;p&gt;You give a creature the ability to use one of its natural attacks to firmly attach itself to an opponent. Choose one of the creature's natural attacks (usually a claw or bite attack).&lt;/p&gt;&lt;p&gt;The creature gains the grab ability with that natural attack, including the +4 bonus on combat maneuver checks to start or maintain a grapple. A creature with multiple natural attacks can strike at its grappled opponent with its other natural attacks, but cannot attack any other creature.&lt;/p&gt;</t>
  </si>
  <si>
    <t>&lt;link rel="stylesheet"href="PF.css"&gt;&lt;div class="heading"&gt;&lt;p class="alignleft"&gt;Lockjaw&lt;/p&gt;&lt;div style="clear: both;"&gt;&lt;/div&gt;&lt;/div&gt;&lt;div&gt;&lt;h5&gt;&lt;b&gt;School &lt;/b&gt;transmutation; &lt;b&gt;Level &lt;/b&gt;druid 2, ranger 2&lt;/h5&gt;&lt;/div&gt;&lt;hr/&gt;&lt;div&gt;&lt;h5&gt;&lt;b&gt;CASTING&lt;/b&gt;&lt;/h5&gt;&lt;/div&gt;&lt;hr/&gt;&lt;div&gt;&lt;h5&gt;&lt;b&gt;Casting Time &lt;/b&gt;1 standard action&lt;/h5&gt;&lt;h5&gt;&lt;b&gt;Components &lt;/b&gt;V, S, M (sticky tree gum)&lt;/h5&gt;&lt;/div&gt;&lt;hr/&gt;&lt;div&gt;&lt;h5&gt;&lt;b&gt;EFFECT&lt;/b&gt;&lt;/h5&gt;&lt;/div&gt;&lt;hr/&gt;&lt;div&gt;&lt;h5&gt;&lt;b&gt;Range &lt;/b&gt;touch&lt;/h5&gt;&lt;h5&gt;&lt;b&gt;Targets &lt;/b&gt;creature touched&lt;/h5&gt;&lt;h5&gt;&lt;b&gt;Duration &lt;/b&gt;1 round/level&lt;/h5&gt;&lt;h5&gt;&lt;b&gt;Saving Throw &lt;/b&gt;Fortitude negates (harmless); &lt;b&gt;Spell Resistance &lt;/b&gt;yes (harmless)&lt;/h5&gt;&lt;/div&gt;&lt;hr/&gt;&lt;div&gt;&lt;h5&gt;&lt;b&gt;DESCRIPTION&lt;/b&gt;&lt;/h5&gt;&lt;/div&gt;&lt;hr/&gt;&lt;div&gt;&lt;h4&gt;&lt;p&gt;You give a creature the ability to use one of its natural attacks to firmly attach itself to an opponent. Choose one of the creature's natural attacks (usually a claw or bite attack).&lt;/p&gt;&lt;p&gt;The creature gains the grab ability with that natural attack, including the +4 bonus on combat maneuver checks to start or maintain a grapple. A creature with multiple natural attacks can strike at its grappled opponent with its other natural attacks, but cannot attack any other creature.&lt;/p&gt;&lt;/h4&gt;&lt;/div&gt;</t>
  </si>
  <si>
    <t>Creature gains grab ability with natural attack.</t>
  </si>
  <si>
    <t>Marks Of Forbiddance</t>
  </si>
  <si>
    <t>one enemy and one ally</t>
  </si>
  <si>
    <t>Marks of Forbiddance magically brand two creatures, preventing them from committing violence against one another. When you cast this spell choose one enemy and one ally within range. Both targets become branded with the sigil of forbiddance. Until the end of the spell's duration, in order for the two targets to attack one another, even with a targeted spell, each attacker must attempt a Will save. If the save succeeds, that target can attack the other normally. If the save fails, the target can't follow through with the attack and the action is lost. This spell does not prevent the targets from attacking each other with area of effect spells or abilities.</t>
  </si>
  <si>
    <t>&lt;p&gt;&lt;i&gt;Marks of Forbiddance&lt;/i&gt; magically brand two creatures, preventing them from committing violence against one another. When you cast this spell choose one enemy and one ally within range. Both targets become branded with the sigil of forbiddance. Until the end of the spell's duration, in order for the two targets to attack one another, even with a targeted spell, each attacker must attempt a Will save. If the save succeeds, that target can attack the other normally.&lt;/p&gt;&lt;p&gt;If the save fails, the target can't follow through with the attack and the action is lost. This spell does not prevent the targets from attacking each other with area of effect spells or abilities.&lt;/p&gt;</t>
  </si>
  <si>
    <t>&lt;link rel="stylesheet"href="PF.css"&gt;&lt;div class="heading"&gt;&lt;p class="alignleft"&gt;Marks Of Forbiddance&lt;/p&gt;&lt;div style="clear: both;"&gt;&lt;/div&gt;&lt;/div&gt;&lt;div&gt;&lt;h5&gt;&lt;b&gt;School &lt;/b&gt;abjuration [mind-affecting]; &lt;b&gt;Level &lt;/b&gt;paladin 3&lt;/h5&gt;&lt;/div&gt;&lt;hr/&gt;&lt;div&gt;&lt;h5&gt;&lt;b&gt;CASTING&lt;/b&gt;&lt;/h5&gt;&lt;/div&gt;&lt;hr/&gt;&lt;div&gt;&lt;h5&gt;&lt;b&gt;Casting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enemy and one ally&lt;/h5&gt;&lt;h5&gt;&lt;b&gt;Duration &lt;/b&gt;1 round/level&lt;/h5&gt;&lt;h5&gt;&lt;b&gt;Saving Throw &lt;/b&gt;Will negates; see text; &lt;b&gt;Spell Resistance &lt;/b&gt;yes&lt;/h5&gt;&lt;/div&gt;&lt;hr/&gt;&lt;div&gt;&lt;h5&gt;&lt;b&gt;DESCRIPTION&lt;/b&gt;&lt;/h5&gt;&lt;/div&gt;&lt;hr/&gt;&lt;div&gt;&lt;h4&gt;&lt;p&gt;&lt;i&gt;Marks of Forbiddance&lt;/i&gt; magically brand two creatures, preventing them from committing violence against one another. When you cast this spell choose one enemy and one ally within range. Both targets become branded with the sigil of forbiddance. Until the end of the spell's duration, in order for the two targets to attack one another, even with a targeted spell, each attacker must attempt a Will save. If the save succeeds, that target can attack the other normally.&lt;/p&gt;&lt;p&gt;If the save fails, the target can't follow through with the attack and the action is lost. This spell does not prevent the targets from attacking each other with area of effect spells or abilities.&lt;/p&gt;&lt;/h4&gt;&lt;/div&gt;</t>
  </si>
  <si>
    <t>Makes 2 creatures pass Will saves in order to attack each other.</t>
  </si>
  <si>
    <t>Mask Dweomer</t>
  </si>
  <si>
    <t>V, S, M (a piece of gauze)</t>
  </si>
  <si>
    <t>You mask and manipulate a spell's magic aura to make it harder to detect. Select one spell effect on the target creature or object. You must have either cast this spell yourself or have perceived it by means such as detect magic or arcane sight. Both the desired spell effect and mask dweomer are hidden from detect magic, although more powerful spells (such as arcane sight) pierce the deception if the caster succeeds on a Will save. Analyze dweomer automatically detects both mask dweomer and any masked spell effects.</t>
  </si>
  <si>
    <t>&lt;p&gt;You mask and manipulate a spell's magic aura to make it harder to detect. Select one spell effect on the target creature or object. You must have either cast this spell yourself or have perceived it by means such as &lt;i&gt;detect magic&lt;/i&gt; or &lt;i&gt;arcane sight&lt;/i&gt;.&lt;/p&gt;&lt;p&gt;Both the desired spell effect and &lt;i&gt;mask dweomer&lt;/i&gt; are hidden from &lt;i&gt;detect magic&lt;/i&gt;, although more powerful spells (such as &lt;i&gt;arcane sight&lt;/i&gt;) pierce the deception if the caster succeeds on a Will save. &lt;i&gt;Analyze dweomer&lt;/i&gt; automatically detects both &lt;i&gt;mask dweomer&lt;/i&gt; and any masked spell effects.&lt;/p&gt;</t>
  </si>
  <si>
    <t>&lt;link rel="stylesheet"href="PF.css"&gt;&lt;div class="heading"&gt;&lt;p class="alignleft"&gt;Mask Dweomer&lt;/p&gt;&lt;div style="clear: both;"&gt;&lt;/div&gt;&lt;/div&gt;&lt;div&gt;&lt;h5&gt;&lt;b&gt;School &lt;/b&gt;illusion (glamer); &lt;b&gt;Level &lt;/b&gt;witch 1&lt;/h5&gt;&lt;/div&gt;&lt;hr/&gt;&lt;div&gt;&lt;h5&gt;&lt;b&gt;CASTING&lt;/b&gt;&lt;/h5&gt;&lt;/div&gt;&lt;hr/&gt;&lt;div&gt;&lt;h5&gt;&lt;b&gt;Casting Time &lt;/b&gt;1 standard action&lt;/h5&gt;&lt;h5&gt;&lt;b&gt;Components &lt;/b&gt;V, S, M (a piece of gauze)&lt;/h5&gt;&lt;/div&gt;&lt;hr/&gt;&lt;div&gt;&lt;h5&gt;&lt;b&gt;EFFECT&lt;/b&gt;&lt;/h5&gt;&lt;/div&gt;&lt;hr/&gt;&lt;div&gt;&lt;h5&gt;&lt;b&gt;Range &lt;/b&gt;touch&lt;/h5&gt;&lt;h5&gt;&lt;b&gt;Targets &lt;/b&gt;creature or object touched&lt;/h5&gt;&lt;h5&gt;&lt;b&gt;Duration &lt;/b&gt;1 day/level (D)&lt;/h5&gt;&lt;h5&gt;&lt;b&gt;Saving Throw &lt;/b&gt;none; see text; &lt;b&gt;Spell Resistance &lt;/b&gt;no&lt;/h5&gt;&lt;/div&gt;&lt;hr/&gt;&lt;div&gt;&lt;h5&gt;&lt;b&gt;DESCRIPTION&lt;/b&gt;&lt;/h5&gt;&lt;/div&gt;&lt;hr/&gt;&lt;div&gt;&lt;h4&gt;&lt;p&gt;You mask and manipulate a spell's magic aura to make it harder to detect. Select one spell effect on the target creature or object. You must have either cast this spell yourself or have perceived it by means such as &lt;i&gt;detect magic&lt;/i&gt; or &lt;i&gt;arcane sight&lt;/i&gt;.&lt;/p&gt;&lt;p&gt;Both the desired spell effect and &lt;i&gt;mask dweomer&lt;/i&gt; are hidden from &lt;i&gt;detect magic&lt;/i&gt;, although more powerful spells (such as &lt;i&gt;arcane sight&lt;/i&gt;) pierce the deception if the caster succeeds on a Will save. &lt;i&gt;Analyze dweomer&lt;/i&gt; automatically detects both &lt;i&gt;mask dweomer&lt;/i&gt; and any masked spell effects.&lt;/p&gt;&lt;/h4&gt;&lt;/div&gt;</t>
  </si>
  <si>
    <t>Hides presence of a spell from detect magic.</t>
  </si>
  <si>
    <t>Memory Lapse</t>
  </si>
  <si>
    <t>You cause the target to forget what happened from the casting of the spell back to the beginning of its last turn. This may allow a retry on a Diplomacy, Intimidate, or opposed skill check, though only with respect to the target, not other creatures that may be present.</t>
  </si>
  <si>
    <t>&lt;p&gt;You cause the target to forget what happened from the casting of the spell back to the beginning of its last turn. This may allow a retry on a Diplomacy, Intimidate, or opposed skill check, though only with respect to the target, not other creatures that may be present.&lt;/p&gt;</t>
  </si>
  <si>
    <t>&lt;link rel="stylesheet"href="PF.css"&gt;&lt;div class="heading"&gt;&lt;p class="alignleft"&gt;Memory Lapse&lt;/p&gt;&lt;div style="clear: both;"&gt;&lt;/div&gt;&lt;/div&gt;&lt;div&gt;&lt;h5&gt;&lt;b&gt;School &lt;/b&gt;enchantment [mind-affecting]; &lt;b&gt;Level &lt;/b&gt;bard 1, sorcerer/wizard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living creature&lt;/h5&gt;&lt;h5&gt;&lt;b&gt;Duration &lt;/b&gt;instantaneous&lt;/h5&gt;&lt;h5&gt;&lt;b&gt;Saving Throw &lt;/b&gt;Will negates; &lt;b&gt;Spell Resistance &lt;/b&gt;yes&lt;/h5&gt;&lt;/div&gt;&lt;hr/&gt;&lt;div&gt;&lt;h5&gt;&lt;b&gt;DESCRIPTION&lt;/b&gt;&lt;/h5&gt;&lt;/div&gt;&lt;hr/&gt;&lt;div&gt;&lt;h4&gt;&lt;p&gt;You cause the target to forget what happened from the casting of the spell back to the beginning of its last turn. This may allow a retry on a Diplomacy, Intimidate, or opposed skill check, though only with respect to the target, not other creatures that may be present.&lt;/p&gt;&lt;/h4&gt;&lt;/div&gt;</t>
  </si>
  <si>
    <t>Memory</t>
  </si>
  <si>
    <t>Subject forgets events back to last turn.</t>
  </si>
  <si>
    <t>Moonstruck</t>
  </si>
  <si>
    <t>druid 4, sorcerer/wizard 4, witch 4</t>
  </si>
  <si>
    <t>V, S, M (a pinch of powdered moonstone)</t>
  </si>
  <si>
    <t>You invoke the mystical power of the moon to drive the target into a mad, bestial frenzy. If the target fails its save, it is dazed for 1 round, dropping held items as its nails and teeth elongate and sharpen. The target gains a bite attack and two claw attacks that deal damage appropriate for the creature's size, and for the remainder of the spell's duration the target behaves as if under simultaneous rage and confusion spells, attacking with its natural weapons in preference to other actions. During the final round of the spell's duration, the target is again dazed as it returns to its normal state.</t>
  </si>
  <si>
    <t>&lt;p&gt;You invoke the mystical power of the moon to drive the target into a mad, bestial frenzy. If the target fails its save, it is dazed for 1 round, dropping held items as its nails and teeth elongate and sharpen. The target gains a bite attack and two claw attacks that deal damage appropriate for the creature's size, and for the remainder of the spell's duration the target behaves as if under simultaneous &lt;i&gt;rage&lt;/i&gt; and &lt;i&gt;confusion&lt;/i&gt; spells, attacking with its natural weapons in preference to other actions. During the final round of the spell's duration, the target is again dazed as it returns to its normal state.&lt;/p&gt;</t>
  </si>
  <si>
    <t>&lt;link rel="stylesheet"href="PF.css"&gt;&lt;div class="heading"&gt;&lt;p class="alignleft"&gt;Moonstruck&lt;/p&gt;&lt;div style="clear: both;"&gt;&lt;/div&gt;&lt;/div&gt;&lt;div&gt;&lt;h5&gt;&lt;b&gt;School &lt;/b&gt;enchantment (compulsion) [mind-affecting, emotion]; &lt;b&gt;Level &lt;/b&gt;druid 4, sorcerer/wizard 4, witch 4&lt;/h5&gt;&lt;/div&gt;&lt;hr/&gt;&lt;div&gt;&lt;h5&gt;&lt;b&gt;CASTING&lt;/b&gt;&lt;/h5&gt;&lt;/div&gt;&lt;hr/&gt;&lt;div&gt;&lt;h5&gt;&lt;b&gt;Casting Time &lt;/b&gt;1 standard action&lt;/h5&gt;&lt;h5&gt;&lt;b&gt;Components &lt;/b&gt;V, S, M (a pinch of powdered moonstone)&lt;/h5&gt;&lt;/div&gt;&lt;hr/&gt;&lt;div&gt;&lt;h5&gt;&lt;b&gt;EFFECT&lt;/b&gt;&lt;/h5&gt;&lt;/div&gt;&lt;hr/&gt;&lt;div&gt;&lt;h5&gt;&lt;b&gt;Range &lt;/b&gt;medium (100 ft. + 10 ft./level)&lt;/h5&gt;&lt;h5&gt;&lt;b&gt;Targets &lt;/b&gt;one humanoid creature&lt;/h5&gt;&lt;h5&gt;&lt;b&gt;Duration &lt;/b&gt;1 round/level&lt;/h5&gt;&lt;h5&gt;&lt;b&gt;Saving Throw &lt;/b&gt;Will negates; &lt;b&gt;Spell Resistance &lt;/b&gt;yes&lt;/h5&gt;&lt;/div&gt;&lt;hr/&gt;&lt;div&gt;&lt;h5&gt;&lt;b&gt;DESCRIPTION&lt;/b&gt;&lt;/h5&gt;&lt;/div&gt;&lt;hr/&gt;&lt;div&gt;&lt;h4&gt;&lt;p&gt;You invoke the mystical power of the moon to drive the target into a mad, bestial frenzy. If the target fails its save, it is dazed for 1 round, dropping held items as its nails and teeth elongate and sharpen. The target gains a bite attack and two claw attacks that deal damage appropriate for the creature's size, and for the remainder of the spell's duration the target behaves as if under simultaneous &lt;i&gt;rage&lt;/i&gt; and &lt;i&gt;confusion&lt;/i&gt; spells, attacking with its natural weapons in preference to other actions. During the final round of the spell's duration, the target is again dazed as it returns to its normal state.&lt;/p&gt;&lt;/h4&gt;&lt;/div&gt;</t>
  </si>
  <si>
    <t>Insanity, Rage</t>
  </si>
  <si>
    <t>Subject is enraged and confused.</t>
  </si>
  <si>
    <t>Nap Stack</t>
  </si>
  <si>
    <t>V, S, M (a little silk pillow worth 100 gp)</t>
  </si>
  <si>
    <t>30-ft.-radius emanation</t>
  </si>
  <si>
    <t>You reduce the amount of uninterrupted sleep or rest creatures within the spell's area need in order to recover from injuries, regain spells, or other special abilities to 2 hours instead of the normal eight. In addition, if creatures continue to sleep or rest beyond the initial 2 hours, every additional 2 hours counts as a day of rest for the purpose of recovering hit points, ability damage, as well as for enduring diseases, poisons, or other afflictions. This means 8 total hours of sleep counts as 4 days for natural healing and for saving throws as diseases or similar afflictions run their course. When suffering from diseases, poison, or other afflictions, sleepers experience vivid dreams that help them track their recovery. If things go poorly they can, at any time, wake themselves up in order to seek a better alternative. If awoken or otherwise disturbed during this 8-hour period, creatures may return to sleep but they no longer enjoy the benefits of the accelerated recovery time. Creatures can only enjoy the benefits of this spell once in any 1-week period.</t>
  </si>
  <si>
    <t>&lt;p&gt;You reduce the amount of uninterrupted sleep or rest creatures within the spell's area need in order to recover from injuries, regain spells, or other special abilities to 2 hours instead of the normal eight. In addition, if creatures continue to sleep or rest beyond the initial 2 hours, every additional 2 hours counts as a day of rest for the purpose of recovering hit points, ability damage, as well as for enduring diseases, poisons, or other afflictions. This means 8 total hours of sleep counts as 4 days for natural healing and for saving throws as diseases or similar afflictions run their course. When suffering from diseases, poison, or other afflictions, sleepers experience vivid dreams that help them track their recovery. If things go poorly they can, at any time, wake themselves up in order to seek a better alternative. If awoken or otherwise disturbed during this 8-hour period, creatures may return to sleep but they no longer enjoy the benefits of the accelerated recovery time. Creatures can only enjoy the benefits of this spell once in any 1-week period.&lt;/p&gt;</t>
  </si>
  <si>
    <t>&lt;link rel="stylesheet"href="PF.css"&gt;&lt;div class="heading"&gt;&lt;p class="alignleft"&gt;Nap Stack&lt;/p&gt;&lt;div style="clear: both;"&gt;&lt;/div&gt;&lt;/div&gt;&lt;div&gt;&lt;h5&gt;&lt;b&gt;School &lt;/b&gt;necromancy; &lt;b&gt;Level &lt;/b&gt;cleric 3/oracle 3&lt;/h5&gt;&lt;/div&gt;&lt;hr/&gt;&lt;div&gt;&lt;h5&gt;&lt;b&gt;CASTING&lt;/b&gt;&lt;/h5&gt;&lt;/div&gt;&lt;hr/&gt;&lt;div&gt;&lt;h5&gt;&lt;b&gt;Casting Time &lt;/b&gt;1 minute&lt;/h5&gt;&lt;h5&gt;&lt;b&gt;Components &lt;/b&gt;V, S, M (a little silk pillow worth 100 gp)&lt;/h5&gt;&lt;/div&gt;&lt;hr/&gt;&lt;div&gt;&lt;h5&gt;&lt;b&gt;EFFECT&lt;/b&gt;&lt;/h5&gt;&lt;/div&gt;&lt;hr/&gt;&lt;div&gt;&lt;h5&gt;&lt;b&gt;Range &lt;/b&gt;30 ft.&lt;/h5&gt;&lt;h5&gt;&lt;b&gt;Area &lt;/b&gt;30-ft.-radius emanation&lt;/h5&gt;&lt;h5&gt;&lt;b&gt;Duration &lt;/b&gt;8 hours&lt;/h5&gt;&lt;h5&gt;&lt;b&gt;Saving Throw &lt;/b&gt;Will negates (harmless); &lt;b&gt;Spell Resistance &lt;/b&gt;yes (harmless)&lt;/h5&gt;&lt;/div&gt;&lt;hr/&gt;&lt;div&gt;&lt;h5&gt;&lt;b&gt;DESCRIPTION&lt;/b&gt;&lt;/h5&gt;&lt;/div&gt;&lt;hr/&gt;&lt;div&gt;&lt;h4&gt;&lt;p&gt;You reduce the amount of uninterrupted sleep or rest creatures within the spell's area need in order to recover from injuries, regain spells, or other special abilities to 2 hours instead of the normal eight. In addition, if creatures continue to sleep or rest beyond the initial 2 hours, every additional 2 hours counts as a day of rest for the purpose of recovering hit points, ability damage, as well as for enduring diseases, poisons, or other afflictions. This means 8 total hours of sleep counts as 4 days for natural healing and for saving throws as diseases or similar afflictions run their course. When suffering from diseases, poison, or other afflictions, sleepers experience vivid dreams that help them track their recovery. If things go poorly they can, at any time, wake themselves up in order to seek a better alternative. If awoken or otherwise disturbed during this 8-hour period, creatures may return to sleep but they no longer enjoy the benefits of the accelerated recovery time. Creatures can only enjoy the benefits of this spell once in any 1-week period.&lt;/p&gt;&lt;/h4&gt;&lt;/div&gt;</t>
  </si>
  <si>
    <t>Subjects only need 2 hours for a night's sleep, and can sleep even longer for more benefits.</t>
  </si>
  <si>
    <t>Natural Rhythm</t>
  </si>
  <si>
    <t>V, S, M (a handful of pebbles dropped one by one onto the ground)</t>
  </si>
  <si>
    <t>You enhance a creature's ability to harm an opponent based on the number of times it has already injured that opponent with a natural attack. Each time the creature successfully strikes an opponent with a natural attack, the subject gains a cumulative +1 bonus on damage rolls made against that opponent when making natural attacks (maximum +5 bonus). If an attack misses, the bonus to damage for all attacks resets to +0.</t>
  </si>
  <si>
    <t>&lt;p&gt;You enhance a creature's ability to harm an opponent based on the number of times it has already injured that opponent with a natural attack. Each time the creature successfully strikes an opponent with a natural attack, the subject gains a cumulative +1 bonus on damage rolls made against that opponent when making natural attacks (maximum +5 bonus). If an attack misses, the bonus to damage for all attacks resets to +0.&lt;/p&gt;</t>
  </si>
  <si>
    <t>&lt;link rel="stylesheet"href="PF.css"&gt;&lt;div class="heading"&gt;&lt;p class="alignleft"&gt;Natural Rhythm&lt;/p&gt;&lt;div style="clear: both;"&gt;&lt;/div&gt;&lt;/div&gt;&lt;div&gt;&lt;h5&gt;&lt;b&gt;School &lt;/b&gt;transmutation; &lt;b&gt;Level &lt;/b&gt;druid 2&lt;/h5&gt;&lt;/div&gt;&lt;hr/&gt;&lt;div&gt;&lt;h5&gt;&lt;b&gt;CASTING&lt;/b&gt;&lt;/h5&gt;&lt;/div&gt;&lt;hr/&gt;&lt;div&gt;&lt;h5&gt;&lt;b&gt;Casting Time &lt;/b&gt;1 standard action&lt;/h5&gt;&lt;h5&gt;&lt;b&gt;Components &lt;/b&gt;V, S, M (a handful of pebbles dropped one by one onto the ground)&lt;/h5&gt;&lt;/div&gt;&lt;hr/&gt;&lt;div&gt;&lt;h5&gt;&lt;b&gt;EFFECT&lt;/b&gt;&lt;/h5&gt;&lt;/div&gt;&lt;hr/&gt;&lt;div&gt;&lt;h5&gt;&lt;b&gt;Range &lt;/b&gt;touch&lt;/h5&gt;&lt;h5&gt;&lt;b&gt;Targets &lt;/b&gt;creature touched&lt;/h5&gt;&lt;h5&gt;&lt;b&gt;Duration &lt;/b&gt;1 round/level&lt;/h5&gt;&lt;h5&gt;&lt;b&gt;Saving Throw &lt;/b&gt;Will negates (harmless); &lt;b&gt;Spell Resistance &lt;/b&gt;yes (harmless)&lt;/h5&gt;&lt;/div&gt;&lt;hr/&gt;&lt;div&gt;&lt;h5&gt;&lt;b&gt;DESCRIPTION&lt;/b&gt;&lt;/h5&gt;&lt;/div&gt;&lt;hr/&gt;&lt;div&gt;&lt;h4&gt;&lt;p&gt;You enhance a creature's ability to harm an opponent based on the number of times it has already injured that opponent with a natural attack. Each time the creature successfully strikes an opponent with a natural attack, the subject gains a cumulative +1 bonus on damage rolls made against that opponent when making natural attacks (maximum +5 bonus). If an attack misses, the bonus to damage for all attacks resets to +0.&lt;/p&gt;&lt;/h4&gt;&lt;/div&gt;</t>
  </si>
  <si>
    <t>+1 on damage rolls with each hit (max +5).</t>
  </si>
  <si>
    <t>Nature's Exile</t>
  </si>
  <si>
    <t>This spell curses the creature touched, making it inimical to the natural world. All animals have an initial attitude of hostile toward the target. Familiars, being magical beasts, are not affected by this spell, but animal companions are. If you have an animal companion, it does not become hostile, but as long as you remain cursed, your animal companion takes a -2 penalty on all attack rolls, skill checks, and saving throws. The target also takes a -10 penalty on Survival skill checks as the weather and environment themselves seem to conspire to cause trouble. Nature's exile can be removed with break enchantment, limited wish, miracle, remove curse, or wish.</t>
  </si>
  <si>
    <t>&lt;p&gt;This spell curses the creature touched, making it inimical to the natural world. All animals have an initial attitude of hostile toward the target. Familiars, being magical beasts, are not affected by this spell, but animal companions are. If you have an animal companion, it does not become hostile, but as long as you remain cursed, your animal companion takes a -2 penalty on all attack rolls, skill checks, and saving throws. The target also takes a -10 penalty on Survival skill checks as the weather and environment themselves seem to conspire to cause trouble.&lt;/p&gt;&lt;p&gt;Nature's exile can be removed with &lt;i&gt;break enchantment&lt;/i&gt;, &lt;i&gt;limited &lt;i&gt;wish&lt;/i&gt;&lt;/i&gt;, &lt;i&gt;miracle&lt;/i&gt;, &lt;i&gt;remove curse&lt;/i&gt;, or &lt;i&gt;wish&lt;/i&gt;.&lt;/p&gt;</t>
  </si>
  <si>
    <t>&lt;link rel="stylesheet"href="PF.css"&gt;&lt;div class="heading"&gt;&lt;p class="alignleft"&gt;Nature's Exile&lt;/p&gt;&lt;div style="clear: both;"&gt;&lt;/div&gt;&lt;/div&gt;&lt;div&gt;&lt;h5&gt;&lt;b&gt;School &lt;/b&gt;transmutation [curse]; &lt;b&gt;Level &lt;/b&gt;druid 3, witch 3&lt;/h5&gt;&lt;/div&gt;&lt;hr/&gt;&lt;div&gt;&lt;h5&gt;&lt;b&gt;CASTING&lt;/b&gt;&lt;/h5&gt;&lt;/div&gt;&lt;hr/&gt;&lt;div&gt;&lt;h5&gt;&lt;b&gt;Casting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 touched&lt;/h5&gt;&lt;h5&gt;&lt;b&gt;Duration &lt;/b&gt;permanent&lt;/h5&gt;&lt;h5&gt;&lt;b&gt;Saving Throw &lt;/b&gt;Will negates; &lt;b&gt;Spell Resistance &lt;/b&gt;yes&lt;/h5&gt;&lt;/div&gt;&lt;hr/&gt;&lt;div&gt;&lt;h5&gt;&lt;b&gt;DESCRIPTION&lt;/b&gt;&lt;/h5&gt;&lt;/div&gt;&lt;hr/&gt;&lt;div&gt;&lt;h4&gt;&lt;p&gt;This spell curses the creature touched, making it inimical to the natural world. All animals have an initial attitude of hostile toward the target. Familiars, being magical beasts, are not affected by this spell, but animal companions are. If you have an animal companion, it does not become hostile, but as long as you remain cursed, your animal companion takes a -2 penalty on all attack rolls, skill checks, and saving throws. The target also takes a -10 penalty on Survival skill checks as the weather and environment themselves seem to conspire to cause trouble.&lt;/p&gt;&lt;p&gt;Nature's exile can be removed with &lt;i&gt;break enchantment&lt;/i&gt;, &lt;i&gt;limited &lt;i&gt;wish&lt;/i&gt;&lt;/i&gt;, &lt;i&gt;miracle&lt;/i&gt;, &lt;i&gt;remove curse&lt;/i&gt;, or &lt;i&gt;wish&lt;/i&gt;.&lt;/p&gt;&lt;/h4&gt;&lt;/div&gt;</t>
  </si>
  <si>
    <t>Gives subject –10 on Survival checks.</t>
  </si>
  <si>
    <t>Negate Aroma</t>
  </si>
  <si>
    <t>V, S, M/DF (a pinch of alum)</t>
  </si>
  <si>
    <t>one creature or object/level touched</t>
  </si>
  <si>
    <t>With a gesture, this spell allows you to dismiss even the foulest or most distinctive scents. When cast, the targeted creatures or objects lose all natural and unnatural odors. A creature under the effect of negate aroma cannot be tracked, located, or pinpointed by the scent special quality. In addition, this spell prevents the target creature from using the stench special ability and similar odor-based abilities (such as those possessed by troglodytes). Negate aroma does not prevent the target from acquiring outside smells or odors. Dowsing the creature with a pungent substance effectively negates the benefits of the spell until the substance is neutralized or washed away.</t>
  </si>
  <si>
    <t>&lt;p&gt;With a gesture, this spell allows you to dismiss even the foulest or most distinctive scents. When cast, the targeted creatures or objects lose all natural and unnatural odors. A creature under the effect of &lt;i&gt;negate aroma&lt;/i&gt; cannot be tracked, located, or pinpointed by the scent special quality. In addition, this spell prevents the target creature from using the stench special ability and similar odor-based abilities (such as those possessed by troglodytes).&lt;/p&gt;&lt;p&gt;&lt;i&gt;Negate aroma&lt;/i&gt; does not prevent the target from acquiring outside smells or odors. Dowsing the creature with a pungent substance effectively negates the benefits of the spell until the substance is neutralized or washed away.&lt;/p&gt;</t>
  </si>
  <si>
    <t>&lt;link rel="stylesheet"href="PF.css"&gt;&lt;div class="heading"&gt;&lt;p class="alignleft"&gt;Negate Aroma&lt;/p&gt;&lt;div style="clear: both;"&gt;&lt;/div&gt;&lt;/div&gt;&lt;div&gt;&lt;h5&gt;&lt;b&gt;School &lt;/b&gt;transmutation; &lt;b&gt;Level &lt;/b&gt;alchemist 1, druid 1, ranger 1&lt;/h5&gt;&lt;/div&gt;&lt;hr/&gt;&lt;div&gt;&lt;h5&gt;&lt;b&gt;CASTING&lt;/b&gt;&lt;/h5&gt;&lt;/div&gt;&lt;hr/&gt;&lt;div&gt;&lt;h5&gt;&lt;b&gt;Casting Time &lt;/b&gt;1 standard action&lt;/h5&gt;&lt;h5&gt;&lt;b&gt;Components &lt;/b&gt;V, S, M/DF (a pinch of alum)&lt;/h5&gt;&lt;/div&gt;&lt;hr/&gt;&lt;div&gt;&lt;h5&gt;&lt;b&gt;EFFECT&lt;/b&gt;&lt;/h5&gt;&lt;/div&gt;&lt;hr/&gt;&lt;div&gt;&lt;h5&gt;&lt;b&gt;Range &lt;/b&gt;close (25 ft. + 5 ft./2 levels)&lt;/h5&gt;&lt;h5&gt;&lt;b&gt;Targets &lt;/b&gt;one creature or object/level touched&lt;/h5&gt;&lt;h5&gt;&lt;b&gt;Duration &lt;/b&gt;1 hour/level (D)&lt;/h5&gt;&lt;h5&gt;&lt;b&gt;Saving Throw &lt;/b&gt;Fortitude negates; &lt;b&gt;Spell Resistance &lt;/b&gt;yes&lt;/h5&gt;&lt;/div&gt;&lt;hr/&gt;&lt;div&gt;&lt;h5&gt;&lt;b&gt;DESCRIPTION&lt;/b&gt;&lt;/h5&gt;&lt;/div&gt;&lt;hr/&gt;&lt;div&gt;&lt;h4&gt;&lt;p&gt;With a gesture, this spell allows you to dismiss even the foulest or most distinctive scents. When cast, the targeted creatures or objects lose all natural and unnatural odors. A creature under the effect of &lt;i&gt;negate aroma&lt;/i&gt; cannot be tracked, located, or pinpointed by the scent special quality. In addition, this spell prevents the target creature from using the stench special ability and similar odor-based abilities (such as those possessed by troglodytes).&lt;/p&gt;&lt;p&gt;&lt;i&gt;Negate aroma&lt;/i&gt; does not prevent the target from acquiring outside smells or odors. Dowsing the creature with a pungent substance effectively negates the benefits of the spell until the substance is neutralized or washed away.&lt;/p&gt;&lt;/h4&gt;&lt;/div&gt;</t>
  </si>
  <si>
    <t>Subject cannot be tracked by scent.</t>
  </si>
  <si>
    <t>Oath Of Peace</t>
  </si>
  <si>
    <t>Entreating your deity for aid, you make a temporary oath of peace, granting you superior defenses but means you can't attack for the duration of the oath. For as long as you are subject to this spell, you gain a +5 sacred bonus to AC and on saving throws, as well as DR 10/evil. If you make a direct or indirect attack or any show any hostility toward any creature, the spell immediately ends.</t>
  </si>
  <si>
    <t>&lt;p&gt;Entreating your deity for aid, you make a temporary oath of peace, granting you superior defenses but means you can't attack for the duration of the oath. For as long as you are subject to this spell, you gain a +5 sacred bonus to AC and on saving throws, as well as DR 10/evil. If you make a direct or indirect attack or any show any hostility toward any creature, the spell immediately ends.&lt;/p&gt;</t>
  </si>
  <si>
    <t>&lt;link rel="stylesheet"href="PF.css"&gt;&lt;div class="heading"&gt;&lt;p class="alignleft"&gt;Oath Of Peace&lt;/p&gt;&lt;div style="clear: both;"&gt;&lt;/div&gt;&lt;/div&gt;&lt;div&gt;&lt;h5&gt;&lt;b&gt;School &lt;/b&gt;abjuration; &lt;b&gt;Level &lt;/b&gt;paladin 4&lt;/h5&gt;&lt;/div&gt;&lt;hr/&gt;&lt;div&gt;&lt;h5&gt;&lt;b&gt;CASTING&lt;/b&gt;&lt;/h5&gt;&lt;/div&gt;&lt;hr/&gt;&lt;div&gt;&lt;h5&gt;&lt;b&gt;Casting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round/level&lt;/h5&gt;&lt;/div&gt;&lt;hr/&gt;&lt;div&gt;&lt;h5&gt;&lt;b&gt;DESCRIPTION&lt;/b&gt;&lt;/h5&gt;&lt;/div&gt;&lt;hr/&gt;&lt;div&gt;&lt;h4&gt;&lt;p&gt;Entreating your deity for aid, you make a temporary oath of peace, granting you superior defenses but means you can't attack for the duration of the oath. For as long as you are subject to this spell, you gain a +5 sacred bonus to AC and on saving throws, as well as DR 10/evil. If you make a direct or indirect attack or any show any hostility toward any creature, the spell immediately ends.&lt;/p&gt;&lt;/h4&gt;&lt;h5&gt;&lt;b&gt;Mythic: &lt;/b&gt;You don't provoke attacks of opportunity when you attempt Heal checks, cast targeted spells with the harmless descriptor, or use positive energy effects to heal living creatures.&lt;/h5&gt;&lt;/div&gt;</t>
  </si>
  <si>
    <t>Grants +5 AC and DR 10/evil, can't attack.</t>
  </si>
  <si>
    <t>You don't provoke attacks of opportunity when you attempt Heal checks, cast targeted spells with the harmless descriptor, or use positive energy effects to heal living creatures.</t>
  </si>
  <si>
    <t>Oracle's Burden</t>
  </si>
  <si>
    <t>oracle 2</t>
  </si>
  <si>
    <t>You entreat the forces of fate to bestow your oracle's curse upon another creature. The target creature suffers all the hindrances and none of the benefits of your oracle's curse class feature. You still suffer all effects of your oracle's curse. If you do not have the oracle's curse class feature, this spell has no effect.</t>
  </si>
  <si>
    <t>&lt;p&gt;You entreat the forces of fate to bestow your oracle's curse upon another creature. The target creature suffers all the hindrances and none of the benefits of your oracle's curse class feature. You still suffer all effects of your oracle's curse.&lt;/p&gt;&lt;p&gt;If you do not have the oracle's curse class feature, this spell has no effect.&lt;/p&gt;</t>
  </si>
  <si>
    <t>&lt;link rel="stylesheet"href="PF.css"&gt;&lt;div class="heading"&gt;&lt;p class="alignleft"&gt;Oracle's Burden&lt;/p&gt;&lt;div style="clear: both;"&gt;&lt;/div&gt;&lt;/div&gt;&lt;div&gt;&lt;h5&gt;&lt;b&gt;School &lt;/b&gt;necromancy [curse]; &lt;b&gt;Level &lt;/b&gt;oracle 2&lt;/h5&gt;&lt;/div&gt;&lt;hr/&gt;&lt;div&gt;&lt;h5&gt;&lt;b&gt;CASTING&lt;/b&gt;&lt;/h5&gt;&lt;/div&gt;&lt;hr/&gt;&lt;div&gt;&lt;h5&gt;&lt;b&gt;Casting Time &lt;/b&gt;1 standard action&lt;/h5&gt;&lt;h5&gt;&lt;b&gt;Components &lt;/b&gt;V&lt;/h5&gt;&lt;/div&gt;&lt;hr/&gt;&lt;div&gt;&lt;h5&gt;&lt;b&gt;EFFECT&lt;/b&gt;&lt;/h5&gt;&lt;/div&gt;&lt;hr/&gt;&lt;div&gt;&lt;h5&gt;&lt;b&gt;Range &lt;/b&gt;medium (100 ft. + 10 ft./level)&lt;/h5&gt;&lt;h5&gt;&lt;b&gt;Targets &lt;/b&gt;one creature&lt;/h5&gt;&lt;h5&gt;&lt;b&gt;Duration &lt;/b&gt;1 minute/level&lt;/h5&gt;&lt;h5&gt;&lt;b&gt;Saving Throw &lt;/b&gt;Will negates; &lt;b&gt;Spell Resistance &lt;/b&gt;yes&lt;/h5&gt;&lt;/div&gt;&lt;hr/&gt;&lt;div&gt;&lt;h5&gt;&lt;b&gt;DESCRIPTION&lt;/b&gt;&lt;/h5&gt;&lt;/div&gt;&lt;hr/&gt;&lt;div&gt;&lt;h4&gt;&lt;p&gt;You entreat the forces of fate to bestow your oracle's curse upon another creature. The target creature suffers all the hindrances and none of the benefits of your oracle's curse class feature. You still suffer all effects of your oracle's curse.&lt;/p&gt;&lt;p&gt;If you do not have the oracle's curse class feature, this spell has no effect.&lt;/p&gt;&lt;/h4&gt;&lt;/div&gt;</t>
  </si>
  <si>
    <t>(Oracle only.) Creature is affected by negative oracle's curse effects.</t>
  </si>
  <si>
    <t>Pain Strike</t>
  </si>
  <si>
    <t>sorcerer/wizard 3, witch 3</t>
  </si>
  <si>
    <t>Pain strike racks the targeted creature with agony, inflicting 1d6 points of nonlethal damage per round for 1 round per level (maximum 10 rounds). Additionally, the affected creature is sickened for the spell's duration, and the caster gains a +4 circumstance bonus on Intimidate checks against the target.</t>
  </si>
  <si>
    <t>&lt;p&gt;&lt;i&gt;Pain strike&lt;/i&gt; racks the targeted creature with agony, inflicting 1d6 points of nonlethal damage per round for 1 round per level (maximum 10 rounds). Additionally, the affected creature is sickened for the spell's duration, and the caster gains a +4 circumstance bonus on Intimidate checks against the target.&lt;/p&gt;</t>
  </si>
  <si>
    <t>&lt;link rel="stylesheet"href="PF.css"&gt;&lt;div class="heading"&gt;&lt;p class="alignleft"&gt;Pain Strike&lt;/p&gt;&lt;div style="clear: both;"&gt;&lt;/div&gt;&lt;/div&gt;&lt;div&gt;&lt;h5&gt;&lt;b&gt;School &lt;/b&gt;evocation [evil, pain]; &lt;b&gt;Level &lt;/b&gt;sorcerer/wizard 3, witch 3&lt;/h5&gt;&lt;/div&gt;&lt;hr/&gt;&lt;div&gt;&lt;h5&gt;&lt;b&gt;CASTING&lt;/b&gt;&lt;/h5&gt;&lt;/div&gt;&lt;hr/&gt;&lt;div&gt;&lt;h5&gt;&lt;b&gt;Casting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living creature&lt;/h5&gt;&lt;h5&gt;&lt;b&gt;Duration &lt;/b&gt;1 round/level (D)&lt;/h5&gt;&lt;h5&gt;&lt;b&gt;Saving Throw &lt;/b&gt;Fortitude negates; &lt;b&gt;Spell Resistance &lt;/b&gt;yes&lt;/h5&gt;&lt;/div&gt;&lt;hr/&gt;&lt;div&gt;&lt;h5&gt;&lt;b&gt;DESCRIPTION&lt;/b&gt;&lt;/h5&gt;&lt;/div&gt;&lt;hr/&gt;&lt;div&gt;&lt;h4&gt;&lt;p&gt;&lt;i&gt;Pain strike&lt;/i&gt; racks the targeted creature with agony, inflicting 1d6 points of nonlethal damage per round for 1 round per level (maximum 10 rounds). Additionally, the affected creature is sickened for the spell's duration, and the caster gains a +4 circumstance bonus on Intimidate checks against the target.&lt;/p&gt;&lt;/h4&gt;&lt;/div&gt;</t>
  </si>
  <si>
    <t>Inflicts 1d6 nonlethal damage 1 round/level.</t>
  </si>
  <si>
    <t>Pain Strike, Mass</t>
  </si>
  <si>
    <t>one living creature/level, no two of which can be more than 30 ft. apart</t>
  </si>
  <si>
    <t>This spell works like pain strike, except as noted above.</t>
  </si>
  <si>
    <t>&lt;p&gt;This spell works like &lt;i&gt;pain strike&lt;/i&gt;, except as noted above.&lt;/p&gt;</t>
  </si>
  <si>
    <t>&lt;link rel="stylesheet"href="PF.css"&gt;&lt;div class="heading"&gt;&lt;p class="alignleft"&gt;Pain Strike, Mass&lt;/p&gt;&lt;div style="clear: both;"&gt;&lt;/div&gt;&lt;/div&gt;&lt;div&gt;&lt;h5&gt;&lt;b&gt;School &lt;/b&gt;evocation [evil, pain]; &lt;b&gt;Level &lt;/b&gt;sorcerer/wizard 5, witch 5&lt;/h5&gt;&lt;/div&gt;&lt;hr/&gt;&lt;div&gt;&lt;h5&gt;&lt;b&gt;CASTING&lt;/b&gt;&lt;/h5&gt;&lt;/div&gt;&lt;hr/&gt;&lt;div&gt;&lt;h5&gt;&lt;b&gt;Casting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living creature/level, no two of which can be more than 30 ft. apart&lt;/h5&gt;&lt;h5&gt;&lt;b&gt;Duration &lt;/b&gt;1 round/level (D)&lt;/h5&gt;&lt;h5&gt;&lt;b&gt;Saving Throw &lt;/b&gt;Fortitude negates; &lt;b&gt;Spell Resistance &lt;/b&gt;yes&lt;/h5&gt;&lt;/div&gt;&lt;hr/&gt;&lt;div&gt;&lt;h5&gt;&lt;b&gt;DESCRIPTION&lt;/b&gt;&lt;/h5&gt;&lt;/div&gt;&lt;hr/&gt;&lt;div&gt;&lt;h4&gt;&lt;p&gt;This spell works like &lt;i&gt;pain strike&lt;/i&gt;, except as noted above.&lt;/p&gt;&lt;/h4&gt;&lt;/div&gt;</t>
  </si>
  <si>
    <t>As pain strike, but affects multiple creatures.</t>
  </si>
  <si>
    <t>Paladin's Sacrifice</t>
  </si>
  <si>
    <t>You open up a brief but powerful divine conduit between you and another creature, taking on the damage and any other effects that creature suffers. When a creature in range is hit by an attack or fails a saving throw, you can cast this spell and the wounds and/or effects are magically transmitted to you instead of the target. You are affected as if you were hit by the attack or failed the saving throw, taking all the damage and suffering all of the adverse effects. Any resistances or immunities you have are applied normally, but you cannot otherwise reduce or negate the damage or effects in any way. If you use this spell against an effect that also targets you or includes you in its area, you suffer the effects for both yourself and the target you spared, potentially taking damage or suffering other consequences twice.</t>
  </si>
  <si>
    <t>&lt;p&gt;You open up a brief but powerful divine conduit between you and another creature, taking on the damage and any other effects that creature suffers. When a creature in range is hit by an attack or fails a saving throw, you can cast this spell and the wounds and/or effects are magically transmitted to you instead of the target. You are affected as if you were hit by the attack or failed the saving throw, taking all the damage and suffering all of the adverse effects. Any resistances or immunities you have are applied normally, but you cannot otherwise reduce or negate the damage or effects in any way.&lt;/p&gt;&lt;p&gt;If you use this spell against an effect that also targets you or includes you in its area, you suffer the effects for both yourself and the target you spared, potentially taking damage or suffering other consequences twice.&lt;/p&gt;</t>
  </si>
  <si>
    <t>&lt;link rel="stylesheet"href="PF.css"&gt;&lt;div class="heading"&gt;&lt;p class="alignleft"&gt;Paladin's Sacrifice&lt;/p&gt;&lt;div style="clear: both;"&gt;&lt;/div&gt;&lt;/div&gt;&lt;div&gt;&lt;h5&gt;&lt;b&gt;School &lt;/b&gt;abjuration; &lt;b&gt;Level &lt;/b&gt;paladin 2&lt;/h5&gt;&lt;/div&gt;&lt;hr/&gt;&lt;div&gt;&lt;h5&gt;&lt;b&gt;CASTING&lt;/b&gt;&lt;/h5&gt;&lt;/div&gt;&lt;hr/&gt;&lt;div&gt;&lt;h5&gt;&lt;b&gt;Casting Time &lt;/b&gt;1 immediate action&lt;/h5&gt;&lt;h5&gt;&lt;b&gt;Components &lt;/b&gt;V, DF&lt;/h5&gt;&lt;/div&gt;&lt;hr/&gt;&lt;div&gt;&lt;h5&gt;&lt;b&gt;EFFECT&lt;/b&gt;&lt;/h5&gt;&lt;/div&gt;&lt;hr/&gt;&lt;div&gt;&lt;h5&gt;&lt;b&gt;Range &lt;/b&gt;close (25 ft. + 5 ft./2 levels)&lt;/h5&gt;&lt;h5&gt;&lt;b&gt;Targets &lt;/b&gt;one creature&lt;/h5&gt;&lt;h5&gt;&lt;b&gt;Duration &lt;/b&gt;instantaneous&lt;/h5&gt;&lt;h5&gt;&lt;b&gt;Saving Throw &lt;/b&gt;Fortitude negates (harmless); &lt;b&gt;Spell Resistance &lt;/b&gt;yes (harmless)&lt;/h5&gt;&lt;/div&gt;&lt;hr/&gt;&lt;div&gt;&lt;h5&gt;&lt;b&gt;DESCRIPTION&lt;/b&gt;&lt;/h5&gt;&lt;/div&gt;&lt;hr/&gt;&lt;div&gt;&lt;h4&gt;&lt;p&gt;You open up a brief but powerful divine conduit between you and another creature, taking on the damage and any other effects that creature suffers. When a creature in range is hit by an attack or fails a saving throw, you can cast this spell and the wounds and/or effects are magically transmitted to you instead of the target. You are affected as if you were hit by the attack or failed the saving throw, taking all the damage and suffering all of the adverse effects. Any resistances or immunities you have are applied normally, but you cannot otherwise reduce or negate the damage or effects in any way.&lt;/p&gt;&lt;p&gt;If you use this spell against an effect that also targets you or includes you in its area, you suffer the effects for both yourself and the target you spared, potentially taking damage or suffering other consequences twice.&lt;/p&gt;&lt;/h4&gt;&lt;/div&gt;</t>
  </si>
  <si>
    <t>Take the damage and effects for another creature.</t>
  </si>
  <si>
    <t>Phantasmal Revenge</t>
  </si>
  <si>
    <t>touch and unlimited; see text</t>
  </si>
  <si>
    <t>dead body touched</t>
  </si>
  <si>
    <t>Will disbelief then Fortitude partial; see text</t>
  </si>
  <si>
    <t>When you cast this eerie spell upon a recently slain creature, you cause a ghastly, spectral image of it to rise up from its corpse, shrieking for vengeance before it vanishes in a burst of unnatural light. This phantom then unerringly seeks out the creature that killed it, as long as that creature is on the same plane, and tries to slay its killer in turn. Only the corpse's killer can see the phantasmal image created by this spell. You and any others who witness the spell's casting or its ultimate effects see only a vague shape. The target first gets a Will save to disbelieve the illusion. If that save fails, the target must succeed on Fortitude saving throw or take 10 points of damage per caster level from the phantasmal image. Even if the Fortitude save is successful, the target takes 5d6 points of damage + 1 point of damage per caster level. You know immediately if the spell succeeded or failed to kill its target but gain no other information, including the identity of the target of the spell. The creature providing the corpse must have died no more than 1 day per caster level prior to the casting of this spell. If the creature that provided the corpse was not, in fact, killed by another, or if the killer is dead or no longer on the same plane, the spell fails. Phantasmal revenge makes no moral judgments; it targets winners of fair fights just as easily as murderers. Any given body can only be targeted by a phantasmal revenge spell once.</t>
  </si>
  <si>
    <t>&lt;p&gt;When you cast this eerie spell upon a recently slain creature, you cause a ghastly, spectral image of it to rise up from its corpse, shrieking for vengeance before it vanishes in a burst of unnatural light. This phantom then unerringly seeks out the creature that killed it, as long as that creature is on the same plane, and tries to slay its killer in turn.&lt;/p&gt;&lt;p&gt;Only the corpse's killer can see the phantasmal image created by this spell. You and any others who witness the spell's casting or its ultimate effects see only a vague shape. The target first gets a Will save to disbelieve the illusion. If that save fails, the target must succeed on Fortitude saving throw or take 10 points of damage per caster level from the phantasmal image. Even if the Fortitude save is successful, the target takes 5d6 points of damage + 1 point of damage per caster level. You know immediately if the spell succeeded or failed to kill its target but gain no other information, including the identity of the target of the spell.&lt;/p&gt;&lt;p&gt;The creature providing the corpse must have died no more than 1 day per caster level prior to the casting of this spell. If the creature that provided the corpse was not, in fact, killed by another, or if the killer is dead or no longer on the same plane, the spell fails. &lt;i&gt;Phantasmal revenge&lt;/i&gt; makes no moral judgments; it targets winners of fair fights just as easily as murderers. Any given body can only be targeted by a &lt;i&gt;phantasmal revenge&lt;/i&gt; spell once.&lt;/p&gt;</t>
  </si>
  <si>
    <t>&lt;link rel="stylesheet"href="PF.css"&gt;&lt;div class="heading"&gt;&lt;p class="alignleft"&gt;Phantasmal Revenge&lt;/p&gt;&lt;div style="clear: both;"&gt;&lt;/div&gt;&lt;/div&gt;&lt;div&gt;&lt;h5&gt;&lt;b&gt;School &lt;/b&gt;illusion (phantasm) [fear, mind-affecting, emotion]; &lt;b&gt;Level &lt;/b&gt;sorcerer/wizard 7&lt;/h5&gt;&lt;/div&gt;&lt;hr/&gt;&lt;div&gt;&lt;h5&gt;&lt;b&gt;CASTING&lt;/b&gt;&lt;/h5&gt;&lt;/div&gt;&lt;hr/&gt;&lt;div&gt;&lt;h5&gt;&lt;b&gt;Casting Time &lt;/b&gt;1 standard action&lt;/h5&gt;&lt;h5&gt;&lt;b&gt;Components &lt;/b&gt;V, S&lt;/h5&gt;&lt;/div&gt;&lt;hr/&gt;&lt;div&gt;&lt;h5&gt;&lt;b&gt;EFFECT&lt;/b&gt;&lt;/h5&gt;&lt;/div&gt;&lt;hr/&gt;&lt;div&gt;&lt;h5&gt;&lt;b&gt;Range &lt;/b&gt;touch and unlimited; see text&lt;/h5&gt;&lt;h5&gt;&lt;b&gt;Targets &lt;/b&gt;dead body touched&lt;/h5&gt;&lt;h5&gt;&lt;b&gt;Duration &lt;/b&gt;instantaneous&lt;/h5&gt;&lt;h5&gt;&lt;b&gt;Saving Throw &lt;/b&gt;Will disbelief then Fortitude partial; see text; &lt;b&gt;Spell Resistance &lt;/b&gt;yes&lt;/h5&gt;&lt;/div&gt;&lt;hr/&gt;&lt;div&gt;&lt;h5&gt;&lt;b&gt;DESCRIPTION&lt;/b&gt;&lt;/h5&gt;&lt;/div&gt;&lt;hr/&gt;&lt;div&gt;&lt;h4&gt;&lt;p&gt;When you cast this eerie spell upon a recently slain creature, you cause a ghastly, spectral image of it to rise up from its corpse, shrieking for vengeance before it vanishes in a burst of unnatural light. This phantom then unerringly seeks out the creature that killed it, as long as that creature is on the same plane, and tries to slay its killer in turn.&lt;/p&gt;&lt;p&gt;Only the corpse's killer can see the phantasmal image created by this spell. You and any others who witness the spell's casting or its ultimate effects see only a vague shape. The target first gets a Will save to disbelieve the illusion. If that save fails, the target must succeed on Fortitude saving throw or take 10 points of damage per caster level from the phantasmal image. Even if the Fortitude save is successful, the target takes 5d6 points of damage + 1 point of damage per caster level. You know immediately if the spell succeeded or failed to kill its target but gain no other information, including the identity of the target of the spell.&lt;/p&gt;&lt;p&gt;The creature providing the corpse must have died no more than 1 day per caster level prior to the casting of this spell. If the creature that provided the corpse was not, in fact, killed by another, or if the killer is dead or no longer on the same plane, the spell fails. &lt;i&gt;Phantasmal revenge&lt;/i&gt; makes no moral judgments; it targets winners of fair fights just as easily as murderers. Any given body can only be targeted by a &lt;i&gt;phantasmal revenge&lt;/i&gt; spell once.&lt;/p&gt;&lt;/h4&gt;&lt;/div&gt;</t>
  </si>
  <si>
    <t>Ghost from corpse hunts killer.</t>
  </si>
  <si>
    <t>Phantasmal Web</t>
  </si>
  <si>
    <t>one creature/level, no two of which may be more than 30 ft. apart</t>
  </si>
  <si>
    <t>You implant within the minds of your targets the illusion that they are engulfed in tangled webs teeming with swarms of tiny spiders. Those who fail to disbelieve the phantasmal web are treated as if in a web spell, but must also make a Fortitude save at the beginning of each turn or become nauseated for that round by the phantasmal spiders. As the phantasmal web exists only in the minds of the targets, it cannot be burned or destroyed, and it provides no cover (though it does provide concealment) against attacks made by the targets. Targets cannot escape the phantasmal web by moving, even by teleportation. Freedom of movement allows unobstructed movement but does not negate the concealment or nausea effects. Targets of the spell perceive everyone else around them to be engulfed in webs and swarming spiders, but the spell has no visible effect to other creatures (who may assist allies to disbelieve the effect).</t>
  </si>
  <si>
    <t>&lt;p&gt;You implant within the minds of your targets the illusion that they are engulfed in tangled &lt;i&gt;web&lt;/i&gt;s teeming with swarms of tiny spiders. Those who fail to disbelieve the &lt;i&gt;phantasmal &lt;i&gt;web&lt;/i&gt;&lt;/i&gt; are treated as if in a &lt;i&gt;web&lt;/i&gt; spell, but must also make a Fortitude save at the beginning of each turn or become nauseated for that round by the phantasmal spiders.&lt;/p&gt;&lt;p&gt;As the &lt;i&gt;phantasmal &lt;i&gt;web&lt;/i&gt;&lt;/i&gt; exists only in the minds of the targets, it cannot be burned or destroyed, and it provides no cover (though it does provide concealment) against attacks made by the targets. &lt;b&gt;Target&lt;/b&gt;s cannot escape the &lt;i&gt;phantasmal &lt;i&gt;web&lt;/i&gt;&lt;/i&gt; by moving, even by teleportation. Freedom of movement allows unobstructed movement but does not negate the concealment or nausea effects.&lt;/p&gt;&lt;p&gt;&lt;b&gt;Target&lt;/b&gt;s of the spell perceive everyone else around them to be engulfed in &lt;i&gt;web&lt;/i&gt;s and swarming spiders, but the spell has no visible effect to other creatures (who may assist allies to disbelieve the effect).&lt;/p&gt;</t>
  </si>
  <si>
    <t>&lt;link rel="stylesheet"href="PF.css"&gt;&lt;div class="heading"&gt;&lt;p class="alignleft"&gt;Phantasmal Web&lt;/p&gt;&lt;div style="clear: both;"&gt;&lt;/div&gt;&lt;/div&gt;&lt;div&gt;&lt;h5&gt;&lt;b&gt;School &lt;/b&gt;illusion (phantasm) [mind-affecting]; &lt;b&gt;Level &lt;/b&gt;bard 5, sorcerer/wizard 5&lt;/h5&gt;&lt;/div&gt;&lt;hr/&gt;&lt;div&gt;&lt;h5&gt;&lt;b&gt;CASTING&lt;/b&gt;&lt;/h5&gt;&lt;/div&gt;&lt;hr/&gt;&lt;div&gt;&lt;h5&gt;&lt;b&gt;Casting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ft./level)&lt;/h5&gt;&lt;h5&gt;&lt;b&gt;Targets &lt;/b&gt;one creature/level, no two of which may be more than 30 ft. apart&lt;/h5&gt;&lt;h5&gt;&lt;b&gt;Duration &lt;/b&gt;1 round/level (D)&lt;/h5&gt;&lt;h5&gt;&lt;b&gt;Saving Throw &lt;/b&gt;Will disbelief, then Fortitude partial; see text; &lt;b&gt;Spell Resistance &lt;/b&gt;yes&lt;/h5&gt;&lt;/div&gt;&lt;hr/&gt;&lt;div&gt;&lt;h5&gt;&lt;b&gt;DESCRIPTION&lt;/b&gt;&lt;/h5&gt;&lt;/div&gt;&lt;hr/&gt;&lt;div&gt;&lt;h4&gt;&lt;p&gt;You implant within the minds of your targets the illusion that they are engulfed in tangled &lt;i&gt;web&lt;/i&gt;s teeming with swarms of tiny spiders. Those who fail to disbelieve the &lt;i&gt;phantasmal &lt;i&gt;web&lt;/i&gt;&lt;/i&gt; are treated as if in a &lt;i&gt;web&lt;/i&gt; spell, but must also make a Fortitude save at the beginning of each turn or become nauseated for that round by the phantasmal spiders.&lt;/p&gt;&lt;p&gt;As the &lt;i&gt;phantasmal &lt;i&gt;web&lt;/i&gt;&lt;/i&gt; exists only in the minds of the targets, it cannot be burned or destroyed, and it provides no cover (though it does provide concealment) against attacks made by the targets. &lt;b&gt;Target&lt;/b&gt;s cannot escape the &lt;i&gt;phantasmal &lt;i&gt;web&lt;/i&gt;&lt;/i&gt; by moving, even by teleportation. Freedom of movement allows unobstructed movement but does not negate the concealment or nausea effects.&lt;/p&gt;&lt;p&gt;&lt;b&gt;Target&lt;/b&gt;s of the spell perceive everyone else around them to be engulfed in &lt;i&gt;web&lt;/i&gt;s and swarming spiders, but the spell has no visible effect to other creatures (who may assist allies to disbelieve the effect).&lt;/p&gt;&lt;/h4&gt;&lt;/div&gt;</t>
  </si>
  <si>
    <t>Catches subjects in illusory web.</t>
  </si>
  <si>
    <t>Pied Piping</t>
  </si>
  <si>
    <t>V or F (musical instrument)</t>
  </si>
  <si>
    <t>90 ft.</t>
  </si>
  <si>
    <t>90-ft.-radius emanation, centered on you</t>
  </si>
  <si>
    <t>You call forth a melody so compelling and attractive that creatures belonging to a group with a specific, identifiable physical trait (such as type, subtype, age, gender, or hair color) find it almost impossible not to approach and follow you. You choose the nature of the creatures you seek to attract when you cast the spell and, once you make this choice, cannot alter it. You can only use physical traits to determine your audience. You can never use social and other more voluntary criteria (such as alignment, religion, nationality, or class) to select targets for this spell. Eligible creatures must make a saving throw each round spent within the area of the spell and, once they fail, approach you at their normal movement speed and stand as close to you as possible without actually entering an occupied square. If you move, they do their best to maintain their proximity to you and follow. Affected creatures can take no actions other than listening to your music and following you if you move. Those entering the area while the spell is in effect must also successfully save or be compelled to come to you. The attractive power of the spell does not cause affected creatures to put themselves in jeopardy and they have enough presence of mind to avoid or negotiate around obstacles and other perilous hazards. If unable to approach or follow you without endangering themselves, they simply wait, swaying to the music, until you pass out of range, at which point they regain their senses after 1 round/caster level. If circumstances change once you move out of range, making it possible for affected creatures to resume their attempts to get near you they do so, and, if they manage to return to within the area of the spell before it wears off, the spell continues as normal. If attacked, affected creatures can take defensive measures, even going so far as to avoid existing threats by moving out of the area of the spell, but cannot make attacks themselves or take any other actions until the effects of the spell wear off. The effects of the spell persist for 1 round/caster level even after you stop concentrating. Once the spell ceases, the affected creatures continue to stay near you until the effects of the spell wear off.</t>
  </si>
  <si>
    <t>&lt;p&gt;You call forth a melody so compelling and attractive that creatures belonging to a group with a specific, identifiable physical trait (such as type, subtype, age, gender, or hair color) find it almost impossible not to approach and follow you. You choose the nature of the creatures you seek to attract when you cast the spell and, once you make this choice, cannot alter it. You can only use physical traits to determine your audience. You can never use social and other more voluntary criteria (such as alignment, religion, nationality, or class) to select targets for this spell.&lt;/p&gt;&lt;p&gt;Eligible creatures must make a saving throw each round spent within the area of the spell and, once they fail, approach you at their normal movement speed and stand as close to you as possible without actually entering an occupied square.&lt;/p&gt;&lt;p&gt;If you move, they do their best to maintain their proximity to you and follow. Affected creatures can take no actions other than listening to your music and following you if you move.&lt;/p&gt;&lt;p&gt;Those entering the area while the spell is in effect must also successfully save or be compelled to come to you.&lt;/p&gt;&lt;p&gt;The attractive power of the spell does not cause affected creatures to put themselves in jeopardy and they have enough presence of mind to avoid or negotiate around obstacles and other perilous hazards. If unable to approach or follow you without endangering themselves, they simply wait, swaying to the music, until you pass out of range, at which point they regain their senses after 1 round/caster level. If circumstances change once you move out of range, making it possible for affected creatures to resume their attempts to get near you they do so, and, if they manage to return to within the area of the spell before it wears off, the spell continues as normal.&lt;/p&gt;&lt;p&gt;If attacked, affected creatures can take defensive measures, even going so far as to avoid existing threats by moving out of the area of the spell, but cannot make attacks themselves or take any other actions until the effects of the spell wear off. The effects of the spell persist for 1 round/caster level even after you stop concentrating. Once the spell ceases, the affected creatures continue to stay near you until the effects of the spell wear off.&lt;/p&gt;</t>
  </si>
  <si>
    <t>&lt;link rel="stylesheet"href="PF.css"&gt;&lt;div class="heading"&gt;&lt;p class="alignleft"&gt;Pied Piping&lt;/p&gt;&lt;div style="clear: both;"&gt;&lt;/div&gt;&lt;/div&gt;&lt;div&gt;&lt;h5&gt;&lt;b&gt;School &lt;/b&gt;enchantment (compulsion) [mind-affecting, sonic]; &lt;b&gt;Level &lt;/b&gt;bard 6&lt;/h5&gt;&lt;/div&gt;&lt;hr/&gt;&lt;div&gt;&lt;h5&gt;&lt;b&gt;CASTING&lt;/b&gt;&lt;/h5&gt;&lt;/div&gt;&lt;hr/&gt;&lt;div&gt;&lt;h5&gt;&lt;b&gt;Casting Time &lt;/b&gt;1 standard action&lt;/h5&gt;&lt;h5&gt;&lt;b&gt;Components &lt;/b&gt;V or F (musical instrument)&lt;/h5&gt;&lt;/div&gt;&lt;hr/&gt;&lt;div&gt;&lt;h5&gt;&lt;b&gt;EFFECT&lt;/b&gt;&lt;/h5&gt;&lt;/div&gt;&lt;hr/&gt;&lt;div&gt;&lt;h5&gt;&lt;b&gt;Range &lt;/b&gt;90 ft.&lt;/h5&gt;&lt;h5&gt;&lt;b&gt;Area &lt;/b&gt;90-ft.-radius emanation, centered on you&lt;/h5&gt;&lt;h5&gt;&lt;b&gt;Duration &lt;/b&gt;concentration + 1 round/level&lt;/h5&gt;&lt;h5&gt;&lt;b&gt;Saving Throw &lt;/b&gt;Will partial; see text; &lt;b&gt;Spell Resistance &lt;/b&gt;yes&lt;/h5&gt;&lt;/div&gt;&lt;hr/&gt;&lt;div&gt;&lt;h5&gt;&lt;b&gt;DESCRIPTION&lt;/b&gt;&lt;/h5&gt;&lt;/div&gt;&lt;hr/&gt;&lt;div&gt;&lt;h4&gt;&lt;p&gt;You call forth a melody so compelling and attractive that creatures belonging to a group with a specific, identifiable physical trait (such as type, subtype, age, gender, or hair color) find it almost impossible not to approach and follow you. You choose the nature of the creatures you seek to attract when you cast the spell and, once you make this choice, cannot alter it. You can only use physical traits to determine your audience. You can never use social and other more voluntary criteria (such as alignment, religion, nationality, or class) to select targets for this spell.&lt;/p&gt;&lt;p&gt;Eligible creatures must make a saving throw each round spent within the area of the spell and, once they fail, approach you at their normal movement speed and stand as close to you as possible without actually entering an occupied square.&lt;/p&gt;&lt;p&gt;If you move, they do their best to maintain their proximity to you and follow. Affected creatures can take no actions other than listening to your music and following you if you move.&lt;/p&gt;&lt;p&gt;Those entering the area while the spell is in effect must also successfully save or be compelled to come to you.&lt;/p&gt;&lt;p&gt;The attractive power of the spell does not cause affected creatures to put themselves in jeopardy and they have enough presence of mind to avoid or negotiate around obstacles and other perilous hazards. If unable to approach or follow you without endangering themselves, they simply wait, swaying to the music, until you pass out of range, at which point they regain their senses after 1 round/caster level. If circumstances change once you move out of range, making it possible for affected creatures to resume their attempts to get near you they do so, and, if they manage to return to within the area of the spell before it wears off, the spell continues as normal.&lt;/p&gt;&lt;p&gt;If attacked, affected creatures can take defensive measures, even going so far as to avoid existing threats by moving out of the area of the spell, but cannot make attacks themselves or take any other actions until the effects of the spell wear off. The effects of the spell persist for 1 round/caster level even after you stop concentrating. Once the spell ceases, the affected creatures continue to stay near you until the effects of the spell wear off.&lt;/p&gt;&lt;/h4&gt;&lt;/div&gt;</t>
  </si>
  <si>
    <t>Compel similar creatures to follow you.</t>
  </si>
  <si>
    <t>Pillar Of Life</t>
  </si>
  <si>
    <t>5-ft.-square pillar of positive energy, 20 ft. high</t>
  </si>
  <si>
    <t>You conjure a pillar of positive energy in a single 5-foot square within range that radiates light as if it were a sunrod. Living creatures adjacent to the pillar can spend a standard action to touch the pillar and heal 2d8 points of damage + 1 point per caster level (maximum +20). Creatures can move into the square containing the pillar, but if an undead creature moves into the pillar it takes 1d6 points of damage per caster level (maximum 10d6). Undead creatures vulnerable to bright light take 1d8 points if damage per caster level (maximum 10d8). A creature cannot benefit or suffer more than once from a single casting of this spell.</t>
  </si>
  <si>
    <t>&lt;p&gt;You conjure a pillar of positive energy in a single 5-foot square within range that radiates light as if it were a sunrod. Living creatures adjacent to the pillar can spend a standard action to touch the pillar and heal 2d8 points of damage + 1 point per caster level (maximum +20). Creatures can move into the square containing the pillar, but if an undead creature moves into the pillar it takes 1d6 points of damage per caster level (maximum 10d6). Undead creatures vulnerable to bright light take 1d8 points if damage per caster level (maximum 10d8). A creature cannot benefit or suffer more than once from a single casting of this spell.&lt;/p&gt;</t>
  </si>
  <si>
    <t>&lt;link rel="stylesheet"href="PF.css"&gt;&lt;div class="heading"&gt;&lt;p class="alignleft"&gt;Pillar Of Life&lt;/p&gt;&lt;div style="clear: both;"&gt;&lt;/div&gt;&lt;/div&gt;&lt;div&gt;&lt;h5&gt;&lt;b&gt;School &lt;/b&gt;conjuration (healing) [light]; &lt;b&gt;Level &lt;/b&gt;cleric/oracle 5&lt;/h5&gt;&lt;/div&gt;&lt;hr/&gt;&lt;div&gt;&lt;h5&gt;&lt;b&gt;CASTING&lt;/b&gt;&lt;/h5&gt;&lt;/div&gt;&lt;hr/&gt;&lt;div&gt;&lt;h5&gt;&lt;b&gt;Casting Time &lt;/b&gt;1 standard action&lt;/h5&gt;&lt;h5&gt;&lt;b&gt;Components &lt;/b&gt;V, S, DF&lt;/h5&gt;&lt;/div&gt;&lt;hr/&gt;&lt;div&gt;&lt;h5&gt;&lt;b&gt;EFFECT&lt;/b&gt;&lt;/h5&gt;&lt;/div&gt;&lt;hr/&gt;&lt;div&gt;&lt;h5&gt;&lt;b&gt;Range &lt;/b&gt;medium (100 ft. + 10 ft./level)&lt;/h5&gt;&lt;h5&gt;&lt;b&gt;Effect &lt;/b&gt;5-ft.-square pillar of positive energy, 20 ft. high&lt;/h5&gt;&lt;h5&gt;&lt;b&gt;Duration &lt;/b&gt;1 round/level&lt;/h5&gt;&lt;h5&gt;&lt;b&gt;Saving Throw &lt;/b&gt;none; &lt;b&gt;Spell Resistance &lt;/b&gt;no&lt;/h5&gt;&lt;/div&gt;&lt;hr/&gt;&lt;div&gt;&lt;h5&gt;&lt;b&gt;DESCRIPTION&lt;/b&gt;&lt;/h5&gt;&lt;/div&gt;&lt;hr/&gt;&lt;div&gt;&lt;h4&gt;&lt;p&gt;You conjure a pillar of positive energy in a single 5-foot square within range that radiates light as if it were a sunrod. Living creatures adjacent to the pillar can spend a standard action to touch the pillar and heal 2d8 points of damage + 1 point per caster level (maximum +20). Creatures can move into the square containing the pillar, but if an undead creature moves into the pillar it takes 1d6 points of damage per caster level (maximum 10d6). Undead creatures vulnerable to bright light take 1d8 points if damage per caster level (maximum 10d8). A creature cannot benefit or suffer more than once from a single casting of this spell.&lt;/p&gt;&lt;/h4&gt;&lt;h5&gt;&lt;b&gt;Mythic: &lt;/b&gt;The damage healed increases to 3d8 points of damage + 1 point per caster level (maximum +20). The damage dealt to undead increases to 1d8 points of damage per caster level (maximum 10d8), or 2d6 points of damage per caster level for undead vulnerable to bright light (maximum 20d6). If a dead creature is brought into the pillar's square and that creature could be revived by breath of life, the pillar of life ends and the creature returns to life as per breath of life.&lt;/h5&gt;&lt;/div&gt;</t>
  </si>
  <si>
    <t>Created pillar heals 2d8 + 1/level (max +20).</t>
  </si>
  <si>
    <t>The damage healed increases to 3d8 points of damage + 1 point per caster level (maximum +20). The damage dealt to undead increases to 1d8 points of damage per caster level (maximum 10d8), or 2d6 points of damage per caster level for undead vulnerable to bright light (maximum 20d6). If a dead creature is brought into the pillar's square and that creature could be revived by breath of life, the pillar of life ends and the creature returns to life as per breath of life.</t>
  </si>
  <si>
    <t>Planar Adaptation</t>
  </si>
  <si>
    <t>alchemist 5, cleric 4/oracle 4, sorcerer/wizard 5, summoner 5</t>
  </si>
  <si>
    <t>Planar adaptation grants you immunity to the harmful environmental effects of a particular plane of existence, including such hazards as toxicity, extreme temperatures, and lack of air. Additionally, you gain energy resistance 20 to a single energy type prevalent on that plane (choose one if more than one type is equally prevalent). Planar adaptation has no when cast upon your native plane.</t>
  </si>
  <si>
    <t>&lt;p&gt;&lt;i&gt;Planar adaptation&lt;/i&gt; grants you immunity to the harmful environmental effects of a particular plane of existence, including such hazards as toxicity, extreme temperatures, and lack of air. Additionally, you gain energy resistance 20 to a single energy type prevalent on that plane (choose one if more than one type is equally prevalent). &lt;i&gt;Planar adaptation&lt;/i&gt; has no when cast upon your native plane.&lt;/p&gt;</t>
  </si>
  <si>
    <t>&lt;link rel="stylesheet"href="PF.css"&gt;&lt;div class="heading"&gt;&lt;p class="alignleft"&gt;Planar Adaptation&lt;/p&gt;&lt;div style="clear: both;"&gt;&lt;/div&gt;&lt;/div&gt;&lt;div&gt;&lt;h5&gt;&lt;b&gt;School &lt;/b&gt;transmutation; &lt;b&gt;Level &lt;/b&gt;alchemist 5, cleric 4/oracle 4, sorcerer/wizard 5, summoner 5&lt;/h5&gt;&lt;/div&gt;&lt;hr/&gt;&lt;div&gt;&lt;h5&gt;&lt;b&gt;CASTING&lt;/b&gt;&lt;/h5&gt;&lt;/div&gt;&lt;hr/&gt;&lt;div&gt;&lt;h5&gt;&lt;b&gt;Casting Time &lt;/b&gt;1 standard action&lt;/h5&gt;&lt;h5&gt;&lt;b&gt;Components &lt;/b&gt;V&lt;/h5&gt;&lt;/div&gt;&lt;hr/&gt;&lt;div&gt;&lt;h5&gt;&lt;b&gt;EFFECT&lt;/b&gt;&lt;/h5&gt;&lt;/div&gt;&lt;hr/&gt;&lt;div&gt;&lt;h5&gt;&lt;b&gt;Range &lt;/b&gt;personal&lt;/h5&gt;&lt;h5&gt;&lt;b&gt;Targets &lt;/b&gt;you&lt;/h5&gt;&lt;h5&gt;&lt;b&gt;Duration &lt;/b&gt;1 hour/level (D)&lt;/h5&gt;&lt;/div&gt;&lt;hr/&gt;&lt;div&gt;&lt;h5&gt;&lt;b&gt;DESCRIPTION&lt;/b&gt;&lt;/h5&gt;&lt;/div&gt;&lt;hr/&gt;&lt;div&gt;&lt;h4&gt;&lt;p&gt;&lt;i&gt;Planar adaptation&lt;/i&gt; grants you immunity to the harmful environmental effects of a particular plane of existence, including such hazards as toxicity, extreme temperatures, and lack of air. Additionally, you gain energy resistance 20 to a single energy type prevalent on that plane (choose one if more than one type is equally prevalent). &lt;i&gt;Planar adaptation&lt;/i&gt; has no when cast upon your native plane.&lt;/p&gt;&lt;/h4&gt;&lt;/div&gt;</t>
  </si>
  <si>
    <t>Resist harmful effects of other plane.</t>
  </si>
  <si>
    <t>Planar Adaptation, Mass</t>
  </si>
  <si>
    <t>cleric 6/oracle 6, sorcerer/wizard 7, summoner 6</t>
  </si>
  <si>
    <t>This spell functions like planar adaptation, except as noted above.</t>
  </si>
  <si>
    <t>&lt;p&gt;This spell functions like &lt;i&gt;planar adaptation&lt;/i&gt;, except as noted above.&lt;/p&gt;</t>
  </si>
  <si>
    <t>&lt;link rel="stylesheet"href="PF.css"&gt;&lt;div class="heading"&gt;&lt;p class="alignleft"&gt;Planar Adaptation, Mass&lt;/p&gt;&lt;div style="clear: both;"&gt;&lt;/div&gt;&lt;/div&gt;&lt;div&gt;&lt;h5&gt;&lt;b&gt;School &lt;/b&gt;transmutation; &lt;b&gt;Level &lt;/b&gt;cleric 6/oracle 6, sorcerer/wizard 7, summoner 6&lt;/h5&gt;&lt;/div&gt;&lt;hr/&gt;&lt;div&gt;&lt;h5&gt;&lt;b&gt;CASTING&lt;/b&gt;&lt;/h5&gt;&lt;/div&gt;&lt;hr/&gt;&lt;div&gt;&lt;h5&gt;&lt;b&gt;Casting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creature/level, no two of which can be more than 30 ft. apart&lt;/h5&gt;&lt;h5&gt;&lt;b&gt;Duration &lt;/b&gt;1 hour/level (D)&lt;/h5&gt;&lt;h5&gt;&lt;b&gt;Saving Throw &lt;/b&gt;Will negates (harmless); &lt;b&gt;Spell Resistance &lt;/b&gt;yes (harmless)&lt;/h5&gt;&lt;/div&gt;&lt;hr/&gt;&lt;div&gt;&lt;h5&gt;&lt;b&gt;DESCRIPTION&lt;/b&gt;&lt;/h5&gt;&lt;/div&gt;&lt;hr/&gt;&lt;div&gt;&lt;h4&gt;&lt;p&gt;This spell functions like &lt;i&gt;planar adaptation&lt;/i&gt;, except as noted above.&lt;/p&gt;&lt;/h4&gt;&lt;/div&gt;</t>
  </si>
  <si>
    <t>As planar adaptation, but affects multiple creatures.</t>
  </si>
  <si>
    <t>Pox Pustules</t>
  </si>
  <si>
    <t>V, S, M (leaves from a toxic plant)</t>
  </si>
  <si>
    <t>You inflict a painful, itching rash on the target creature. The target is sickened and takes a -4 penalty to Dexterity (this penalty cannot lower Dexterity below 0). The target can spend a move action scratching furiously at the rash to remove the sickened condition (but not the Dexterity penalty) until the start of its next turn.</t>
  </si>
  <si>
    <t>&lt;p&gt;You inflict a painful, itching rash on the target creature. The target is sickened and takes a -4 penalty to Dexterity (this penalty cannot lower Dexterity below 0). The target can spend a move action scratching furiously at the rash to remove the sickened condition (but not the Dexterity penalty) until the start of its next turn.&lt;/p&gt;</t>
  </si>
  <si>
    <t>&lt;link rel="stylesheet"href="PF.css"&gt;&lt;div class="heading"&gt;&lt;p class="alignleft"&gt;Pox Pustules&lt;/p&gt;&lt;div style="clear: both;"&gt;&lt;/div&gt;&lt;/div&gt;&lt;div&gt;&lt;h5&gt;&lt;b&gt;School &lt;/b&gt;necromancy; &lt;b&gt;Level &lt;/b&gt;druid 2, witch 2&lt;/h5&gt;&lt;/div&gt;&lt;hr/&gt;&lt;div&gt;&lt;h5&gt;&lt;b&gt;CASTING&lt;/b&gt;&lt;/h5&gt;&lt;/div&gt;&lt;hr/&gt;&lt;div&gt;&lt;h5&gt;&lt;b&gt;Casting Time &lt;/b&gt;1 standard action&lt;/h5&gt;&lt;h5&gt;&lt;b&gt;Components &lt;/b&gt;V, S, M (leaves from a toxic plant)&lt;/h5&gt;&lt;/div&gt;&lt;hr/&gt;&lt;div&gt;&lt;h5&gt;&lt;b&gt;EFFECT&lt;/b&gt;&lt;/h5&gt;&lt;/div&gt;&lt;hr/&gt;&lt;div&gt;&lt;h5&gt;&lt;b&gt;Range &lt;/b&gt;close (25 ft. + 5 ft./2 levels)&lt;/h5&gt;&lt;h5&gt;&lt;b&gt;Targets &lt;/b&gt;one creature&lt;/h5&gt;&lt;h5&gt;&lt;b&gt;Duration &lt;/b&gt;1 minute/level&lt;/h5&gt;&lt;h5&gt;&lt;b&gt;Saving Throw &lt;/b&gt;Fortitude negates; &lt;b&gt;Spell Resistance &lt;/b&gt;yes&lt;/h5&gt;&lt;/div&gt;&lt;hr/&gt;&lt;div&gt;&lt;h5&gt;&lt;b&gt;DESCRIPTION&lt;/b&gt;&lt;/h5&gt;&lt;/div&gt;&lt;hr/&gt;&lt;div&gt;&lt;h4&gt;&lt;p&gt;You inflict a painful, itching rash on the target creature. The target is sickened and takes a -4 penalty to Dexterity (this penalty cannot lower Dexterity below 0). The target can spend a move action scratching furiously at the rash to remove the sickened condition (but not the Dexterity penalty) until the start of its next turn.&lt;/p&gt;&lt;/h4&gt;&lt;h5&gt;&lt;b&gt;Mythic: &lt;/b&gt;The Dexterity penalty increases to -6. The target takes 1 point of bleed damage each round. If the target spends a move action scratching, increase its bleed damage each round by 1. If the bleeding is stopped, scratching causes it to start again at 1 point of bleed per round.&lt;/h5&gt;&lt;/div&gt;</t>
  </si>
  <si>
    <t>Subject is sickened and has –4 Dex.</t>
  </si>
  <si>
    <t>The Dexterity penalty increases to -6. The target takes 1 point of bleed damage each round. If the target spends a move action scratching, increase its bleed damage each round by 1. If the bleeding is stopped, scratching causes it to start again at 1 point of bleed per round.</t>
  </si>
  <si>
    <t>Protective Spirit</t>
  </si>
  <si>
    <t>A protective spirit is an invisible, mindless, shapeless force that hovers about you, defending you against unexpected attacks. When a creature makes an attack of opportunity against you, the protective spirit makes an immediate attack using your base attack bonus plus your Dexterity modifier. On a successful hit, the spirit does no damage, but it causes the attack of opportunity to automatically miss. A protective spirit can defend against a number of attacks of opportunity equal to your Dexterity bonus (minimum 1) per round. A protective spirit occupies your space, and moves with you. It cannot be attacked or harmed by physical attacks, but dispel magic, disintegrate, a sphere of annihilation, or a rod of cancellation affects it. A protective spirit's AC against touch attacks is 10 + your Dexterity modifier.</t>
  </si>
  <si>
    <t>&lt;p&gt;A &lt;i&gt;protective spirit&lt;/i&gt; is an invisible, mindless, shapeless force that hovers about you, defending you against unexpected attacks. When a creature makes an attack of opportunity against you, the &lt;i&gt;protective spirit&lt;/i&gt; makes an immediate attack using your base attack bonus plus your Dexterity modifier. On a successful hit, the spirit does no damage, but it causes the attack of opportunity to automatically miss. A &lt;i&gt;protective spirit&lt;/i&gt; can defend against a number of attacks of opportunity equal to your Dexterity bonus (minimum 1) per round.&lt;/p&gt;&lt;p&gt;A &lt;i&gt;protective spirit&lt;/i&gt; occupies your space, and moves with you. It cannot be attacked or harmed by physical attacks, but &lt;i&gt;dispel magic&lt;/i&gt;, &lt;i&gt;disintegrate&lt;/i&gt;, &lt;i&gt;a sphere of annihilation&lt;/i&gt;, or a &lt;i&gt;rod of cancellation&lt;/i&gt; affects it. A &lt;i&gt;protective spirit&lt;/i&gt;'s AC against touch attacks is 10 + your Dexterity modifier.&lt;/p&gt;</t>
  </si>
  <si>
    <t>&lt;link rel="stylesheet"href="PF.css"&gt;&lt;div class="heading"&gt;&lt;p class="alignleft"&gt;Protective Spirit&lt;/p&gt;&lt;div style="clear: both;"&gt;&lt;/div&gt;&lt;/div&gt;&lt;div&gt;&lt;h5&gt;&lt;b&gt;School &lt;/b&gt;conjuration (creation); &lt;b&gt;Level &lt;/b&gt;ranger 2&lt;/h5&gt;&lt;/div&gt;&lt;hr/&gt;&lt;div&gt;&lt;h5&gt;&lt;b&gt;CASTING&lt;/b&gt;&lt;/h5&gt;&lt;/div&gt;&lt;hr/&gt;&lt;div&gt;&lt;h5&gt;&lt;b&gt;Casting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&lt;/b&gt;you&lt;/h5&gt;&lt;h5&gt;&lt;b&gt;Duration &lt;/b&gt;1 round/level&lt;/h5&gt;&lt;/div&gt;&lt;hr/&gt;&lt;div&gt;&lt;h5&gt;&lt;b&gt;DESCRIPTION&lt;/b&gt;&lt;/h5&gt;&lt;/div&gt;&lt;hr/&gt;&lt;div&gt;&lt;h4&gt;&lt;p&gt;A &lt;i&gt;protective spirit&lt;/i&gt; is an invisible, mindless, shapeless force that hovers about you, defending you against unexpected attacks. When a creature makes an attack of opportunity against you, the &lt;i&gt;protective spirit&lt;/i&gt; makes an immediate attack using your base attack bonus plus your Dexterity modifier. On a successful hit, the spirit does no damage, but it causes the attack of opportunity to automatically miss. A &lt;i&gt;protective spirit&lt;/i&gt; can defend against a number of attacks of opportunity equal to your Dexterity bonus (minimum 1) per round.&lt;/p&gt;&lt;p&gt;A &lt;i&gt;protective spirit&lt;/i&gt; occupies your space, and moves with you. It cannot be attacked or harmed by physical attacks, but &lt;i&gt;dispel magic&lt;/i&gt;, &lt;i&gt;disintegrate&lt;/i&gt;, &lt;i&gt;a sphere of annihilation&lt;/i&gt;, or a &lt;i&gt;rod of cancellation&lt;/i&gt; affects it. A &lt;i&gt;protective spirit&lt;/i&gt;'s AC against touch attacks is 10 + your Dexterity modifier.&lt;/p&gt;&lt;/h4&gt;&lt;/div&gt;</t>
  </si>
  <si>
    <t>Protects from attacks of opportunity.</t>
  </si>
  <si>
    <t>Purging Finale</t>
  </si>
  <si>
    <t>You must have a bardic performance in effect to cast this spell. With a flourish, you immediately end your bardic performance, removing one of the following conditions on a creature within range affected by your bardic performance: cowering, dazzled, exhausted, paralyzed, shaken, or stunned.</t>
  </si>
  <si>
    <t>&lt;p&gt;You must have a bardic performance in effect to cast this spell. With a flourish, you immediately end your bardic performance, removing one of the following conditions on a creature within range affected by your bardic performance: cowering, dazzled, exhausted, paralyzed, shaken, or stunned.&lt;/p&gt;</t>
  </si>
  <si>
    <t>&lt;link rel="stylesheet"href="PF.css"&gt;&lt;div class="heading"&gt;&lt;p class="alignleft"&gt;Purging Finale&lt;/p&gt;&lt;div style="clear: both;"&gt;&lt;/div&gt;&lt;/div&gt;&lt;div&gt;&lt;h5&gt;&lt;b&gt;School &lt;/b&gt;conjuration (healing); &lt;b&gt;Level &lt;/b&gt;bard 3&lt;/h5&gt;&lt;/div&gt;&lt;hr/&gt;&lt;div&gt;&lt;h5&gt;&lt;b&gt;CASTING&lt;/b&gt;&lt;/h5&gt;&lt;/div&gt;&lt;hr/&gt;&lt;div&gt;&lt;h5&gt;&lt;b&gt;Casting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living creature&lt;/h5&gt;&lt;h5&gt;&lt;b&gt;Duration &lt;/b&gt;instantaneous&lt;/h5&gt;&lt;h5&gt;&lt;b&gt;Saving Throw &lt;/b&gt;Will negates (harmless); &lt;b&gt;Spell Resistance &lt;/b&gt;yes (harmless)&lt;/h5&gt;&lt;/div&gt;&lt;hr/&gt;&lt;div&gt;&lt;h5&gt;&lt;b&gt;DESCRIPTION&lt;/b&gt;&lt;/h5&gt;&lt;/div&gt;&lt;hr/&gt;&lt;div&gt;&lt;h4&gt;&lt;p&gt;You must have a bardic performance in effect to cast this spell. With a flourish, you immediately end your bardic performance, removing one of the following conditions on a creature within range affected by your bardic performance: cowering, dazzled, exhausted, paralyzed, shaken, or stunned.&lt;/p&gt;&lt;/h4&gt;&lt;/div&gt;</t>
  </si>
  <si>
    <t>Removes one negative effect.</t>
  </si>
  <si>
    <t>Purified Calling</t>
  </si>
  <si>
    <t>V, S, M (a stick of incense)</t>
  </si>
  <si>
    <t>Your eidolon is restored to full health when you summon it. Upon casting this spell, you must immediately begin the ritual to summon your eidolon. Upon completion of the ritual, your eidolon appears at full hit points and without any damage or penalties to its ability scores, regardless of its previous condition. In addition, any temporary negative conditions affecting your eidolon are immediately removed. Permanent conditions and ability drain are not affected by this spell.</t>
  </si>
  <si>
    <t>&lt;p&gt;Your eidolon is restored to full health when you summon it. Upon casting this spell, you must immediately begin the ritual to summon your eidolon. Upon completion of the ritual, your eidolon appears at full hit points and without any damage or penalties to its ability scores, regardless of its previous condition. In addition, any temporary negative conditions affecting your eidolon are immediately removed.&lt;/p&gt;&lt;p&gt;Permanent conditions and ability drain are not affected by this spell.&lt;/p&gt;</t>
  </si>
  <si>
    <t>&lt;link rel="stylesheet"href="PF.css"&gt;&lt;div class="heading"&gt;&lt;p class="alignleft"&gt;Purified Calling&lt;/p&gt;&lt;div style="clear: both;"&gt;&lt;/div&gt;&lt;/div&gt;&lt;div&gt;&lt;h5&gt;&lt;b&gt;School &lt;/b&gt;conjuration (healing); &lt;b&gt;Level &lt;/b&gt;summoner 4&lt;/h5&gt;&lt;/div&gt;&lt;hr/&gt;&lt;div&gt;&lt;h5&gt;&lt;b&gt;CASTING&lt;/b&gt;&lt;/h5&gt;&lt;/div&gt;&lt;hr/&gt;&lt;div&gt;&lt;h5&gt;&lt;b&gt;Casting Time &lt;/b&gt;1 standard action&lt;/h5&gt;&lt;h5&gt;&lt;b&gt;Components &lt;/b&gt;V, S, M (a stick of incense)&lt;/h5&gt;&lt;/div&gt;&lt;hr/&gt;&lt;div&gt;&lt;h5&gt;&lt;b&gt;EFFECT&lt;/b&gt;&lt;/h5&gt;&lt;/div&gt;&lt;hr/&gt;&lt;div&gt;&lt;h5&gt;&lt;b&gt;Range &lt;/b&gt;personal&lt;/h5&gt;&lt;h5&gt;&lt;b&gt;Targets &lt;/b&gt;you&lt;/h5&gt;&lt;h5&gt;&lt;b&gt;Duration &lt;/b&gt;1 minute&lt;/h5&gt;&lt;/div&gt;&lt;hr/&gt;&lt;div&gt;&lt;h5&gt;&lt;b&gt;DESCRIPTION&lt;/b&gt;&lt;/h5&gt;&lt;/div&gt;&lt;hr/&gt;&lt;div&gt;&lt;h4&gt;&lt;p&gt;Your eidolon is restored to full health when you summon it. Upon casting this spell, you must immediately begin the ritual to summon your eidolon. Upon completion of the ritual, your eidolon appears at full hit points and without any damage or penalties to its ability scores, regardless of its previous condition. In addition, any temporary negative conditions affecting your eidolon are immediately removed.&lt;/p&gt;&lt;p&gt;Permanent conditions and ability drain are not affected by this spell.&lt;/p&gt;&lt;/h4&gt;&lt;/div&gt;</t>
  </si>
  <si>
    <t>Eidolon summoned is fully healed.</t>
  </si>
  <si>
    <t>Putrefy Food and Drink</t>
  </si>
  <si>
    <t>witch 0</t>
  </si>
  <si>
    <t>1 cu. ft./level of food and water or one potion; see text</t>
  </si>
  <si>
    <t>This spell causes otherwise edible food to rot and spoil instantly, and water and other liquids to become brackish and undrinkable. Holy water and similar food and drink of significance are spoiled by putrefy food and drink, but the spell has no effect on creatures of any type, nor upon unholy water. Water weighs about 8 pounds per gallon. One cubic foot of water contains roughly 8 gallons and weighs about 60 pounds. Although potions and elixirs are unaffected by the normal use of the spell, you can instead choose to target a single such object with this spell, destroying it if it fails a saving throw.</t>
  </si>
  <si>
    <t>&lt;p&gt;This spell causes otherwise edible food to rot and spoil instantly, and water and other liquids to become brackish and undrinkable. Holy water and similar food and drink of significance are spoiled by &lt;i&gt;putrefy food and drink&lt;/i&gt;, but the spell has no effect on creatures of any type, nor upon unholy water. Water weighs about 8 pounds per gallon. One cubic foot of water contains roughly 8 gallons and weighs about 60 pounds.&lt;/p&gt;&lt;p&gt;Although potions and elixirs are unaffected by the normal use of the spell, you can instead choose to target a single such object with this spell, destroying it if it fails a saving throw.&lt;/p&gt;</t>
  </si>
  <si>
    <t>&lt;link rel="stylesheet"href="PF.css"&gt;&lt;div class="heading"&gt;&lt;p class="alignleft"&gt;Putrefy Food and Drink&lt;/p&gt;&lt;div style="clear: both;"&gt;&lt;/div&gt;&lt;/div&gt;&lt;div&gt;&lt;h5&gt;&lt;b&gt;School &lt;/b&gt;transmutation [poison]; &lt;b&gt;Level &lt;/b&gt;witch 0&lt;/h5&gt;&lt;/div&gt;&lt;hr/&gt;&lt;div&gt;&lt;h5&gt;&lt;b&gt;CASTING&lt;/b&gt;&lt;/h5&gt;&lt;/div&gt;&lt;hr/&gt;&lt;div&gt;&lt;h5&gt;&lt;b&gt;Casting Time &lt;/b&gt;1 standard action&lt;/h5&gt;&lt;h5&gt;&lt;b&gt;Components &lt;/b&gt;V, S&lt;/h5&gt;&lt;/div&gt;&lt;hr/&gt;&lt;div&gt;&lt;h5&gt;&lt;b&gt;EFFECT&lt;/b&gt;&lt;/h5&gt;&lt;/div&gt;&lt;hr/&gt;&lt;div&gt;&lt;h5&gt;&lt;b&gt;Range &lt;/b&gt;10 ft.&lt;/h5&gt;&lt;h5&gt;&lt;b&gt;Targets &lt;/b&gt;1 cu. ft./level of food and water or one potion; see text&lt;/h5&gt;&lt;h5&gt;&lt;b&gt;Duration &lt;/b&gt;instantaneous&lt;/h5&gt;&lt;h5&gt;&lt;b&gt;Saving Throw &lt;/b&gt;Will negates (object); &lt;b&gt;Spell Resistance &lt;/b&gt;yes (object)&lt;/h5&gt;&lt;/div&gt;&lt;hr/&gt;&lt;div&gt;&lt;h5&gt;&lt;b&gt;DESCRIPTION&lt;/b&gt;&lt;/h5&gt;&lt;/div&gt;&lt;hr/&gt;&lt;div&gt;&lt;h4&gt;&lt;p&gt;This spell causes otherwise edible food to rot and spoil instantly, and water and other liquids to become brackish and undrinkable. Holy water and similar food and drink of significance are spoiled by &lt;i&gt;putrefy food and drink&lt;/i&gt;, but the spell has no effect on creatures of any type, nor upon unholy water. Water weighs about 8 pounds per gallon. One cubic foot of water contains roughly 8 gallons and weighs about 60 pounds.&lt;/p&gt;&lt;p&gt;Although potions and elixirs are unaffected by the normal use of the spell, you can instead choose to target a single such object with this spell, destroying it if it fails a saving throw.&lt;/p&gt;&lt;/h4&gt;&lt;/div&gt;</t>
  </si>
  <si>
    <t>Makes food and water inedible.</t>
  </si>
  <si>
    <t>Rally Point</t>
  </si>
  <si>
    <t>good, mind-affecting, emotion</t>
  </si>
  <si>
    <t>one 5-ft. square</t>
  </si>
  <si>
    <t>You create a spot that has the power to briefly hearten any good creature who comes into contact with it. A good creature who enters this square (even if simply as part of its normal move) gains a +2 morale bonus on attacks, saving throws, and 2 temporary hit points per caster level for 1 round. Nongood creatures gain no benefit from this spell. A creature cannot benefit more than once from the same casting of this spell.</t>
  </si>
  <si>
    <t>&lt;p&gt;You create a spot that has the power to briefly hearten any good creature who comes into contact with it. A good creature who enters this square (even if simply as part of its normal move) gains a +2 morale bonus on attacks, saving throws, and 2 temporary hit points per caster level for 1 round. Nongood creatures gain no benefit from this spell.&lt;/p&gt;&lt;p&gt;A creature cannot benefit more than once from the same casting of this spell.&lt;/p&gt;</t>
  </si>
  <si>
    <t>&lt;link rel="stylesheet"href="PF.css"&gt;&lt;div class="heading"&gt;&lt;p class="alignleft"&gt;Rally Point&lt;/p&gt;&lt;div style="clear: both;"&gt;&lt;/div&gt;&lt;/div&gt;&lt;div&gt;&lt;h5&gt;&lt;b&gt;School &lt;/b&gt;enchantment (compulsion) [good, mind-affecting, emotion]; &lt;b&gt;Level &lt;/b&gt;paladin 1&lt;/h5&gt;&lt;/div&gt;&lt;hr/&gt;&lt;div&gt;&lt;h5&gt;&lt;b&gt;CASTING&lt;/b&gt;&lt;/h5&gt;&lt;/div&gt;&lt;hr/&gt;&lt;div&gt;&lt;h5&gt;&lt;b&gt;Casting Time &lt;/b&gt;1 standard action&lt;/h5&gt;&lt;h5&gt;&lt;b&gt;Components &lt;/b&gt;V, S, DF&lt;/h5&gt;&lt;/div&gt;&lt;hr/&gt;&lt;div&gt;&lt;h5&gt;&lt;b&gt;EFFECT&lt;/b&gt;&lt;/h5&gt;&lt;/div&gt;&lt;hr/&gt;&lt;div&gt;&lt;h5&gt;&lt;b&gt;Range &lt;/b&gt;5 ft.&lt;/h5&gt;&lt;h5&gt;&lt;b&gt;Area &lt;/b&gt;one 5-ft. square&lt;/h5&gt;&lt;h5&gt;&lt;b&gt;Duration &lt;/b&gt;1 minute/level (D)&lt;/h5&gt;&lt;h5&gt;&lt;b&gt;Saving Throw &lt;/b&gt;Will negates (harmless); &lt;b&gt;Spell Resistance &lt;/b&gt;yes (harmless)&lt;/h5&gt;&lt;/div&gt;&lt;hr/&gt;&lt;div&gt;&lt;h5&gt;&lt;b&gt;DESCRIPTION&lt;/b&gt;&lt;/h5&gt;&lt;/div&gt;&lt;hr/&gt;&lt;div&gt;&lt;h4&gt;&lt;p&gt;You create a spot that has the power to briefly hearten any good creature who comes into contact with it. A good creature who enters this square (even if simply as part of its normal move) gains a +2 morale bonus on attacks, saving throws, and 2 temporary hit points per caster level for 1 round. Nongood creatures gain no benefit from this spell.&lt;/p&gt;&lt;p&gt;A creature cannot benefit more than once from the same casting of this spell.&lt;/p&gt;&lt;/h4&gt;&lt;/div&gt;</t>
  </si>
  <si>
    <t>Square gives good creatures bonuses.</t>
  </si>
  <si>
    <t>Rebuke</t>
  </si>
  <si>
    <t>20-ft.-radius burst centered on you</t>
  </si>
  <si>
    <t>Your wrathful words cause physical harm to your enemies. Your enemies take 1d8 points of damage per two caster levels (maximum 5d8) and are staggered for 1 round. Half of this damage is sonic damage, but the other half results directly from divine power and is therefore not subject to being reduced by resistance to sonic-based attacks. is especially devastating to foes who worship your god, inflicting 1d6 points of damage per caster level (maximum 10d6) and stunning them for 1d4 rounds. A successful Fortitude save halves the damage and negates the staggering or stunning effect. Enemies do not need to hear a rebuke to be harmed by it, but it is negated by magical silence.</t>
  </si>
  <si>
    <t>&lt;p&gt;Your wrathful words cause physical harm to your enemies.&lt;/p&gt;&lt;p&gt;Your enemies take 1d8 points of damage per two caster levels (maximum 5d8) and are staggered for 1 round. Half of this damage is sonic damage, but the other half results directly from divine power and is therefore not subject to being reduced by resistance to sonic-based attacks. is especially devastating to foes who worship your god, inflicting 1d6 points of damage per caster level (maximum 10d6) and stunning them for 1d4 rounds. A successful Fortitude save halves the damage and negates the staggering or stunning effect.&lt;/p&gt;&lt;p&gt;Enemies do not need to hear a &lt;i&gt;rebuke&lt;/i&gt; to be harmed by it, but it is negated by magical silence.&lt;/p&gt;</t>
  </si>
  <si>
    <t>&lt;link rel="stylesheet"href="PF.css"&gt;&lt;div class="heading"&gt;&lt;p class="alignleft"&gt;Rebuke&lt;/p&gt;&lt;div style="clear: both;"&gt;&lt;/div&gt;&lt;/div&gt;&lt;div&gt;&lt;h5&gt;&lt;b&gt;School &lt;/b&gt;evocation [sonic]; &lt;b&gt;Level &lt;/b&gt;inquisitor 4&lt;/h5&gt;&lt;/div&gt;&lt;hr/&gt;&lt;div&gt;&lt;h5&gt;&lt;b&gt;CASTING&lt;/b&gt;&lt;/h5&gt;&lt;/div&gt;&lt;hr/&gt;&lt;div&gt;&lt;h5&gt;&lt;b&gt;Casting Time &lt;/b&gt;1 standard action&lt;/h5&gt;&lt;h5&gt;&lt;b&gt;Components &lt;/b&gt;V, S, DF&lt;/h5&gt;&lt;/div&gt;&lt;hr/&gt;&lt;div&gt;&lt;h5&gt;&lt;b&gt;EFFECT&lt;/b&gt;&lt;/h5&gt;&lt;/div&gt;&lt;hr/&gt;&lt;div&gt;&lt;h5&gt;&lt;b&gt;Range &lt;/b&gt;20 ft.&lt;/h5&gt;&lt;h5&gt;&lt;b&gt;Area &lt;/b&gt;20-ft.-radius burst centered on you&lt;/h5&gt;&lt;h5&gt;&lt;b&gt;Duration &lt;/b&gt;instantaneous&lt;/h5&gt;&lt;h5&gt;&lt;b&gt;Saving Throw &lt;/b&gt;Fortitude partial; &lt;b&gt;Spell Resistance &lt;/b&gt;yes&lt;/h5&gt;&lt;/div&gt;&lt;hr/&gt;&lt;div&gt;&lt;h5&gt;&lt;b&gt;DESCRIPTION&lt;/b&gt;&lt;/h5&gt;&lt;/div&gt;&lt;hr/&gt;&lt;div&gt;&lt;h4&gt;&lt;p&gt;Your wrathful words cause physical harm to your enemies.&lt;/p&gt;&lt;p&gt;Your enemies take 1d8 points of damage per two caster levels (maximum 5d8) and are staggered for 1 round. Half of this damage is sonic damage, but the other half results directly from divine power and is therefore not subject to being reduced by resistance to sonic-based attacks. is especially devastating to foes who worship your god, inflicting 1d6 points of damage per caster level (maximum 10d6) and stunning them for 1d4 rounds. A successful Fortitude save halves the damage and negates the staggering or stunning effect.&lt;/p&gt;&lt;p&gt;Enemies do not need to hear a &lt;i&gt;rebuke&lt;/i&gt; to be harmed by it, but it is negated by magical silence.&lt;/p&gt;&lt;/h4&gt;&lt;/div&gt;</t>
  </si>
  <si>
    <t>Foes take 1d8 damage/two caster levels (max 5d8).</t>
  </si>
  <si>
    <t>Rampart</t>
  </si>
  <si>
    <t>druid 7, sorcerer/wizard 7</t>
  </si>
  <si>
    <t>V, S, M (a handful of earth)</t>
  </si>
  <si>
    <t>10-ft.-high earthen wall, in a line up to 10 ft. long/2 levels, or a circle with radius of up to 3 ft. + 1 ft./level</t>
  </si>
  <si>
    <t>You create a massive rampart of hard-packed earth and stone 5 feet thick. The rampart cannot be conjured so that it occupies the same space as another creature or object. Each 5-foot-wide section of the rampart has hardness 0 and 180 hit points. A section of the rampart whose hit points drop to 0 is breached. If a creature tries to break through the rampart with a single attack, the DC for the Strength check is 60. A creature can climb over the rampart with a DC 20 Climb check.</t>
  </si>
  <si>
    <t>&lt;p&gt;You create a massive &lt;i&gt;rampart&lt;/i&gt; of hard-packed earth and stone 5 feet thick. The &lt;i&gt;rampart&lt;/i&gt; cannot be conjured so that it occupies the same space as another creature or object. Each 5-foot-wide section of the &lt;i&gt;rampart&lt;/i&gt; has hardness 0 and 180 hit points. A section of the &lt;i&gt;rampart&lt;/i&gt; whose hit points drop to 0 is breached. If a creature tries to break through the &lt;i&gt;rampart&lt;/i&gt; with a single attack, the DC for the Strength check is 60. A creature can climb over the &lt;i&gt;rampart&lt;/i&gt; with a DC 20 Climb check.&lt;/p&gt;</t>
  </si>
  <si>
    <t>&lt;link rel="stylesheet"href="PF.css"&gt;&lt;div class="heading"&gt;&lt;p class="alignleft"&gt;Rampart&lt;/p&gt;&lt;div style="clear: both;"&gt;&lt;/div&gt;&lt;/div&gt;&lt;div&gt;&lt;h5&gt;&lt;b&gt;School &lt;/b&gt;conjuration (creation) [earth]; &lt;b&gt;Level &lt;/b&gt;druid 7, sorcerer/wizard 7&lt;/h5&gt;&lt;/div&gt;&lt;hr/&gt;&lt;div&gt;&lt;h5&gt;&lt;b&gt;CASTING&lt;/b&gt;&lt;/h5&gt;&lt;/div&gt;&lt;hr/&gt;&lt;div&gt;&lt;h5&gt;&lt;b&gt;Casting Time &lt;/b&gt;1 standard action&lt;/h5&gt;&lt;h5&gt;&lt;b&gt;Components &lt;/b&gt;V, S, M (a handful of earth)&lt;/h5&gt;&lt;/div&gt;&lt;hr/&gt;&lt;div&gt;&lt;h5&gt;&lt;b&gt;EFFECT&lt;/b&gt;&lt;/h5&gt;&lt;/div&gt;&lt;hr/&gt;&lt;div&gt;&lt;h5&gt;&lt;b&gt;Range &lt;/b&gt;medium (100 ft. + 10 ft./level)&lt;/h5&gt;&lt;h5&gt;&lt;b&gt;Effect &lt;/b&gt;10-ft.-high earthen wall, in a line up to 10 ft. long/2 levels, or a circle with radius of up to 3 ft. + 1 ft./level&lt;/h5&gt;&lt;h5&gt;&lt;b&gt;Duration &lt;/b&gt;instantaneous&lt;/h5&gt;&lt;h5&gt;&lt;b&gt;Saving Throw &lt;/b&gt;none; &lt;b&gt;Spell Resistance &lt;/b&gt;no&lt;/h5&gt;&lt;/div&gt;&lt;hr/&gt;&lt;div&gt;&lt;h5&gt;&lt;b&gt;DESCRIPTION&lt;/b&gt;&lt;/h5&gt;&lt;/div&gt;&lt;hr/&gt;&lt;div&gt;&lt;h4&gt;&lt;p&gt;You create a massive &lt;i&gt;rampart&lt;/i&gt; of hard-packed earth and stone 5 feet thick. The &lt;i&gt;rampart&lt;/i&gt; cannot be conjured so that it occupies the same space as another creature or object. Each 5-foot-wide section of the &lt;i&gt;rampart&lt;/i&gt; has hardness 0 and 180 hit points. A section of the &lt;i&gt;rampart&lt;/i&gt; whose hit points drop to 0 is breached. If a creature tries to break through the &lt;i&gt;rampart&lt;/i&gt; with a single attack, the DC for the Strength check is 60. A creature can climb over the &lt;i&gt;rampart&lt;/i&gt; with a DC 20 Climb check.&lt;/p&gt;&lt;/h4&gt;&lt;/div&gt;</t>
  </si>
  <si>
    <t>Creates 5-ft. thick earthen barrier.</t>
  </si>
  <si>
    <t>Rejuvenate Eidolon, Lesser</t>
  </si>
  <si>
    <t>summoner 1</t>
  </si>
  <si>
    <t>eidolon touched</t>
  </si>
  <si>
    <t>By laying your hand upon an eidolon, you cause its wounds to close and its form to solidify. This spell cures 1d10 points of damage +1 point per caster level (maximum +5).</t>
  </si>
  <si>
    <t>&lt;p&gt;By laying your hand upon an eidolon, you cause its wounds to close and its form to solidify. This spell cures 1d10 points of damage +1 point per caster level (maximum +5).&lt;/p&gt;</t>
  </si>
  <si>
    <t>&lt;link rel="stylesheet"href="PF.css"&gt;&lt;div class="heading"&gt;&lt;p class="alignleft"&gt;Rejuvenate Eidolon, Lesser&lt;/p&gt;&lt;div style="clear: both;"&gt;&lt;/div&gt;&lt;/div&gt;&lt;div&gt;&lt;h5&gt;&lt;b&gt;School &lt;/b&gt;conjuration (healing); &lt;b&gt;Level &lt;/b&gt;summoner 1&lt;/h5&gt;&lt;/div&gt;&lt;hr/&gt;&lt;div&gt;&lt;h5&gt;&lt;b&gt;CASTING&lt;/b&gt;&lt;/h5&gt;&lt;/div&gt;&lt;hr/&gt;&lt;div&gt;&lt;h5&gt;&lt;b&gt;Casting Time &lt;/b&gt;1 standard action&lt;/h5&gt;&lt;h5&gt;&lt;b&gt;Components &lt;/b&gt;V, S, M (a drop of your blood)&lt;/h5&gt;&lt;/div&gt;&lt;hr/&gt;&lt;div&gt;&lt;h5&gt;&lt;b&gt;EFFECT&lt;/b&gt;&lt;/h5&gt;&lt;/div&gt;&lt;hr/&gt;&lt;div&gt;&lt;h5&gt;&lt;b&gt;Range &lt;/b&gt;touch&lt;/h5&gt;&lt;h5&gt;&lt;b&gt;Targets &lt;/b&gt;eidolon touched&lt;/h5&gt;&lt;h5&gt;&lt;b&gt;Duration &lt;/b&gt;instantaneous&lt;/h5&gt;&lt;h5&gt;&lt;b&gt;Saving Throw &lt;/b&gt;none; &lt;b&gt;Spell Resistance &lt;/b&gt;no&lt;/h5&gt;&lt;/div&gt;&lt;hr/&gt;&lt;div&gt;&lt;h5&gt;&lt;b&gt;DESCRIPTION&lt;/b&gt;&lt;/h5&gt;&lt;/div&gt;&lt;hr/&gt;&lt;div&gt;&lt;h4&gt;&lt;p&gt;By laying your hand upon an eidolon, you cause its wounds to close and its form to solidify. This spell cures 1d10 points of damage +1 point per caster level (maximum +5).&lt;/p&gt;&lt;/h4&gt;&lt;/div&gt;</t>
  </si>
  <si>
    <t>Eidolon cured 1d10 damage +1/level (max +5).</t>
  </si>
  <si>
    <t>Rejuvenate Eidolon</t>
  </si>
  <si>
    <t>This spell functions as lesser rejuvenate eidolon, except that it cures 3d10 points of damage +1 point per caster level (maximum +10).</t>
  </si>
  <si>
    <t>&lt;p&gt;This spell functions as &lt;i&gt;lesser rejuvenate eidolon&lt;/i&gt;, except that it cures 3d10 points of damage +1 point per caster level (maximum +10).&lt;/p&gt;</t>
  </si>
  <si>
    <t>&lt;link rel="stylesheet"href="PF.css"&gt;&lt;div class="heading"&gt;&lt;p class="alignleft"&gt;Rejuvenate Eidolon&lt;/p&gt;&lt;div style="clear: both;"&gt;&lt;/div&gt;&lt;/div&gt;&lt;div&gt;&lt;h5&gt;&lt;b&gt;School &lt;/b&gt;conjuration (healing); &lt;b&gt;Level &lt;/b&gt;summoner 3&lt;/h5&gt;&lt;/div&gt;&lt;hr/&gt;&lt;div&gt;&lt;h5&gt;&lt;b&gt;CASTING&lt;/b&gt;&lt;/h5&gt;&lt;/div&gt;&lt;hr/&gt;&lt;div&gt;&lt;h5&gt;&lt;b&gt;Casting Time &lt;/b&gt;1 standard action&lt;/h5&gt;&lt;h5&gt;&lt;b&gt;Components &lt;/b&gt;V, S, M (a drop of your blood)&lt;/h5&gt;&lt;/div&gt;&lt;hr/&gt;&lt;div&gt;&lt;h5&gt;&lt;b&gt;EFFECT&lt;/b&gt;&lt;/h5&gt;&lt;/div&gt;&lt;hr/&gt;&lt;div&gt;&lt;h5&gt;&lt;b&gt;Range &lt;/b&gt;touch&lt;/h5&gt;&lt;h5&gt;&lt;b&gt;Targets &lt;/b&gt;eidolon touched&lt;/h5&gt;&lt;h5&gt;&lt;b&gt;Duration &lt;/b&gt;instantaneous&lt;/h5&gt;&lt;h5&gt;&lt;b&gt;Saving Throw &lt;/b&gt;none; &lt;b&gt;Spell Resistance &lt;/b&gt;no&lt;/h5&gt;&lt;/div&gt;&lt;hr/&gt;&lt;div&gt;&lt;h5&gt;&lt;b&gt;DESCRIPTION&lt;/b&gt;&lt;/h5&gt;&lt;/div&gt;&lt;hr/&gt;&lt;div&gt;&lt;h4&gt;&lt;p&gt;This spell functions as &lt;i&gt;lesser rejuvenate eidolon&lt;/i&gt;, except that it cures 3d10 points of damage +1 point per caster level (maximum +10).&lt;/p&gt;&lt;/h4&gt;&lt;/div&gt;</t>
  </si>
  <si>
    <t>As lesser rejuvenate eidolon, but cures 3d10 damage +1/level (max +10).</t>
  </si>
  <si>
    <t>Rejuvenate Eidolon, Greater</t>
  </si>
  <si>
    <t>summoner 5</t>
  </si>
  <si>
    <t>This spell functions as lesser rejuvenate eidolon, except that it cures 5d10 points of damage +1 point per caster level (maximum +20).</t>
  </si>
  <si>
    <t>&lt;p&gt;This spell functions as &lt;i&gt;lesser rejuvenate eidolon&lt;/i&gt;, except that it cures 5d10 points of damage +1 point per caster level (maximum +20).&lt;/p&gt;</t>
  </si>
  <si>
    <t>&lt;link rel="stylesheet"href="PF.css"&gt;&lt;div class="heading"&gt;&lt;p class="alignleft"&gt;Rejuvenate Eidolon, Greater&lt;/p&gt;&lt;div style="clear: both;"&gt;&lt;/div&gt;&lt;/div&gt;&lt;div&gt;&lt;h5&gt;&lt;b&gt;School &lt;/b&gt;conjuration (healing); &lt;b&gt;Level &lt;/b&gt;summoner 5&lt;/h5&gt;&lt;/div&gt;&lt;hr/&gt;&lt;div&gt;&lt;h5&gt;&lt;b&gt;CASTING&lt;/b&gt;&lt;/h5&gt;&lt;/div&gt;&lt;hr/&gt;&lt;div&gt;&lt;h5&gt;&lt;b&gt;Casting Time &lt;/b&gt;1 standard action&lt;/h5&gt;&lt;h5&gt;&lt;b&gt;Components &lt;/b&gt;V, S, M (a drop of your blood)&lt;/h5&gt;&lt;/div&gt;&lt;hr/&gt;&lt;div&gt;&lt;h5&gt;&lt;b&gt;EFFECT&lt;/b&gt;&lt;/h5&gt;&lt;/div&gt;&lt;hr/&gt;&lt;div&gt;&lt;h5&gt;&lt;b&gt;Range &lt;/b&gt;touch&lt;/h5&gt;&lt;h5&gt;&lt;b&gt;Targets &lt;/b&gt;eidolon touched&lt;/h5&gt;&lt;h5&gt;&lt;b&gt;Duration &lt;/b&gt;instantaneous&lt;/h5&gt;&lt;h5&gt;&lt;b&gt;Saving Throw &lt;/b&gt;none; &lt;b&gt;Spell Resistance &lt;/b&gt;no&lt;/h5&gt;&lt;/div&gt;&lt;hr/&gt;&lt;div&gt;&lt;h5&gt;&lt;b&gt;DESCRIPTION&lt;/b&gt;&lt;/h5&gt;&lt;/div&gt;&lt;hr/&gt;&lt;div&gt;&lt;h4&gt;&lt;p&gt;This spell functions as &lt;i&gt;lesser rejuvenate eidolon&lt;/i&gt;, except that it cures 5d10 points of damage +1 point per caster level (maximum +20).&lt;/p&gt;&lt;/h4&gt;&lt;/div&gt;</t>
  </si>
  <si>
    <t>As lesser rejuvenate eidolon, but cures 5d10 damage +1/level (max +20).</t>
  </si>
  <si>
    <t>Resounding Blow</t>
  </si>
  <si>
    <t>antipaladin 4, inquisitor 5, paladin 4</t>
  </si>
  <si>
    <t>You must have a melee weapon in hand to cast this spell. On a successful melee attack, your weapon resounds with a thunderous clash. The target takes 1d6 points of sonic damage. Your weapon is not harmed by this attack. If you are using your judgment ability or smite ability against the target, it is staggered for 1 round on a successful attack. A successful Fortitude save negates the staggering effect. On a successful critical hit, the target is stunned for 1 round and deafened for 1d6 rounds. A successful Fortitude save negates the stunning and deafening effects. If you are also using judgment or smite, your foe makes only a single save against all effects. This spell immediately ends if your weapon leaves your hand. Resounding blow stacks with the thundering weapon property.</t>
  </si>
  <si>
    <t>&lt;p&gt;You must have a melee weapon in hand to cast this spell.&lt;/p&gt;&lt;p&gt;On a successful melee attack, your weapon resounds with a thunderous clash. The target takes 1d6 points of sonic damage. Your weapon is not harmed by this attack.&lt;/p&gt;&lt;p&gt;If you are using your judgment ability or smite ability against the target, it is staggered for 1 round on a successful attack. A successful Fortitude save negates the staggering effect.&lt;/p&gt;&lt;p&gt;On a successful critical hit, the target is stunned for 1 round and deafened for 1d6 rounds. A successful Fortitude save negates the stunning and deafening effects. If you are also using judgment or smite, your foe makes only a single save against all effects.&lt;/p&gt;&lt;p&gt;This spell immediately ends if your weapon leaves your hand.&lt;/p&gt;&lt;p&gt;&lt;i&gt;Resounding blow&lt;/i&gt; stacks with the &lt;i&gt;thundering&lt;/i&gt; weapon property.&lt;/p&gt;</t>
  </si>
  <si>
    <t>&lt;link rel="stylesheet"href="PF.css"&gt;&lt;div class="heading"&gt;&lt;p class="alignleft"&gt;Resounding Blow&lt;/p&gt;&lt;div style="clear: both;"&gt;&lt;/div&gt;&lt;/div&gt;&lt;div&gt;&lt;h5&gt;&lt;b&gt;School &lt;/b&gt;evocation [sonic]; &lt;b&gt;Level &lt;/b&gt;antipaladin 4, inquisitor 5, paladin 4&lt;/h5&gt;&lt;/div&gt;&lt;hr/&gt;&lt;div&gt;&lt;h5&gt;&lt;b&gt;CASTING&lt;/b&gt;&lt;/h5&gt;&lt;/div&gt;&lt;hr/&gt;&lt;div&gt;&lt;h5&gt;&lt;b&gt;Casting Time &lt;/b&gt;1 swift action&lt;/h5&gt;&lt;h5&gt;&lt;b&gt;Components &lt;/b&gt;V&lt;/h5&gt;&lt;/div&gt;&lt;hr/&gt;&lt;div&gt;&lt;h5&gt;&lt;b&gt;EFFECT&lt;/b&gt;&lt;/h5&gt;&lt;/div&gt;&lt;hr/&gt;&lt;div&gt;&lt;h5&gt;&lt;b&gt;Range &lt;/b&gt;personal&lt;/h5&gt;&lt;h5&gt;&lt;b&gt;Targets &lt;/b&gt;you&lt;/h5&gt;&lt;h5&gt;&lt;b&gt;Duration &lt;/b&gt;1 round/level&lt;/h5&gt;&lt;h5&gt;&lt;b&gt;Saving Throw &lt;/b&gt;Fortitude partial; see text; &lt;b&gt;Spell Resistance &lt;/b&gt;no&lt;/h5&gt;&lt;/div&gt;&lt;hr/&gt;&lt;div&gt;&lt;h5&gt;&lt;b&gt;DESCRIPTION&lt;/b&gt;&lt;/h5&gt;&lt;/div&gt;&lt;hr/&gt;&lt;div&gt;&lt;h4&gt;&lt;p&gt;You must have a melee weapon in hand to cast this spell.&lt;/p&gt;&lt;p&gt;On a successful melee attack, your weapon resounds with a thunderous clash. The target takes 1d6 points of sonic damage. Your weapon is not harmed by this attack.&lt;/p&gt;&lt;p&gt;If you are using your judgment ability or smite ability against the target, it is staggered for 1 round on a successful attack. A successful Fortitude save negates the staggering effect.&lt;/p&gt;&lt;p&gt;On a successful critical hit, the target is stunned for 1 round and deafened for 1d6 rounds. A successful Fortitude save negates the stunning and deafening effects. If you are also using judgment or smite, your foe makes only a single save against all effects.&lt;/p&gt;&lt;p&gt;This spell immediately ends if your weapon leaves your hand.&lt;/p&gt;&lt;p&gt;&lt;i&gt;Resounding blow&lt;/i&gt; stacks with the &lt;i&gt;thundering&lt;/i&gt; weapon property.&lt;/p&gt;&lt;/h4&gt;&lt;/div&gt;</t>
  </si>
  <si>
    <t>Melee attack deals 1d6 more damage.</t>
  </si>
  <si>
    <t>Rest Eternal</t>
  </si>
  <si>
    <t>cleric 4/oracle 4, druid 5, witch 5</t>
  </si>
  <si>
    <t>V, S, M/DF (ashes and a vial of holy or unholy water)</t>
  </si>
  <si>
    <t>one dead creature touched</t>
  </si>
  <si>
    <t>You place a curse upon a dead creature that bars its spirit from returning. Anyone casting a spell that would communicate with the dead creature, return it to life, or turn it into an undead creature must succeed on a caster level check with a DC of 11 plus your caster level. Rest eternal cannot be dispelled, but it can be negated with remove curse or break enchantment.</t>
  </si>
  <si>
    <t>&lt;p&gt;You place a curse upon a dead creature that bars its spirit from returning. Anyone casting a spell that would communicate with the dead creature, return it to life, or turn it into an undead creature must succeed on a caster level check with a DC of 11 plus your caster level. &lt;i&gt;Rest eternal&lt;/i&gt; cannot be dispelled, but it can be negated with &lt;i&gt;remove curse&lt;/i&gt; or &lt;i&gt;break enchantment&lt;/i&gt;.&lt;/p&gt;</t>
  </si>
  <si>
    <t>&lt;link rel="stylesheet"href="PF.css"&gt;&lt;div class="heading"&gt;&lt;p class="alignleft"&gt;Rest Eternal&lt;/p&gt;&lt;div style="clear: both;"&gt;&lt;/div&gt;&lt;/div&gt;&lt;div&gt;&lt;h5&gt;&lt;b&gt;School &lt;/b&gt;necromancy [curse]; &lt;b&gt;Level &lt;/b&gt;cleric 4/oracle 4, druid 5, witch 5&lt;/h5&gt;&lt;/div&gt;&lt;hr/&gt;&lt;div&gt;&lt;h5&gt;&lt;b&gt;CASTING&lt;/b&gt;&lt;/h5&gt;&lt;/div&gt;&lt;hr/&gt;&lt;div&gt;&lt;h5&gt;&lt;b&gt;Casting Time &lt;/b&gt;1 round&lt;/h5&gt;&lt;h5&gt;&lt;b&gt;Components &lt;/b&gt;V, S, M/DF (ashes and a vial of holy or unholy water)&lt;/h5&gt;&lt;/div&gt;&lt;hr/&gt;&lt;div&gt;&lt;h5&gt;&lt;b&gt;EFFECT&lt;/b&gt;&lt;/h5&gt;&lt;/div&gt;&lt;hr/&gt;&lt;div&gt;&lt;h5&gt;&lt;b&gt;Range &lt;/b&gt;touch&lt;/h5&gt;&lt;h5&gt;&lt;b&gt;Targets &lt;/b&gt;one dead creature touched&lt;/h5&gt;&lt;h5&gt;&lt;b&gt;Duration &lt;/b&gt;permanent&lt;/h5&gt;&lt;h5&gt;&lt;b&gt;Saving Throw &lt;/b&gt;none; &lt;b&gt;Spell Resistance &lt;/b&gt;no&lt;/h5&gt;&lt;/div&gt;&lt;hr/&gt;&lt;div&gt;&lt;h5&gt;&lt;b&gt;DESCRIPTION&lt;/b&gt;&lt;/h5&gt;&lt;/div&gt;&lt;hr/&gt;&lt;div&gt;&lt;h4&gt;&lt;p&gt;You place a curse upon a dead creature that bars its spirit from returning. Anyone casting a spell that would communicate with the dead creature, return it to life, or turn it into an undead creature must succeed on a caster level check with a DC of 11 plus your caster level. &lt;i&gt;Rest eternal&lt;/i&gt; cannot be dispelled, but it can be negated with &lt;i&gt;remove curse&lt;/i&gt; or &lt;i&gt;break enchantment&lt;/i&gt;.&lt;/p&gt;&lt;/h4&gt;&lt;/div&gt;</t>
  </si>
  <si>
    <t>Dead creature cannot be revived.</t>
  </si>
  <si>
    <t>Restful Sleep</t>
  </si>
  <si>
    <t>V, S, M (a pinch of sand)</t>
  </si>
  <si>
    <t>8 hours or 24 hours; see text</t>
  </si>
  <si>
    <t>You cast this spell immediately prior to resting. While under the effects of this spell, you and your allies enjoy a restful night's sleep. If a subject completes a full night's rest, it regains hit points as if it had undergone a full day of bed rest (regaining twice its character level in hit points). If a subject completes a full day's rest, it regains three times its character level in hit points. Any significant interruption during the rest (such as being awoken) prevents any healing that night and ends the effect of this spell on the awakened subject. Any healing acquired while under the effects of restful sleep is considered natural healing, and has no affect on effects requiring magical healing to cure.</t>
  </si>
  <si>
    <t>&lt;p&gt;You cast this spell immediately prior to resting. While under the effects of this spell, you and your allies enjoy a restful night's sleep. If a subject completes a full night's rest, it regains hit points as if it had undergone a full day of bed rest (regaining twice its character level in hit points). If a subject completes a full day's rest, it regains three times its character level in hit points. Any significant interruption during the rest (such as being awoken) prevents any healing that night and ends the effect of this spell on the awakened subject. Any healing acquired while under the effects of &lt;i&gt;restful sleep&lt;/i&gt; is considered natural healing, and has no affect on effects requiring magical healing to cure.&lt;/p&gt;</t>
  </si>
  <si>
    <t>&lt;link rel="stylesheet"href="PF.css"&gt;&lt;div class="heading"&gt;&lt;p class="alignleft"&gt;Restful Sleep&lt;/p&gt;&lt;div style="clear: both;"&gt;&lt;/div&gt;&lt;/div&gt;&lt;div&gt;&lt;h5&gt;&lt;b&gt;School &lt;/b&gt;necromancy; &lt;b&gt;Level &lt;/b&gt;bard 1&lt;/h5&gt;&lt;/div&gt;&lt;hr/&gt;&lt;div&gt;&lt;h5&gt;&lt;b&gt;CASTING&lt;/b&gt;&lt;/h5&gt;&lt;/div&gt;&lt;hr/&gt;&lt;div&gt;&lt;h5&gt;&lt;b&gt;Casting Time &lt;/b&gt;10 minutes&lt;/h5&gt;&lt;h5&gt;&lt;b&gt;Components &lt;/b&gt;V, S, M (a pinch of sand)&lt;/h5&gt;&lt;/div&gt;&lt;hr/&gt;&lt;div&gt;&lt;h5&gt;&lt;b&gt;EFFECT&lt;/b&gt;&lt;/h5&gt;&lt;/div&gt;&lt;hr/&gt;&lt;div&gt;&lt;h5&gt;&lt;b&gt;Range &lt;/b&gt;close (25 ft. + 5 ft./2 levels)&lt;/h5&gt;&lt;h5&gt;&lt;b&gt;Targets &lt;/b&gt;one creature/level, no two of which can be more than 30 ft. apart&lt;/h5&gt;&lt;h5&gt;&lt;b&gt;Duration &lt;/b&gt;8 hours or 24 hours; see text&lt;/h5&gt;&lt;h5&gt;&lt;b&gt;Saving Throw &lt;/b&gt;Fortitude negates (harmless); &lt;b&gt;Spell Resistance &lt;/b&gt;yes (harmless)&lt;/h5&gt;&lt;/div&gt;&lt;hr/&gt;&lt;div&gt;&lt;h5&gt;&lt;b&gt;DESCRIPTION&lt;/b&gt;&lt;/h5&gt;&lt;/div&gt;&lt;hr/&gt;&lt;div&gt;&lt;h4&gt;&lt;p&gt;You cast this spell immediately prior to resting. While under the effects of this spell, you and your allies enjoy a restful night's sleep. If a subject completes a full night's rest, it regains hit points as if it had undergone a full day of bed rest (regaining twice its character level in hit points). If a subject completes a full day's rest, it regains three times its character level in hit points. Any significant interruption during the rest (such as being awoken) prevents any healing that night and ends the effect of this spell on the awakened subject. Any healing acquired while under the effects of &lt;i&gt;restful sleep&lt;/i&gt; is considered natural healing, and has no affect on effects requiring magical healing to cure.&lt;/p&gt;&lt;/h4&gt;&lt;/div&gt;</t>
  </si>
  <si>
    <t>Gain more hit points while sleeping.</t>
  </si>
  <si>
    <t>Resurgent Transformation</t>
  </si>
  <si>
    <t>V, S, M (a pinch of meteoric iron worth 100 gp)</t>
  </si>
  <si>
    <t>1 hour/level or until triggered, then 1 round/level</t>
  </si>
  <si>
    <t>Resurgent transformation grants you the ability to recover from deadly wounds with restored vitality and a will to fight, but at a price. Once cast, resurgent transformation lies dormant for up to 1 hour per level until you are reduced to one-quarter hit points or less. Once triggered, you immediately gain a +4 enhancement bonus to Constitution and Strength, damage reduction 5/-, and the benefits of a haste spell. In addition, you heal 4d8 points of damage + 1 point per caster level (maximum +25). Resurgent transformation can even save you from death by healing the damage from an otherwise mortal wound, though it does not prevent death from massive damage or from causes other than hit point loss. Your mental faculties are impaired by this magical transformation, however, causing 1d4 points of Intelligence and Wisdom damage. The advantages from your transformation persist for 1 round per caster level after the spell is triggered. Once the spell ends, it takes a heavy toll, leaving you exhausted and inflicting 1d4 points of Constitution damage. Utilizing more than one resurgent transformation in a day is particularly risky. The expiration of a second resurgent transformation in a 24- hour period inflicts an additional 1d4 points of Constitution damage and results in death from system shock unless you succeed at a DC 15 Fortitude save, made after the Constitution damage has been applied. If the spell expires or is dispelled before the transformation has been triggered, no adverse effects result.</t>
  </si>
  <si>
    <t>&lt;p&gt;&lt;i&gt;Resurgent &lt;i&gt;transformation&lt;/i&gt;&lt;/i&gt; grants you the ability to recover from deadly wounds with restored vitality and a will to fight, but at a price. Once cast, &lt;i&gt;resurgent &lt;i&gt;transformation&lt;/i&gt;&lt;/i&gt; lies dormant for up to 1 hour per level until you are reduced to one-quarter hit points or less. Once triggered, you immediately gain a +4 enhancement bonus to Constitution and Strength, damage reduction 5/-, and the benefits of a &lt;i&gt;haste&lt;/i&gt; spell. In addition, you heal 4d8 points of damage + 1 point per caster level (maximum +25). &lt;i&gt;Resurgent &lt;i&gt;transformation&lt;/i&gt;&lt;/i&gt; can even save you from death by healing the damage from an otherwise mortal wound, though it does not prevent death from massive damage or from causes other than hit point loss. Your mental faculties are impaired by this magical &lt;i&gt;transformation&lt;/i&gt;, however, causing 1d4 points of Intelligence and Wisdom damage.&lt;/p&gt;&lt;p&gt;The advantages from your &lt;i&gt;transformation&lt;/i&gt; persist for 1 round per caster level after the spell is triggered. Once the spell ends, it takes a heavy toll, leaving you exhausted and inflicting 1d4 points of Constitution damage. Utilizing more than one &lt;i&gt;resurgent &lt;i&gt;transformation&lt;/i&gt;&lt;/i&gt; in a day is particularly risky.&lt;/p&gt;&lt;p&gt;The expiration of a second &lt;i&gt;resurgent &lt;i&gt;transformation&lt;/i&gt;&lt;/i&gt; in a 24- hour period inflicts an additional 1d4 points of Constitution damage and results in death from system shock unless you succeed at a DC 15 Fortitude save, made after the Constitution damage has been applied.&lt;/p&gt;&lt;p&gt;If the spell expires or is dispelled before the &lt;i&gt;transformation&lt;/i&gt; has been triggered, no adverse effects result.&lt;/p&gt;</t>
  </si>
  <si>
    <t>&lt;link rel="stylesheet"href="PF.css"&gt;&lt;div class="heading"&gt;&lt;p class="alignleft"&gt;Resurgent Transformation&lt;/p&gt;&lt;div style="clear: both;"&gt;&lt;/div&gt;&lt;/div&gt;&lt;div&gt;&lt;h5&gt;&lt;b&gt;School &lt;/b&gt;conjuration (healing); &lt;b&gt;Level &lt;/b&gt;alchemist 5&lt;/h5&gt;&lt;/div&gt;&lt;hr/&gt;&lt;div&gt;&lt;h5&gt;&lt;b&gt;CASTING&lt;/b&gt;&lt;/h5&gt;&lt;/div&gt;&lt;hr/&gt;&lt;div&gt;&lt;h5&gt;&lt;b&gt;Casting Time &lt;/b&gt;1 standard action&lt;/h5&gt;&lt;h5&gt;&lt;b&gt;Components &lt;/b&gt;V, S, M (a pinch of meteoric iron worth 100 gp)&lt;/h5&gt;&lt;/div&gt;&lt;hr/&gt;&lt;div&gt;&lt;h5&gt;&lt;b&gt;EFFECT&lt;/b&gt;&lt;/h5&gt;&lt;/div&gt;&lt;hr/&gt;&lt;div&gt;&lt;h5&gt;&lt;b&gt;Range &lt;/b&gt;personal&lt;/h5&gt;&lt;h5&gt;&lt;b&gt;Targets &lt;/b&gt;you&lt;/h5&gt;&lt;h5&gt;&lt;b&gt;Duration &lt;/b&gt;1 hour/level or until triggered, then 1 round/level&lt;/h5&gt;&lt;/div&gt;&lt;hr/&gt;&lt;div&gt;&lt;h5&gt;&lt;b&gt;DESCRIPTION&lt;/b&gt;&lt;/h5&gt;&lt;/div&gt;&lt;hr/&gt;&lt;div&gt;&lt;h4&gt;&lt;p&gt;&lt;i&gt;Resurgent &lt;i&gt;transformation&lt;/i&gt;&lt;/i&gt; grants you the ability to recover from deadly wounds with restored vitality and a will to fight, but at a price. Once cast, &lt;i&gt;resurgent &lt;i&gt;transformation&lt;/i&gt;&lt;/i&gt; lies dormant for up to 1 hour per level until you are reduced to one-quarter hit points or less. Once triggered, you immediately gain a +4 enhancement bonus to Constitution and Strength, damage reduction 5/-, and the benefits of a &lt;i&gt;haste&lt;/i&gt; spell. In addition, you heal 4d8 points of damage + 1 point per caster level (maximum +25). &lt;i&gt;Resurgent &lt;i&gt;transformation&lt;/i&gt;&lt;/i&gt; can even save you from death by healing the damage from an otherwise mortal wound, though it does not prevent death from massive damage or from causes other than hit point loss. Your mental faculties are impaired by this magical &lt;i&gt;transformation&lt;/i&gt;, however, causing 1d4 points of Intelligence and Wisdom damage.&lt;/p&gt;&lt;p&gt;The advantages from your &lt;i&gt;transformation&lt;/i&gt; persist for 1 round per caster level after the spell is triggered. Once the spell ends, it takes a heavy toll, leaving you exhausted and inflicting 1d4 points of Constitution damage. Utilizing more than one &lt;i&gt;resurgent &lt;i&gt;transformation&lt;/i&gt;&lt;/i&gt; in a day is particularly risky.&lt;/p&gt;&lt;p&gt;The expiration of a second &lt;i&gt;resurgent &lt;i&gt;transformation&lt;/i&gt;&lt;/i&gt; in a 24- hour period inflicts an additional 1d4 points of Constitution damage and results in death from system shock unless you succeed at a DC 15 Fortitude save, made after the Constitution damage has been applied.&lt;/p&gt;&lt;p&gt;If the spell expires or is dispelled before the &lt;i&gt;transformation&lt;/i&gt; has been triggered, no adverse effects result.&lt;/p&gt;&lt;/h4&gt;&lt;/div&gt;</t>
  </si>
  <si>
    <t>Gain second wind when close to death.</t>
  </si>
  <si>
    <t>Retribution</t>
  </si>
  <si>
    <t>one creature who has just struck you with an attack</t>
  </si>
  <si>
    <t>Retribution blasts those who have the temerity to assault your person. You may target anyone who has just struck you with an attack within the previous round, whether with a melee, ranged, or natural weapon, or a spell that requires an attack roll. The target is wracked with shooting pains that impose a -4 penalty on attack rolls, skills checks, and ability checks. On a successful Fortitude save, the penalty only lasts for 1 round. A target who worships the same god as you takes a -2 penalty on its saving throw.</t>
  </si>
  <si>
    <t>&lt;p&gt;&lt;i&gt;Retribution&lt;/i&gt; blasts those who have the temerity to assault your person. You may target anyone who has just struck you with an attack within the previous round, whether with a melee, ranged, or natural weapon, or a spell that requires an attack roll. The target is wracked with shooting pains that impose a -4 penalty on attack rolls, skills checks, and ability checks. On a successful Fortitude save, the penalty only lasts for 1 round.&lt;/p&gt;&lt;p&gt;A target who worships the same god as you takes a -2 penalty on its saving throw.&lt;/p&gt;</t>
  </si>
  <si>
    <t>&lt;link rel="stylesheet"href="PF.css"&gt;&lt;div class="heading"&gt;&lt;p class="alignleft"&gt;Retribution&lt;/p&gt;&lt;div style="clear: both;"&gt;&lt;/div&gt;&lt;/div&gt;&lt;div&gt;&lt;h5&gt;&lt;b&gt;School &lt;/b&gt;necromancy [evil, pain]; &lt;b&gt;Level &lt;/b&gt;inquisitor 3&lt;/h5&gt;&lt;/div&gt;&lt;hr/&gt;&lt;div&gt;&lt;h5&gt;&lt;b&gt;CASTING&lt;/b&gt;&lt;/h5&gt;&lt;/div&gt;&lt;hr/&gt;&lt;div&gt;&lt;h5&gt;&lt;b&gt;Casting Time &lt;/b&gt;1 standard action&lt;/h5&gt;&lt;h5&gt;&lt;b&gt;Components &lt;/b&gt;V&lt;/h5&gt;&lt;/div&gt;&lt;hr/&gt;&lt;div&gt;&lt;h5&gt;&lt;b&gt;EFFECT&lt;/b&gt;&lt;/h5&gt;&lt;/div&gt;&lt;hr/&gt;&lt;div&gt;&lt;h5&gt;&lt;b&gt;Range &lt;/b&gt;close (25 ft. + 5 ft./2 levels)&lt;/h5&gt;&lt;h5&gt;&lt;b&gt;Targets &lt;/b&gt;one creature who has just struck you with an attack&lt;/h5&gt;&lt;h5&gt;&lt;b&gt;Duration &lt;/b&gt;1 round/level&lt;/h5&gt;&lt;h5&gt;&lt;b&gt;Saving Throw &lt;/b&gt;Fortitude partial; &lt;b&gt;Spell Resistance &lt;/b&gt;yes&lt;/h5&gt;&lt;/div&gt;&lt;hr/&gt;&lt;div&gt;&lt;h5&gt;&lt;b&gt;DESCRIPTION&lt;/b&gt;&lt;/h5&gt;&lt;/div&gt;&lt;hr/&gt;&lt;div&gt;&lt;h4&gt;&lt;p&gt;&lt;i&gt;Retribution&lt;/i&gt; blasts those who have the temerity to assault your person. You may target anyone who has just struck you with an attack within the previous round, whether with a melee, ranged, or natural weapon, or a spell that requires an attack roll. The target is wracked with shooting pains that impose a -4 penalty on attack rolls, skills checks, and ability checks. On a successful Fortitude save, the penalty only lasts for 1 round.&lt;/p&gt;&lt;p&gt;A target who worships the same god as you takes a -2 penalty on its saving throw.&lt;/p&gt;&lt;/h4&gt;&lt;/div&gt;</t>
  </si>
  <si>
    <t>Recent attacker is afflicted with penalties.</t>
  </si>
  <si>
    <t>Reviving Finale</t>
  </si>
  <si>
    <t>a 20-ft.-radius burst centered on you</t>
  </si>
  <si>
    <t>Will half (harmless)</t>
  </si>
  <si>
    <t>You must have a bardic performance in effect to cast this spell. With a flourish, you immediately end your bardic performance, and allies within the area of the spell regain 2d6 hit points. This spell has no effect on undead creatures.</t>
  </si>
  <si>
    <t>&lt;p&gt;You must have a bardic performance in effect to cast this spell.&lt;/p&gt;&lt;p&gt;With a flourish, you immediately end your bardic performance, and allies within the area of the spell regain 2d6 hit points. This spell has no effect on undead creatures.&lt;/p&gt;</t>
  </si>
  <si>
    <t>&lt;link rel="stylesheet"href="PF.css"&gt;&lt;div class="heading"&gt;&lt;p class="alignleft"&gt;Reviving Finale&lt;/p&gt;&lt;div style="clear: both;"&gt;&lt;/div&gt;&lt;/div&gt;&lt;div&gt;&lt;h5&gt;&lt;b&gt;School &lt;/b&gt;conjuration (healing); &lt;b&gt;Level &lt;/b&gt;bard 3&lt;/h5&gt;&lt;/div&gt;&lt;hr/&gt;&lt;div&gt;&lt;h5&gt;&lt;b&gt;CASTING&lt;/b&gt;&lt;/h5&gt;&lt;/div&gt;&lt;hr/&gt;&lt;div&gt;&lt;h5&gt;&lt;b&gt;Casting Time &lt;/b&gt;1 swift action&lt;/h5&gt;&lt;h5&gt;&lt;b&gt;Components &lt;/b&gt;V, S&lt;/h5&gt;&lt;/div&gt;&lt;hr/&gt;&lt;div&gt;&lt;h5&gt;&lt;b&gt;EFFECT&lt;/b&gt;&lt;/h5&gt;&lt;/div&gt;&lt;hr/&gt;&lt;div&gt;&lt;h5&gt;&lt;b&gt;Range &lt;/b&gt;20 ft.&lt;/h5&gt;&lt;h5&gt;&lt;b&gt;Area &lt;/b&gt;a 20-ft.-radius burst centered on you&lt;/h5&gt;&lt;h5&gt;&lt;b&gt;Duration &lt;/b&gt;instantaneous&lt;/h5&gt;&lt;h5&gt;&lt;b&gt;Saving Throw &lt;/b&gt;Will half (harmless); &lt;b&gt;Spell Resistance &lt;/b&gt;yes (harmless)&lt;/h5&gt;&lt;/div&gt;&lt;hr/&gt;&lt;div&gt;&lt;h5&gt;&lt;b&gt;DESCRIPTION&lt;/b&gt;&lt;/h5&gt;&lt;/div&gt;&lt;hr/&gt;&lt;div&gt;&lt;h4&gt;&lt;p&gt;You must have a bardic performance in effect to cast this spell.&lt;/p&gt;&lt;p&gt;With a flourish, you immediately end your bardic performance, and allies within the area of the spell regain 2d6 hit points. This spell has no effect on undead creatures.&lt;/p&gt;&lt;/h4&gt;&lt;/div&gt;</t>
  </si>
  <si>
    <t>Allies cured 2d6 damage.</t>
  </si>
  <si>
    <t>Righteous Vigor</t>
  </si>
  <si>
    <t>inquisitor 3, paladin 2</t>
  </si>
  <si>
    <t>Infusing the target with a surge of furious divine energy, you enhance a creature's ability to hit an opponent based on the number of times it has already hit that opponent with a successful attack. Each time the subject successfully strikes an opponent with a successful melee attack, the subject gains a cumulative +1 morale bonus on attack rolls (maximum +4 bonus) and gains 1d8 temporary hit points (to a maximum of 20 temporary hit points). If an attack misses, the attack bonus resets to +0 but any accumulated temporary hit points remain. The temporary hit points disappear at the end of the spell's duration.</t>
  </si>
  <si>
    <t>&lt;p&gt;Infusing the target with a surge of furious divine energy, you enhance a creature's ability to hit an opponent based on the number of times it has already hit that opponent with a successful attack. Each time the subject successfully strikes an opponent with a successful melee attack, the subject gains a cumulative +1 morale bonus on attack rolls (maximum +4 bonus) and gains 1d8 temporary hit points (to a maximum of 20 temporary hit points). If an attack misses, the attack bonus resets to +0 but any accumulated temporary hit points remain. The temporary hit points disappear at the end of the spell's duration.&lt;/p&gt;</t>
  </si>
  <si>
    <t>&lt;link rel="stylesheet"href="PF.css"&gt;&lt;div class="heading"&gt;&lt;p class="alignleft"&gt;Righteous Vigor&lt;/p&gt;&lt;div style="clear: both;"&gt;&lt;/div&gt;&lt;/div&gt;&lt;div&gt;&lt;h5&gt;&lt;b&gt;School &lt;/b&gt;enchantment (compulsion) [mind-affecting]; &lt;b&gt;Level &lt;/b&gt;inquisitor 3, paladin 2&lt;/h5&gt;&lt;/div&gt;&lt;hr/&gt;&lt;div&gt;&lt;h5&gt;&lt;b&gt;CASTING&lt;/b&gt;&lt;/h5&gt;&lt;/div&gt;&lt;hr/&gt;&lt;div&gt;&lt;h5&gt;&lt;b&gt;Casting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 touched&lt;/h5&gt;&lt;h5&gt;&lt;b&gt;Duration &lt;/b&gt;1 round/level&lt;/h5&gt;&lt;h5&gt;&lt;b&gt;Saving Throw &lt;/b&gt;Will negates (harmless); &lt;b&gt;Spell Resistance &lt;/b&gt;yes (harmless)&lt;/h5&gt;&lt;/div&gt;&lt;hr/&gt;&lt;div&gt;&lt;h5&gt;&lt;b&gt;DESCRIPTION&lt;/b&gt;&lt;/h5&gt;&lt;/div&gt;&lt;hr/&gt;&lt;div&gt;&lt;h4&gt;&lt;p&gt;Infusing the target with a surge of furious divine energy, you enhance a creature's ability to hit an opponent based on the number of times it has already hit that opponent with a successful attack. Each time the subject successfully strikes an opponent with a successful melee attack, the subject gains a cumulative +1 morale bonus on attack rolls (maximum +4 bonus) and gains 1d8 temporary hit points (to a maximum of 20 temporary hit points). If an attack misses, the attack bonus resets to +0 but any accumulated temporary hit points remain. The temporary hit points disappear at the end of the spell's duration.&lt;/p&gt;&lt;/h4&gt;&lt;/div&gt;</t>
  </si>
  <si>
    <t>Boosts attack bonus with each hit.</t>
  </si>
  <si>
    <t>River of Wind</t>
  </si>
  <si>
    <t>Summoning up the power of the tempest, you direct a current of forceful winds where you please. This spell creates a 5-foot-diameter line of wind-the direction of the wind is away from your location when you cast the spell, and remains constant in that direction for the spell duration. Creatures caught in a river of wind take 4d6 nonlethal damage and are knocked prone. A successful Fortitude save halves the damage and prevents being knocked prone. A creature that begins its turn wholly or partially within a river of wind must make a Fortitude save or be pushed 20 feet in the wind's direction of flow, take 2d6 nonlethal damage, and be knocked prone-a successful Fortitude save means the creature merely takes 1d6 nonlethal damage. Creatures under the effect of freedom of movement and creatures with the air subtype are unaffected by a river of wind.</t>
  </si>
  <si>
    <t>&lt;p&gt;Summoning up the power of the tempest, you direct a current of forceful winds where you please. This spell creates a 5-foot-diameter line of wind-the direction of the wind is away from your location when you cast the spell, and remains constant in that direction for the spell duration. Creatures caught in a &lt;i&gt;river of wind&lt;/i&gt; take 4d6 nonlethal damage and are knocked prone. A successful Fortitude save halves the damage and prevents being knocked prone.&lt;/p&gt;&lt;p&gt;A creature that begins its turn wholly or partially within a &lt;i&gt;river of wind&lt;/i&gt; must make a Fortitude save or be pushed 20 feet in the wind's direction of flow, take 2d6 nonlethal damage, and be knocked prone-a successful Fortitude save means the creature merely takes 1d6 nonlethal damage. Creatures under the effect of &lt;i&gt;freedom of movement&lt;/i&gt; and creatures with the air subtype are unaffected by a &lt;i&gt;river of wind&lt;/i&gt;.&lt;/p&gt;</t>
  </si>
  <si>
    <t>&lt;link rel="stylesheet"href="PF.css"&gt;&lt;div class="heading"&gt;&lt;p class="alignleft"&gt;River of Wind&lt;/p&gt;&lt;div style="clear: both;"&gt;&lt;/div&gt;&lt;/div&gt;&lt;div&gt;&lt;h5&gt;&lt;b&gt;School &lt;/b&gt;evocation [air]; &lt;b&gt;Level &lt;/b&gt;druid 4, sorcerer/wizard 4, magus 4&lt;/h5&gt;&lt;/div&gt;&lt;hr/&gt;&lt;div&gt;&lt;h5&gt;&lt;b&gt;CASTING&lt;/b&gt;&lt;/h5&gt;&lt;/div&gt;&lt;hr/&gt;&lt;div&gt;&lt;h5&gt;&lt;b&gt;Casting Time &lt;/b&gt;1 standard action&lt;/h5&gt;&lt;h5&gt;&lt;b&gt;Components &lt;/b&gt;V, S&lt;/h5&gt;&lt;/div&gt;&lt;hr/&gt;&lt;div&gt;&lt;h5&gt;&lt;b&gt;EFFECT&lt;/b&gt;&lt;/h5&gt;&lt;/div&gt;&lt;hr/&gt;&lt;div&gt;&lt;h5&gt;&lt;b&gt;Range &lt;/b&gt;120 ft.&lt;/h5&gt;&lt;h5&gt;&lt;b&gt;Area &lt;/b&gt;120-ft. line&lt;/h5&gt;&lt;h5&gt;&lt;b&gt;Duration &lt;/b&gt;1 round/level&lt;/h5&gt;&lt;h5&gt;&lt;b&gt;Saving Throw &lt;/b&gt;Fortitude partial; &lt;b&gt;Spell Resistance &lt;/b&gt;yes&lt;/h5&gt;&lt;/div&gt;&lt;hr/&gt;&lt;div&gt;&lt;h5&gt;&lt;b&gt;DESCRIPTION&lt;/b&gt;&lt;/h5&gt;&lt;/div&gt;&lt;hr/&gt;&lt;div&gt;&lt;h4&gt;&lt;p&gt;Summoning up the power of the tempest, you direct a current of forceful winds where you please. This spell creates a 5-foot-diameter line of wind-the direction of the wind is away from your location when you cast the spell, and remains constant in that direction for the spell duration. Creatures caught in a &lt;i&gt;river of wind&lt;/i&gt; take 4d6 nonlethal damage and are knocked prone. A successful Fortitude save halves the damage and prevents being knocked prone.&lt;/p&gt;&lt;p&gt;A creature that begins its turn wholly or partially within a &lt;i&gt;river of wind&lt;/i&gt; must make a Fortitude save or be pushed 20 feet in the wind's direction of flow, take 2d6 nonlethal damage, and be knocked prone-a successful Fortitude save means the creature merely takes 1d6 nonlethal damage. Creatures under the effect of &lt;i&gt;freedom of movement&lt;/i&gt; and creatures with the air subtype are unaffected by a &lt;i&gt;river of wind&lt;/i&gt;.&lt;/p&gt;&lt;/h4&gt;&lt;/div&gt;</t>
  </si>
  <si>
    <t>A stream of wind causes nonlethal damage and can knock down or push creatures.</t>
  </si>
  <si>
    <t>Sacred Bond</t>
  </si>
  <si>
    <t>cleric/oracle 3, inquisitor 2, paladin 2</t>
  </si>
  <si>
    <t>V, S, F (a pair of golden bracelets worth 100 gp each worn by both you and the target)</t>
  </si>
  <si>
    <t>To use this spell, you first touch the intended recipient, creating a sympathetic field of healing energies between you. Once the spell has been cast, you and the target may cast conjuration (healing) spells with a range of touch upon each other so long as you are within close range (25 ft. + 5 ft./2 levels). Should either you or the target remove your bracelet, the spell immediately ends.</t>
  </si>
  <si>
    <t>&lt;p&gt;To use this spell, you first touch the intended recipient, creating a sympathetic field of healing energies between you.&lt;/p&gt;&lt;p&gt;Once the spell has been cast, you and the target may cast conjuration (healing) spells with a range of touch upon each other so long as you are within close range (25 ft. + 5 ft./2 levels). Should either you or the target remove your bracelet, the spell immediately ends.&lt;/p&gt;</t>
  </si>
  <si>
    <t>&lt;link rel="stylesheet"href="PF.css"&gt;&lt;div class="heading"&gt;&lt;p class="alignleft"&gt;Sacred Bond&lt;/p&gt;&lt;div style="clear: both;"&gt;&lt;/div&gt;&lt;/div&gt;&lt;div&gt;&lt;h5&gt;&lt;b&gt;School &lt;/b&gt;conjuration (healing); &lt;b&gt;Level &lt;/b&gt;cleric/oracle 3, inquisitor 2, paladin 2&lt;/h5&gt;&lt;/div&gt;&lt;hr/&gt;&lt;div&gt;&lt;h5&gt;&lt;b&gt;CASTING&lt;/b&gt;&lt;/h5&gt;&lt;/div&gt;&lt;hr/&gt;&lt;div&gt;&lt;h5&gt;&lt;b&gt;Casting Time &lt;/b&gt;1 round&lt;/h5&gt;&lt;h5&gt;&lt;b&gt;Components &lt;/b&gt;V, S, F (a pair of golden bracelets worth 100 gp each worn by both you and the target)&lt;/h5&gt;&lt;/div&gt;&lt;hr/&gt;&lt;div&gt;&lt;h5&gt;&lt;b&gt;EFFECT&lt;/b&gt;&lt;/h5&gt;&lt;/div&gt;&lt;hr/&gt;&lt;div&gt;&lt;h5&gt;&lt;b&gt;Range &lt;/b&gt;touch; see text&lt;/h5&gt;&lt;h5&gt;&lt;b&gt;Targets &lt;/b&gt;creature touched&lt;/h5&gt;&lt;h5&gt;&lt;b&gt;Duration &lt;/b&gt;10 minutes/level (D)&lt;/h5&gt;&lt;h5&gt;&lt;b&gt;Saving Throw &lt;/b&gt;Will negates (harmless); &lt;b&gt;Spell Resistance &lt;/b&gt;yes (harmless)&lt;/h5&gt;&lt;/div&gt;&lt;hr/&gt;&lt;div&gt;&lt;h5&gt;&lt;b&gt;DESCRIPTION&lt;/b&gt;&lt;/h5&gt;&lt;/div&gt;&lt;hr/&gt;&lt;div&gt;&lt;h4&gt;&lt;p&gt;To use this spell, you first touch the intended recipient, creating a sympathetic field of healing energies between you.&lt;/p&gt;&lt;p&gt;Once the spell has been cast, you and the target may cast conjuration (healing) spells with a range of touch upon each other so long as you are within close range (25 ft. + 5 ft./2 levels). Should either you or the target remove your bracelet, the spell immediately ends.&lt;/p&gt;&lt;/h4&gt;&lt;h5&gt;&lt;b&gt;Mythic: &lt;/b&gt;The range at which you and the target can cast conjuration (healing) spells on each other increases to medium (100 feet + 10 feet per caster level). When you or the target uses the sacred bond to cast a healing spell on the other, the caster also heals a number of hit points equal to the minimum amount the spell can heal.&lt;/h5&gt;&lt;h5&gt;&lt;b&gt;Augmented (6th)&lt;/b&gt;: If you expend two uses of mythic power, casting a healing spell through the link heals the caster the normal amount instead of the minimum amount. You and the target can use the link to heal each other with targeted healing abilities such as lay on hands. Unlike with healing spells, a character using a healing ability in this way doesn't heal herself.&lt;/h5&gt;&lt;/div&gt;</t>
  </si>
  <si>
    <t>Cast touch healing spells from a distance.</t>
  </si>
  <si>
    <t>The range at which you and the target can cast conjuration (healing) spells on each other increases to medium (100 feet + 10 feet per caster level). When you or the target uses the sacred bond to cast a healing spell on the other, the caster also heals a number of hit points equal to the minimum amount the spell can heal.</t>
  </si>
  <si>
    <t>Augmented (6th): If you expend two uses of mythic power, casting a healing spell through the link heals the caster the normal amount instead of the minimum amount. You and the target can use the link to heal each other with targeted healing abilities such as lay on hands. Unlike with healing spells, a character using a healing ability in this way doesn't heal herself.</t>
  </si>
  <si>
    <t>Sacrificial Oath</t>
  </si>
  <si>
    <t>You create a powerful bond between yourself and a single creature. Until the end of the spell's duration, each time the target is hit with an attack or fails a saving throw, you can take the full damage of that attack and any other effects that creature suffers. If you choose not to take on the damage and effects, you instead take a number of points of damage equal to your Constitution score as backlash. Any resistances or immunities you have are applied normally, but you cannot otherwise reduce or negate the damage or effects of either the transfer or the backlash. If you or the subject of the spell move out of line of sight, the spell ends.</t>
  </si>
  <si>
    <t>&lt;p&gt;You create a powerful bond between yourself and a single creature. Until the end of the spell's duration, each time the target is hit with an attack or fails a saving throw, you can take the full damage of that attack and any other effects that creature suffers. If you choose not to take on the damage and effects, you instead take a number of points of damage equal to your Constitution score as backlash. Any resistances or immunities you have are applied normally, but you cannot otherwise reduce or negate the damage or effects of either the transfer or the backlash. If you or the subject of the spell move out of line of sight, the spell ends.&lt;/p&gt;</t>
  </si>
  <si>
    <t>&lt;link rel="stylesheet"href="PF.css"&gt;&lt;div class="heading"&gt;&lt;p class="alignleft"&gt;Sacrificial Oath&lt;/p&gt;&lt;div style="clear: both;"&gt;&lt;/div&gt;&lt;/div&gt;&lt;div&gt;&lt;h5&gt;&lt;b&gt;School &lt;/b&gt;abjuration; &lt;b&gt;Level &lt;/b&gt;paladin 4&lt;/h5&gt;&lt;/div&gt;&lt;hr/&gt;&lt;div&gt;&lt;h5&gt;&lt;b&gt;CASTING&lt;/b&gt;&lt;/h5&gt;&lt;/div&gt;&lt;hr/&gt;&lt;div&gt;&lt;h5&gt;&lt;b&gt;Casting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 touched&lt;/h5&gt;&lt;h5&gt;&lt;b&gt;Duration &lt;/b&gt;1 minute/level&lt;/h5&gt;&lt;h5&gt;&lt;b&gt;Saving Throw &lt;/b&gt;Fortitude negates (harmless); &lt;b&gt;Spell Resistance &lt;/b&gt;yes (harmless)&lt;/h5&gt;&lt;/div&gt;&lt;hr/&gt;&lt;div&gt;&lt;h5&gt;&lt;b&gt;DESCRIPTION&lt;/b&gt;&lt;/h5&gt;&lt;/div&gt;&lt;hr/&gt;&lt;div&gt;&lt;h4&gt;&lt;p&gt;You create a powerful bond between yourself and a single creature. Until the end of the spell's duration, each time the target is hit with an attack or fails a saving throw, you can take the full damage of that attack and any other effects that creature suffers. If you choose not to take on the damage and effects, you instead take a number of points of damage equal to your Constitution score as backlash. Any resistances or immunities you have are applied normally, but you cannot otherwise reduce or negate the damage or effects of either the transfer or the backlash. If you or the subject of the spell move out of line of sight, the spell ends.&lt;/p&gt;&lt;/h4&gt;&lt;/div&gt;</t>
  </si>
  <si>
    <t>Martyr</t>
  </si>
  <si>
    <t>Take damage for an ally for many rounds.</t>
  </si>
  <si>
    <t>Saddle Surge</t>
  </si>
  <si>
    <t>you and your mount</t>
  </si>
  <si>
    <t>1 round/level (D); see text</t>
  </si>
  <si>
    <t>You and your mount form a perfect synergy that endows both of you with advantages based upon how far you travel each round. For every 5 feet your mount moves in a given round, you gain a +1 competence bonus on Ride checks and both you and your mount gain a +1 morale bonus on damage rolls made with weapons or natural attacks for 1 round. For instance, if your mount traveled 40 feet in a round, you would gain a +8 bonus on Ride checks and you and your mount would both gain a +8 bonus on damage rolls for 1 round, to a maximum bonus equal to your caster level. You must be mounted to enjoy the benefits of this spell. If you dismount, get knocked off, or take any other action that separates you from your mount, the spell immediately ends.</t>
  </si>
  <si>
    <t>&lt;p&gt;You and your mount form a perfect synergy that endows both of you with advantages based upon how far you travel each round. For every 5 feet your mount moves in a given round, you gain a +1 competence bonus on Ride checks and both you and your mount gain a +1 morale bonus on damage rolls made with weapons or natural attacks for 1 round. For instance, if your mount traveled 40 feet in a round, you would gain a +8 bonus on Ride checks and you and your mount would both gain a +8 bonus on damage rolls for 1 round, to a maximum bonus equal to your caster level. You must be mounted to enjoy the benefits of this spell. If you dismount, get knocked off, or take any other action that separates you from your mount, the spell immediately ends.&lt;/p&gt;</t>
  </si>
  <si>
    <t>&lt;link rel="stylesheet"href="PF.css"&gt;&lt;div class="heading"&gt;&lt;p class="alignleft"&gt;Saddle Surge&lt;/p&gt;&lt;div style="clear: both;"&gt;&lt;/div&gt;&lt;/div&gt;&lt;div&gt;&lt;h5&gt;&lt;b&gt;School &lt;/b&gt;transmutation; &lt;b&gt;Level &lt;/b&gt;paladin 2&lt;/h5&gt;&lt;/div&gt;&lt;hr/&gt;&lt;div&gt;&lt;h5&gt;&lt;b&gt;CASTING&lt;/b&gt;&lt;/h5&gt;&lt;/div&gt;&lt;hr/&gt;&lt;div&gt;&lt;h5&gt;&lt;b&gt;Casting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 and your mount&lt;/h5&gt;&lt;h5&gt;&lt;b&gt;Duration &lt;/b&gt;1 round/level (D); see text&lt;/h5&gt;&lt;/div&gt;&lt;hr/&gt;&lt;div&gt;&lt;h5&gt;&lt;b&gt;DESCRIPTION&lt;/b&gt;&lt;/h5&gt;&lt;/div&gt;&lt;hr/&gt;&lt;div&gt;&lt;h4&gt;&lt;p&gt;You and your mount form a perfect synergy that endows both of you with advantages based upon how far you travel each round. For every 5 feet your mount moves in a given round, you gain a +1 competence bonus on Ride checks and both you and your mount gain a +1 morale bonus on damage rolls made with weapons or natural attacks for 1 round. For instance, if your mount traveled 40 feet in a round, you would gain a +8 bonus on Ride checks and you and your mount would both gain a +8 bonus on damage rolls for 1 round, to a maximum bonus equal to your caster level. You must be mounted to enjoy the benefits of this spell. If you dismount, get knocked off, or take any other action that separates you from your mount, the spell immediately ends.&lt;/p&gt;&lt;/h4&gt;&lt;/div&gt;</t>
  </si>
  <si>
    <t>Bonus damage for moving on mount.</t>
  </si>
  <si>
    <t>Sanctify Armor</t>
  </si>
  <si>
    <t>inquisitor 4, paladin 3</t>
  </si>
  <si>
    <t>You imbue your armor with a righteous aura. It gains a +1 enhancement bonus per four caster levels (maximum +5 at 20th level). When using your judgment or smite ability, you gain DR 5/evil. An outfit of regular clothing counts as armor that grants no AC bonus for the purpose of this spell.</t>
  </si>
  <si>
    <t>&lt;p&gt;You imbue your armor with a righteous aura. It gains a +1 enhancement bonus per four caster levels (maximum +5 at 20th level). When using your judgment or smite ability, you gain DR 5/evil.&lt;/p&gt;&lt;p&gt;An outfit of regular clothing counts as armor that grants no AC bonus for the purpose of this spell.&lt;/p&gt;</t>
  </si>
  <si>
    <t>&lt;link rel="stylesheet"href="PF.css"&gt;&lt;div class="heading"&gt;&lt;p class="alignleft"&gt;Sanctify Armor&lt;/p&gt;&lt;div style="clear: both;"&gt;&lt;/div&gt;&lt;/div&gt;&lt;div&gt;&lt;h5&gt;&lt;b&gt;School &lt;/b&gt;abjuration [good]; &lt;b&gt;Level &lt;/b&gt;inquisitor 4, paladin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&lt;/b&gt;armor touched&lt;/h5&gt;&lt;h5&gt;&lt;b&gt;Duration &lt;/b&gt;1 minute/level&lt;/h5&gt;&lt;h5&gt;&lt;b&gt;Saving Throw &lt;/b&gt;Will negates (harmless, object); &lt;b&gt;Spell Resistance &lt;/b&gt;yes (harmless, object)&lt;/h5&gt;&lt;/div&gt;&lt;hr/&gt;&lt;div&gt;&lt;h5&gt;&lt;b&gt;DESCRIPTION&lt;/b&gt;&lt;/h5&gt;&lt;/div&gt;&lt;hr/&gt;&lt;div&gt;&lt;h4&gt;&lt;p&gt;You imbue your armor with a righteous aura. It gains a +1 enhancement bonus per four caster levels (maximum +5 at 20th level). When using your judgment or smite ability, you gain DR 5/evil.&lt;/p&gt;&lt;p&gt;An outfit of regular clothing counts as armor that grants no AC bonus for the purpose of this spell.&lt;/p&gt;&lt;/h4&gt;&lt;h5&gt;&lt;b&gt;Mythic: &lt;/b&gt;You gain DR 5/evil while wearing the target armor. While you're using your judgment or smite ability, this improves to DR 10/evil.&lt;/h5&gt;&lt;h5&gt;&lt;b&gt;Augmented (3rd)&lt;/b&gt;: If you expend two uses of mythic power, when you use judgment or smite, add half your tier to your AC as a sacred bonus.&lt;/h5&gt;&lt;/div&gt;</t>
  </si>
  <si>
    <t>+1 AC/four levels (max +5).</t>
  </si>
  <si>
    <t>You gain DR 5/evil while wearing the target armor. While you're using your judgment or smite ability, this improves to DR 10/evil.</t>
  </si>
  <si>
    <t>Augmented (3rd): If you expend two uses of mythic power, when you use judgment or smite, add half your tier to your AC as a sacred bonus.</t>
  </si>
  <si>
    <t>Saving Finale</t>
  </si>
  <si>
    <t>You must have a bardic performance in effect to cast this spell. With a flourish, you can immediately end your bardic performance when a creature within range affected by your bardic performance fails a saving throw, allowing the subject to immediately reroll the failed saving throw.</t>
  </si>
  <si>
    <t>&lt;p&gt;You must have a bardic performance in effect to cast this spell. With a flourish, you can immediately end your bardic performance when a creature within range affected by your bardic performance fails a saving throw, allowing the subject to immediately reroll the failed saving throw.&lt;/p&gt;</t>
  </si>
  <si>
    <t>&lt;link rel="stylesheet"href="PF.css"&gt;&lt;div class="heading"&gt;&lt;p class="alignleft"&gt;Saving Finale&lt;/p&gt;&lt;div style="clear: both;"&gt;&lt;/div&gt;&lt;/div&gt;&lt;div&gt;&lt;h5&gt;&lt;b&gt;School &lt;/b&gt;evocation [mind-affecting]; &lt;b&gt;Level &lt;/b&gt;bard 1&lt;/h5&gt;&lt;/div&gt;&lt;hr/&gt;&lt;div&gt;&lt;h5&gt;&lt;b&gt;CASTING&lt;/b&gt;&lt;/h5&gt;&lt;/div&gt;&lt;hr/&gt;&lt;div&gt;&lt;h5&gt;&lt;b&gt;Casting Time &lt;/b&gt;1 immediate action&lt;/h5&gt;&lt;h5&gt;&lt;b&gt;Components &lt;/b&gt;V, S&lt;/h5&gt;&lt;/div&gt;&lt;hr/&gt;&lt;div&gt;&lt;h5&gt;&lt;b&gt;EFFECT&lt;/b&gt;&lt;/h5&gt;&lt;/div&gt;&lt;hr/&gt;&lt;div&gt;&lt;h5&gt;&lt;b&gt;Range &lt;/b&gt;close (25 ft. + 5 ft./2 levels)&lt;/h5&gt;&lt;h5&gt;&lt;b&gt;Targets &lt;/b&gt;one living creature&lt;/h5&gt;&lt;h5&gt;&lt;b&gt;Duration &lt;/b&gt;instantaneous&lt;/h5&gt;&lt;h5&gt;&lt;b&gt;Saving Throw &lt;/b&gt;Will negates (harmless); &lt;b&gt;Spell Resistance &lt;/b&gt;yes (harmless)&lt;/h5&gt;&lt;/div&gt;&lt;hr/&gt;&lt;div&gt;&lt;h5&gt;&lt;b&gt;DESCRIPTION&lt;/b&gt;&lt;/h5&gt;&lt;/div&gt;&lt;hr/&gt;&lt;div&gt;&lt;h4&gt;&lt;p&gt;You must have a bardic performance in effect to cast this spell. With a flourish, you can immediately end your bardic performance when a creature within range affected by your bardic performance fails a saving throw, allowing the subject to immediately reroll the failed saving throw.&lt;/p&gt;&lt;/h4&gt;&lt;h5&gt;&lt;b&gt;Mythic: &lt;/b&gt;Add your tier as a bonus on the saving throw reroll.&lt;/h5&gt;&lt;/div&gt;</t>
  </si>
  <si>
    <t>Subject rerolls failed saving throw.</t>
  </si>
  <si>
    <t>Add your tier as a bonus on the saving throw reroll.</t>
  </si>
  <si>
    <t>Scent Trail</t>
  </si>
  <si>
    <t>V, S, M (a queen ant)</t>
  </si>
  <si>
    <t>You, or a willing creature you touch, lay down a trail of scents that only the creatures you designate at the time of can detect. These creatures find it very easy to follow this trail. They gain a +20 competence bonus on any Survival checks made for the purpose of tracking the creature laying this trail. Subject creatures with the scent special ability gain a +10 competence bonus on Wisdom or Survival checks to follow the trail. In addition, you can leave scent messages along the trail. Each word or emotion in this message requires spending a move action in the same spot. Subject creatures seeking to understand this message must make another DC 20 Survival check, with a -1 penalty for every word or emotion in the message, in order to understand it. Creatures cannot benefit from this smell if they cannot use, or do not have, a sense of smell. Creatures can use this spell to backtrack through a dungeon, maze, or similar areas even if the creature laying down the trail crossed over the spot multiple times.</t>
  </si>
  <si>
    <t>&lt;p&gt;You, or a willing creature you touch, lay down a trail of scents that only the creatures you designate at the time of can detect. These creatures find it very easy to follow this trail.&lt;/p&gt;&lt;p&gt;They gain a +20 competence bonus on any Survival checks made for the purpose of tracking the creature laying this trail.&lt;/p&gt;&lt;p&gt;Subject creatures with the scent special ability gain a +10 competence bonus on Wisdom or Survival checks to follow the trail.&lt;/p&gt;&lt;p&gt;In addition, you can leave scent messages along the trail.&lt;/p&gt;&lt;p&gt;Each word or emotion in this message requires spending a move action in the same spot. Subject creatures seeking to understand this message must make another DC 20 Survival check, with a -1 penalty for every word or emotion in the message, in order to understand it. Creatures cannot benefit from this smell if they cannot use, or do not have, a sense of smell. Creatures can use this spell to backtrack through a dungeon, maze, or similar areas even if the creature laying down the trail crossed over the spot multiple times.&lt;/p&gt;</t>
  </si>
  <si>
    <t>&lt;link rel="stylesheet"href="PF.css"&gt;&lt;div class="heading"&gt;&lt;p class="alignleft"&gt;Scent Trail&lt;/p&gt;&lt;div style="clear: both;"&gt;&lt;/div&gt;&lt;/div&gt;&lt;div&gt;&lt;h5&gt;&lt;b&gt;School &lt;/b&gt;transmutation; &lt;b&gt;Level &lt;/b&gt;druid 2&lt;/h5&gt;&lt;/div&gt;&lt;hr/&gt;&lt;div&gt;&lt;h5&gt;&lt;b&gt;CASTING&lt;/b&gt;&lt;/h5&gt;&lt;/div&gt;&lt;hr/&gt;&lt;div&gt;&lt;h5&gt;&lt;b&gt;Casting Time &lt;/b&gt;1 standard action&lt;/h5&gt;&lt;h5&gt;&lt;b&gt;Components &lt;/b&gt;V, S, M (a queen ant)&lt;/h5&gt;&lt;/div&gt;&lt;hr/&gt;&lt;div&gt;&lt;h5&gt;&lt;b&gt;EFFECT&lt;/b&gt;&lt;/h5&gt;&lt;/div&gt;&lt;hr/&gt;&lt;div&gt;&lt;h5&gt;&lt;b&gt;Range &lt;/b&gt;close (25 ft. + 5 ft./2 levels)&lt;/h5&gt;&lt;h5&gt;&lt;b&gt;Targets &lt;/b&gt;one creature/level, no two of which can be more than 30 ft. apart&lt;/h5&gt;&lt;h5&gt;&lt;b&gt;Duration &lt;/b&gt;1 hour/level&lt;/h5&gt;&lt;h5&gt;&lt;b&gt;Saving Throw &lt;/b&gt;Fortitude negates (harmless); &lt;b&gt;Spell Resistance &lt;/b&gt;yes (harmless)&lt;/h5&gt;&lt;/div&gt;&lt;hr/&gt;&lt;div&gt;&lt;h5&gt;&lt;b&gt;DESCRIPTION&lt;/b&gt;&lt;/h5&gt;&lt;/div&gt;&lt;hr/&gt;&lt;div&gt;&lt;h4&gt;&lt;p&gt;You, or a willing creature you touch, lay down a trail of scents that only the creatures you designate at the time of can detect. These creatures find it very easy to follow this trail.&lt;/p&gt;&lt;p&gt;They gain a +20 competence bonus on any Survival checks made for the purpose of tracking the creature laying this trail.&lt;/p&gt;&lt;p&gt;Subject creatures with the scent special ability gain a +10 competence bonus on Wisdom or Survival checks to follow the trail.&lt;/p&gt;&lt;p&gt;In addition, you can leave scent messages along the trail.&lt;/p&gt;&lt;p&gt;Each word or emotion in this message requires spending a move action in the same spot. Subject creatures seeking to understand this message must make another DC 20 Survival check, with a -1 penalty for every word or emotion in the message, in order to understand it. Creatures cannot benefit from this smell if they cannot use, or do not have, a sense of smell. Creatures can use this spell to backtrack through a dungeon, maze, or similar areas even if the creature laying down the trail crossed over the spot multiple times.&lt;/p&gt;&lt;/h4&gt;&lt;/div&gt;</t>
  </si>
  <si>
    <t>Leave trail for allies to follow.</t>
  </si>
  <si>
    <t>Screech</t>
  </si>
  <si>
    <t>witch 3</t>
  </si>
  <si>
    <t>You emit a shrill, piercing shriek, startling those around you into dropping their guard. Enemies in the area must make a successful saving throw or immediately provoke attacks of opportunity from foes that threaten them. You and your allies are unaffected by your own screech.</t>
  </si>
  <si>
    <t>&lt;p&gt;You emit a shrill, piercing shriek, startling those around you into dropping their guard. Enemies in the area must make a successful saving throw or immediately provoke attacks of opportunity from foes that threaten them. You and your allies are unaffected by your own &lt;i&gt;screech&lt;/i&gt;.&lt;/p&gt;</t>
  </si>
  <si>
    <t>&lt;link rel="stylesheet"href="PF.css"&gt;&lt;div class="heading"&gt;&lt;p class="alignleft"&gt;Screech&lt;/p&gt;&lt;div style="clear: both;"&gt;&lt;/div&gt;&lt;/div&gt;&lt;div&gt;&lt;h5&gt;&lt;b&gt;School &lt;/b&gt;evocation [sonic]; &lt;b&gt;Level &lt;/b&gt;witch 3&lt;/h5&gt;&lt;/div&gt;&lt;hr/&gt;&lt;div&gt;&lt;h5&gt;&lt;b&gt;CASTING&lt;/b&gt;&lt;/h5&gt;&lt;/div&gt;&lt;hr/&gt;&lt;div&gt;&lt;h5&gt;&lt;b&gt;Casting Time &lt;/b&gt;1 standard action&lt;/h5&gt;&lt;h5&gt;&lt;b&gt;Components &lt;/b&gt;V&lt;/h5&gt;&lt;/div&gt;&lt;hr/&gt;&lt;div&gt;&lt;h5&gt;&lt;b&gt;EFFECT&lt;/b&gt;&lt;/h5&gt;&lt;/div&gt;&lt;hr/&gt;&lt;div&gt;&lt;h5&gt;&lt;b&gt;Range &lt;/b&gt;30 ft.&lt;/h5&gt;&lt;h5&gt;&lt;b&gt;Area &lt;/b&gt;30-ft.-radius spread centered on you&lt;/h5&gt;&lt;h5&gt;&lt;b&gt;Duration &lt;/b&gt;instantaneous&lt;/h5&gt;&lt;h5&gt;&lt;b&gt;Saving Throw &lt;/b&gt;Fortitude negates; &lt;b&gt;Spell Resistance &lt;/b&gt;yes&lt;/h5&gt;&lt;/div&gt;&lt;hr/&gt;&lt;div&gt;&lt;h5&gt;&lt;b&gt;DESCRIPTION&lt;/b&gt;&lt;/h5&gt;&lt;/div&gt;&lt;hr/&gt;&lt;div&gt;&lt;h4&gt;&lt;p&gt;You emit a shrill, piercing shriek, startling those around you into dropping their guard. Enemies in the area must make a successful saving throw or immediately provoke attacks of opportunity from foes that threaten them. You and your allies are unaffected by your own &lt;i&gt;screech&lt;/i&gt;.&lt;/p&gt;&lt;/h4&gt;&lt;/div&gt;</t>
  </si>
  <si>
    <t>Foes provoke attacks of opportunity.</t>
  </si>
  <si>
    <t>Sculpt Corpse</t>
  </si>
  <si>
    <t>V, S, M (lump of wax)</t>
  </si>
  <si>
    <t>With a clammy caress and a word to the powers lurking beyond death, you can reshape a dead body look like another creature or even a specific person so long as you have firsthand knowledge of how that creature or person actually looks. You can make the corpse one size larger or smaller and change anything else about it including its apparent type, gender, or age. Creatures with a reason to suspect deception may make a Will saving throw to realize that the corpse was altered. If you chose to make the corpse look like a specific individual anyone who knows that individual can make a Will save to realize that the corpse is not actually that person. However, if a creature fails its Will save by 5 or less they believe the corpse is that of someone who closely resembled the person they knew rather than a deliberate fake. This spell merely changes the appearance of the corpse. Any spell or effect that targets the corpse (such as speak with dead or raise dead) treats it as if it still had its original appearance.</t>
  </si>
  <si>
    <t>&lt;p&gt;With a clammy caress and a word to the powers lurking beyond death, you can reshape a dead body look like another creature or even a specific person so long as you have firsthand knowledge of how that creature or person actually looks.&lt;/p&gt;&lt;p&gt;You can make the corpse one size larger or smaller and change anything else about it including its apparent type, gender, or age. Creatures with a reason to suspect deception may make a Will saving throw to realize that the corpse was altered. If you chose to make the corpse look like a specific individual anyone who knows that individual can make a Will save to realize that the corpse is not actually that person. However, if a creature fails its Will save by 5 or less they believe the corpse is that of someone who closely resembled the person they knew rather than a deliberate fake. This spell merely changes the appearance of the corpse. Any spell or effect that targets the corpse (such as &lt;i&gt;speak with dead&lt;/i&gt; or &lt;i&gt;raise dead&lt;/i&gt;) treats it as if it still had its original appearance.&lt;/p&gt;</t>
  </si>
  <si>
    <t>&lt;link rel="stylesheet"href="PF.css"&gt;&lt;div class="heading"&gt;&lt;p class="alignleft"&gt;Sculpt Corpse&lt;/p&gt;&lt;div style="clear: both;"&gt;&lt;/div&gt;&lt;/div&gt;&lt;div&gt;&lt;h5&gt;&lt;b&gt;School &lt;/b&gt;necromancy; &lt;b&gt;Level &lt;/b&gt;sorcerer/wizard 1&lt;/h5&gt;&lt;/div&gt;&lt;hr/&gt;&lt;div&gt;&lt;h5&gt;&lt;b&gt;CASTING&lt;/b&gt;&lt;/h5&gt;&lt;/div&gt;&lt;hr/&gt;&lt;div&gt;&lt;h5&gt;&lt;b&gt;Casting Time &lt;/b&gt;1 standard action&lt;/h5&gt;&lt;h5&gt;&lt;b&gt;Components &lt;/b&gt;V, S, M (lump of wax)&lt;/h5&gt;&lt;/div&gt;&lt;hr/&gt;&lt;div&gt;&lt;h5&gt;&lt;b&gt;EFFECT&lt;/b&gt;&lt;/h5&gt;&lt;/div&gt;&lt;hr/&gt;&lt;div&gt;&lt;h5&gt;&lt;b&gt;Range &lt;/b&gt;touch&lt;/h5&gt;&lt;h5&gt;&lt;b&gt;Targets &lt;/b&gt;one dead creature touched&lt;/h5&gt;&lt;h5&gt;&lt;b&gt;Duration &lt;/b&gt;instantaneous&lt;/h5&gt;&lt;h5&gt;&lt;b&gt;Saving Throw &lt;/b&gt;Will partial; see text; &lt;b&gt;Spell Resistance &lt;/b&gt;no&lt;/h5&gt;&lt;/div&gt;&lt;hr/&gt;&lt;div&gt;&lt;h5&gt;&lt;b&gt;DESCRIPTION&lt;/b&gt;&lt;/h5&gt;&lt;/div&gt;&lt;hr/&gt;&lt;div&gt;&lt;h4&gt;&lt;p&gt;With a clammy caress and a word to the powers lurking beyond death, you can reshape a dead body look like another creature or even a specific person so long as you have firsthand knowledge of how that creature or person actually looks.&lt;/p&gt;&lt;p&gt;You can make the corpse one size larger or smaller and change anything else about it including its apparent type, gender, or age. Creatures with a reason to suspect deception may make a Will saving throw to realize that the corpse was altered. If you chose to make the corpse look like a specific individual anyone who knows that individual can make a Will save to realize that the corpse is not actually that person. However, if a creature fails its Will save by 5 or less they believe the corpse is that of someone who closely resembled the person they knew rather than a deliberate fake. This spell merely changes the appearance of the corpse. Any spell or effect that targets the corpse (such as &lt;i&gt;speak with dead&lt;/i&gt; or &lt;i&gt;raise dead&lt;/i&gt;) treats it as if it still had its original appearance.&lt;/p&gt;&lt;/h4&gt;&lt;/div&gt;</t>
  </si>
  <si>
    <t>Makes corpse look like another creature.</t>
  </si>
  <si>
    <t>Seamantle</t>
  </si>
  <si>
    <t>V, S, M (a cup of water)</t>
  </si>
  <si>
    <t>You sheathe yourself within a churning column of pure elemental water up to 30 feet high that fills your space. You gain a swim speed equal to your land speed and can see, hear, and breathe normally within the seamantle, but attacks against you are treated as if you were under the surface of the water. You gain improved cover (+8 cover bonus to AC, +4 bonus on Reflex saves) against foes that do not have freedom of movement effects. The cover granted by the seamantle does not enable you to make Stealth checks or prevent attacks of opportunity. Magical attacks against you are unaffected unless they require attack rolls or state that they do not function underwater (such as cloudkill). The seamantle blocks line of effect for any fire spell or supernatural fire effect, but enemies can attempt to use fire spells within the seamantle; this requires a caster level check (DC 20 + spell level), and if successful the fire spell takes as a bubble of steam contained within the seamantle rather than its usual effect. The seamantle allows you to make a slam attack by forming a pseudopod of water, inflicting damage appropriate for your size. This slam attack has a reach of 30 feet. In addition, as a standard action, you can attempt to extinguish fires by touch. You automatically extinguish up to a 10-foot cube of normal fire. Against magical fire effects, your touch acts as dispel magic; this also applies to any non-instantaneous fire affect that comes into contact with you (such as flame blade, flaming sphere, or incendiary cloud). Even if you fail to extinguish a fire, you are not harmed by it. A flaming or flaming burst weapon that strikes you has its power suppressed for 1d4 rounds if the wielder fails a Fortitude save.</t>
  </si>
  <si>
    <t>&lt;p&gt;You sheathe yourself within a churning column of pure elemental water up to 30 feet high that fills your space. You gain a swim speed equal to your land speed and can see, hear, and breathe normally within the &lt;i&gt;seamantle&lt;/i&gt;, but attacks against you are treated as if you were under the surface of the water. You gain improved cover (+8 cover bonus to AC, +4 bonus on Reflex saves) against foes that do not have &lt;i&gt;freedom of movement&lt;/i&gt; effects. The cover granted by the &lt;i&gt;seamantle&lt;/i&gt; does not enable you to make Stealth checks or prevent attacks of opportunity. Magical attacks against you are unaffected unless they require attack rolls or state that they do not function underwater (such as &lt;i&gt;cloudkill&lt;/i&gt;).&lt;/p&gt;&lt;p&gt;The &lt;i&gt;seamantle&lt;/i&gt; blocks line of effect for any fire spell or supernatural fire effect, but enemies can attempt to use fire spells within the &lt;i&gt;seamantle&lt;/i&gt;; this requires a caster level check (DC 20 + spell level), and if successful the fire spell takes as a bubble of steam contained within the &lt;i&gt;seamantle&lt;/i&gt; rather than its usual effect.&lt;/p&gt;&lt;p&gt;The &lt;i&gt;seamantle&lt;/i&gt; allows you to make a slam attack by forming a pseudopod of water, inflicting damage appropriate for your size. This slam attack has a reach of 30 feet. In addition, as a standard action, you can attempt to extinguish fires by touch.&lt;/p&gt;&lt;p&gt;You automatically extinguish up to a 10-foot cube of normal fire. Against magical fire effects, your touch acts as &lt;i&gt;dispel magic&lt;/i&gt;; this also applies to any non-instantaneous fire affect that comes into contact with you (such as &lt;i&gt;flame blade&lt;/i&gt;, &lt;i&gt;&lt;i&gt;flaming&lt;/i&gt; sphere&lt;/i&gt;, or &lt;i&gt;incendiary cloud&lt;/i&gt;). Even if you fail to extinguish a fire, you are not harmed by it. A &lt;i&gt;flaming&lt;/i&gt; or &lt;i&gt;flaming&lt;/i&gt; burst weapon that strikes you has its power suppressed for 1d4 rounds if the wielder fails a Fortitude save.&lt;/p&gt;</t>
  </si>
  <si>
    <t>&lt;link rel="stylesheet"href="PF.css"&gt;&lt;div class="heading"&gt;&lt;p class="alignleft"&gt;Seamantle&lt;/p&gt;&lt;div style="clear: both;"&gt;&lt;/div&gt;&lt;/div&gt;&lt;div&gt;&lt;h5&gt;&lt;b&gt;School &lt;/b&gt;conjuration (creation) [water]; &lt;b&gt;Level &lt;/b&gt;druid 8, sorcerer/wizard 8&lt;/h5&gt;&lt;/div&gt;&lt;hr/&gt;&lt;div&gt;&lt;h5&gt;&lt;b&gt;CASTING&lt;/b&gt;&lt;/h5&gt;&lt;/div&gt;&lt;hr/&gt;&lt;div&gt;&lt;h5&gt;&lt;b&gt;Casting Time &lt;/b&gt;1 standard action&lt;/h5&gt;&lt;h5&gt;&lt;b&gt;Components &lt;/b&gt;V, S, M (a cup of water)&lt;/h5&gt;&lt;/div&gt;&lt;hr/&gt;&lt;div&gt;&lt;h5&gt;&lt;b&gt;EFFECT&lt;/b&gt;&lt;/h5&gt;&lt;/div&gt;&lt;hr/&gt;&lt;div&gt;&lt;h5&gt;&lt;b&gt;Range &lt;/b&gt;personal&lt;/h5&gt;&lt;h5&gt;&lt;b&gt;Targets &lt;/b&gt;you&lt;/h5&gt;&lt;h5&gt;&lt;b&gt;Duration &lt;/b&gt;1 minute/level&lt;/h5&gt;&lt;/div&gt;&lt;hr/&gt;&lt;div&gt;&lt;h5&gt;&lt;b&gt;DESCRIPTION&lt;/b&gt;&lt;/h5&gt;&lt;/div&gt;&lt;hr/&gt;&lt;div&gt;&lt;h4&gt;&lt;p&gt;You sheathe yourself within a churning column of pure elemental water up to 30 feet high that fills your space. You gain a swim speed equal to your land speed and can see, hear, and breathe normally within the &lt;i&gt;seamantle&lt;/i&gt;, but attacks against you are treated as if you were under the surface of the water. You gain improved cover (+8 cover bonus to AC, +4 bonus on Reflex saves) against foes that do not have &lt;i&gt;freedom of movement&lt;/i&gt; effects. The cover granted by the &lt;i&gt;seamantle&lt;/i&gt; does not enable you to make Stealth checks or prevent attacks of opportunity. Magical attacks against you are unaffected unless they require attack rolls or state that they do not function underwater (such as &lt;i&gt;cloudkill&lt;/i&gt;).&lt;/p&gt;&lt;p&gt;The &lt;i&gt;seamantle&lt;/i&gt; blocks line of effect for any fire spell or supernatural fire effect, but enemies can attempt to use fire spells within the &lt;i&gt;seamantle&lt;/i&gt;; this requires a caster level check (DC 20 + spell level), and if successful the fire spell takes as a bubble of steam contained within the &lt;i&gt;seamantle&lt;/i&gt; rather than its usual effect.&lt;/p&gt;&lt;p&gt;The &lt;i&gt;seamantle&lt;/i&gt; allows you to make a slam attack by forming a pseudopod of water, inflicting damage appropriate for your size. This slam attack has a reach of 30 feet. In addition, as a standard action, you can attempt to extinguish fires by touch.&lt;/p&gt;&lt;p&gt;You automatically extinguish up to a 10-foot cube of normal fire. Against magical fire effects, your touch acts as &lt;i&gt;dispel magic&lt;/i&gt;; this also applies to any non-instantaneous fire affect that comes into contact with you (such as &lt;i&gt;flame blade&lt;/i&gt;, &lt;i&gt;&lt;i&gt;flaming&lt;/i&gt; sphere&lt;/i&gt;, or &lt;i&gt;incendiary cloud&lt;/i&gt;). Even if you fail to extinguish a fire, you are not harmed by it. A &lt;i&gt;flaming&lt;/i&gt; or &lt;i&gt;flaming&lt;/i&gt; burst weapon that strikes you has its power suppressed for 1d4 rounds if the wielder fails a Fortitude save.&lt;/p&gt;&lt;/h4&gt;&lt;/div&gt;</t>
  </si>
  <si>
    <t>Sheathes you in protective water.</t>
  </si>
  <si>
    <t>Seek Thoughts</t>
  </si>
  <si>
    <t>alchemist 3, bard 3, inquisitor 3, sorcerer/wizard 3, summoner 3, witch 3</t>
  </si>
  <si>
    <t>V, S, M (a handful of copper coins)</t>
  </si>
  <si>
    <t>Similar to detect thoughts, seek thoughts allows you to sift through the surface thoughts of those around you. You may scan for either the answer to a simple question (such as "Where is the hidden lair of the wererats?") or for information on a general topic (such as the beliefs of an evil cult). You detect the number of creatures who are thinking about this question or topic within range, as well as their location if they are visible to you. Seek thoughts does not let you read actual surface thoughts, only if a given creature is thinking about the topic you are concentrating on. A successful Will save prevents you from sensing a creature's thoughts for the duration of the spell. You can maintain concentration on seek thoughts while you engage in normal conversation, allowing you to ask leading questions about topics of interest. A creature conversing with you while you concentrate can notice that you are distracted with a successful DC 25 Sense Motive check.</t>
  </si>
  <si>
    <t>&lt;p&gt;Similar to &lt;i&gt;detect thoughts&lt;/i&gt;, &lt;i&gt;seek thoughts&lt;/i&gt; allows you to sift through the surface thoughts of those around you. You may scan for either the answer to a simple question (such as "Where is the hidden lair of the wererats?") or for information on a general topic (such as the beliefs of an evil cult). You detect the number of creatures who are thinking about this question or topic within range, as well as their location if they are visible to you. &lt;i&gt;Seek thoughts&lt;/i&gt; does not let you read actual surface thoughts, only if a given creature is thinking about the topic you are concentrating on. A successful Will save prevents you from sensing a creature's thoughts for the duration of the spell.&lt;/p&gt;&lt;p&gt;You can maintain concentration on &lt;i&gt;seek thoughts&lt;/i&gt; while you engage in normal conversation, allowing you to ask leading questions about topics of interest. A creature conversing with you while you concentrate can notice that you are distracted with a successful DC 25 Sense Motive check.&lt;/p&gt;</t>
  </si>
  <si>
    <t>&lt;link rel="stylesheet"href="PF.css"&gt;&lt;div class="heading"&gt;&lt;p class="alignleft"&gt;Seek Thoughts&lt;/p&gt;&lt;div style="clear: both;"&gt;&lt;/div&gt;&lt;/div&gt;&lt;div&gt;&lt;h5&gt;&lt;b&gt;School &lt;/b&gt;divination [mind-affecting]; &lt;b&gt;Level &lt;/b&gt;alchemist 3, bard 3, inquisitor 3, sorcerer/wizard 3, summoner 3, witch 3&lt;/h5&gt;&lt;/div&gt;&lt;hr/&gt;&lt;div&gt;&lt;h5&gt;&lt;b&gt;CASTING&lt;/b&gt;&lt;/h5&gt;&lt;/div&gt;&lt;hr/&gt;&lt;div&gt;&lt;h5&gt;&lt;b&gt;Casting Time &lt;/b&gt;1 standard action&lt;/h5&gt;&lt;h5&gt;&lt;b&gt;Components &lt;/b&gt;V, S, M (a handful of copper coins)&lt;/h5&gt;&lt;/div&gt;&lt;hr/&gt;&lt;div&gt;&lt;h5&gt;&lt;b&gt;EFFECT&lt;/b&gt;&lt;/h5&gt;&lt;/div&gt;&lt;hr/&gt;&lt;div&gt;&lt;h5&gt;&lt;b&gt;Range &lt;/b&gt;40 ft.&lt;/h5&gt;&lt;h5&gt;&lt;b&gt;Area &lt;/b&gt;40-ft.-radius emanation centered on you&lt;/h5&gt;&lt;h5&gt;&lt;b&gt;Duration &lt;/b&gt;concentration, up to 1 minute/level&lt;/h5&gt;&lt;h5&gt;&lt;b&gt;Saving Throw &lt;/b&gt;Will negates; &lt;b&gt;Spell Resistance &lt;/b&gt;no&lt;/h5&gt;&lt;/div&gt;&lt;hr/&gt;&lt;div&gt;&lt;h5&gt;&lt;b&gt;DESCRIPTION&lt;/b&gt;&lt;/h5&gt;&lt;/div&gt;&lt;hr/&gt;&lt;div&gt;&lt;h4&gt;&lt;p&gt;Similar to &lt;i&gt;detect thoughts&lt;/i&gt;, &lt;i&gt;seek thoughts&lt;/i&gt; allows you to sift through the surface thoughts of those around you. You may scan for either the answer to a simple question (such as "Where is the hidden lair of the wererats?") or for information on a general topic (such as the beliefs of an evil cult). You detect the number of creatures who are thinking about this question or topic within range, as well as their location if they are visible to you. &lt;i&gt;Seek thoughts&lt;/i&gt; does not let you read actual surface thoughts, only if a given creature is thinking about the topic you are concentrating on. A successful Will save prevents you from sensing a creature's thoughts for the duration of the spell.&lt;/p&gt;&lt;p&gt;You can maintain concentration on &lt;i&gt;seek thoughts&lt;/i&gt; while you engage in normal conversation, allowing you to ask leading questions about topics of interest. A creature conversing with you while you concentrate can notice that you are distracted with a successful DC 25 Sense Motive check.&lt;/p&gt;&lt;/h4&gt;&lt;/div&gt;</t>
  </si>
  <si>
    <t>Thought</t>
  </si>
  <si>
    <t>Detects thinking creatures' thoughts.</t>
  </si>
  <si>
    <t>Share Language</t>
  </si>
  <si>
    <t>bard 1, cleric 2/oracle 2, druid 2, sorcerer/wizard 2</t>
  </si>
  <si>
    <t>V, S, M (a page from a dictionary)</t>
  </si>
  <si>
    <t>You can share your facility for one particular language with another creature. For 24 hours the target can read, understand, and communicate to the best of its ability in any one language which you already know. For every 5 levels you possess, you can grant the use of another language you know, to a maximum of 5 languages at 20th level. The target must have the physical capacity to articulate sounds, make gestures, or engage in whatever other method speakers of the language use to communicate with each other in order to actually converse. If the target lacks the mental capacity to grasp an actual language it still gains enough knowledge to respond to and carry out even extremely complex commands or suggestions coached in the language (whether written or spoken). However, since this spell does not endow the target with greater reasoning capacity, merely a temporarily enhanced vocabulary, the person offering up instructions to non-sentient creatures must take care to remove any ambiguity or guesswork. Similarly, this spell does not affect the basic nature of the target, or its disposition toward you or anyone else, so convincing it to actually carry out these instructions could require negotiation, threats, or outright bribery.</t>
  </si>
  <si>
    <t>&lt;p&gt;You can share your facility for one particular language with another creature. For 24 hours the target can read, understand, and communicate to the best of its ability in any one language which you already know. For every 5 levels you possess, you can grant the use of another language you know, to a maximum of 5 languages at 20th level. The target must have the physical capacity to articulate sounds, make gestures, or engage in whatever other method speakers of the language use to communicate with each other in order to actually converse. If the target lacks the mental capacity to grasp an actual language it still gains enough knowledge to respond to and carry out even extremely complex commands or suggestions coached in the language (whether written or spoken). However, since this spell does not endow the target with greater reasoning capacity, merely a temporarily enhanced vocabulary, the person offering up instructions to non-sentient creatures must take care to remove any ambiguity or guesswork.&lt;/p&gt;&lt;p&gt;Similarly, this spell does not affect the basic nature of the target, or its disposition toward you or anyone else, so convincing it to actually carry out these instructions could require negotiation, threats, or outright bribery.&lt;/p&gt;</t>
  </si>
  <si>
    <t>&lt;link rel="stylesheet"href="PF.css"&gt;&lt;div class="heading"&gt;&lt;p class="alignleft"&gt;Share Language&lt;/p&gt;&lt;div style="clear: both;"&gt;&lt;/div&gt;&lt;/div&gt;&lt;div&gt;&lt;h5&gt;&lt;b&gt;School &lt;/b&gt;divination; &lt;b&gt;Level &lt;/b&gt;bard 1, cleric 2/oracle 2, druid 2, sorcerer/wizard 2&lt;/h5&gt;&lt;/div&gt;&lt;hr/&gt;&lt;div&gt;&lt;h5&gt;&lt;b&gt;CASTING&lt;/b&gt;&lt;/h5&gt;&lt;/div&gt;&lt;hr/&gt;&lt;div&gt;&lt;h5&gt;&lt;b&gt;Casting Time &lt;/b&gt;1 standard action&lt;/h5&gt;&lt;h5&gt;&lt;b&gt;Components &lt;/b&gt;V, S, M (a page from a dictionary)&lt;/h5&gt;&lt;/div&gt;&lt;hr/&gt;&lt;div&gt;&lt;h5&gt;&lt;b&gt;EFFECT&lt;/b&gt;&lt;/h5&gt;&lt;/div&gt;&lt;hr/&gt;&lt;div&gt;&lt;h5&gt;&lt;b&gt;Range &lt;/b&gt;touch&lt;/h5&gt;&lt;h5&gt;&lt;b&gt;Targets &lt;/b&gt;creature touched&lt;/h5&gt;&lt;h5&gt;&lt;b&gt;Duration &lt;/b&gt;24 hours&lt;/h5&gt;&lt;h5&gt;&lt;b&gt;Saving Throw &lt;/b&gt;Will negates (harmless); &lt;b&gt;Spell Resistance &lt;/b&gt;yes (harmless)&lt;/h5&gt;&lt;/div&gt;&lt;hr/&gt;&lt;div&gt;&lt;h5&gt;&lt;b&gt;DESCRIPTION&lt;/b&gt;&lt;/h5&gt;&lt;/div&gt;&lt;hr/&gt;&lt;div&gt;&lt;h4&gt;&lt;p&gt;You can share your facility for one particular language with another creature. For 24 hours the target can read, understand, and communicate to the best of its ability in any one language which you already know. For every 5 levels you possess, you can grant the use of another language you know, to a maximum of 5 languages at 20th level. The target must have the physical capacity to articulate sounds, make gestures, or engage in whatever other method speakers of the language use to communicate with each other in order to actually converse. If the target lacks the mental capacity to grasp an actual language it still gains enough knowledge to respond to and carry out even extremely complex commands or suggestions coached in the language (whether written or spoken). However, since this spell does not endow the target with greater reasoning capacity, merely a temporarily enhanced vocabulary, the person offering up instructions to non-sentient creatures must take care to remove any ambiguity or guesswork.&lt;/p&gt;&lt;p&gt;Similarly, this spell does not affect the basic nature of the target, or its disposition toward you or anyone else, so convincing it to actually carry out these instructions could require negotiation, threats, or outright bribery.&lt;/p&gt;&lt;/h4&gt;&lt;/div&gt;</t>
  </si>
  <si>
    <t>Language</t>
  </si>
  <si>
    <t>Subject understands chosen language.</t>
  </si>
  <si>
    <t>Shadow Projection</t>
  </si>
  <si>
    <t>With this spell, you infuse your life force and psyche into your shadow, giving it independent life and movement as if it were an undead shadow (see Pathfinder RPG Bestiary 245). Your physical body lies comatose while you are projecting your shadow, and your body has no shadow or reflection while the spell is in effect. While projecting your shadow, you gain a shadow's darkvision, defensive abilities, fly speed, racial stealth modifier, and strength damage attack. You do not gain the creature's create spawn ability, nor its skill ranks or Hit Dice. Your shadow has Hit Dice and hit points equal to your own. Your shadow projection has the undead type and may be turned or affected as undead. If your shadow projection is slain, you return to your physical body and are immediately reduced to -1 hit points. Your condition becomes dying, and you must begin making Constitution checks to stabilize.</t>
  </si>
  <si>
    <t>&lt;p&gt;With this spell, you infuse your life force and psyche into your shadow, giving it independent life and movement as if it were an undead shadow (see &lt;i&gt;Pathfinder RPG Bestiary&lt;/i&gt; 245). Your physical body lies comatose while you are projecting your shadow, and your body has no shadow or reflection while the spell is in effect.&lt;/p&gt;&lt;p&gt;While projecting your shadow, you gain a shadow's darkvision, defensive abilities, fly speed, racial stealth modifier, and strength damage attack. You do not gain the creature's &lt;i&gt;create spawn&lt;/i&gt; ability, nor its skill ranks or Hit Dice.&lt;/p&gt;&lt;p&gt;Your shadow has Hit Dice and hit points equal to your own.&lt;/p&gt;&lt;p&gt;Your &lt;i&gt;shadow projection&lt;/i&gt; has the undead type and may be turned or affected as undead.&lt;/p&gt;&lt;p&gt;If your &lt;i&gt;shadow projection&lt;/i&gt; is slain, you return to your physical body and are immediately reduced to -1 hit points.&lt;/p&gt;&lt;p&gt;Your condition becomes dying, and you must begin making Constitution checks to stabilize.&lt;/p&gt;</t>
  </si>
  <si>
    <t>&lt;link rel="stylesheet"href="PF.css"&gt;&lt;div class="heading"&gt;&lt;p class="alignleft"&gt;Shadow Projection&lt;/p&gt;&lt;div style="clear: both;"&gt;&lt;/div&gt;&lt;/div&gt;&lt;div&gt;&lt;h5&gt;&lt;b&gt;School &lt;/b&gt;necromancy [evil]; &lt;b&gt;Level &lt;/b&gt;sorcerer/wizard 4&lt;/h5&gt;&lt;/div&gt;&lt;hr/&gt;&lt;div&gt;&lt;h5&gt;&lt;b&gt;CASTING&lt;/b&gt;&lt;/h5&gt;&lt;/div&gt;&lt;hr/&gt;&lt;div&gt;&lt;h5&gt;&lt;b&gt;Casting Time &lt;/b&gt;1 minute&lt;/h5&gt;&lt;h5&gt;&lt;b&gt;Components &lt;/b&gt;S&lt;/h5&gt;&lt;/div&gt;&lt;hr/&gt;&lt;div&gt;&lt;h5&gt;&lt;b&gt;EFFECT&lt;/b&gt;&lt;/h5&gt;&lt;/div&gt;&lt;hr/&gt;&lt;div&gt;&lt;h5&gt;&lt;b&gt;Range &lt;/b&gt;personal&lt;/h5&gt;&lt;h5&gt;&lt;b&gt;Targets &lt;/b&gt;you&lt;/h5&gt;&lt;h5&gt;&lt;b&gt;Duration &lt;/b&gt;1 hour/level (D)&lt;/h5&gt;&lt;/div&gt;&lt;hr/&gt;&lt;div&gt;&lt;h5&gt;&lt;b&gt;DESCRIPTION&lt;/b&gt;&lt;/h5&gt;&lt;/div&gt;&lt;hr/&gt;&lt;div&gt;&lt;h4&gt;&lt;p&gt;With this spell, you infuse your life force and psyche into your shadow, giving it independent life and movement as if it were an undead shadow (see &lt;i&gt;Pathfinder RPG Bestiary&lt;/i&gt; 245). Your physical body lies comatose while you are projecting your shadow, and your body has no shadow or reflection while the spell is in effect.&lt;/p&gt;&lt;p&gt;While projecting your shadow, you gain a shadow's darkvision, defensive abilities, fly speed, racial stealth modifier, and strength damage attack. You do not gain the creature's &lt;i&gt;create spawn&lt;/i&gt; ability, nor its skill ranks or Hit Dice.&lt;/p&gt;&lt;p&gt;Your shadow has Hit Dice and hit points equal to your own.&lt;/p&gt;&lt;p&gt;Your &lt;i&gt;shadow projection&lt;/i&gt; has the undead type and may be turned or affected as undead.&lt;/p&gt;&lt;p&gt;If your &lt;i&gt;shadow projection&lt;/i&gt; is slain, you return to your physical body and are immediately reduced to -1 hit points.&lt;/p&gt;&lt;p&gt;Your condition becomes dying, and you must begin making Constitution checks to stabilize.&lt;/p&gt;&lt;/h4&gt;&lt;/div&gt;</t>
  </si>
  <si>
    <t>Temporarily become a shadow.</t>
  </si>
  <si>
    <t>Share Senses</t>
  </si>
  <si>
    <t>sorcerer/wizard 4, witch 3</t>
  </si>
  <si>
    <t>V, S, M (a hair, scale, or feather from your familiar)</t>
  </si>
  <si>
    <t>your familiar</t>
  </si>
  <si>
    <t>Spending a moment in meditation and conjuring an image of the creature to mind, you reshape your link with your familiar, causing it to functions like a scrying sensor. Upon this spell you can hear, see, or smell (any one, your choice) what your familiar is experiencing. You gain the benefits of any nonmagical special abilities your familiar has tied to the chosen sense (such as low-light vision or scent), but use your own Perception skill. You don't need line of sight or line of effect to your familiar, but you must have an active empathic link. You may change the sense you are sharing as a standard action. Unlike other scrying spells, share senses does not allow magically or supernaturally enhanced senses to work through it, and you are unable to see in magical or natural darkness unless your familiar possesses the ability to see in such conditions. The sensory link with your familiar can be detected as though it were a scrying sensor.</t>
  </si>
  <si>
    <t>&lt;p&gt;Spending a moment in meditation and conjuring an image of the creature to mind, you reshape your link with your familiar, causing it to functions like a scrying sensor. Upon this spell you can hear, see, or smell (any one, your choice) what your familiar is experiencing. You gain the benefits of any nonmagical special abilities your familiar has tied to the chosen sense (such as low-light vision or scent), but use your own Perception skill. You don't need line of sight or line of effect to your familiar, but you must have an active empathic link. You may change the sense you are sharing as a standard action. Unlike other scrying spells, share senses does not allow magically or supernaturally enhanced senses to work through it, and you are unable to see in magical or natural darkness unless your familiar possesses the ability to see in such conditions.&lt;/p&gt;&lt;p&gt;The sensory link with your familiar can be detected as though it were a scrying sensor.&lt;/p&gt;</t>
  </si>
  <si>
    <t>&lt;link rel="stylesheet"href="PF.css"&gt;&lt;div class="heading"&gt;&lt;p class="alignleft"&gt;Share Senses&lt;/p&gt;&lt;div style="clear: both;"&gt;&lt;/div&gt;&lt;/div&gt;&lt;div&gt;&lt;h5&gt;&lt;b&gt;School &lt;/b&gt;divination (scrying); &lt;b&gt;Level &lt;/b&gt;sorcerer/wizard 4, witch 3&lt;/h5&gt;&lt;/div&gt;&lt;hr/&gt;&lt;div&gt;&lt;h5&gt;&lt;b&gt;CASTING&lt;/b&gt;&lt;/h5&gt;&lt;/div&gt;&lt;hr/&gt;&lt;div&gt;&lt;h5&gt;&lt;b&gt;Casting Time &lt;/b&gt;1 full round&lt;/h5&gt;&lt;h5&gt;&lt;b&gt;Components &lt;/b&gt;V, S, M (a hair, scale, or feather from your familiar)&lt;/h5&gt;&lt;/div&gt;&lt;hr/&gt;&lt;div&gt;&lt;h5&gt;&lt;b&gt;EFFECT&lt;/b&gt;&lt;/h5&gt;&lt;/div&gt;&lt;hr/&gt;&lt;div&gt;&lt;h5&gt;&lt;b&gt;Range &lt;/b&gt;long (400 ft. + 40 ft./level)&lt;/h5&gt;&lt;h5&gt;&lt;b&gt;Targets &lt;/b&gt;your familiar&lt;/h5&gt;&lt;h5&gt;&lt;b&gt;Duration &lt;/b&gt;1 minute/level (D)&lt;/h5&gt;&lt;h5&gt;&lt;b&gt;Saving Throw &lt;/b&gt;Will negates (harmless); &lt;b&gt;Spell Resistance &lt;/b&gt;yes (harmless)&lt;/h5&gt;&lt;/div&gt;&lt;hr/&gt;&lt;div&gt;&lt;h5&gt;&lt;b&gt;DESCRIPTION&lt;/b&gt;&lt;/h5&gt;&lt;/div&gt;&lt;hr/&gt;&lt;div&gt;&lt;h4&gt;&lt;p&gt;Spending a moment in meditation and conjuring an image of the creature to mind, you reshape your link with your familiar, causing it to functions like a scrying sensor. Upon this spell you can hear, see, or smell (any one, your choice) what your familiar is experiencing. You gain the benefits of any nonmagical special abilities your familiar has tied to the chosen sense (such as low-light vision or scent), but use your own Perception skill. You don't need line of sight or line of effect to your familiar, but you must have an active empathic link. You may change the sense you are sharing as a standard action. Unlike other scrying spells, share senses does not allow magically or supernaturally enhanced senses to work through it, and you are unable to see in magical or natural darkness unless your familiar possesses the ability to see in such conditions.&lt;/p&gt;&lt;p&gt;The sensory link with your familiar can be detected as though it were a scrying sensor.&lt;/p&gt;&lt;/h4&gt;&lt;/div&gt;</t>
  </si>
  <si>
    <t>See/hear/smell what your familiar is.</t>
  </si>
  <si>
    <t>Shifting Sand</t>
  </si>
  <si>
    <t>V, S, M (a handful of sand)</t>
  </si>
  <si>
    <t>20-ft. spread</t>
  </si>
  <si>
    <t>You cause an earthen or sandy surface to shift and churn within the area. The shifting sand obliterates tracks and is considered difficult terrain. Acrobatics checks in the area take a penalty equal to your caster level (maximum +10). Creatures entering or beginning their turn in the shifting sand must make a Reflex save each round or become entangled until the beginning of their next turn. If they attempt to move while entangled, they must make a second Reflex save or fall prone. Creatures with the stability racial trait (like dwarves) may apply it as a bonus on their saving throws. As a move action, you may move the area of shifting sand up to 10 feet in any direction. Creatures that are entangled or prone in the spell's area are carried along with the shifting sand in the same direction if possible. This movement does not provoke attacks of opportunity. Unattended Medium or smaller objects may also be carried along or shallowly buried by the shifting sand.</t>
  </si>
  <si>
    <t>&lt;p&gt;You cause an earthen or sandy surface to shift and churn within the area. The &lt;i&gt;shifting sand&lt;/i&gt; obliterates tracks and is considered difficult terrain. Acrobatics checks in the area take a penalty equal to your caster level (maximum +10). Creatures entering or beginning their turn in the &lt;i&gt;shifting sand&lt;/i&gt; must make a Reflex save each round or become entangled until the beginning of their next turn. If they attempt to move while entangled, they must make a second Reflex save or fall prone. Creatures with the stability racial trait (like dwarves) may apply it as a bonus on their saving throws.&lt;/p&gt;&lt;p&gt;As a move action, you may move the area of &lt;i&gt;shifting sand&lt;/i&gt; up to 10 feet in any direction. Creatures that are entangled or prone in the spell's area are carried along with the &lt;i&gt;shifting sand&lt;/i&gt; in the same direction if possible. This movement does not provoke attacks of opportunity. Unattended Medium or smaller objects may also be carried along or shallowly buried by the &lt;i&gt;shifting sand&lt;/i&gt;.&lt;/p&gt;</t>
  </si>
  <si>
    <t>&lt;link rel="stylesheet"href="PF.css"&gt;&lt;div class="heading"&gt;&lt;p class="alignleft"&gt;Shifting Sand&lt;/p&gt;&lt;div style="clear: both;"&gt;&lt;/div&gt;&lt;/div&gt;&lt;div&gt;&lt;h5&gt;&lt;b&gt;School &lt;/b&gt;transmutation [earth]; &lt;b&gt;Level &lt;/b&gt;druid 3, sorcerer/wizard 3&lt;/h5&gt;&lt;/div&gt;&lt;hr/&gt;&lt;div&gt;&lt;h5&gt;&lt;b&gt;CASTING&lt;/b&gt;&lt;/h5&gt;&lt;/div&gt;&lt;hr/&gt;&lt;div&gt;&lt;h5&gt;&lt;b&gt;Casting Time &lt;/b&gt;1 standard action&lt;/h5&gt;&lt;h5&gt;&lt;b&gt;Components &lt;/b&gt;V, S, M (a handful of sand)&lt;/h5&gt;&lt;/div&gt;&lt;hr/&gt;&lt;div&gt;&lt;h5&gt;&lt;b&gt;EFFECT&lt;/b&gt;&lt;/h5&gt;&lt;/div&gt;&lt;hr/&gt;&lt;div&gt;&lt;h5&gt;&lt;b&gt;Range &lt;/b&gt;medium (100 ft. + 10 ft./level)&lt;/h5&gt;&lt;h5&gt;&lt;b&gt;Area &lt;/b&gt;20-ft. spread&lt;/h5&gt;&lt;h5&gt;&lt;b&gt;Duration &lt;/b&gt;1 round/level (D)&lt;/h5&gt;&lt;h5&gt;&lt;b&gt;Saving Throw &lt;/b&gt;Reflex negates; see text; &lt;b&gt;Spell Resistance &lt;/b&gt;no&lt;/h5&gt;&lt;/div&gt;&lt;hr/&gt;&lt;div&gt;&lt;h5&gt;&lt;b&gt;DESCRIPTION&lt;/b&gt;&lt;/h5&gt;&lt;/div&gt;&lt;hr/&gt;&lt;div&gt;&lt;h4&gt;&lt;p&gt;You cause an earthen or sandy surface to shift and churn within the area. The &lt;i&gt;shifting sand&lt;/i&gt; obliterates tracks and is considered difficult terrain. Acrobatics checks in the area take a penalty equal to your caster level (maximum +10). Creatures entering or beginning their turn in the &lt;i&gt;shifting sand&lt;/i&gt; must make a Reflex save each round or become entangled until the beginning of their next turn. If they attempt to move while entangled, they must make a second Reflex save or fall prone. Creatures with the stability racial trait (like dwarves) may apply it as a bonus on their saving throws.&lt;/p&gt;&lt;p&gt;As a move action, you may move the area of &lt;i&gt;shifting sand&lt;/i&gt; up to 10 feet in any direction. Creatures that are entangled or prone in the spell's area are carried along with the &lt;i&gt;shifting sand&lt;/i&gt; in the same direction if possible. This movement does not provoke attacks of opportunity. Unattended Medium or smaller objects may also be carried along or shallowly buried by the &lt;i&gt;shifting sand&lt;/i&gt;.&lt;/p&gt;&lt;/h4&gt;&lt;/div&gt;</t>
  </si>
  <si>
    <t>Creates difficult terrain and erases tracks, can carry along some creatures and objects.</t>
  </si>
  <si>
    <t>Shared Wrath</t>
  </si>
  <si>
    <t>V, S, M (a thorny vine)</t>
  </si>
  <si>
    <t>up to one creature/level, no two of which can be more than 30 ft. apart</t>
  </si>
  <si>
    <t>This spell functions as wrath, except that you grant multiple creatures the bonuses against your designated foe. All subjects of shared wrath receive their bonuses against the same creature.</t>
  </si>
  <si>
    <t>&lt;p&gt;This spell functions as &lt;i&gt;wrath&lt;/i&gt;, except that you grant multiple creatures the bonuses against your designated foe. All subjects of shared &lt;i&gt;wrath&lt;/i&gt; receive their bonuses against the same creature.&lt;/p&gt;</t>
  </si>
  <si>
    <t>&lt;link rel="stylesheet"href="PF.css"&gt;&lt;div class="heading"&gt;&lt;p class="alignleft"&gt;Shared Wrath&lt;/p&gt;&lt;div style="clear: both;"&gt;&lt;/div&gt;&lt;/div&gt;&lt;div&gt;&lt;h5&gt;&lt;b&gt;School &lt;/b&gt;enchantment (compulsion) [mind-affecting, emotion]; &lt;b&gt;Level &lt;/b&gt;inquisitor 4&lt;/h5&gt;&lt;/div&gt;&lt;hr/&gt;&lt;div&gt;&lt;h5&gt;&lt;b&gt;CASTING&lt;/b&gt;&lt;/h5&gt;&lt;/div&gt;&lt;hr/&gt;&lt;div&gt;&lt;h5&gt;&lt;b&gt;Casting Time &lt;/b&gt;1 standard action&lt;/h5&gt;&lt;h5&gt;&lt;b&gt;Components &lt;/b&gt;V, S, M (a thorny vine)&lt;/h5&gt;&lt;/div&gt;&lt;hr/&gt;&lt;div&gt;&lt;h5&gt;&lt;b&gt;EFFECT&lt;/b&gt;&lt;/h5&gt;&lt;/div&gt;&lt;hr/&gt;&lt;div&gt;&lt;h5&gt;&lt;b&gt;Range &lt;/b&gt;close (25 ft. + 5 ft./2 levels)&lt;/h5&gt;&lt;h5&gt;&lt;b&gt;Targets &lt;/b&gt;up to one creature/level, no two of which can be more than 30 ft. apart&lt;/h5&gt;&lt;h5&gt;&lt;b&gt;Duration &lt;/b&gt;1 minute&lt;/h5&gt;&lt;h5&gt;&lt;b&gt;Saving Throw &lt;/b&gt;Will negates (harmless); &lt;b&gt;Spell Resistance &lt;/b&gt;yes (harmless)&lt;/h5&gt;&lt;/div&gt;&lt;hr/&gt;&lt;div&gt;&lt;h5&gt;&lt;b&gt;DESCRIPTION&lt;/b&gt;&lt;/h5&gt;&lt;/div&gt;&lt;hr/&gt;&lt;div&gt;&lt;h4&gt;&lt;p&gt;This spell functions as &lt;i&gt;wrath&lt;/i&gt;, except that you grant multiple creatures the bonuses against your designated foe. All subjects of shared &lt;i&gt;wrath&lt;/i&gt; receive their bonuses against the same creature.&lt;/p&gt;&lt;/h4&gt;&lt;/div&gt;</t>
  </si>
  <si>
    <t>As wrath, but affects multiple creatures.</t>
  </si>
  <si>
    <t>Sift</t>
  </si>
  <si>
    <t>bard 0, inquisitor 0</t>
  </si>
  <si>
    <t>one 10-ft. cube</t>
  </si>
  <si>
    <t>You examine an area at range as if you were searching for fine details with the Perception skill. Make a Perception check with a -5 penalty, modified as normal for conditions. No penalty is applied for distance. Apply the result against the DC for any hidden features, such as secret doors, traps, or hidden treasure. You must be able to see the area you are attempting to search, and you only find details that can be perceived with sight or touch. Sift detects only objects and features, not actual creatures.</t>
  </si>
  <si>
    <t>&lt;p&gt;You examine an area at range as if you were searching for fine details with the Perception skill. Make a Perception check with a -5 penalty, modified as normal for conditions. No penalty is applied for distance. Apply the result against the DC for any hidden features, such as secret doors, traps, or hidden treasure. You must be able to see the area you are attempting to search, and you only find details that can be perceived with sight or touch. &lt;i&gt;Sift&lt;/i&gt; detects only objects and features, not actual creatures.&lt;/p&gt;</t>
  </si>
  <si>
    <t>&lt;link rel="stylesheet"href="PF.css"&gt;&lt;div class="heading"&gt;&lt;p class="alignleft"&gt;Sift&lt;/p&gt;&lt;div style="clear: both;"&gt;&lt;/div&gt;&lt;/div&gt;&lt;div&gt;&lt;h5&gt;&lt;b&gt;School &lt;/b&gt;divination; &lt;b&gt;Level &lt;/b&gt;bard 0, inquisitor 0&lt;/h5&gt;&lt;/div&gt;&lt;hr/&gt;&lt;div&gt;&lt;h5&gt;&lt;b&gt;CASTING&lt;/b&gt;&lt;/h5&gt;&lt;/div&gt;&lt;hr/&gt;&lt;div&gt;&lt;h5&gt;&lt;b&gt;Casting Time &lt;/b&gt;1 standard action&lt;/h5&gt;&lt;h5&gt;&lt;b&gt;Components &lt;/b&gt;V, S&lt;/h5&gt;&lt;/div&gt;&lt;hr/&gt;&lt;div&gt;&lt;h5&gt;&lt;b&gt;EFFECT&lt;/b&gt;&lt;/h5&gt;&lt;/div&gt;&lt;hr/&gt;&lt;div&gt;&lt;h5&gt;&lt;b&gt;Range &lt;/b&gt;30 ft.&lt;/h5&gt;&lt;h5&gt;&lt;b&gt;Area &lt;/b&gt;one 10-ft. cube&lt;/h5&gt;&lt;h5&gt;&lt;b&gt;Duration &lt;/b&gt;instantaneous&lt;/h5&gt;&lt;h5&gt;&lt;b&gt;Saving Throw &lt;/b&gt;none; &lt;b&gt;Spell Resistance &lt;/b&gt;no&lt;/h5&gt;&lt;/div&gt;&lt;hr/&gt;&lt;div&gt;&lt;h5&gt;&lt;b&gt;DESCRIPTION&lt;/b&gt;&lt;/h5&gt;&lt;/div&gt;&lt;hr/&gt;&lt;div&gt;&lt;h4&gt;&lt;p&gt;You examine an area at range as if you were searching for fine details with the Perception skill. Make a Perception check with a -5 penalty, modified as normal for conditions. No penalty is applied for distance. Apply the result against the DC for any hidden features, such as secret doors, traps, or hidden treasure. You must be able to see the area you are attempting to search, and you only find details that can be perceived with sight or touch. &lt;i&gt;Sift&lt;/i&gt; detects only objects and features, not actual creatures.&lt;/p&gt;&lt;/h4&gt;&lt;/div&gt;</t>
  </si>
  <si>
    <t>See area as though examining it.</t>
  </si>
  <si>
    <t>Sirocco</t>
  </si>
  <si>
    <t>air, fire</t>
  </si>
  <si>
    <t>druid 6, sorcerer/wizard 6, magus 6</t>
  </si>
  <si>
    <t>V, S, M/DF (handful of fine sand cast into the air)</t>
  </si>
  <si>
    <t>cylinder (20-ft. radius, 60 ft. high)</t>
  </si>
  <si>
    <t>A blast of furnace-hot wind blasts downward, inflicting 4d6 fire damage +1 point per caster level to all creatures in the area and knocking them prone. A successful Fortitude save halves the fire damage and negates being knocked prone. Flying creatures forced into the ground by the powerful downdraft take damage as if they fell unless they make a DC 15 Fly check, in which case they remain at their original altitude. Any creature that takes damage from a sirocco becomes fatigued (or exhausted, if already fatigued, such as from a previous round of exposure to a sirocco spell). Creatures with the water subtype take a -4 penalty on all saving throws against this spell and take double normal damage.</t>
  </si>
  <si>
    <t>&lt;p&gt;A blast of furnace-hot wind blasts downward, inflicting 4d6 fire damage +1 point per caster level to all creatures in the area and knocking them prone. A successful Fortitude save halves the fire damage and negates being knocked prone. Flying creatures forced into the ground by the powerful downdraft take damage as if they fell unless they make a DC 15 Fly check, in which case they remain at their original altitude.&lt;/p&gt;&lt;p&gt;Any creature that takes damage from a &lt;i&gt;sirocco&lt;/i&gt; becomes fatigued (or exhausted, if already fatigued, such as from a previous round of exposure to a &lt;i&gt;sirocco&lt;/i&gt; spell). Creatures with the water subtype take a -4 penalty on all saving throws against this spell and take double normal damage.&lt;/p&gt;</t>
  </si>
  <si>
    <t>&lt;link rel="stylesheet"href="PF.css"&gt;&lt;div class="heading"&gt;&lt;p class="alignleft"&gt;Sirocco&lt;/p&gt;&lt;div style="clear: both;"&gt;&lt;/div&gt;&lt;/div&gt;&lt;div&gt;&lt;h5&gt;&lt;b&gt;School &lt;/b&gt;evocation [air, fire]; &lt;b&gt;Level &lt;/b&gt;druid 6, sorcerer/wizard 6, magus 6&lt;/h5&gt;&lt;/div&gt;&lt;hr/&gt;&lt;div&gt;&lt;h5&gt;&lt;b&gt;CASTING&lt;/b&gt;&lt;/h5&gt;&lt;/div&gt;&lt;hr/&gt;&lt;div&gt;&lt;h5&gt;&lt;b&gt;Casting Time &lt;/b&gt;1 standard action&lt;/h5&gt;&lt;h5&gt;&lt;b&gt;Components &lt;/b&gt;V, S, M/DF (handful of fine sand cast into the air)&lt;/h5&gt;&lt;/div&gt;&lt;hr/&gt;&lt;div&gt;&lt;h5&gt;&lt;b&gt;EFFECT&lt;/b&gt;&lt;/h5&gt;&lt;/div&gt;&lt;hr/&gt;&lt;div&gt;&lt;h5&gt;&lt;b&gt;Range &lt;/b&gt;medium (100 ft. + 10 ft./level)&lt;/h5&gt;&lt;h5&gt;&lt;b&gt;Area &lt;/b&gt;cylinder (20-ft. radius, 60 ft. high)&lt;/h5&gt;&lt;h5&gt;&lt;b&gt;Duration &lt;/b&gt;1 round/level (D)&lt;/h5&gt;&lt;h5&gt;&lt;b&gt;Saving Throw &lt;/b&gt;Fortitude partial, see text; &lt;b&gt;Spell Resistance &lt;/b&gt;yes&lt;/h5&gt;&lt;/div&gt;&lt;hr/&gt;&lt;div&gt;&lt;h5&gt;&lt;b&gt;DESCRIPTION&lt;/b&gt;&lt;/h5&gt;&lt;/div&gt;&lt;hr/&gt;&lt;div&gt;&lt;h4&gt;&lt;p&gt;A blast of furnace-hot wind blasts downward, inflicting 4d6 fire damage +1 point per caster level to all creatures in the area and knocking them prone. A successful Fortitude save halves the fire damage and negates being knocked prone. Flying creatures forced into the ground by the powerful downdraft take damage as if they fell unless they make a DC 15 Fly check, in which case they remain at their original altitude.&lt;/p&gt;&lt;p&gt;Any creature that takes damage from a &lt;i&gt;sirocco&lt;/i&gt; becomes fatigued (or exhausted, if already fatigued, such as from a previous round of exposure to a &lt;i&gt;sirocco&lt;/i&gt; spell). Creatures with the water subtype take a -4 penalty on all saving throws against this spell and take double normal damage.&lt;/p&gt;&lt;/h4&gt;&lt;/div&gt;</t>
  </si>
  <si>
    <t>Hot wind does 4d6 damage, fatigues those damaged, and knocks creatures prone.</t>
  </si>
  <si>
    <t>Sleepwalk</t>
  </si>
  <si>
    <t>inquisitor 4, witch 4</t>
  </si>
  <si>
    <t>V, S, M (a sprig of belladonna worth 100 gp)</t>
  </si>
  <si>
    <t>unconscious creature touched</t>
  </si>
  <si>
    <t>You compel an unconscious or sleeping creature to rise and move in a half-awake state. The target creature staggers about if led or guided, but remains helpless for all other purposes. The subject moves at half speed and is limited to a single move action each round. It is not capable of moving at a higher rate of speed or taking actions other than movement except by magical assistance, and automatically fails any Dexterity- or Strength-based skill checks. If the creature takes any damage while sleepwalking it must make a new saving throw or the spell ends and the creature awakes (if it has more than 0 hit points). When the spell ends or is dismissed, the target remains unconscious and must be awoken normally. While sleepwalk allows an unconscious creature to move, it does not awaken the creature, nor does it stabilize or otherwise heal them. A disabled creature that moves about while under the effects of this spell does not start dying again as a result of this movement.</t>
  </si>
  <si>
    <t>&lt;p&gt;You compel an unconscious or sleeping creature to rise and move in a half-awake state. The target creature staggers about if led or guided, but remains helpless for all other purposes.&lt;/p&gt;&lt;p&gt;The subject moves at half speed and is limited to a single move action each round. It is not capable of moving at a higher rate of speed or taking actions other than movement except by magical assistance, and automatically fails any Dexterity- or Strength-based skill checks. If the creature takes any damage while &lt;i&gt;&lt;i&gt;sleepwalk&lt;/i&gt;ing&lt;/i&gt; it must make a new saving throw or the spell ends and the creature awakes (if it has more than 0 hit points). When the spell ends or is dismissed, the target remains unconscious and must be awoken normally. While &lt;i&gt;sleepwalk&lt;/i&gt; allows an unconscious creature to move, it does not awaken the creature, nor does it stabilize or otherwise heal them. A disabled creature that moves about while under the effects of this spell does not start dying again as a result of this movement.&lt;/p&gt;</t>
  </si>
  <si>
    <t>&lt;link rel="stylesheet"href="PF.css"&gt;&lt;div class="heading"&gt;&lt;p class="alignleft"&gt;Sleepwalk&lt;/p&gt;&lt;div style="clear: both;"&gt;&lt;/div&gt;&lt;/div&gt;&lt;div&gt;&lt;h5&gt;&lt;b&gt;School &lt;/b&gt;enchantment (compulsion) [mind-affecting]; &lt;b&gt;Level &lt;/b&gt;inquisitor 4, witch 4&lt;/h5&gt;&lt;/div&gt;&lt;hr/&gt;&lt;div&gt;&lt;h5&gt;&lt;b&gt;CASTING&lt;/b&gt;&lt;/h5&gt;&lt;/div&gt;&lt;hr/&gt;&lt;div&gt;&lt;h5&gt;&lt;b&gt;Casting Time &lt;/b&gt;1 round&lt;/h5&gt;&lt;h5&gt;&lt;b&gt;Components &lt;/b&gt;V, S, M (a sprig of belladonna worth 100 gp)&lt;/h5&gt;&lt;/div&gt;&lt;hr/&gt;&lt;div&gt;&lt;h5&gt;&lt;b&gt;EFFECT&lt;/b&gt;&lt;/h5&gt;&lt;/div&gt;&lt;hr/&gt;&lt;div&gt;&lt;h5&gt;&lt;b&gt;Range &lt;/b&gt;touch&lt;/h5&gt;&lt;h5&gt;&lt;b&gt;Targets &lt;/b&gt;unconscious creature touched&lt;/h5&gt;&lt;h5&gt;&lt;b&gt;Duration &lt;/b&gt;1 hour/level (D)&lt;/h5&gt;&lt;h5&gt;&lt;b&gt;Saving Throw &lt;/b&gt;Will negates; see text; &lt;b&gt;Spell Resistance &lt;/b&gt;yes&lt;/h5&gt;&lt;/div&gt;&lt;hr/&gt;&lt;div&gt;&lt;h5&gt;&lt;b&gt;DESCRIPTION&lt;/b&gt;&lt;/h5&gt;&lt;/div&gt;&lt;hr/&gt;&lt;div&gt;&lt;h4&gt;&lt;p&gt;You compel an unconscious or sleeping creature to rise and move in a half-awake state. The target creature staggers about if led or guided, but remains helpless for all other purposes.&lt;/p&gt;&lt;p&gt;The subject moves at half speed and is limited to a single move action each round. It is not capable of moving at a higher rate of speed or taking actions other than movement except by magical assistance, and automatically fails any Dexterity- or Strength-based skill checks. If the creature takes any damage while &lt;i&gt;&lt;i&gt;sleepwalk&lt;/i&gt;ing&lt;/i&gt; it must make a new saving throw or the spell ends and the creature awakes (if it has more than 0 hit points). When the spell ends or is dismissed, the target remains unconscious and must be awoken normally. While &lt;i&gt;sleepwalk&lt;/i&gt; allows an unconscious creature to move, it does not awaken the creature, nor does it stabilize or otherwise heal them. A disabled creature that moves about while under the effects of this spell does not start dying again as a result of this movement.&lt;/p&gt;&lt;/h4&gt;&lt;/div&gt;</t>
  </si>
  <si>
    <t>Causes creature to move while asleep.</t>
  </si>
  <si>
    <t>Slipstream</t>
  </si>
  <si>
    <t>V, S, M/DF (a few drops of oil and water)</t>
  </si>
  <si>
    <t>Reflex negates (harmless)</t>
  </si>
  <si>
    <t>You create a low-cresting wave of water that carries the target along the surface of water or the ground. When moving across level ground, the target's speed increases by 10 feet. If going downhill, speed increases by 20 feet instead, but slipstream provides no movement bonus when going uphill. While swimming, the slipstream increases the target's swim speed by 20 feet-if the target does not have a swim speed, this spell grants a swim speed of 20 ft.</t>
  </si>
  <si>
    <t>&lt;p&gt;You create a low-cresting wave of water that carries the target along the surface of water or the ground. When moving across level ground, the target's speed increases by 10 feet.&lt;/p&gt;&lt;p&gt;If going downhill, speed increases by 20 feet instead, but &lt;i&gt;slipstream&lt;/i&gt; provides no movement bonus when going uphill.&lt;/p&gt;&lt;p&gt;While swimming, the &lt;i&gt;slipstream&lt;/i&gt; increases the target's swim speed by 20 feet-if the target does not have a swim speed, this spell grants a swim speed of 20 ft.&lt;/p&gt;</t>
  </si>
  <si>
    <t>&lt;link rel="stylesheet"href="PF.css"&gt;&lt;div class="heading"&gt;&lt;p class="alignleft"&gt;Slipstream&lt;/p&gt;&lt;div style="clear: both;"&gt;&lt;/div&gt;&lt;/div&gt;&lt;div&gt;&lt;h5&gt;&lt;b&gt;School &lt;/b&gt;conjuration (creation) [water]; &lt;b&gt;Level &lt;/b&gt;druid 2, ranger 2, sorcerer/wizard 2&lt;/h5&gt;&lt;/div&gt;&lt;hr/&gt;&lt;div&gt;&lt;h5&gt;&lt;b&gt;CASTING&lt;/b&gt;&lt;/h5&gt;&lt;/div&gt;&lt;hr/&gt;&lt;div&gt;&lt;h5&gt;&lt;b&gt;Casting Time &lt;/b&gt;1 standard action&lt;/h5&gt;&lt;h5&gt;&lt;b&gt;Components &lt;/b&gt;V, S, M/DF (a few drops of oil and water)&lt;/h5&gt;&lt;/div&gt;&lt;hr/&gt;&lt;div&gt;&lt;h5&gt;&lt;b&gt;EFFECT&lt;/b&gt;&lt;/h5&gt;&lt;/div&gt;&lt;hr/&gt;&lt;div&gt;&lt;h5&gt;&lt;b&gt;Range &lt;/b&gt;touch&lt;/h5&gt;&lt;h5&gt;&lt;b&gt;Targets &lt;/b&gt;creature touched&lt;/h5&gt;&lt;h5&gt;&lt;b&gt;Duration &lt;/b&gt;10 minutes/level (D)&lt;/h5&gt;&lt;h5&gt;&lt;b&gt;Saving Throw &lt;/b&gt;Reflex negates (harmless); &lt;b&gt;Spell Resistance &lt;/b&gt;no&lt;/h5&gt;&lt;/div&gt;&lt;hr/&gt;&lt;div&gt;&lt;h5&gt;&lt;b&gt;DESCRIPTION&lt;/b&gt;&lt;/h5&gt;&lt;/div&gt;&lt;hr/&gt;&lt;div&gt;&lt;h4&gt;&lt;p&gt;You create a low-cresting wave of water that carries the target along the surface of water or the ground. When moving across level ground, the target's speed increases by 10 feet.&lt;/p&gt;&lt;p&gt;If going downhill, speed increases by 20 feet instead, but &lt;i&gt;slipstream&lt;/i&gt; provides no movement bonus when going uphill.&lt;/p&gt;&lt;p&gt;While swimming, the &lt;i&gt;slipstream&lt;/i&gt; increases the target's swim speed by 20 feet-if the target does not have a swim speed, this spell grants a swim speed of 20 ft.&lt;/p&gt;&lt;/h4&gt;&lt;/div&gt;</t>
  </si>
  <si>
    <t>Wave boosts creature's speed.</t>
  </si>
  <si>
    <t>Snake Staff</t>
  </si>
  <si>
    <t>cleric/oracle 5, druid 5</t>
  </si>
  <si>
    <t>V, S, M (a knife suitable for whittling)</t>
  </si>
  <si>
    <t>1 or more pieces of wood, no two of which can be more than 30 ft. apart</t>
  </si>
  <si>
    <t>With a long hissing whisper, you transform ordinary pieces of wood into various sorts of snakes that immediately attack your foes. As long as the snakes remain within sight, you can direct their actions telepathically as a free action. You can only apply this spell to wooden objects not in a creature's possession or not part of a larger structure or plant. Each time you cast this spell you can create a number of snakes equal to your caster level. More powerful snakes take up more than one of your available total, as noted below. Venomous Snake: A stick or piece of firewood. Counts as 1 snake. Constrictor Snake: A staff or tree branch. Counts as 2 snakes. Advanced Venomous Snake: A stick or piece of firewood. Counts as 2 snakes. Advanced Constrictor Snake: A staff or tree branch. Counts as 3 snakes. Advanced Giant Venomous Snake: A log or pile of debris. Counts as 4 snakes. Advanced Giant Constrictor Snake: A fallen tree or a large pile of debris. Counts as 5 snakes.</t>
  </si>
  <si>
    <t>&lt;p&gt;With a long hissing whisper, you transform ordinary pieces of wood into various sorts of snakes that immediately attack your foes.&lt;/p&gt;&lt;p&gt; As long as the snakes remain within sight, you can direct their actions telepathically as a free action. You can only apply this spell to wooden objects not in a creature's possession or not part of a larger structure or plant. Each time you cast this spell you can create a number of snakes equal to your caster level. More powerful snakes take up more than one of your available total, as noted below.&lt;/p&gt;&lt;p&gt; Venomous Snake: A stick or piece of firewood. Counts as 1 snake.&lt;/p&gt;&lt;p&gt; Constrictor Snake: A staff or tree branch. Counts as 2 snakes.&lt;/p&gt;&lt;p&gt; Advanced Venomous Snake: A stick or piece of firewood. Counts as 2 snakes.&lt;/p&gt;&lt;p&gt; Advanced Constrictor Snake: A staff or tree branch. Counts as 3 snakes.&lt;/p&gt;&lt;p&gt; Advanced Giant Venomous Snake: A log or pile of debris. Counts as 4 snakes.&lt;/p&gt;&lt;p&gt; Advanced Giant Constrictor Snake: A fallen tree or a large pile of debris. Counts as 5 snakes.&lt;/p&gt;</t>
  </si>
  <si>
    <t>&lt;link rel="stylesheet"href="PF.css"&gt;&lt;div class="heading"&gt;&lt;p class="alignleft"&gt;Snake Staff&lt;/p&gt;&lt;div style="clear: both;"&gt;&lt;/div&gt;&lt;/div&gt;&lt;div&gt;&lt;h5&gt;&lt;b&gt;School &lt;/b&gt;transmutation; &lt;b&gt;Level &lt;/b&gt;cleric/oracle 5, druid 5&lt;/h5&gt;&lt;/div&gt;&lt;hr/&gt;&lt;div&gt;&lt;h5&gt;&lt;b&gt;CASTING&lt;/b&gt;&lt;/h5&gt;&lt;/div&gt;&lt;hr/&gt;&lt;div&gt;&lt;h5&gt;&lt;b&gt;Casting Time &lt;/b&gt;1 standard action&lt;/h5&gt;&lt;h5&gt;&lt;b&gt;Components &lt;/b&gt;V, S, M (a knife suitable for whittling)&lt;/h5&gt;&lt;/div&gt;&lt;hr/&gt;&lt;div&gt;&lt;h5&gt;&lt;b&gt;EFFECT&lt;/b&gt;&lt;/h5&gt;&lt;/div&gt;&lt;hr/&gt;&lt;div&gt;&lt;h5&gt;&lt;b&gt;Range &lt;/b&gt;medium (100 ft. + 10 ft./level)&lt;/h5&gt;&lt;h5&gt;&lt;b&gt;Targets &lt;/b&gt;1 or more pieces of wood, no two of which can be more than 30 ft. apart&lt;/h5&gt;&lt;h5&gt;&lt;b&gt;Duration &lt;/b&gt;1 round/level&lt;/h5&gt;&lt;h5&gt;&lt;b&gt;Saving Throw &lt;/b&gt;Will negates (object); &lt;b&gt;Spell Resistance &lt;/b&gt;yes (object)&lt;/h5&gt;&lt;/div&gt;&lt;hr/&gt;&lt;div&gt;&lt;h5&gt;&lt;b&gt;DESCRIPTION&lt;/b&gt;&lt;/h5&gt;&lt;/div&gt;&lt;hr/&gt;&lt;div&gt;&lt;h4&gt;&lt;p&gt;With a long hissing whisper, you transform ordinary pieces of wood into various sorts of snakes that immediately attack your foes.&lt;/p&gt;&lt;p&gt; As long as the snakes remain within sight, you can direct their actions telepathically as a free action. You can only apply this spell to wooden objects not in a creature's possession or not part of a larger structure or plant. Each time you cast this spell you can create a number of snakes equal to your caster level. More powerful snakes take up more than one of your available total, as noted below.&lt;/p&gt;&lt;p&gt; Venomous Snake: A stick or piece of firewood. Counts as 1 snake.&lt;/p&gt;&lt;p&gt; Constrictor Snake: A staff or tree branch. Counts as 2 snakes.&lt;/p&gt;&lt;p&gt; Advanced Venomous Snake: A stick or piece of firewood. Counts as 2 snakes.&lt;/p&gt;&lt;p&gt; Advanced Constrictor Snake: A staff or tree branch. Counts as 3 snakes.&lt;/p&gt;&lt;p&gt; Advanced Giant Venomous Snake: A log or pile of debris. Counts as 4 snakes.&lt;/p&gt;&lt;p&gt; Advanced Giant Constrictor Snake: A fallen tree or a large pile of debris. Counts as 5 snakes.&lt;/p&gt;&lt;/h4&gt;&lt;/div&gt;</t>
  </si>
  <si>
    <t>Transforms wood into snakes to fight for you.</t>
  </si>
  <si>
    <t>Solid Note</t>
  </si>
  <si>
    <t>one solidified musical note</t>
  </si>
  <si>
    <t>You give temporary physical form to a single musical note and can hang it, suspended, wherever you wish within range, allowing you to use it as hook, pulley, door blocker, or anything else your imagination desires. The exact appearance of the solid note depends on your melody. You can make it spiked or smooth, simple or convoluted, and with any color pattern you wish, however, it always has a size approximately equal to that of your outstretched hand. Once created, the solid note resists all attempts to move it but instantly disappears if enough force or weight is brought to bear against it. The note has an effective Strength equal to 10 + your caster level. It cannot hold more weight than the equivalent of a heavy load for its Strength without disappearing. Any creature that wins an opposed Strength check against the note (by pushing open a door which the note is holding shut for example) also causes it to disappear. The note can never deal actual harm to a creature and disappears if successfully attacked (AC 10 + your Charisma modifier) or overcome with a combat maneuver such as bull rush (CMD 2 + your base attack bonus + your Charisma modifier). Any creature obstructed by the solid note simply fails to budge it and loses that action for the round.</t>
  </si>
  <si>
    <t>&lt;p&gt;You give temporary physical form to a single musical note and can hang it, suspended, wherever you wish within range, allowing you to use it as hook, pulley, door blocker, or anything else your imagination desires. The exact appearance of the &lt;i&gt;solid note&lt;/i&gt; depends on your melody. You can make it spiked or smooth, simple or convoluted, and with any color pattern you wish, however, it always has a size approximately equal to that of your outstretched hand. Once created, the &lt;i&gt;solid note&lt;/i&gt; resists all attempts to move it but instantly disappears if enough force or weight is brought to bear against it. The note has an effective Strength equal to 10 + your caster level. It cannot hold more weight than the equivalent of a heavy load for its Strength without disappearing. Any creature that wins an opposed Strength check against the note (by pushing open a door which the note is holding shut for example) also causes it to disappear. The note can never deal actual harm to a creature and disappears if successfully attacked (AC 10 + your Charisma modifier) or overcome with a combat maneuver such as bull rush (CMD 2 + your base attack bonus + your Charisma modifier). Any creature obstructed by the &lt;i&gt;solid note&lt;/i&gt; simply fails to budge it and loses that action for the round.&lt;/p&gt;</t>
  </si>
  <si>
    <t>&lt;link rel="stylesheet"href="PF.css"&gt;&lt;div class="heading"&gt;&lt;p class="alignleft"&gt;Solid Note&lt;/p&gt;&lt;div style="clear: both;"&gt;&lt;/div&gt;&lt;/div&gt;&lt;div&gt;&lt;h5&gt;&lt;b&gt;School &lt;/b&gt;conjuration (creation); &lt;b&gt;Level &lt;/b&gt;bard 1&lt;/h5&gt;&lt;/div&gt;&lt;hr/&gt;&lt;div&gt;&lt;h5&gt;&lt;b&gt;CASTING&lt;/b&gt;&lt;/h5&gt;&lt;/div&gt;&lt;hr/&gt;&lt;div&gt;&lt;h5&gt;&lt;b&gt;Casting Time &lt;/b&gt;1 standard action&lt;/h5&gt;&lt;h5&gt;&lt;b&gt;Components &lt;/b&gt;V&lt;/h5&gt;&lt;/div&gt;&lt;hr/&gt;&lt;div&gt;&lt;h5&gt;&lt;b&gt;EFFECT&lt;/b&gt;&lt;/h5&gt;&lt;/div&gt;&lt;hr/&gt;&lt;div&gt;&lt;h5&gt;&lt;b&gt;Range &lt;/b&gt;close (25 ft. + 5 ft./2 levels)&lt;/h5&gt;&lt;h5&gt;&lt;b&gt;Effect &lt;/b&gt;one solidified musical note&lt;/h5&gt;&lt;h5&gt;&lt;b&gt;Duration &lt;/b&gt;concentration + 1 round/level&lt;/h5&gt;&lt;h5&gt;&lt;b&gt;Saving Throw &lt;/b&gt;none; &lt;b&gt;Spell Resistance &lt;/b&gt;no&lt;/h5&gt;&lt;/div&gt;&lt;hr/&gt;&lt;div&gt;&lt;h5&gt;&lt;b&gt;DESCRIPTION&lt;/b&gt;&lt;/h5&gt;&lt;/div&gt;&lt;hr/&gt;&lt;div&gt;&lt;h4&gt;&lt;p&gt;You give temporary physical form to a single musical note and can hang it, suspended, wherever you wish within range, allowing you to use it as hook, pulley, door blocker, or anything else your imagination desires. The exact appearance of the &lt;i&gt;solid note&lt;/i&gt; depends on your melody. You can make it spiked or smooth, simple or convoluted, and with any color pattern you wish, however, it always has a size approximately equal to that of your outstretched hand. Once created, the &lt;i&gt;solid note&lt;/i&gt; resists all attempts to move it but instantly disappears if enough force or weight is brought to bear against it. The note has an effective Strength equal to 10 + your caster level. It cannot hold more weight than the equivalent of a heavy load for its Strength without disappearing. Any creature that wins an opposed Strength check against the note (by pushing open a door which the note is holding shut for example) also causes it to disappear. The note can never deal actual harm to a creature and disappears if successfully attacked (AC 10 + your Charisma modifier) or overcome with a combat maneuver such as bull rush (CMD 2 + your base attack bonus + your Charisma modifier). Any creature obstructed by the &lt;i&gt;solid note&lt;/i&gt; simply fails to budge it and loses that action for the round.&lt;/p&gt;&lt;/h4&gt;&lt;/div&gt;</t>
  </si>
  <si>
    <t>Creates tangible music note.</t>
  </si>
  <si>
    <t>Spark</t>
  </si>
  <si>
    <t>bard 0, cleric 0/oracle 0, druid 0, sorcerer/wizard 0, witch 0, magus 0</t>
  </si>
  <si>
    <t>V or S</t>
  </si>
  <si>
    <t>one Fine object</t>
  </si>
  <si>
    <t>You can make an unattended Fine flammable object catch on fire. This works as if you were using flint and steel except that you can use spark in any sort of weather and it takes much less time to actually ignite an object.</t>
  </si>
  <si>
    <t>&lt;p&gt;You can make an unattended Fine flammable object catch on fire. This works as if you were using flint and steel except that you can use &lt;i&gt;spark&lt;/i&gt; in any sort of weather and it takes much less time to actually ignite an object.&lt;/p&gt;</t>
  </si>
  <si>
    <t>&lt;link rel="stylesheet"href="PF.css"&gt;&lt;div class="heading"&gt;&lt;p class="alignleft"&gt;Spark&lt;/p&gt;&lt;div style="clear: both;"&gt;&lt;/div&gt;&lt;/div&gt;&lt;div&gt;&lt;h5&gt;&lt;b&gt;School &lt;/b&gt;evocation [fire]; &lt;b&gt;Level &lt;/b&gt;bard 0, cleric 0/oracle 0, druid 0, sorcerer/wizard 0, witch 0, magus 0&lt;/h5&gt;&lt;/div&gt;&lt;hr/&gt;&lt;div&gt;&lt;h5&gt;&lt;b&gt;CASTING&lt;/b&gt;&lt;/h5&gt;&lt;/div&gt;&lt;hr/&gt;&lt;div&gt;&lt;h5&gt;&lt;b&gt;Casting Time &lt;/b&gt;1 standard action&lt;/h5&gt;&lt;h5&gt;&lt;b&gt;Components &lt;/b&gt;V or S&lt;/h5&gt;&lt;/div&gt;&lt;hr/&gt;&lt;div&gt;&lt;h5&gt;&lt;b&gt;EFFECT&lt;/b&gt;&lt;/h5&gt;&lt;/div&gt;&lt;hr/&gt;&lt;div&gt;&lt;h5&gt;&lt;b&gt;Range &lt;/b&gt;close (25 ft. + 5 ft./2 levels)&lt;/h5&gt;&lt;h5&gt;&lt;b&gt;Targets &lt;/b&gt;one Fine object&lt;/h5&gt;&lt;h5&gt;&lt;b&gt;Duration &lt;/b&gt;instantaneous&lt;/h5&gt;&lt;h5&gt;&lt;b&gt;Saving Throw &lt;/b&gt;Fortitude negates (object); &lt;b&gt;Spell Resistance &lt;/b&gt;yes (object)&lt;/h5&gt;&lt;/div&gt;&lt;hr/&gt;&lt;div&gt;&lt;h5&gt;&lt;b&gt;DESCRIPTION&lt;/b&gt;&lt;/h5&gt;&lt;/div&gt;&lt;hr/&gt;&lt;div&gt;&lt;h4&gt;&lt;p&gt;You can make an unattended Fine flammable object catch on fire. This works as if you were using flint and steel except that you can use &lt;i&gt;spark&lt;/i&gt; in any sort of weather and it takes much less time to actually ignite an object.&lt;/p&gt;&lt;/h4&gt;&lt;/div&gt;</t>
  </si>
  <si>
    <t>Ignites flammable objects.</t>
  </si>
  <si>
    <t>Spiked Pit</t>
  </si>
  <si>
    <t>This spell functions as create pit, except that the pit is lined with wickedly sharp spikes along its bottom and walls and has a maximum depth of 50 feet. Creatures who fall into the pit take falling damage as normal, plus 2d6 points of piercing damage from the spikes. Any creature or object coming into contact with the spikes along the walls, such as a creature trying to climb out, or rope or other typical aids to climbing, takes 1d6 points of piercing damage each round they are in contact with the walls. For those willing to accept the damage incurred while climbing, the pit's walls have a Climb DC of 20.</t>
  </si>
  <si>
    <t>&lt;p&gt;This spell functions as &lt;i&gt;create pit&lt;/i&gt;, except that the pit is lined with wickedly sharp spikes along its bottom and walls and has a maximum depth of 50 feet. Creatures who fall into the pit take falling damage as normal, plus 2d6 points of piercing damage from the spikes. Any creature or object coming into contact with the spikes along the walls, such as a creature trying to climb out, or rope or other typical aids to climbing, takes 1d6 points of piercing damage each round they are in contact with the walls. For those willing to accept the damage incurred while climbing, the pit's walls have a Climb DC of 20.&lt;/p&gt;</t>
  </si>
  <si>
    <t>&lt;link rel="stylesheet"href="PF.css"&gt;&lt;div class="heading"&gt;&lt;p class="alignleft"&gt;Spiked Pit&lt;/p&gt;&lt;div style="clear: both;"&gt;&lt;/div&gt;&lt;/div&gt;&lt;div&gt;&lt;h5&gt;&lt;b&gt;School &lt;/b&gt;conjuration (creation); &lt;b&gt;Level &lt;/b&gt;sorcerer/wizard 3, summoner 3&lt;/h5&gt;&lt;/div&gt;&lt;hr/&gt;&lt;div&gt;&lt;h5&gt;&lt;b&gt;CASTING&lt;/b&gt;&lt;/h5&gt;&lt;/div&gt;&lt;hr/&gt;&lt;div&gt;&lt;h5&gt;&lt;b&gt;Casting Time &lt;/b&gt;1 standard action&lt;/h5&gt;&lt;h5&gt;&lt;b&gt;Components &lt;/b&gt;V, S, F (miniature shovel costing 10 gp)&lt;/h5&gt;&lt;/div&gt;&lt;hr/&gt;&lt;div&gt;&lt;h5&gt;&lt;b&gt;EFFECT&lt;/b&gt;&lt;/h5&gt;&lt;/div&gt;&lt;hr/&gt;&lt;div&gt;&lt;h5&gt;&lt;b&gt;Range &lt;/b&gt;medium (100 ft. + 10 ft./level)&lt;/h5&gt;&lt;h5&gt;&lt;b&gt;Effect &lt;/b&gt;10-ft.-by-10-ft. hole, 10 ft. deep/2 levels&lt;/h5&gt;&lt;h5&gt;&lt;b&gt;Duration &lt;/b&gt;1 round + 1 round/level&lt;/h5&gt;&lt;h5&gt;&lt;b&gt;Saving Throw &lt;/b&gt;Reflex negates; &lt;b&gt;Spell Resistance &lt;/b&gt;no&lt;/h5&gt;&lt;/div&gt;&lt;hr/&gt;&lt;div&gt;&lt;h5&gt;&lt;b&gt;DESCRIPTION&lt;/b&gt;&lt;/h5&gt;&lt;/div&gt;&lt;hr/&gt;&lt;div&gt;&lt;h4&gt;&lt;p&gt;This spell functions as &lt;i&gt;create pit&lt;/i&gt;, except that the pit is lined with wickedly sharp spikes along its bottom and walls and has a maximum depth of 50 feet. Creatures who fall into the pit take falling damage as normal, plus 2d6 points of piercing damage from the spikes. Any creature or object coming into contact with the spikes along the walls, such as a creature trying to climb out, or rope or other typical aids to climbing, takes 1d6 points of piercing damage each round they are in contact with the walls. For those willing to accept the damage incurred while climbing, the pit's walls have a Climb DC of 20.&lt;/p&gt;&lt;/h4&gt;&lt;/div&gt;</t>
  </si>
  <si>
    <t>As create pit, but filled with spikes.</t>
  </si>
  <si>
    <t>Spiritual Ally</t>
  </si>
  <si>
    <t>spiritual ally of force</t>
  </si>
  <si>
    <t>An ally made of pure force appears in a single 5-foot square within range. The ally takes the form of a servant of your god. The spiritual ally occupies its space, though you and your allies can move through it, since it is your ally. The spiritual ally carries a single weapon, one favored by your deity (as for spiritual weapon), which has the same threat range and critical modifiers as a real weapon of its form. Each round on your turn, starting with the turn that you cast this spell, your spiritual ally can make an attack against a foe within its reach that you designate. The spiritual ally threatens adjacent squares and can flank and make attacks of opportunity as if it were a normal creature. The spiritual ally uses your base attack bonus (gaining extra attacks if your base attack bonus is high enough) plus your Wisdom bonus when it makes a melee attack. When the spiritual ally hits, it deals 1d10 points of force damage + 1 point of damage per 3 caster levels (maximum +5 at 15th level). It strikes as a spell, not a weapon, so it bypasses DR and can affect incorporeal creatures. Each round after the first, you can move the spiritual ally as a swift action. It has a speed of 30 feet, and a fly speed of 30 feet (perfect maneuverability). Being a construct of force, the spiritual ally cannot be harmed by any physical attacks, but dispel magic, disintegrate, a sphere of annihilation, or a rod of cancellation affects it. A spiritual ally's AC against touch attacks is 10. If an attacked creature has spell resistance, you make a caster level check (1d20 + caster level) against that spell resistance the first time the spiritual ally strikes it. If the ally is successfully resisted, the spell is dispelled. If not, the weapon has its normal full effect on that creature for the duration of the spell.</t>
  </si>
  <si>
    <t>&lt;p&gt;An ally made of pure force appears in a single 5-foot square within range. The ally takes the form of a servant of your god.&lt;/p&gt;&lt;p&gt;The &lt;i&gt;spiritual ally&lt;/i&gt; occupies its space, though you and your allies can move through it, since it is your ally. The &lt;i&gt;spiritual ally&lt;/i&gt; carries a single weapon, one favored by your deity (as for &lt;i&gt;spiritual weapon&lt;/i&gt;), which has the same threat range and critical modifiers as a real weapon of its form. Each round on your turn, starting with the turn that you cast this spell, your &lt;i&gt;spiritual ally&lt;/i&gt; can make an attack against a foe within its reach that you designate. The &lt;i&gt;spiritual ally&lt;/i&gt; threatens adjacent squares and can flank and make attacks of opportunity as if it were a normal creature. The &lt;i&gt;spiritual ally&lt;/i&gt; uses your base attack bonus (gaining extra attacks if your base attack bonus is high enough) plus your Wisdom bonus when it makes a melee attack. When the &lt;i&gt;spiritual ally&lt;/i&gt; hits, it deals 1d10 points of force damage + 1 point of damage per 3 caster levels (maximum +5 at 15th level). It strikes as a spell, not a weapon, so it bypasses DR and can affect incorporeal creatures.&lt;/p&gt;&lt;p&gt;Each round after the first, you can move the &lt;i&gt;spiritual ally&lt;/i&gt; as a swift action. It has a speed of 30 feet, and a fly speed of 30 feet (perfect maneuverability). Being a construct of force, the &lt;i&gt;spiritual ally&lt;/i&gt; cannot be harmed by any physical attacks, but &lt;i&gt;dispel magic&lt;/i&gt;, &lt;i&gt;disintegrate&lt;/i&gt;, &lt;i&gt;a sphere of annihilation&lt;/i&gt;, or a &lt;i&gt;rod of cancellation&lt;/i&gt; affects it. A &lt;i&gt;spiritual ally&lt;/i&gt;'s AC against touch attacks is 10.&lt;/p&gt;&lt;p&gt;If an attacked creature has spell resistance, you make a caster level check (1d20 + caster level) against that spell resistance the first time the &lt;i&gt;spiritual ally&lt;/i&gt; strikes it. If the ally is successfully resisted, the spell is dispelled. If not, the weapon has its normal full effect on that creature for the duration of the spell.&lt;/p&gt;</t>
  </si>
  <si>
    <t>&lt;link rel="stylesheet"href="PF.css"&gt;&lt;div class="heading"&gt;&lt;p class="alignleft"&gt;Spiritual Ally&lt;/p&gt;&lt;div style="clear: both;"&gt;&lt;/div&gt;&lt;/div&gt;&lt;div&gt;&lt;h5&gt;&lt;b&gt;School &lt;/b&gt;evocation [force]; &lt;b&gt;Level &lt;/b&gt;cleric 4/oracle 4&lt;/h5&gt;&lt;/div&gt;&lt;hr/&gt;&lt;div&gt;&lt;h5&gt;&lt;b&gt;CASTING&lt;/b&gt;&lt;/h5&gt;&lt;/div&gt;&lt;hr/&gt;&lt;div&gt;&lt;h5&gt;&lt;b&gt;Casting Time &lt;/b&gt;1 standard action&lt;/h5&gt;&lt;h5&gt;&lt;b&gt;Components &lt;/b&gt;V, S, DF&lt;/h5&gt;&lt;/div&gt;&lt;hr/&gt;&lt;div&gt;&lt;h5&gt;&lt;b&gt;EFFECT&lt;/b&gt;&lt;/h5&gt;&lt;/div&gt;&lt;hr/&gt;&lt;div&gt;&lt;h5&gt;&lt;b&gt;Range &lt;/b&gt;medium (100 ft. + 10 ft./level)&lt;/h5&gt;&lt;h5&gt;&lt;b&gt;Effect &lt;/b&gt;spiritual ally of force&lt;/h5&gt;&lt;h5&gt;&lt;b&gt;Duration &lt;/b&gt;1 round/level (D)&lt;/h5&gt;&lt;h5&gt;&lt;b&gt;Saving Throw &lt;/b&gt;none; &lt;b&gt;Spell Resistance &lt;/b&gt;yes&lt;/h5&gt;&lt;/div&gt;&lt;hr/&gt;&lt;div&gt;&lt;h5&gt;&lt;b&gt;DESCRIPTION&lt;/b&gt;&lt;/h5&gt;&lt;/div&gt;&lt;hr/&gt;&lt;div&gt;&lt;h4&gt;&lt;p&gt;An ally made of pure force appears in a single 5-foot square within range. The ally takes the form of a servant of your god.&lt;/p&gt;&lt;p&gt;The &lt;i&gt;spiritual ally&lt;/i&gt; occupies its space, though you and your allies can move through it, since it is your ally. The &lt;i&gt;spiritual ally&lt;/i&gt; carries a single weapon, one favored by your deity (as for &lt;i&gt;spiritual weapon&lt;/i&gt;), which has the same threat range and critical modifiers as a real weapon of its form. Each round on your turn, starting with the turn that you cast this spell, your &lt;i&gt;spiritual ally&lt;/i&gt; can make an attack against a foe within its reach that you designate. The &lt;i&gt;spiritual ally&lt;/i&gt; threatens adjacent squares and can flank and make attacks of opportunity as if it were a normal creature. The &lt;i&gt;spiritual ally&lt;/i&gt; uses your base attack bonus (gaining extra attacks if your base attack bonus is high enough) plus your Wisdom bonus when it makes a melee attack. When the &lt;i&gt;spiritual ally&lt;/i&gt; hits, it deals 1d10 points of force damage + 1 point of damage per 3 caster levels (maximum +5 at 15th level). It strikes as a spell, not a weapon, so it bypasses DR and can affect incorporeal creatures.&lt;/p&gt;&lt;p&gt;Each round after the first, you can move the &lt;i&gt;spiritual ally&lt;/i&gt; as a swift action. It has a speed of 30 feet, and a fly speed of 30 feet (perfect maneuverability). Being a construct of force, the &lt;i&gt;spiritual ally&lt;/i&gt; cannot be harmed by any physical attacks, but &lt;i&gt;dispel magic&lt;/i&gt;, &lt;i&gt;disintegrate&lt;/i&gt;, &lt;i&gt;a sphere of annihilation&lt;/i&gt;, or a &lt;i&gt;rod of cancellation&lt;/i&gt; affects it. A &lt;i&gt;spiritual ally&lt;/i&gt;'s AC against touch attacks is 10.&lt;/p&gt;&lt;p&gt;If an attacked creature has spell resistance, you make a caster level check (1d20 + caster level) against that spell resistance the first time the &lt;i&gt;spiritual ally&lt;/i&gt; strikes it. If the ally is successfully resisted, the spell is dispelled. If not, the weapon has its normal full effect on that creature for the duration of the spell.&lt;/p&gt;&lt;/h4&gt;&lt;/div&gt;</t>
  </si>
  <si>
    <t>Creates a divine ally to aid you.</t>
  </si>
  <si>
    <t>Spite</t>
  </si>
  <si>
    <t>witch 4</t>
  </si>
  <si>
    <t>V, S, M (rare inks worth 250 gp)</t>
  </si>
  <si>
    <t>1 hour/level (D) or until discharged</t>
  </si>
  <si>
    <t>Choose a single touch range spell of 4th level or lower with a casting time of 1 standard action or less. As part of the action of casting spite, you cast the associated spell and bind it into a defensive ward in the form of a tattoo, birthmark, or wart somewhere upon your body. The next time you are hit by a melee attack or a combat maneuver is used successfully against you, the stored spell is triggered against your foe. You do not need to succeed on a touch attack to affect the target, but in all other respects the spell is treated as though you had cast it normally. If the attacking creature is not a valid target for the spell, the stored spell is lost with no effect. You can have only one spite spell in effect at a time; if you cast this spell a second time, the previous spell effect ends.</t>
  </si>
  <si>
    <t>&lt;p&gt;Choose a single touch range spell of 4th level or lower with a casting time of 1 standard action or less. As part of the action of casting &lt;i&gt;spite&lt;/i&gt;, you cast the associated spell and bind it into a defensive ward in the form of a tattoo, birthmark, or wart somewhere upon your body. The next time you are hit by a melee attack or a combat maneuver is used successfully against you, the stored spell is triggered against your foe. You do not need to succeed on a touch attack to affect the target, but in all other respects the spell is treated as though you had cast it normally. If the attacking creature is not a valid target for the spell, the stored spell is lost with no effect.&lt;/p&gt;&lt;p&gt;You can have only one &lt;i&gt;spite&lt;/i&gt; spell in effect at a time; if you cast this spell a second time, the previous spell effect ends.&lt;/p&gt;</t>
  </si>
  <si>
    <t>&lt;link rel="stylesheet"href="PF.css"&gt;&lt;div class="heading"&gt;&lt;p class="alignleft"&gt;Spite&lt;/p&gt;&lt;div style="clear: both;"&gt;&lt;/div&gt;&lt;/div&gt;&lt;div&gt;&lt;h5&gt;&lt;b&gt;School &lt;/b&gt;abjuration; &lt;b&gt;Level &lt;/b&gt;witch 4&lt;/h5&gt;&lt;/div&gt;&lt;hr/&gt;&lt;div&gt;&lt;h5&gt;&lt;b&gt;CASTING&lt;/b&gt;&lt;/h5&gt;&lt;/div&gt;&lt;hr/&gt;&lt;div&gt;&lt;h5&gt;&lt;b&gt;Casting Time &lt;/b&gt;1 round&lt;/h5&gt;&lt;h5&gt;&lt;b&gt;Components &lt;/b&gt;V, S, M (rare inks worth 250 gp)&lt;/h5&gt;&lt;/div&gt;&lt;hr/&gt;&lt;div&gt;&lt;h5&gt;&lt;b&gt;EFFECT&lt;/b&gt;&lt;/h5&gt;&lt;/div&gt;&lt;hr/&gt;&lt;div&gt;&lt;h5&gt;&lt;b&gt;Range &lt;/b&gt;personal&lt;/h5&gt;&lt;h5&gt;&lt;b&gt;Targets &lt;/b&gt;you&lt;/h5&gt;&lt;h5&gt;&lt;b&gt;Duration &lt;/b&gt;1 hour/level (D) or until discharged&lt;/h5&gt;&lt;/div&gt;&lt;hr/&gt;&lt;div&gt;&lt;h5&gt;&lt;b&gt;DESCRIPTION&lt;/b&gt;&lt;/h5&gt;&lt;/div&gt;&lt;hr/&gt;&lt;div&gt;&lt;h4&gt;&lt;p&gt;Choose a single touch range spell of 4th level or lower with a casting time of 1 standard action or less. As part of the action of casting &lt;i&gt;spite&lt;/i&gt;, you cast the associated spell and bind it into a defensive ward in the form of a tattoo, birthmark, or wart somewhere upon your body. The next time you are hit by a melee attack or a combat maneuver is used successfully against you, the stored spell is triggered against your foe. You do not need to succeed on a touch attack to affect the target, but in all other respects the spell is treated as though you had cast it normally. If the attacking creature is not a valid target for the spell, the stored spell is lost with no effect.&lt;/p&gt;&lt;p&gt;You can have only one &lt;i&gt;spite&lt;/i&gt; spell in effect at a time; if you cast this spell a second time, the previous spell effect ends.&lt;/p&gt;&lt;/h4&gt;&lt;/div&gt;</t>
  </si>
  <si>
    <t>Inflict touch spell upon creature that attacks you.</t>
  </si>
  <si>
    <t>Stay the Hand</t>
  </si>
  <si>
    <t>1/round per level and special; see text</t>
  </si>
  <si>
    <t>You cause a creature's arm to waver and prevent it from striking another creature. You can cast this spell when the target is about to make a melee attack against another creature. On a failed saving throw, the target does not follow through with its attack, and its entire action is wasted for the round. On a successful saving throw, the target can make its attack, forcing its strike though the compulsion but losing both accuracy and power, taking a -5 penalty on its attack and damage rolls. Whether or not the target makes its initial save or not, it is subject to a -2 penalty on attack and damage rolls against the creature it originally targeted for the duration of the spell.</t>
  </si>
  <si>
    <t>&lt;p&gt;You cause a creature's arm to waver and prevent it from striking another creature. You can cast this spell when the target is about to make a melee attack against another creature. On a failed saving throw, the target does not follow through with its attack, and its entire action is wasted for the round. On a successful saving throw, the target can make its attack, forcing its strike though the compulsion but losing both accuracy and power, taking a -5 penalty on its attack and damage rolls. Whether or not the target makes its initial save or not, it is subject to a -2 penalty on attack and damage rolls against the creature it originally targeted for the duration of the spell.&lt;/p&gt;</t>
  </si>
  <si>
    <t>&lt;link rel="stylesheet"href="PF.css"&gt;&lt;div class="heading"&gt;&lt;p class="alignleft"&gt;Stay the Hand&lt;/p&gt;&lt;div style="clear: both;"&gt;&lt;/div&gt;&lt;/div&gt;&lt;div&gt;&lt;h5&gt;&lt;b&gt;School &lt;/b&gt;enchantment (compulsion) [mind-affecting]; &lt;b&gt;Level &lt;/b&gt;paladin 4&lt;/h5&gt;&lt;/div&gt;&lt;hr/&gt;&lt;div&gt;&lt;h5&gt;&lt;b&gt;CASTING&lt;/b&gt;&lt;/h5&gt;&lt;/div&gt;&lt;hr/&gt;&lt;div&gt;&lt;h5&gt;&lt;b&gt;Casting Time &lt;/b&gt;1 immediate action&lt;/h5&gt;&lt;h5&gt;&lt;b&gt;Components &lt;/b&gt;V, S, DF&lt;/h5&gt;&lt;/div&gt;&lt;hr/&gt;&lt;div&gt;&lt;h5&gt;&lt;b&gt;EFFECT&lt;/b&gt;&lt;/h5&gt;&lt;/div&gt;&lt;hr/&gt;&lt;div&gt;&lt;h5&gt;&lt;b&gt;Range &lt;/b&gt;medium (100 ft. + 10 ft./level)&lt;/h5&gt;&lt;h5&gt;&lt;b&gt;Targets &lt;/b&gt;one creature&lt;/h5&gt;&lt;h5&gt;&lt;b&gt;Duration &lt;/b&gt;1/round per level and special; see text&lt;/h5&gt;&lt;h5&gt;&lt;b&gt;Saving Throw &lt;/b&gt;Will partial; &lt;b&gt;Spell Resistance &lt;/b&gt;yes&lt;/h5&gt;&lt;/div&gt;&lt;hr/&gt;&lt;div&gt;&lt;h5&gt;&lt;b&gt;DESCRIPTION&lt;/b&gt;&lt;/h5&gt;&lt;/div&gt;&lt;hr/&gt;&lt;div&gt;&lt;h4&gt;&lt;p&gt;You cause a creature's arm to waver and prevent it from striking another creature. You can cast this spell when the target is about to make a melee attack against another creature. On a failed saving throw, the target does not follow through with its attack, and its entire action is wasted for the round. On a successful saving throw, the target can make its attack, forcing its strike though the compulsion but losing both accuracy and power, taking a -5 penalty on its attack and damage rolls. Whether or not the target makes its initial save or not, it is subject to a -2 penalty on attack and damage rolls against the creature it originally targeted for the duration of the spell.&lt;/p&gt;&lt;/h4&gt;&lt;/div&gt;</t>
  </si>
  <si>
    <t>Subject cannot attack with melee weapon.</t>
  </si>
  <si>
    <t>Stone Call</t>
  </si>
  <si>
    <t>druid 2, ranger 2, sorcerer/wizard 2, magus 2</t>
  </si>
  <si>
    <t>A rain of dirt, gravel, and small pebbles fills the area, dealing 2d6 points of bludgeoning damage to every creature in the area. This damage only occurs once, when the spell is cast. For the remaining duration of the spell, this debris covers the ground, making the entire area difficult terrain. At the end of the duration, the rocks disappear, leaving no aftereffects (other than the damage dealt).</t>
  </si>
  <si>
    <t>&lt;p&gt;A rain of dirt, gravel, and small pebbles fills the area, dealing 2d6 points of bludgeoning damage to every creature in the area. This damage only occurs once, when the spell is cast.&lt;/p&gt;&lt;p&gt;For the remaining duration of the spell, this debris covers the ground, making the entire area difficult terrain. At the end of the duration, the rocks disappear, leaving no aftereffects (other than the damage dealt).&lt;/p&gt;</t>
  </si>
  <si>
    <t>&lt;link rel="stylesheet"href="PF.css"&gt;&lt;div class="heading"&gt;&lt;p class="alignleft"&gt;Stone Call&lt;/p&gt;&lt;div style="clear: both;"&gt;&lt;/div&gt;&lt;/div&gt;&lt;div&gt;&lt;h5&gt;&lt;b&gt;School &lt;/b&gt;conjuration (creation) [earth]; &lt;b&gt;Level &lt;/b&gt;druid 2, ranger 2, sorcerer/wizard 2, magus 2&lt;/h5&gt;&lt;/div&gt;&lt;hr/&gt;&lt;div&gt;&lt;h5&gt;&lt;b&gt;CASTING&lt;/b&gt;&lt;/h5&gt;&lt;/div&gt;&lt;hr/&gt;&lt;div&gt;&lt;h5&gt;&lt;b&gt;Casting Time &lt;/b&gt;1 standard action&lt;/h5&gt;&lt;h5&gt;&lt;b&gt;Components &lt;/b&gt;V, S, DF&lt;/h5&gt;&lt;/div&gt;&lt;hr/&gt;&lt;div&gt;&lt;h5&gt;&lt;b&gt;EFFECT&lt;/b&gt;&lt;/h5&gt;&lt;/div&gt;&lt;hr/&gt;&lt;div&gt;&lt;h5&gt;&lt;b&gt;Range &lt;/b&gt;medium (100 ft. + 10 ft./level)&lt;/h5&gt;&lt;h5&gt;&lt;b&gt;Area &lt;/b&gt;cylinder (40-ft. radius, 20 ft. high)&lt;/h5&gt;&lt;h5&gt;&lt;b&gt;Duration &lt;/b&gt;1 round/level&lt;/h5&gt;&lt;h5&gt;&lt;b&gt;Saving Throw &lt;/b&gt;none; &lt;b&gt;Spell Resistance &lt;/b&gt;no&lt;/h5&gt;&lt;/div&gt;&lt;hr/&gt;&lt;div&gt;&lt;h5&gt;&lt;b&gt;DESCRIPTION&lt;/b&gt;&lt;/h5&gt;&lt;/div&gt;&lt;hr/&gt;&lt;div&gt;&lt;h4&gt;&lt;p&gt;A rain of dirt, gravel, and small pebbles fills the area, dealing 2d6 points of bludgeoning damage to every creature in the area. This damage only occurs once, when the spell is cast.&lt;/p&gt;&lt;p&gt;For the remaining duration of the spell, this debris covers the ground, making the entire area difficult terrain. At the end of the duration, the rocks disappear, leaving no aftereffects (other than the damage dealt).&lt;/p&gt;&lt;/h4&gt;&lt;/div&gt;</t>
  </si>
  <si>
    <t>2d6 damage to all creatures in area.</t>
  </si>
  <si>
    <t>Stone Fist</t>
  </si>
  <si>
    <t>alchemist 1, druid 1, sorcerer/wizard 1, magus 1</t>
  </si>
  <si>
    <t>V, S, M (a chip of granite)</t>
  </si>
  <si>
    <t>This spell transforms your hands into living stone. While this spell is in effect, your unarmed strikes do not provoke attacks of opportunity and deal 1d6 points of lethal bludgeoning damage (1d4 if you are Small). In addition, your unarmed strikes ignore the hardness of any object with a hardness less than 8. Stone to flesh immediately dispels stone fist. Should you be the target of transmute rock to mud, this spell immediately ends and you take 4d6 points of damage.</t>
  </si>
  <si>
    <t>&lt;p&gt;This spell transforms your hands into living stone. While this spell is in effect, your unarmed strikes do not provoke attacks of opportunity and deal 1d6 points of lethal bludgeoning damage (1d4 if you are Small). In addition, your unarmed strikes ignore the hardness of any object with a hardness less than 8.&lt;/p&gt;&lt;p&gt;&lt;i&gt;Stone to flesh&lt;/i&gt; immediately dispels &lt;i&gt;stone fist&lt;/i&gt;. Should you be the target of &lt;i&gt;transmute rock to mud&lt;/i&gt;, this spell immediately ends and you take 4d6 points of damage.&lt;/p&gt;</t>
  </si>
  <si>
    <t>&lt;link rel="stylesheet"href="PF.css"&gt;&lt;div class="heading"&gt;&lt;p class="alignleft"&gt;Stone Fist&lt;/p&gt;&lt;div style="clear: both;"&gt;&lt;/div&gt;&lt;/div&gt;&lt;div&gt;&lt;h5&gt;&lt;b&gt;School &lt;/b&gt;transmutation [earth]; &lt;b&gt;Level &lt;/b&gt;alchemist 1, druid 1, sorcerer/wizard 1, magus 1&lt;/h5&gt;&lt;/div&gt;&lt;hr/&gt;&lt;div&gt;&lt;h5&gt;&lt;b&gt;CASTING&lt;/b&gt;&lt;/h5&gt;&lt;/div&gt;&lt;hr/&gt;&lt;div&gt;&lt;h5&gt;&lt;b&gt;Casting Time &lt;/b&gt;1 standard action&lt;/h5&gt;&lt;h5&gt;&lt;b&gt;Components &lt;/b&gt;V, S, M (a chip of granite)&lt;/h5&gt;&lt;/div&gt;&lt;hr/&gt;&lt;div&gt;&lt;h5&gt;&lt;b&gt;EFFECT&lt;/b&gt;&lt;/h5&gt;&lt;/div&gt;&lt;hr/&gt;&lt;div&gt;&lt;h5&gt;&lt;b&gt;Range &lt;/b&gt;personal&lt;/h5&gt;&lt;h5&gt;&lt;b&gt;Targets &lt;/b&gt;you&lt;/h5&gt;&lt;h5&gt;&lt;b&gt;Duration &lt;/b&gt;1 minute/level (D)&lt;/h5&gt;&lt;/div&gt;&lt;hr/&gt;&lt;div&gt;&lt;h5&gt;&lt;b&gt;DESCRIPTION&lt;/b&gt;&lt;/h5&gt;&lt;/div&gt;&lt;hr/&gt;&lt;div&gt;&lt;h4&gt;&lt;p&gt;This spell transforms your hands into living stone. While this spell is in effect, your unarmed strikes do not provoke attacks of opportunity and deal 1d6 points of lethal bludgeoning damage (1d4 if you are Small). In addition, your unarmed strikes ignore the hardness of any object with a hardness less than 8.&lt;/p&gt;&lt;p&gt;&lt;i&gt;Stone to flesh&lt;/i&gt; immediately dispels &lt;i&gt;stone fist&lt;/i&gt;. Should you be the target of &lt;i&gt;transmute rock to mud&lt;/i&gt;, this spell immediately ends and you take 4d6 points of damage.&lt;/p&gt;&lt;/h4&gt;&lt;/div&gt;</t>
  </si>
  <si>
    <t>Your unarmed strikes are lethal.</t>
  </si>
  <si>
    <t>Stormbolts</t>
  </si>
  <si>
    <t>cleric 8/oracle 8, druid 8, sorcerer/wizard 8, witch 8</t>
  </si>
  <si>
    <t>V, S, M/DF (a copper rod)</t>
  </si>
  <si>
    <t>a 30-ft.-radius spread, centered on you</t>
  </si>
  <si>
    <t>When you cast this spell, lightning spills forth from your body in all directions. The bolts do not harm natural vegetation or creatures in the area you wish to exclude from damage. Any other creatures within the area take 1d8 points of electricity damage per caster level (maximum 20d8) and are stunned for 1 round. A successful saving throw halves the damage and negates the stun effect.</t>
  </si>
  <si>
    <t>&lt;p&gt;When you cast this spell, lightning spills forth from your body in all directions. The bolts do not harm natural vegetation or creatures in the area you wish to exclude from damage. Any other creatures within the area take 1d8 points of electricity damage per caster level (maximum 20d8) and are stunned for 1 round. A successful saving throw halves the damage and negates the stun effect.&lt;/p&gt;</t>
  </si>
  <si>
    <t>&lt;link rel="stylesheet"href="PF.css"&gt;&lt;div class="heading"&gt;&lt;p class="alignleft"&gt;Stormbolts&lt;/p&gt;&lt;div style="clear: both;"&gt;&lt;/div&gt;&lt;/div&gt;&lt;div&gt;&lt;h5&gt;&lt;b&gt;School &lt;/b&gt;evocation [electricity]; &lt;b&gt;Level &lt;/b&gt;cleric 8/oracle 8, druid 8, sorcerer/wizard 8, witch 8&lt;/h5&gt;&lt;/div&gt;&lt;hr/&gt;&lt;div&gt;&lt;h5&gt;&lt;b&gt;CASTING&lt;/b&gt;&lt;/h5&gt;&lt;/div&gt;&lt;hr/&gt;&lt;div&gt;&lt;h5&gt;&lt;b&gt;Casting Time &lt;/b&gt;1 standard action&lt;/h5&gt;&lt;h5&gt;&lt;b&gt;Components &lt;/b&gt;V, S, M/DF (a copper rod)&lt;/h5&gt;&lt;/div&gt;&lt;hr/&gt;&lt;div&gt;&lt;h5&gt;&lt;b&gt;EFFECT&lt;/b&gt;&lt;/h5&gt;&lt;/div&gt;&lt;hr/&gt;&lt;div&gt;&lt;h5&gt;&lt;b&gt;Range &lt;/b&gt;30 ft.&lt;/h5&gt;&lt;h5&gt;&lt;b&gt;Area &lt;/b&gt;a 30-ft.-radius spread, centered on you&lt;/h5&gt;&lt;h5&gt;&lt;b&gt;Duration &lt;/b&gt;instantaneous&lt;/h5&gt;&lt;h5&gt;&lt;b&gt;Saving Throw &lt;/b&gt;Fortitude partial; &lt;b&gt;Spell Resistance &lt;/b&gt;yes&lt;/h5&gt;&lt;/div&gt;&lt;hr/&gt;&lt;div&gt;&lt;h5&gt;&lt;b&gt;DESCRIPTION&lt;/b&gt;&lt;/h5&gt;&lt;/div&gt;&lt;hr/&gt;&lt;div&gt;&lt;h4&gt;&lt;p&gt;When you cast this spell, lightning spills forth from your body in all directions. The bolts do not harm natural vegetation or creatures in the area you wish to exclude from damage. Any other creatures within the area take 1d8 points of electricity damage per caster level (maximum 20d8) and are stunned for 1 round. A successful saving throw halves the damage and negates the stun effect.&lt;/p&gt;&lt;/h4&gt;&lt;/div&gt;</t>
  </si>
  <si>
    <t>1d8 damage/level (max 20d8) to targets.</t>
  </si>
  <si>
    <t>Strong Jaw</t>
  </si>
  <si>
    <t>Laying a hand upon an allied creature's jaw, claws, tentacles, or other natural weapons, you enhance the power of that creature's natural attacks. Each natural attack that creature makes deals damage as if the creature were two sizes larger than it actually is (see page 302 of the Pathfinder Bestiary for more information). If the creature is already Gargantuan or Colossal-sized, double the amount of damage dealt by each of its natural attacks instead. This spell does not actually change the creature's size; all of its statistics except the amount of damage dealt by its natural attacks remain unchanged.</t>
  </si>
  <si>
    <t>&lt;p&gt;Laying a hand upon an allied creature's jaw, claws, tentacles, or other natural weapons, you enhance the power of that creature's natural attacks. Each natural attack that creature makes deals damage as if the creature were two sizes larger than it actually is (see page 302 of the &lt;i&gt;Pathfinder Bestiary&lt;/i&gt; for more information). If the creature is already Gargantuan or Colossal-sized, double the amount of damage dealt by each of its natural attacks instead. This spell does not actually change the creature's size; all of its statistics except the amount of damage dealt by its natural attacks remain unchanged.&lt;/p&gt;</t>
  </si>
  <si>
    <t>&lt;link rel="stylesheet"href="PF.css"&gt;&lt;div class="heading"&gt;&lt;p class="alignleft"&gt;Strong Jaw&lt;/p&gt;&lt;div style="clear: both;"&gt;&lt;/div&gt;&lt;/div&gt;&lt;div&gt;&lt;h5&gt;&lt;b&gt;School &lt;/b&gt;transmutation; &lt;b&gt;Level &lt;/b&gt;druid 4, ranger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minute/level&lt;/h5&gt;&lt;h5&gt;&lt;b&gt;Saving Throw &lt;/b&gt;Fortitude negates (harmless); &lt;b&gt;Spell Resistance &lt;/b&gt;yes (harmless)&lt;/h5&gt;&lt;/div&gt;&lt;hr/&gt;&lt;div&gt;&lt;h5&gt;&lt;b&gt;DESCRIPTION&lt;/b&gt;&lt;/h5&gt;&lt;/div&gt;&lt;hr/&gt;&lt;div&gt;&lt;h4&gt;&lt;p&gt;Laying a hand upon an allied creature's jaw, claws, tentacles, or other natural weapons, you enhance the power of that creature's natural attacks. Each natural attack that creature makes deals damage as if the creature were two sizes larger than it actually is (see page 302 of the &lt;i&gt;Pathfinder Bestiary&lt;/i&gt; for more information). If the creature is already Gargantuan or Colossal-sized, double the amount of damage dealt by each of its natural attacks instead. This spell does not actually change the creature's size; all of its statistics except the amount of damage dealt by its natural attacks remain unchanged.&lt;/p&gt;&lt;/h4&gt;&lt;/div&gt;</t>
  </si>
  <si>
    <t>Natural attacks damage as two sizes bigger.</t>
  </si>
  <si>
    <t>Stumble Gap</t>
  </si>
  <si>
    <t>You create a shallow extradimensional hole perfectly sized to trip anyone who steps within it. This hole occupies a single 5-foot square with a depth of six inches. Any creature occupying the square when you first create the hole, or who later steps into the square containing the hole, must make a Reflex saving throw to avoid falling prone in an adjacent square and taking 1d6 points of damage. A creature that makes its saving throw still stumbles ever so slightly and takes a -1 penalty on all rolls and checks for 1 round. The spell has no effect on creatures adjacent to the square containing the hole.</t>
  </si>
  <si>
    <t>&lt;p&gt;You create a shallow extradimensional hole perfectly sized to trip anyone who steps within it. This hole occupies a single 5-foot square with a depth of six inches. Any creature occupying the square when you first create the hole, or who later steps into the square containing the hole, must make a Reflex saving throw to avoid falling prone in an adjacent square and taking 1d6 points of damage. A creature that makes its saving throw still stumbles ever so slightly and takes a -1 penalty on all rolls and checks for 1 round. The spell has no effect on creatures adjacent to the square containing the hole.&lt;/p&gt;</t>
  </si>
  <si>
    <t>&lt;link rel="stylesheet"href="PF.css"&gt;&lt;div class="heading"&gt;&lt;p class="alignleft"&gt;Stumble Gap&lt;/p&gt;&lt;div style="clear: both;"&gt;&lt;/div&gt;&lt;/div&gt;&lt;div&gt;&lt;h5&gt;&lt;b&gt;School &lt;/b&gt;conjuration (creation); &lt;b&gt;Level &lt;/b&gt;sorcerer/wizard 1&lt;/h5&gt;&lt;/div&gt;&lt;hr/&gt;&lt;div&gt;&lt;h5&gt;&lt;b&gt;CASTING&lt;/b&gt;&lt;/h5&gt;&lt;/div&gt;&lt;hr/&gt;&lt;div&gt;&lt;h5&gt;&lt;b&gt;Casting Time &lt;/b&gt;1 standard action&lt;/h5&gt;&lt;h5&gt;&lt;b&gt;Components &lt;/b&gt;V, S, F (miniature shovel costing 10 gp)&lt;/h5&gt;&lt;/div&gt;&lt;hr/&gt;&lt;div&gt;&lt;h5&gt;&lt;b&gt;EFFECT&lt;/b&gt;&lt;/h5&gt;&lt;/div&gt;&lt;hr/&gt;&lt;div&gt;&lt;h5&gt;&lt;b&gt;Range &lt;/b&gt;close (25 ft. + 5 ft./2 levels)&lt;/h5&gt;&lt;h5&gt;&lt;b&gt;Effect &lt;/b&gt;see text&lt;/h5&gt;&lt;h5&gt;&lt;b&gt;Duration &lt;/b&gt;1 round + 1 round/level&lt;/h5&gt;&lt;h5&gt;&lt;b&gt;Saving Throw &lt;/b&gt;Reflex partial; &lt;b&gt;Spell Resistance &lt;/b&gt;no&lt;/h5&gt;&lt;/div&gt;&lt;hr/&gt;&lt;div&gt;&lt;h5&gt;&lt;b&gt;DESCRIPTION&lt;/b&gt;&lt;/h5&gt;&lt;/div&gt;&lt;hr/&gt;&lt;div&gt;&lt;h4&gt;&lt;p&gt;You create a shallow extradimensional hole perfectly sized to trip anyone who steps within it. This hole occupies a single 5-foot square with a depth of six inches. Any creature occupying the square when you first create the hole, or who later steps into the square containing the hole, must make a Reflex saving throw to avoid falling prone in an adjacent square and taking 1d6 points of damage. A creature that makes its saving throw still stumbles ever so slightly and takes a -1 penalty on all rolls and checks for 1 round. The spell has no effect on creatures adjacent to the square containing the hole.&lt;/p&gt;&lt;/h4&gt;&lt;/div&gt;</t>
  </si>
  <si>
    <t>Small hole trips creatures.</t>
  </si>
  <si>
    <t>Stunning Finale</t>
  </si>
  <si>
    <t>You must have a bardic performance in effect to cast this spell. With a flourish, you immediately end your bardic performance, assaulting the senses of the targets with your finale. Each target is stunned for 1 round. On a successful saving throw, a target is staggered for 1 round.</t>
  </si>
  <si>
    <t>&lt;p&gt;You must have a bardic performance in effect to cast this spell.&lt;/p&gt;&lt;p&gt;With a flourish, you immediately end your bardic performance, assaulting the senses of the targets with your finale. Each target is stunned for 1 round. On a successful saving throw, a target is staggered for 1 round.&lt;/p&gt;</t>
  </si>
  <si>
    <t>&lt;link rel="stylesheet"href="PF.css"&gt;&lt;div class="heading"&gt;&lt;p class="alignleft"&gt;Stunning Finale&lt;/p&gt;&lt;div style="clear: both;"&gt;&lt;/div&gt;&lt;/div&gt;&lt;div&gt;&lt;h5&gt;&lt;b&gt;School &lt;/b&gt;enchantment (compulsion) [mind-affecting]; &lt;b&gt;Level &lt;/b&gt;bard 5&lt;/h5&gt;&lt;/div&gt;&lt;hr/&gt;&lt;div&gt;&lt;h5&gt;&lt;b&gt;CASTING&lt;/b&gt;&lt;/h5&gt;&lt;/div&gt;&lt;hr/&gt;&lt;div&gt;&lt;h5&gt;&lt;b&gt;Casting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&lt;/b&gt;up to 3 creatures, no two of which can be more than 30 ft. apart&lt;/h5&gt;&lt;h5&gt;&lt;b&gt;Duration &lt;/b&gt;1 round&lt;/h5&gt;&lt;h5&gt;&lt;b&gt;Saving Throw &lt;/b&gt;Fortitude partial; see text; &lt;b&gt;Spell Resistance &lt;/b&gt;yes&lt;/h5&gt;&lt;/div&gt;&lt;hr/&gt;&lt;div&gt;&lt;h5&gt;&lt;b&gt;DESCRIPTION&lt;/b&gt;&lt;/h5&gt;&lt;/div&gt;&lt;hr/&gt;&lt;div&gt;&lt;h4&gt;&lt;p&gt;You must have a bardic performance in effect to cast this spell.&lt;/p&gt;&lt;p&gt;With a flourish, you immediately end your bardic performance, assaulting the senses of the targets with your finale. Each target is stunned for 1 round. On a successful saving throw, a target is staggered for 1 round.&lt;/p&gt;&lt;/h4&gt;&lt;/div&gt;</t>
  </si>
  <si>
    <t>Stuns 3 creatures for 1 round.</t>
  </si>
  <si>
    <t>Suffocation</t>
  </si>
  <si>
    <t>V, S, M (a vial containing a bit of the caster's breath)</t>
  </si>
  <si>
    <t>This spell extracts the air from the target's lungs, causing swift suffocation. The target can attempt to resist this spell's effects with a Fortitude save-if he succeeds, he is merely staggered for 1 round as he gasps for breath. If the target fails, he immediately begins to suffocate. On the target's next turn, he falls unconscious and is reduced to 0 hit points. One round later, the target drops to -1 hit points and is dying. One round after that, the target dies. Each round, the target can delay that round's effects from occurring by making a successful Fortitude save, but the spell continues for 3 rounds, and each time a target fails his Fortitude save, he moves one step further along the track to suffocation. This spell only affects living creatures that must breathe. It is impossible to defeat the effects of this spell by simply holding one's breath-if the victim fails the initial saving throw, the air in his lungs is extracted.</t>
  </si>
  <si>
    <t>&lt;p&gt;This spell extracts the air from the target's lungs, causing swift suffocation. The target can attempt to resist this spell's effects with a Fortitude save-if he succeeds, he is merely staggered for 1 round as he gasps for breath. If the target fails, he immediately begins to suffocate. On the target's next turn, he falls unconscious and is reduced to 0 hit points. One round later, the target drops to -1 hit points and is dying. One round after that, the target dies. Each round, the target can delay that round's effects from occurring by making a successful Fortitude save, but the spell continues for 3 rounds, and each time a target fails his Fortitude save, he moves one step further along the track to suffocation. This spell only affects living creatures that must breathe. It is impossible to defeat the effects of this spell by simply holding one's breath-if the victim fails the initial saving throw, the air in his lungs is extracted.&lt;/p&gt;</t>
  </si>
  <si>
    <t>&lt;link rel="stylesheet"href="PF.css"&gt;&lt;div class="heading"&gt;&lt;p class="alignleft"&gt;Suffocation&lt;/p&gt;&lt;div style="clear: both;"&gt;&lt;/div&gt;&lt;/div&gt;&lt;div&gt;&lt;h5&gt;&lt;b&gt;School &lt;/b&gt;necromancy; &lt;b&gt;Level &lt;/b&gt;sorcerer/wizard 5, witch 5&lt;/h5&gt;&lt;/div&gt;&lt;hr/&gt;&lt;div&gt;&lt;h5&gt;&lt;b&gt;CASTING&lt;/b&gt;&lt;/h5&gt;&lt;/div&gt;&lt;hr/&gt;&lt;div&gt;&lt;h5&gt;&lt;b&gt;Casting Time &lt;/b&gt;1 standard action&lt;/h5&gt;&lt;h5&gt;&lt;b&gt;Components &lt;/b&gt;V, S, M (a vial containing a bit of the caster's breath)&lt;/h5&gt;&lt;/div&gt;&lt;hr/&gt;&lt;div&gt;&lt;h5&gt;&lt;b&gt;EFFECT&lt;/b&gt;&lt;/h5&gt;&lt;/div&gt;&lt;hr/&gt;&lt;div&gt;&lt;h5&gt;&lt;b&gt;Range &lt;/b&gt;close (25 ft. + 5 ft./2 levels)&lt;/h5&gt;&lt;h5&gt;&lt;b&gt;Targets &lt;/b&gt;one living creature&lt;/h5&gt;&lt;h5&gt;&lt;b&gt;Duration &lt;/b&gt;3 rounds&lt;/h5&gt;&lt;h5&gt;&lt;b&gt;Saving Throw &lt;/b&gt;Fortitude partial; &lt;b&gt;Spell Resistance &lt;/b&gt;yes&lt;/h5&gt;&lt;/div&gt;&lt;hr/&gt;&lt;div&gt;&lt;h5&gt;&lt;b&gt;DESCRIPTION&lt;/b&gt;&lt;/h5&gt;&lt;/div&gt;&lt;hr/&gt;&lt;div&gt;&lt;h4&gt;&lt;p&gt;This spell extracts the air from the target's lungs, causing swift suffocation. The target can attempt to resist this spell's effects with a Fortitude save-if he succeeds, he is merely staggered for 1 round as he gasps for breath. If the target fails, he immediately begins to suffocate. On the target's next turn, he falls unconscious and is reduced to 0 hit points. One round later, the target drops to -1 hit points and is dying. One round after that, the target dies. Each round, the target can delay that round's effects from occurring by making a successful Fortitude save, but the spell continues for 3 rounds, and each time a target fails his Fortitude save, he moves one step further along the track to suffocation. This spell only affects living creatures that must breathe. It is impossible to defeat the effects of this spell by simply holding one's breath-if the victim fails the initial saving throw, the air in his lungs is extracted.&lt;/p&gt;&lt;/h4&gt;&lt;/div&gt;</t>
  </si>
  <si>
    <t>Target quickly suffocates to death.</t>
  </si>
  <si>
    <t>Suffocation, Mass</t>
  </si>
  <si>
    <t>one living creature/2 levels (no two of which may be more than 30 feet apart)</t>
  </si>
  <si>
    <t>This spell functions as suffocation except as noted above. Note that the duration of this spell is much longer, forcing those suffering from the effect to make far more Fortitude saves to stave off eventual suffocation.</t>
  </si>
  <si>
    <t>&lt;p&gt;This spell functions as suffocation except as noted above. Note that the duration of this spell is much longer, forcing those suffering from the effect to make far more Fortitude saves to stave off eventual suffocation.&lt;/p&gt;</t>
  </si>
  <si>
    <t>&lt;link rel="stylesheet"href="PF.css"&gt;&lt;div class="heading"&gt;&lt;p class="alignleft"&gt;Suffocation, Mass&lt;/p&gt;&lt;div style="clear: both;"&gt;&lt;/div&gt;&lt;/div&gt;&lt;div&gt;&lt;h5&gt;&lt;b&gt;School &lt;/b&gt;necromancy; &lt;b&gt;Level &lt;/b&gt;sorcerer/wizard 9, witch 9&lt;/h5&gt;&lt;/div&gt;&lt;hr/&gt;&lt;div&gt;&lt;h5&gt;&lt;b&gt;CASTING&lt;/b&gt;&lt;/h5&gt;&lt;/div&gt;&lt;hr/&gt;&lt;div&gt;&lt;h5&gt;&lt;b&gt;Casting Time &lt;/b&gt;1 standard action&lt;/h5&gt;&lt;h5&gt;&lt;b&gt;Components &lt;/b&gt;V, S, M (a vial containing a bit of the caster's breath)&lt;/h5&gt;&lt;/div&gt;&lt;hr/&gt;&lt;div&gt;&lt;h5&gt;&lt;b&gt;EFFECT&lt;/b&gt;&lt;/h5&gt;&lt;/div&gt;&lt;hr/&gt;&lt;div&gt;&lt;h5&gt;&lt;b&gt;Range &lt;/b&gt;close (25 ft. + 5 ft./2 levels)&lt;/h5&gt;&lt;h5&gt;&lt;b&gt;Targets &lt;/b&gt;one living creature/2 levels (no two of which may be more than 30 feet apart)&lt;/h5&gt;&lt;h5&gt;&lt;b&gt;Duration &lt;/b&gt;1 round/level&lt;/h5&gt;&lt;h5&gt;&lt;b&gt;Saving Throw &lt;/b&gt;Fortitude partial; &lt;b&gt;Spell Resistance &lt;/b&gt;yes&lt;/h5&gt;&lt;/div&gt;&lt;hr/&gt;&lt;div&gt;&lt;h5&gt;&lt;b&gt;DESCRIPTION&lt;/b&gt;&lt;/h5&gt;&lt;/div&gt;&lt;hr/&gt;&lt;div&gt;&lt;h4&gt;&lt;p&gt;This spell functions as suffocation except as noted above. Note that the duration of this spell is much longer, forcing those suffering from the effect to make far more Fortitude saves to stave off eventual suffocation.&lt;/p&gt;&lt;/h4&gt;&lt;/div&gt;</t>
  </si>
  <si>
    <t>One creature/level suffocates to death.</t>
  </si>
  <si>
    <t>Summon Eidolon</t>
  </si>
  <si>
    <t>V, S, M (a silver coin)</t>
  </si>
  <si>
    <t>You open a rift between dimensions that summons your eidolon. Treat this as if you had summoned your eidolon normally, except that it only remains with you for the duration of this spell. While summoned in this way, your eidolon cannot touch any creature warded by protection from evil or a similar effect and your eidolon can be sent back to its home plane by dispel magic. If you cast this spell while your eidolon is already on your plane, this spell has no effect. This spell allows you to summon your eidolon even if it has been returned to its home plane due to damage.</t>
  </si>
  <si>
    <t>&lt;p&gt;You open a rift between dimensions that summons your eidolon.&lt;/p&gt;&lt;p&gt;Treat this as if you had summoned your eidolon normally, except that it only remains with you for the duration of this spell. While summoned in this way, your eidolon cannot touch any creature warded by &lt;i&gt;protection from evil&lt;/i&gt; or a similar effect and your eidolon can be sent back to its home plane by &lt;i&gt;dispel magic&lt;/i&gt;.&lt;/p&gt;&lt;p&gt;If you cast this spell while your eidolon is already on your plane, this spell has no effect. This spell allows you to summon your eidolon even if it has been returned to its home plane due to damage.&lt;/p&gt;</t>
  </si>
  <si>
    <t>&lt;link rel="stylesheet"href="PF.css"&gt;&lt;div class="heading"&gt;&lt;p class="alignleft"&gt;Summon Eidolon&lt;/p&gt;&lt;div style="clear: both;"&gt;&lt;/div&gt;&lt;/div&gt;&lt;div&gt;&lt;h5&gt;&lt;b&gt;School &lt;/b&gt;conjuration (summoning); &lt;b&gt;Level &lt;/b&gt;summoner 2&lt;/h5&gt;&lt;/div&gt;&lt;hr/&gt;&lt;div&gt;&lt;h5&gt;&lt;b&gt;CASTING&lt;/b&gt;&lt;/h5&gt;&lt;/div&gt;&lt;hr/&gt;&lt;div&gt;&lt;h5&gt;&lt;b&gt;Casting Time &lt;/b&gt;1 round&lt;/h5&gt;&lt;h5&gt;&lt;b&gt;Components &lt;/b&gt;V, S, M (a silver coin)&lt;/h5&gt;&lt;/div&gt;&lt;hr/&gt;&lt;div&gt;&lt;h5&gt;&lt;b&gt;EFFECT&lt;/b&gt;&lt;/h5&gt;&lt;/div&gt;&lt;hr/&gt;&lt;div&gt;&lt;h5&gt;&lt;b&gt;Range &lt;/b&gt;close (25 ft. + 5 ft./2 levels)&lt;/h5&gt;&lt;h5&gt;&lt;b&gt;Targets &lt;/b&gt;one eidolon&lt;/h5&gt;&lt;h5&gt;&lt;b&gt;Duration &lt;/b&gt;1 minute/level (D)&lt;/h5&gt;&lt;h5&gt;&lt;b&gt;Saving Throw &lt;/b&gt;none; &lt;b&gt;Spell Resistance &lt;/b&gt;no&lt;/h5&gt;&lt;/div&gt;&lt;hr/&gt;&lt;div&gt;&lt;h5&gt;&lt;b&gt;DESCRIPTION&lt;/b&gt;&lt;/h5&gt;&lt;/div&gt;&lt;hr/&gt;&lt;div&gt;&lt;h4&gt;&lt;p&gt;You open a rift between dimensions that summons your eidolon.&lt;/p&gt;&lt;p&gt;Treat this as if you had summoned your eidolon normally, except that it only remains with you for the duration of this spell. While summoned in this way, your eidolon cannot touch any creature warded by &lt;i&gt;protection from evil&lt;/i&gt; or a similar effect and your eidolon can be sent back to its home plane by &lt;i&gt;dispel magic&lt;/i&gt;.&lt;/p&gt;&lt;p&gt;If you cast this spell while your eidolon is already on your plane, this spell has no effect. This spell allows you to summon your eidolon even if it has been returned to its home plane due to damage.&lt;/p&gt;&lt;/h4&gt;&lt;/div&gt;</t>
  </si>
  <si>
    <t>Instantly summons your eidolon for duration of spell.</t>
  </si>
  <si>
    <t>Swarm Skin</t>
  </si>
  <si>
    <t>druid 6, witch 6</t>
  </si>
  <si>
    <t>V, S, M/DF (a crushed insect hive)</t>
  </si>
  <si>
    <t>You convert all of your soft tissue into swarms of insects or other creatures and send them off to do your bidding, leaving nothing but your bones and gear behind. These swarms have all their normal qualities and abilities but also bear a tiny portion of your consciousness that allows you to perceive what they do and to control their actions. While in this form, you cannot use any of your own abilities or take any actions other than controlling the swarms. Each time you cast this spell you get a total allotment of levels equal to your caster level and any swarm you choose to create costs one or more of those levels. You can "spend" your allotment of levels to create any combination of swarms so long as their total does not exceed your caster level. Number of Levels S warm Type(s) 2 caster levels Spider swarm (Pathfinder Bestiary page 258) 4 caster levels Rat swarm (Bestiary 232) 6 caster levels Crab swarm, wasp swarm (Bestiary 50, 275) 8 caster levels Centipede swarm, leech swarm (Bestiary 43, 187) 10 caster levels Army ant swarm (Bestiary 16) Once you create these swarms they remain in existence until destroyed or you order them to return to your body. When all swarms have returned to your body or are destroyed, your flesh wraps itself back around your bones and you regain the ability to act normally. If your bones are not where you left them you must first locate them in order to regain access to your body. You always know if your bones are destroyed and your consciousness remains in control of the swarms until they too are destroyed (and your die). If you can use the swarms to get help and arrange for someone to repair your bones (using anything that would normally restore you to life), at which point you can return the swarms to your body.</t>
  </si>
  <si>
    <t>&lt;p&gt;You convert all of your soft tissue into swarms of insects or other creatures and send them off to do your bidding, leaving nothing but your bones and gear behind. These swarms have all their normal qualities and abilities but also bear a tiny portion of your consciousness that allows you to perceive what they do and to control their actions. While in this form, you cannot use any of your own abilities or take any actions other than controlling the swarms.&lt;/p&gt;&lt;p&gt;Each time you cast this spell you get a total allotment of levels equal to your caster level and any swarm you choose to create costs one or more of those levels. You can "spend" your allotment of levels to create any combination of swarms so long as their total does not exceed your caster level.&lt;/p&gt;&lt;p&gt; &lt;table&gt;&lt;tr&gt;&lt;th&gt;Number of Levels&lt;/th&gt;&lt;th&gt;Swarm Type(s)&lt;/th&gt;&lt;/tr&gt;&lt;tr&gt;&lt;td&gt;2 caster levels&lt;/td&gt;&lt;td&gt;Spider swarm (Pathfinder Bestiary page 258)&lt;/td&gt;&lt;/tr&gt;&lt;tr&gt;&lt;td&gt;4 caster levels&lt;/td&gt;&lt;td&gt;Rat swarm (Bestiary 232)&lt;/td&gt;&lt;/tr&gt;&lt;tr&gt;&lt;td&gt;6 caster levels&lt;/td&gt;&lt;td&gt;Crab swarm, wasp swarm (Bestiary 50, 275)&lt;/td&gt;&lt;/tr&gt;&lt;tr&gt;&lt;td&gt;8 caster levels&lt;/td&gt;&lt;td&gt;Centipede swarm, leech swarm (Bestiary 43, 187)&lt;/td&gt;&lt;/tr&gt;&lt;tr&gt;&lt;td&gt;10 caster levels&lt;/td&gt;&lt;td&gt;Army ant swarm (Bestiary 16)&lt;/td&gt;&lt;/tr&gt;&lt;/table&gt; Once you create these swarms they remain in existence until destroyed or you order them to return to your body. When all swarms have returned to your body or are destroyed, your flesh wraps itself back around your bones and you regain the ability to act normally. If your bones are not where you left them you must first locate them in order to regain access to your body. You always know if your bones are destroyed and your consciousness remains in control of the swarms until they too are destroyed (and your die). If you can use the swarms to get help and arrange for someone to repair your bones (using anything that would normally restore you to life), at which point you can return the swarms to your body.&lt;/p&gt;</t>
  </si>
  <si>
    <t>&lt;link rel="stylesheet"href="PF.css"&gt;&lt;div class="heading"&gt;&lt;p class="alignleft"&gt;Swarm Skin&lt;/p&gt;&lt;div style="clear: both;"&gt;&lt;/div&gt;&lt;/div&gt;&lt;div&gt;&lt;h5&gt;&lt;b&gt;School &lt;/b&gt;transmutation; &lt;b&gt;Level &lt;/b&gt;druid 6, witch 6&lt;/h5&gt;&lt;/div&gt;&lt;hr/&gt;&lt;div&gt;&lt;h5&gt;&lt;b&gt;CASTING&lt;/b&gt;&lt;/h5&gt;&lt;/div&gt;&lt;hr/&gt;&lt;div&gt;&lt;h5&gt;&lt;b&gt;Casting Time &lt;/b&gt;1 standard action&lt;/h5&gt;&lt;h5&gt;&lt;b&gt;Components &lt;/b&gt;V, S, M/DF (a crushed insect hive)&lt;/h5&gt;&lt;/div&gt;&lt;hr/&gt;&lt;div&gt;&lt;h5&gt;&lt;b&gt;EFFECT&lt;/b&gt;&lt;/h5&gt;&lt;/div&gt;&lt;hr/&gt;&lt;div&gt;&lt;h5&gt;&lt;b&gt;Range &lt;/b&gt;personal&lt;/h5&gt;&lt;h5&gt;&lt;b&gt;Targets &lt;/b&gt;you&lt;/h5&gt;&lt;h5&gt;&lt;b&gt;Duration &lt;/b&gt;see text&lt;/h5&gt;&lt;/div&gt;&lt;hr/&gt;&lt;div&gt;&lt;h5&gt;&lt;b&gt;DESCRIPTION&lt;/b&gt;&lt;/h5&gt;&lt;/div&gt;&lt;hr/&gt;&lt;div&gt;&lt;h4&gt;&lt;p&gt;You convert all of your soft tissue into swarms of insects or other creatures and send them off to do your bidding, leaving nothing but your bones and gear behind. These swarms have all their normal qualities and abilities but also bear a tiny portion of your consciousness that allows you to perceive what they do and to control their actions. While in this form, you cannot use any of your own abilities or take any actions other than controlling the swarms.&lt;/p&gt;&lt;p&gt;Each time you cast this spell you get a total allotment of levels equal to your caster level and any swarm you choose to create costs one or more of those levels. You can "spend" your allotment of levels to create any combination of swarms so long as their total does not exceed your caster level.&lt;/p&gt;&lt;p&gt; &lt;table&gt;&lt;tr&gt;&lt;th&gt;Number of Levels&lt;/th&gt;&lt;th&gt;Swarm Type(s)&lt;/th&gt;&lt;/tr&gt;&lt;tr&gt;&lt;td&gt;2 caster levels&lt;/td&gt;&lt;td&gt;Spider swarm (Pathfinder Bestiary page 258)&lt;/td&gt;&lt;/tr&gt;&lt;tr&gt;&lt;td&gt;4 caster levels&lt;/td&gt;&lt;td&gt;Rat swarm (Bestiary 232)&lt;/td&gt;&lt;/tr&gt;&lt;tr&gt;&lt;td&gt;6 caster levels&lt;/td&gt;&lt;td&gt;Crab swarm, wasp swarm (Bestiary 50, 275)&lt;/td&gt;&lt;/tr&gt;&lt;tr&gt;&lt;td&gt;8 caster levels&lt;/td&gt;&lt;td&gt;Centipede swarm, leech swarm (Bestiary 43, 187)&lt;/td&gt;&lt;/tr&gt;&lt;tr&gt;&lt;td&gt;10 caster levels&lt;/td&gt;&lt;td&gt;Army ant swarm (Bestiary 16)&lt;/td&gt;&lt;/tr&gt;&lt;/table&gt; Once you create these swarms they remain in existence until destroyed or you order them to return to your body. When all swarms have returned to your body or are destroyed, your flesh wraps itself back around your bones and you regain the ability to act normally. If your bones are not where you left them you must first locate them in order to regain access to your body. You always know if your bones are destroyed and your consciousness remains in control of the swarms until they too are destroyed (and your die). If you can use the swarms to get help and arrange for someone to repair your bones (using anything that would normally restore you to life), at which point you can return the swarms to your body.&lt;/p&gt;&lt;/h4&gt;&lt;/div&gt;</t>
  </si>
  <si>
    <t>Turns your body into a swarm of vermin.</t>
  </si>
  <si>
    <t>Thorn Body</t>
  </si>
  <si>
    <t>alchemist 3, druid 4</t>
  </si>
  <si>
    <t>This spell causes spines to grow from your exposed skin, damaging creatures that strike you. Any creature striking you with a melee weapon, an unarmed strike, or a natural weapon takes 1d6 points of piercing damage +1 point per caster level (maximum +15). Creatures using melee weapons with reach are unaffected by this spell. Creatures that successfully grapple you take 2d6 points of piercing damage +1 point per caster level (maximum +15). In addition, your natural attacks and unarmed strikes deal an additional 1d6 points of piercing damage. Thorns created by this spell persist through any new physical shape or form you assume, such as via wildshape or any polymorph effect.</t>
  </si>
  <si>
    <t>&lt;p&gt;This spell causes spines to grow from your exposed skin, damaging creatures that strike you. Any creature striking you with a melee weapon, an unarmed strike, or a natural weapon takes 1d6 points of piercing damage +1 point per caster level (maximum +15). Creatures using melee weapons with reach are unaffected by this spell. Creatures that successfully grapple you take 2d6 points of piercing damage +1 point per caster level (maximum +15). In addition, your natural attacks and unarmed strikes deal an additional 1d6 points of piercing damage.&lt;/p&gt;&lt;p&gt;Thorns created by this spell persist through any new physical shape or form you assume, such as via wildshape or any polymorph effect.&lt;/p&gt;</t>
  </si>
  <si>
    <t>&lt;link rel="stylesheet"href="PF.css"&gt;&lt;div class="heading"&gt;&lt;p class="alignleft"&gt;Thorn Body&lt;/p&gt;&lt;div style="clear: both;"&gt;&lt;/div&gt;&lt;/div&gt;&lt;div&gt;&lt;h5&gt;&lt;b&gt;School &lt;/b&gt;transmutation; &lt;b&gt;Level &lt;/b&gt;alchemist 3, druid 4&lt;/h5&gt;&lt;/div&gt;&lt;hr/&gt;&lt;div&gt;&lt;h5&gt;&lt;b&gt;CASTING&lt;/b&gt;&lt;/h5&gt;&lt;/div&gt;&lt;hr/&gt;&lt;div&gt;&lt;h5&gt;&lt;b&gt;Casting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&lt;/b&gt;you&lt;/h5&gt;&lt;h5&gt;&lt;b&gt;Duration &lt;/b&gt;1 round/level&lt;/h5&gt;&lt;/div&gt;&lt;hr/&gt;&lt;div&gt;&lt;h5&gt;&lt;b&gt;DESCRIPTION&lt;/b&gt;&lt;/h5&gt;&lt;/div&gt;&lt;hr/&gt;&lt;div&gt;&lt;h4&gt;&lt;p&gt;This spell causes spines to grow from your exposed skin, damaging creatures that strike you. Any creature striking you with a melee weapon, an unarmed strike, or a natural weapon takes 1d6 points of piercing damage +1 point per caster level (maximum +15). Creatures using melee weapons with reach are unaffected by this spell. Creatures that successfully grapple you take 2d6 points of piercing damage +1 point per caster level (maximum +15). In addition, your natural attacks and unarmed strikes deal an additional 1d6 points of piercing damage.&lt;/p&gt;&lt;p&gt;Thorns created by this spell persist through any new physical shape or form you assume, such as via wildshape or any polymorph effect.&lt;/p&gt;&lt;/h4&gt;&lt;/div&gt;</t>
  </si>
  <si>
    <t>Those attacking you take 1d6 +1 damage/level.</t>
  </si>
  <si>
    <t>Threefold Aspect</t>
  </si>
  <si>
    <t>druid 5, witch 4</t>
  </si>
  <si>
    <t>S, F (silver crescent worth 5 gp)</t>
  </si>
  <si>
    <t>24 hours (D)</t>
  </si>
  <si>
    <t>Threefold aspect allows you to shift your appearance between your natural age and three idealized age categories: young adult (youth/maiden), adulthood (father/mother), or elderly (elder/crone). In each case, your appearance is your own at the appropriate age, rather than that of a new individual. You may change between these three aspects or your actual age as a standard action. As the young adult, you gain a +2 enhancement bonus to Dexterity and Constitution, but suffer a -2 penalty to Wisdom. In the adult aspect, you gain a +2 enhancement bonus to Wisdom and Intelligence, but take a -2 penalty to Dexterity. As the elderly aspect, you gain a +4 enhancement bonus to Wisdom and Intelligence, but take a -2 penalty to Strength and Dexterity. As enhancement bonuses, these stack with any bonuses or penalties you may have from your actual age (which are untyped bonuses)-the bonuses granted by this spell represent your idealized form in this threefold aspect rather than simply duplicating your ability scores at any one particular age. True seeing reveals your natural appearance overlaid with that your aspect, recognizing both as part of your true self. Individuals who study you closely and have interacted with you at another apparent age recognize a resemblance (as though family) with a successful DC 20 Perception check. Threefold aspect does not alter your clothing or equipment, and does not heal any deformity or injury unrelated to age.</t>
  </si>
  <si>
    <t>&lt;p&gt;&lt;i&gt;Threefold aspect&lt;/i&gt; allows you to shift your appearance between your natural age and three idealized age categories: young adult (youth/maiden), adulthood (father/mother), or elderly (elder/crone). In each case, your appearance is your own at the appropriate age, rather than that of a new individual.&lt;/p&gt;&lt;p&gt;You may change between these three aspects or your actual age as a standard action. As the young adult, you gain a +2 enhancement bonus to Dexterity and Constitution, but suffer a -2 penalty to Wisdom. In the adult aspect, you gain a +2 enhancement bonus to Wisdom and Intelligence, but take a -2 penalty to Dexterity. As the elderly aspect, you gain a +4 enhancement bonus to Wisdom and Intelligence, but take a -2 penalty to Strength and Dexterity. As enhancement bonuses, these stack with any bonuses or penalties you may have from your actual age (which are untyped bonuses)-the bonuses granted by this spell represent your idealized form in this threefold aspect rather than simply duplicating your ability scores at any one particular age.&lt;/p&gt;&lt;p&gt;&lt;i&gt;True seeing&lt;/i&gt; reveals your natural appearance overlaid with that your aspect, recognizing both as part of your true self.&lt;/p&gt;&lt;p&gt;Individuals who study you closely and have interacted with you at another apparent age recognize a resemblance (as though family) with a successful DC 20 Perception check.&lt;/p&gt;&lt;p&gt;&lt;i&gt;Threefold aspect&lt;/i&gt; does not alter your clothing or equipment, and does not heal any deformity or injury unrelated to age.&lt;/p&gt;</t>
  </si>
  <si>
    <t>&lt;link rel="stylesheet"href="PF.css"&gt;&lt;div class="heading"&gt;&lt;p class="alignleft"&gt;Threefold Aspect&lt;/p&gt;&lt;div style="clear: both;"&gt;&lt;/div&gt;&lt;/div&gt;&lt;div&gt;&lt;h5&gt;&lt;b&gt;School &lt;/b&gt;transmutation; &lt;b&gt;Level &lt;/b&gt;druid 5, witch 4&lt;/h5&gt;&lt;/div&gt;&lt;hr/&gt;&lt;div&gt;&lt;h5&gt;&lt;b&gt;CASTING&lt;/b&gt;&lt;/h5&gt;&lt;/div&gt;&lt;hr/&gt;&lt;div&gt;&lt;h5&gt;&lt;b&gt;Casting Time &lt;/b&gt;1 standard action&lt;/h5&gt;&lt;h5&gt;&lt;b&gt;Components &lt;/b&gt;S, F (silver crescent worth 5 gp)&lt;/h5&gt;&lt;/div&gt;&lt;hr/&gt;&lt;div&gt;&lt;h5&gt;&lt;b&gt;EFFECT&lt;/b&gt;&lt;/h5&gt;&lt;/div&gt;&lt;hr/&gt;&lt;div&gt;&lt;h5&gt;&lt;b&gt;Range &lt;/b&gt;personal&lt;/h5&gt;&lt;h5&gt;&lt;b&gt;Targets &lt;/b&gt;you&lt;/h5&gt;&lt;h5&gt;&lt;b&gt;Duration &lt;/b&gt;24 hours (D)&lt;/h5&gt;&lt;/div&gt;&lt;hr/&gt;&lt;div&gt;&lt;h5&gt;&lt;b&gt;DESCRIPTION&lt;/b&gt;&lt;/h5&gt;&lt;/div&gt;&lt;hr/&gt;&lt;div&gt;&lt;h4&gt;&lt;p&gt;&lt;i&gt;Threefold aspect&lt;/i&gt; allows you to shift your appearance between your natural age and three idealized age categories: young adult (youth/maiden), adulthood (father/mother), or elderly (elder/crone). In each case, your appearance is your own at the appropriate age, rather than that of a new individual.&lt;/p&gt;&lt;p&gt;You may change between these three aspects or your actual age as a standard action. As the young adult, you gain a +2 enhancement bonus to Dexterity and Constitution, but suffer a -2 penalty to Wisdom. In the adult aspect, you gain a +2 enhancement bonus to Wisdom and Intelligence, but take a -2 penalty to Dexterity. As the elderly aspect, you gain a +4 enhancement bonus to Wisdom and Intelligence, but take a -2 penalty to Strength and Dexterity. As enhancement bonuses, these stack with any bonuses or penalties you may have from your actual age (which are untyped bonuses)-the bonuses granted by this spell represent your idealized form in this threefold aspect rather than simply duplicating your ability scores at any one particular age.&lt;/p&gt;&lt;p&gt;&lt;i&gt;True seeing&lt;/i&gt; reveals your natural appearance overlaid with that your aspect, recognizing both as part of your true self.&lt;/p&gt;&lt;p&gt;Individuals who study you closely and have interacted with you at another apparent age recognize a resemblance (as though family) with a successful DC 20 Perception check.&lt;/p&gt;&lt;p&gt;&lt;i&gt;Threefold aspect&lt;/i&gt; does not alter your clothing or equipment, and does not heal any deformity or injury unrelated to age.&lt;/p&gt;&lt;/h4&gt;&lt;/div&gt;</t>
  </si>
  <si>
    <t>Appear older or younger.</t>
  </si>
  <si>
    <t>Thundering Drums</t>
  </si>
  <si>
    <t>You strike the ground in front of you, filling the area in front of you with the thunder of pounding drums. Any creature in the area takes 1d8 points of sonic damage per caster level (maximum 5d8) and is knocked prone. A successful Fortitude save halves the damage and negates being knocked prone.</t>
  </si>
  <si>
    <t>&lt;p&gt;You strike the ground in front of you, filling the area in front of you with the thunder of pounding drums. Any creature in the area takes 1d8 points of sonic damage per caster level (maximum 5d8) and is knocked prone. A successful Fortitude save halves the damage and negates being knocked prone.&lt;/p&gt;</t>
  </si>
  <si>
    <t>&lt;link rel="stylesheet"href="PF.css"&gt;&lt;div class="heading"&gt;&lt;p class="alignleft"&gt;Thundering Drums&lt;/p&gt;&lt;div style="clear: both;"&gt;&lt;/div&gt;&lt;/div&gt;&lt;div&gt;&lt;h5&gt;&lt;b&gt;School &lt;/b&gt;evocation [sonic]; &lt;b&gt;Level &lt;/b&gt;bard 3&lt;/h5&gt;&lt;/div&gt;&lt;hr/&gt;&lt;div&gt;&lt;h5&gt;&lt;b&gt;CASTING&lt;/b&gt;&lt;/h5&gt;&lt;/div&gt;&lt;hr/&gt;&lt;div&gt;&lt;h5&gt;&lt;b&gt;Casting Time &lt;/b&gt;1 standard action&lt;/h5&gt;&lt;h5&gt;&lt;b&gt;Components &lt;/b&gt;V, S&lt;/h5&gt;&lt;/div&gt;&lt;hr/&gt;&lt;div&gt;&lt;h5&gt;&lt;b&gt;EFFECT&lt;/b&gt;&lt;/h5&gt;&lt;/div&gt;&lt;hr/&gt;&lt;div&gt;&lt;h5&gt;&lt;b&gt;Range &lt;/b&gt;15 ft.&lt;/h5&gt;&lt;h5&gt;&lt;b&gt;Area &lt;/b&gt;cone-shaped burst&lt;/h5&gt;&lt;h5&gt;&lt;b&gt;Duration &lt;/b&gt;instantaneous&lt;/h5&gt;&lt;h5&gt;&lt;b&gt;Saving Throw &lt;/b&gt;Fortitude partial; &lt;b&gt;Spell Resistance &lt;/b&gt;yes&lt;/h5&gt;&lt;/div&gt;&lt;hr/&gt;&lt;div&gt;&lt;h5&gt;&lt;b&gt;DESCRIPTION&lt;/b&gt;&lt;/h5&gt;&lt;/div&gt;&lt;hr/&gt;&lt;div&gt;&lt;h4&gt;&lt;p&gt;You strike the ground in front of you, filling the area in front of you with the thunder of pounding drums. Any creature in the area takes 1d8 points of sonic damage per caster level (maximum 5d8) and is knocked prone. A successful Fortitude save halves the damage and negates being knocked prone.&lt;/p&gt;&lt;/h4&gt;&lt;/div&gt;</t>
  </si>
  <si>
    <t>1d8 damage/level and knocked prone.</t>
  </si>
  <si>
    <t>Timely Inspiration</t>
  </si>
  <si>
    <t>A word of arcane-empowered inspiration can snatch victory from seeming defeat. Cast this spell when a creature fails an attack roll or skill check. The target gains a +1 competence bonus per five caster levels (maximum +3 bonus) on the attack roll or skill check retroactively. If the bonus is enough to make the failure a success, the roll succeeds.</t>
  </si>
  <si>
    <t>&lt;p&gt;A word of arcane-empowered inspiration can snatch victory from seeming defeat. Cast this spell when a creature fails an attack roll or skill check. The target gains a +1 competence bonus per five caster levels (maximum +3 bonus) on the attack roll or skill check retroactively. If the bonus is enough to make the failure a success, the roll succeeds.&lt;/p&gt;</t>
  </si>
  <si>
    <t>&lt;link rel="stylesheet"href="PF.css"&gt;&lt;div class="heading"&gt;&lt;p class="alignleft"&gt;Timely Inspiration&lt;/p&gt;&lt;div style="clear: both;"&gt;&lt;/div&gt;&lt;/div&gt;&lt;div&gt;&lt;h5&gt;&lt;b&gt;School &lt;/b&gt;divination; &lt;b&gt;Level &lt;/b&gt;bard 1&lt;/h5&gt;&lt;/div&gt;&lt;hr/&gt;&lt;div&gt;&lt;h5&gt;&lt;b&gt;CASTING&lt;/b&gt;&lt;/h5&gt;&lt;/div&gt;&lt;hr/&gt;&lt;div&gt;&lt;h5&gt;&lt;b&gt;Casting Time &lt;/b&gt;1 immediate action&lt;/h5&gt;&lt;h5&gt;&lt;b&gt;Components &lt;/b&gt;V&lt;/h5&gt;&lt;/div&gt;&lt;hr/&gt;&lt;div&gt;&lt;h5&gt;&lt;b&gt;EFFECT&lt;/b&gt;&lt;/h5&gt;&lt;/div&gt;&lt;hr/&gt;&lt;div&gt;&lt;h5&gt;&lt;b&gt;Range &lt;/b&gt;close (25 ft. + 5 ft./2 levels)&lt;/h5&gt;&lt;h5&gt;&lt;b&gt;Targets &lt;/b&gt;one creature&lt;/h5&gt;&lt;h5&gt;&lt;b&gt;Duration &lt;/b&gt;instantaneous&lt;/h5&gt;&lt;h5&gt;&lt;b&gt;Saving Throw &lt;/b&gt;Will negates (harmless); &lt;b&gt;Spell Resistance &lt;/b&gt;yes (harmless)&lt;/h5&gt;&lt;/div&gt;&lt;hr/&gt;&lt;div&gt;&lt;h5&gt;&lt;b&gt;DESCRIPTION&lt;/b&gt;&lt;/h5&gt;&lt;/div&gt;&lt;hr/&gt;&lt;div&gt;&lt;h4&gt;&lt;p&gt;A word of arcane-empowered inspiration can snatch victory from seeming defeat. Cast this spell when a creature fails an attack roll or skill check. The target gains a +1 competence bonus per five caster levels (maximum +3 bonus) on the attack roll or skill check retroactively. If the bonus is enough to make the failure a success, the roll succeeds.&lt;/p&gt;&lt;/h4&gt;&lt;/div&gt;</t>
  </si>
  <si>
    <t>Gives bonus on failed check/attack.</t>
  </si>
  <si>
    <t>Tireless Pursuit</t>
  </si>
  <si>
    <t>inquisitor 1, ranger 1</t>
  </si>
  <si>
    <t>V, S, M (a hard biscuit)</t>
  </si>
  <si>
    <t>You harden your body against the stresses of long travel. You halve the damage caused by hustling and forced marching (see Pathfinder RPG Core Rulebook 171). In addition, for the duration of the spell you ignore any fatigue caused by such travel. Once the spell ends, if you still have any nonlethal damage caused by the hustling or forced march, you become fatigued, or exhausted if already fatigued.</t>
  </si>
  <si>
    <t>&lt;p&gt;You harden your body against the stresses of long travel. You halve the damage caused by hustling and forced marching (see &lt;i&gt;Pathfinder RPG Core Rulebook&lt;/i&gt; 171). In addition, for the duration of the spell you ignore any fatigue caused by such travel. Once the spell ends, if you still have any nonlethal damage caused by the hustling or forced march, you become fatigued, or exhausted if already fatigued.&lt;/p&gt;</t>
  </si>
  <si>
    <t>&lt;link rel="stylesheet"href="PF.css"&gt;&lt;div class="heading"&gt;&lt;p class="alignleft"&gt;Tireless Pursuit&lt;/p&gt;&lt;div style="clear: both;"&gt;&lt;/div&gt;&lt;/div&gt;&lt;div&gt;&lt;h5&gt;&lt;b&gt;School &lt;/b&gt;transmutation; &lt;b&gt;Level &lt;/b&gt;inquisitor 1, ranger 1&lt;/h5&gt;&lt;/div&gt;&lt;hr/&gt;&lt;div&gt;&lt;h5&gt;&lt;b&gt;CASTING&lt;/b&gt;&lt;/h5&gt;&lt;/div&gt;&lt;hr/&gt;&lt;div&gt;&lt;h5&gt;&lt;b&gt;Casting Time &lt;/b&gt;1 standard action&lt;/h5&gt;&lt;h5&gt;&lt;b&gt;Components &lt;/b&gt;V, S, M (a hard biscuit)&lt;/h5&gt;&lt;/div&gt;&lt;hr/&gt;&lt;div&gt;&lt;h5&gt;&lt;b&gt;EFFECT&lt;/b&gt;&lt;/h5&gt;&lt;/div&gt;&lt;hr/&gt;&lt;div&gt;&lt;h5&gt;&lt;b&gt;Range &lt;/b&gt;personal&lt;/h5&gt;&lt;h5&gt;&lt;b&gt;Targets &lt;/b&gt;you&lt;/h5&gt;&lt;h5&gt;&lt;b&gt;Duration &lt;/b&gt;1 hour/level (D)&lt;/h5&gt;&lt;/div&gt;&lt;hr/&gt;&lt;div&gt;&lt;h5&gt;&lt;b&gt;DESCRIPTION&lt;/b&gt;&lt;/h5&gt;&lt;/div&gt;&lt;hr/&gt;&lt;div&gt;&lt;h4&gt;&lt;p&gt;You harden your body against the stresses of long travel. You halve the damage caused by hustling and forced marching (see &lt;i&gt;Pathfinder RPG Core Rulebook&lt;/i&gt; 171). In addition, for the duration of the spell you ignore any fatigue caused by such travel. Once the spell ends, if you still have any nonlethal damage caused by the hustling or forced march, you become fatigued, or exhausted if already fatigued.&lt;/p&gt;&lt;/h4&gt;&lt;/div&gt;</t>
  </si>
  <si>
    <t>Ignore fatigue while hustling.</t>
  </si>
  <si>
    <t>Tireless Pursuers</t>
  </si>
  <si>
    <t>inquisitor 4, ranger 3</t>
  </si>
  <si>
    <t>V, S, M (a hard biscuit broken into pieces)</t>
  </si>
  <si>
    <t>you plus one touched creature/3 levels</t>
  </si>
  <si>
    <t>This spell functions as tireless pursuit, except as noted above.</t>
  </si>
  <si>
    <t>&lt;p&gt;This spell functions as &lt;i&gt;tireless pursuit&lt;/i&gt;, except as noted above.&lt;/p&gt;</t>
  </si>
  <si>
    <t>&lt;link rel="stylesheet"href="PF.css"&gt;&lt;div class="heading"&gt;&lt;p class="alignleft"&gt;Tireless Pursuers&lt;/p&gt;&lt;div style="clear: both;"&gt;&lt;/div&gt;&lt;/div&gt;&lt;div&gt;&lt;h5&gt;&lt;b&gt;School &lt;/b&gt;transmutation; &lt;b&gt;Level &lt;/b&gt;inquisitor 4, ranger 3&lt;/h5&gt;&lt;/div&gt;&lt;hr/&gt;&lt;div&gt;&lt;h5&gt;&lt;b&gt;CASTING&lt;/b&gt;&lt;/h5&gt;&lt;/div&gt;&lt;hr/&gt;&lt;div&gt;&lt;h5&gt;&lt;b&gt;Casting Time &lt;/b&gt;1 standard action&lt;/h5&gt;&lt;h5&gt;&lt;b&gt;Components &lt;/b&gt;V, S, M (a hard biscuit broken into pieces)&lt;/h5&gt;&lt;/div&gt;&lt;hr/&gt;&lt;div&gt;&lt;h5&gt;&lt;b&gt;EFFECT&lt;/b&gt;&lt;/h5&gt;&lt;/div&gt;&lt;hr/&gt;&lt;div&gt;&lt;h5&gt;&lt;b&gt;Range &lt;/b&gt;touch&lt;/h5&gt;&lt;h5&gt;&lt;b&gt;Targets &lt;/b&gt;you plus one touched creature/3 levels&lt;/h5&gt;&lt;h5&gt;&lt;b&gt;Duration &lt;/b&gt;1 hour/level (D)&lt;/h5&gt;&lt;h5&gt;&lt;b&gt;Saving Throw &lt;/b&gt;Fortitude negates (harmless); &lt;b&gt;Spell Resistance &lt;/b&gt;yes (harmless)&lt;/h5&gt;&lt;/div&gt;&lt;hr/&gt;&lt;div&gt;&lt;h5&gt;&lt;b&gt;DESCRIPTION&lt;/b&gt;&lt;/h5&gt;&lt;/div&gt;&lt;hr/&gt;&lt;div&gt;&lt;h4&gt;&lt;p&gt;This spell functions as &lt;i&gt;tireless pursuit&lt;/i&gt;, except as noted above.&lt;/p&gt;&lt;/h4&gt;&lt;/div&gt;</t>
  </si>
  <si>
    <t>As tireless pursuit, but affects many targets rather than one.</t>
  </si>
  <si>
    <t>Touch of Gracelessness</t>
  </si>
  <si>
    <t>With a single touch, you reduce a creature to a fumbling clown. The target takes a penalty to its Dexterity equal to 1d6+1 per two caster levels (maximum 1d6+5). This penalty cannot drop the target's Dexterity score below 1. In addition, if the subject moves more than half its speed, it falls prone. If the subject flies, its maneuverability is reduced by one step (perfect maneuverability becomes good, good becomes average, and so on). A successful Fortitude save halves the penalty to Dexterity and negates the possibility of falling prone or the reduction to fly maneuverabilities.</t>
  </si>
  <si>
    <t>&lt;p&gt;With a single touch, you reduce a creature to a fumbling clown.&lt;/p&gt;&lt;p&gt;The target takes a penalty to its Dexterity equal to 1d6+1 per two caster levels (maximum 1d6+5). This penalty cannot drop the target's Dexterity score below 1.&lt;/p&gt;&lt;p&gt;In addition, if the subject moves more than half its speed, it falls prone. If the subject flies, its maneuverability is reduced by one step (perfect maneuverability becomes good, good becomes average, and so on).&lt;/p&gt;&lt;p&gt;A successful Fortitude save halves the penalty to Dexterity and negates the possibility of falling prone or the reduction to fly maneuverabilities.&lt;/p&gt;</t>
  </si>
  <si>
    <t>&lt;link rel="stylesheet"href="PF.css"&gt;&lt;div class="heading"&gt;&lt;p class="alignleft"&gt;Touch of Gracelessness&lt;/p&gt;&lt;div style="clear: both;"&gt;&lt;/div&gt;&lt;/div&gt;&lt;div&gt;&lt;h5&gt;&lt;b&gt;School &lt;/b&gt;transmutation; &lt;b&gt;Level &lt;/b&gt;bard 1, sorcerer/wizard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round/level&lt;/h5&gt;&lt;h5&gt;&lt;b&gt;Saving Throw &lt;/b&gt;Fortitude partial; &lt;b&gt;Spell Resistance &lt;/b&gt;yes&lt;/h5&gt;&lt;/div&gt;&lt;hr/&gt;&lt;div&gt;&lt;h5&gt;&lt;b&gt;DESCRIPTION&lt;/b&gt;&lt;/h5&gt;&lt;/div&gt;&lt;hr/&gt;&lt;div&gt;&lt;h4&gt;&lt;p&gt;With a single touch, you reduce a creature to a fumbling clown.&lt;/p&gt;&lt;p&gt;The target takes a penalty to its Dexterity equal to 1d6+1 per two caster levels (maximum 1d6+5). This penalty cannot drop the target's Dexterity score below 1.&lt;/p&gt;&lt;p&gt;In addition, if the subject moves more than half its speed, it falls prone. If the subject flies, its maneuverability is reduced by one step (perfect maneuverability becomes good, good becomes average, and so on).&lt;/p&gt;&lt;p&gt;A successful Fortitude save halves the penalty to Dexterity and negates the possibility of falling prone or the reduction to fly maneuverabilities.&lt;/p&gt;&lt;/h4&gt;&lt;/div&gt;</t>
  </si>
  <si>
    <t>Subject loses 1d6 + 1 Dex/two levels and is prone to falling down.</t>
  </si>
  <si>
    <t>Touch of the Sea</t>
  </si>
  <si>
    <t>alchemist 1, druid 1, sorcerer/wizard 1</t>
  </si>
  <si>
    <t>V, S, M (a fish scale)</t>
  </si>
  <si>
    <t>You cause webs to grow between the target's fingers and its feet to transform into flippers, granting a swim speed of 30 feet along with the standard +8 bonus on Swim checks and the ability to take 10 even if distracted or endangered. You can also use the run action while swimming, provided you swim in a straight line. This transformation causes any boots or gloves the target is wearing to meld into its form (although magic items with a continuous effect continue to function). This spell does not grant the target any ability to breathe water.</t>
  </si>
  <si>
    <t>&lt;p&gt;You cause webs to grow between the target's fingers and its feet to transform into flippers, granting a swim speed of 30 feet along with the standard +8 bonus on Swim checks and the ability to take 10 even if distracted or endangered. You can also use the run action while swimming, provided you swim in a straight line. This transformation causes any boots or gloves the target is wearing to meld into its form (although magic items with a continuous effect continue to function). This spell does not grant the target any ability to breathe water.&lt;/p&gt;</t>
  </si>
  <si>
    <t>&lt;link rel="stylesheet"href="PF.css"&gt;&lt;div class="heading"&gt;&lt;p class="alignleft"&gt;Touch of the Sea&lt;/p&gt;&lt;div style="clear: both;"&gt;&lt;/div&gt;&lt;/div&gt;&lt;div&gt;&lt;h5&gt;&lt;b&gt;School &lt;/b&gt;transmutation; &lt;b&gt;Level &lt;/b&gt;alchemist 1, druid 1, sorcerer/wizard 1&lt;/h5&gt;&lt;/div&gt;&lt;hr/&gt;&lt;div&gt;&lt;h5&gt;&lt;b&gt;CASTING&lt;/b&gt;&lt;/h5&gt;&lt;/div&gt;&lt;hr/&gt;&lt;div&gt;&lt;h5&gt;&lt;b&gt;Casting Time &lt;/b&gt;1 standard action&lt;/h5&gt;&lt;h5&gt;&lt;b&gt;Components &lt;/b&gt;V, S, M (a fish scale)&lt;/h5&gt;&lt;/div&gt;&lt;hr/&gt;&lt;div&gt;&lt;h5&gt;&lt;b&gt;EFFECT&lt;/b&gt;&lt;/h5&gt;&lt;/div&gt;&lt;hr/&gt;&lt;div&gt;&lt;h5&gt;&lt;b&gt;Range &lt;/b&gt;touch&lt;/h5&gt;&lt;h5&gt;&lt;b&gt;Targets &lt;/b&gt;creature touched&lt;/h5&gt;&lt;h5&gt;&lt;b&gt;Duration &lt;/b&gt;1 minute/level&lt;/h5&gt;&lt;h5&gt;&lt;b&gt;Saving Throw &lt;/b&gt;Fortitude negates (harmless); &lt;b&gt;Spell Resistance &lt;/b&gt;yes (harmless)&lt;/h5&gt;&lt;/div&gt;&lt;hr/&gt;&lt;div&gt;&lt;h5&gt;&lt;b&gt;DESCRIPTION&lt;/b&gt;&lt;/h5&gt;&lt;/div&gt;&lt;hr/&gt;&lt;div&gt;&lt;h4&gt;&lt;p&gt;You cause webs to grow between the target's fingers and its feet to transform into flippers, granting a swim speed of 30 feet along with the standard +8 bonus on Swim checks and the ability to take 10 even if distracted or endangered. You can also use the run action while swimming, provided you swim in a straight line. This transformation causes any boots or gloves the target is wearing to meld into its form (although magic items with a continuous effect continue to function). This spell does not grant the target any ability to breathe water.&lt;/p&gt;&lt;/h4&gt;&lt;/div&gt;</t>
  </si>
  <si>
    <t>Swim speed becomes 30 ft.</t>
  </si>
  <si>
    <t>Transmogrify</t>
  </si>
  <si>
    <t>V, S, M (a flask of quicksilver worth 1,000 gp)</t>
  </si>
  <si>
    <t>Your eidolon's form shifts and transforms. This spell allows you to change any of the eidolon's evolutions by allocating its evolution pool on new evolutions. If you have the aspect or greater aspect ability, this spell also allows you to change the evolution points spent to modify you, including removing or adding points as allowed by those abilities. Your eidolon cannot benefit from this spell more than once per day. This spell does not allow you to change your eidolon's base form.</t>
  </si>
  <si>
    <t>&lt;p&gt;Your eidolon's form shifts and transforms. This spell allows you to change any of the eidolon's evolutions by allocating its evolution pool on new evolutions. If you have the aspect or greater aspect ability, this spell also allows you to change the evolution points spent to modify you, including removing or adding points as allowed by those abilities.&lt;/p&gt;&lt;p&gt;Your eidolon cannot benefit from this spell more than once per day. This spell does not allow you to change your eidolon's base form.&lt;/p&gt;</t>
  </si>
  <si>
    <t>&lt;link rel="stylesheet"href="PF.css"&gt;&lt;div class="heading"&gt;&lt;p class="alignleft"&gt;Transmogrify&lt;/p&gt;&lt;div style="clear: both;"&gt;&lt;/div&gt;&lt;/div&gt;&lt;div&gt;&lt;h5&gt;&lt;b&gt;School &lt;/b&gt;transmutation; &lt;b&gt;Level &lt;/b&gt;summoner 4&lt;/h5&gt;&lt;/div&gt;&lt;hr/&gt;&lt;div&gt;&lt;h5&gt;&lt;b&gt;CASTING&lt;/b&gt;&lt;/h5&gt;&lt;/div&gt;&lt;hr/&gt;&lt;div&gt;&lt;h5&gt;&lt;b&gt;Casting Time &lt;/b&gt;1 hour&lt;/h5&gt;&lt;h5&gt;&lt;b&gt;Components &lt;/b&gt;V, S, M (a flask of quicksilver worth 1,000 gp)&lt;/h5&gt;&lt;/div&gt;&lt;hr/&gt;&lt;div&gt;&lt;h5&gt;&lt;b&gt;EFFECT&lt;/b&gt;&lt;/h5&gt;&lt;/div&gt;&lt;hr/&gt;&lt;div&gt;&lt;h5&gt;&lt;b&gt;Range &lt;/b&gt;touch&lt;/h5&gt;&lt;h5&gt;&lt;b&gt;Targets &lt;/b&gt;your eidolon&lt;/h5&gt;&lt;h5&gt;&lt;b&gt;Duration &lt;/b&gt;instantaneous&lt;/h5&gt;&lt;h5&gt;&lt;b&gt;Saving Throw &lt;/b&gt;Will negates (harmless); &lt;b&gt;Spell Resistance &lt;/b&gt;no&lt;/h5&gt;&lt;/div&gt;&lt;hr/&gt;&lt;div&gt;&lt;h5&gt;&lt;b&gt;DESCRIPTION&lt;/b&gt;&lt;/h5&gt;&lt;/div&gt;&lt;hr/&gt;&lt;div&gt;&lt;h4&gt;&lt;p&gt;Your eidolon's form shifts and transforms. This spell allows you to change any of the eidolon's evolutions by allocating its evolution pool on new evolutions. If you have the aspect or greater aspect ability, this spell also allows you to change the evolution points spent to modify you, including removing or adding points as allowed by those abilities.&lt;/p&gt;&lt;p&gt;Your eidolon cannot benefit from this spell more than once per day. This spell does not allow you to change your eidolon's base form.&lt;/p&gt;&lt;/h4&gt;&lt;/div&gt;</t>
  </si>
  <si>
    <t>Change your eidolon's evolutions.</t>
  </si>
  <si>
    <t>Transmute Potion to Poison</t>
  </si>
  <si>
    <t>1 round then 1 minute/level; see text</t>
  </si>
  <si>
    <t>This extract causes you to take on a pale, sickly pallor for 1 round. During this time, if you consume a potion, it has no effect. Instead, your mouth fills with a vile poison that you can spit onto a weapon as a free action. If you do not spit out the poison in 1 round, it affects you instead. The effect of the poison depends on the level of spell contained in the potion consumed (see sidebar). If the poison is not used within 1 minute per caster level it becomes inert. You can only create one dose of poison in this way per casting of this spell.</t>
  </si>
  <si>
    <t>&lt;p&gt;This extract causes you to take on a pale, sickly pallor for 1 round. During this time, if you consume a potion, it has no effect. Instead, your mouth fills with a vile poison that you can spit onto a weapon as a free action. If you do not spit out the poison in 1 round, it affects you instead. The effect of the poison depends on the level of spell contained in the potion consumed (see sidebar). If the poison is not used within 1 minute per caster level it becomes inert. You can only create one dose of poison in this way per casting of this spell.&lt;/p&gt;</t>
  </si>
  <si>
    <t>&lt;link rel="stylesheet"href="PF.css"&gt;&lt;div class="heading"&gt;&lt;p class="alignleft"&gt;Transmute Potion to Poison&lt;/p&gt;&lt;div style="clear: both;"&gt;&lt;/div&gt;&lt;/div&gt;&lt;div&gt;&lt;h5&gt;&lt;b&gt;School &lt;/b&gt;transmutation [poison]; &lt;b&gt;Level &lt;/b&gt;alchemist 2&lt;/h5&gt;&lt;/div&gt;&lt;hr/&gt;&lt;div&gt;&lt;h5&gt;&lt;b&gt;CASTING&lt;/b&gt;&lt;/h5&gt;&lt;/div&gt;&lt;hr/&gt;&lt;div&gt;&lt;h5&gt;&lt;b&gt;Casting Time &lt;/b&gt;1 standard action&lt;/h5&gt;&lt;h5&gt;&lt;b&gt;Components &lt;/b&gt;S&lt;/h5&gt;&lt;/div&gt;&lt;hr/&gt;&lt;div&gt;&lt;h5&gt;&lt;b&gt;EFFECT&lt;/b&gt;&lt;/h5&gt;&lt;/div&gt;&lt;hr/&gt;&lt;div&gt;&lt;h5&gt;&lt;b&gt;Range &lt;/b&gt;personal&lt;/h5&gt;&lt;h5&gt;&lt;b&gt;Targets &lt;/b&gt;you&lt;/h5&gt;&lt;h5&gt;&lt;b&gt;Duration &lt;/b&gt;1 round then 1 minute/level; see text&lt;/h5&gt;&lt;/div&gt;&lt;hr/&gt;&lt;div&gt;&lt;h5&gt;&lt;b&gt;DESCRIPTION&lt;/b&gt;&lt;/h5&gt;&lt;/div&gt;&lt;hr/&gt;&lt;div&gt;&lt;h4&gt;&lt;p&gt;This extract causes you to take on a pale, sickly pallor for 1 round. During this time, if you consume a potion, it has no effect. Instead, your mouth fills with a vile poison that you can spit onto a weapon as a free action. If you do not spit out the poison in 1 round, it affects you instead. The effect of the poison depends on the level of spell contained in the potion consumed (see sidebar). If the poison is not used within 1 minute per caster level it becomes inert. You can only create one dose of poison in this way per casting of this spell.&lt;/p&gt;&lt;/h4&gt;&lt;/div&gt;</t>
  </si>
  <si>
    <t>Spit poison onto weapon after drinking potion.</t>
  </si>
  <si>
    <t>Treasure Stitching</t>
  </si>
  <si>
    <t>bard 4, cleric 5/oracle 5, sorcerer/wizard 5</t>
  </si>
  <si>
    <t>V, S, M (a piece of embroidered cloth no larger than 10-ft. square worth 100 gp)</t>
  </si>
  <si>
    <t>all objects on cloth</t>
  </si>
  <si>
    <t>You can transform all objects placed on a cloth into an embroidered, two-dimensional representation, making it easy for you to store and transport the items. You can pile any amount or weight of objects on the cloth so long as the pile stays within the dimensions of the cloth (up to a 10-foot cube). When you cast the spell the entire pile disappears into the cloth, replaced by a highly accurate, sewn picture of the pile from whatever angle you wish. The cloth retains its normal weight and dimensions. You can restore the pile of objects at any time as a full-round action by unfurling the cloth and ordering the spell to end, consuming the cloth. Anyone else wishing to restore the objects must successfully dispel your spell. If the cloth is destroyed or significantly damaged, all objects held within the cloth are lost. This spell cannot affect artifacts or other sorts of similarly unique objects.</t>
  </si>
  <si>
    <t>&lt;p&gt;You can transform all objects placed on a cloth into an embroidered, two-dimensional representation, making it easy for you to store and transport the items. You can pile any amount or weight of objects on the cloth so long as the pile stays within the dimensions of the cloth (up to a 10-foot cube).&lt;/p&gt;&lt;p&gt;When you cast the spell the entire pile disappears into the cloth, replaced by a highly accurate, sewn picture of the pile from whatever angle you wish. The cloth retains its normal weight and dimensions. You can restore the pile of objects at any time as a full-round action by unfurling the cloth and ordering the spell to end, consuming the cloth. Anyone else wishing to restore the objects must successfully dispel your spell. If the cloth is destroyed or significantly damaged, all objects held within the cloth are lost. This spell cannot affect artifacts or other sorts of similarly unique objects.&lt;/p&gt;</t>
  </si>
  <si>
    <t>&lt;link rel="stylesheet"href="PF.css"&gt;&lt;div class="heading"&gt;&lt;p class="alignleft"&gt;Treasure Stitching&lt;/p&gt;&lt;div style="clear: both;"&gt;&lt;/div&gt;&lt;/div&gt;&lt;div&gt;&lt;h5&gt;&lt;b&gt;School &lt;/b&gt;transmutation; &lt;b&gt;Level &lt;/b&gt;bard 4, cleric 5/oracle 5, sorcerer/wizard 5&lt;/h5&gt;&lt;/div&gt;&lt;hr/&gt;&lt;div&gt;&lt;h5&gt;&lt;b&gt;CASTING&lt;/b&gt;&lt;/h5&gt;&lt;/div&gt;&lt;hr/&gt;&lt;div&gt;&lt;h5&gt;&lt;b&gt;Casting Time &lt;/b&gt;1 standard action&lt;/h5&gt;&lt;h5&gt;&lt;b&gt;Components &lt;/b&gt;V, S, M (a piece of embroidered cloth no larger than 10-ft. square worth 100 gp)&lt;/h5&gt;&lt;/div&gt;&lt;hr/&gt;&lt;div&gt;&lt;h5&gt;&lt;b&gt;EFFECT&lt;/b&gt;&lt;/h5&gt;&lt;/div&gt;&lt;hr/&gt;&lt;div&gt;&lt;h5&gt;&lt;b&gt;Range &lt;/b&gt;close (25 ft. + 5 ft./2 levels)&lt;/h5&gt;&lt;h5&gt;&lt;b&gt;Targets &lt;/b&gt;all objects on cloth&lt;/h5&gt;&lt;h5&gt;&lt;b&gt;Duration &lt;/b&gt;1 day/level (D)&lt;/h5&gt;&lt;h5&gt;&lt;b&gt;Saving Throw &lt;/b&gt;Fortitude negates (object); &lt;b&gt;Spell Resistance &lt;/b&gt;yes (object)&lt;/h5&gt;&lt;/div&gt;&lt;hr/&gt;&lt;div&gt;&lt;h5&gt;&lt;b&gt;DESCRIPTION&lt;/b&gt;&lt;/h5&gt;&lt;/div&gt;&lt;hr/&gt;&lt;div&gt;&lt;h4&gt;&lt;p&gt;You can transform all objects placed on a cloth into an embroidered, two-dimensional representation, making it easy for you to store and transport the items. You can pile any amount or weight of objects on the cloth so long as the pile stays within the dimensions of the cloth (up to a 10-foot cube).&lt;/p&gt;&lt;p&gt;When you cast the spell the entire pile disappears into the cloth, replaced by a highly accurate, sewn picture of the pile from whatever angle you wish. The cloth retains its normal weight and dimensions. You can restore the pile of objects at any time as a full-round action by unfurling the cloth and ordering the spell to end, consuming the cloth. Anyone else wishing to restore the objects must successfully dispel your spell. If the cloth is destroyed or significantly damaged, all objects held within the cloth are lost. This spell cannot affect artifacts or other sorts of similarly unique objects.&lt;/p&gt;&lt;/h4&gt;&lt;/div&gt;</t>
  </si>
  <si>
    <t>Objects on cloth become embroidered.</t>
  </si>
  <si>
    <t>True Form</t>
  </si>
  <si>
    <t>druid 4, sorcerer/wizard 4</t>
  </si>
  <si>
    <t>up to one creature/3 levels, no two of which can be more than 30 ft. apart</t>
  </si>
  <si>
    <t>True form removes any polymorph effect from a target creature, returning it to its true form, even against its will. Against creatures affected by polymorph spell effects (such as baleful polymorph or giant form), you must make a caster level check (1d20 + caster level, maximum +15) against a DC of 11 + caster level of the effect. Success means that the polymorph immediately ends. A creature with the supernatural ability to change shape (such as a lycanthrope) must make a Will saving throw or immediately revert to its true form. If it fails this first saving throw, the creature can attempt another Will saving throw to overcome the spell as a full-round action that does not provoke attacks of opportunity. If this save succeeds, the spell ends and the creature is capable of changing shape once again. If the second save fails, the creature is locked in its true form for the duration of the spell, preventing any further polymorph effects from changing its shape.</t>
  </si>
  <si>
    <t>&lt;p&gt;&lt;i&gt;True form&lt;/i&gt; removes any polymorph effect from a target creature, returning it to its true form, even against its will. Against creatures affected by polymorph spell effects (such as &lt;i&gt;baleful polymorph&lt;/i&gt; or &lt;i&gt;giant&lt;/i&gt; form), you must make a caster level check (1d20 + caster level, maximum +15) against a DC of 11 + caster level of the effect. Success means that the polymorph immediately ends.&lt;/p&gt;&lt;p&gt;A creature with the supernatural ability to change shape (such as a lycanthrope) must make a Will saving throw or immediately revert to its true form. If it fails this first saving throw, the creature can attempt another Will saving throw to overcome the spell as a full-round action that does not provoke attacks of opportunity. If this save succeeds, the spell ends and the creature is capable of changing shape once again. If the second save fails, the creature is locked in its true form for the duration of the spell, preventing any further polymorph effects from changing its shape.&lt;/p&gt;</t>
  </si>
  <si>
    <t>&lt;link rel="stylesheet"href="PF.css"&gt;&lt;div class="heading"&gt;&lt;p class="alignleft"&gt;True Form&lt;/p&gt;&lt;div style="clear: both;"&gt;&lt;/div&gt;&lt;/div&gt;&lt;div&gt;&lt;h5&gt;&lt;b&gt;School &lt;/b&gt;abjuration; &lt;b&gt;Level &lt;/b&gt;druid 4, sorcerer/wizard 4&lt;/h5&gt;&lt;/div&gt;&lt;hr/&gt;&lt;div&gt;&lt;h5&gt;&lt;b&gt;CASTING&lt;/b&gt;&lt;/h5&gt;&lt;/div&gt;&lt;hr/&gt;&lt;div&gt;&lt;h5&gt;&lt;b&gt;Casting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ft./level)&lt;/h5&gt;&lt;h5&gt;&lt;b&gt;Targets &lt;/b&gt;up to one creature/3 levels, no two of which can be more than 30 ft. apart&lt;/h5&gt;&lt;h5&gt;&lt;b&gt;Duration &lt;/b&gt;1 round/level&lt;/h5&gt;&lt;h5&gt;&lt;b&gt;Saving Throw &lt;/b&gt;Will negates; &lt;b&gt;Spell Resistance &lt;/b&gt;yes&lt;/h5&gt;&lt;/div&gt;&lt;hr/&gt;&lt;div&gt;&lt;h5&gt;&lt;b&gt;DESCRIPTION&lt;/b&gt;&lt;/h5&gt;&lt;/div&gt;&lt;hr/&gt;&lt;div&gt;&lt;h4&gt;&lt;p&gt;&lt;i&gt;True form&lt;/i&gt; removes any polymorph effect from a target creature, returning it to its true form, even against its will. Against creatures affected by polymorph spell effects (such as &lt;i&gt;baleful polymorph&lt;/i&gt; or &lt;i&gt;giant&lt;/i&gt; form), you must make a caster level check (1d20 + caster level, maximum +15) against a DC of 11 + caster level of the effect. Success means that the polymorph immediately ends.&lt;/p&gt;&lt;p&gt;A creature with the supernatural ability to change shape (such as a lycanthrope) must make a Will saving throw or immediately revert to its true form. If it fails this first saving throw, the creature can attempt another Will saving throw to overcome the spell as a full-round action that does not provoke attacks of opportunity. If this save succeeds, the spell ends and the creature is capable of changing shape once again. If the second save fails, the creature is locked in its true form for the duration of the spell, preventing any further polymorph effects from changing its shape.&lt;/p&gt;&lt;/h4&gt;&lt;h5&gt;&lt;b&gt;Mythic: &lt;/b&gt;The spell's target changes to up to one creature per 2 caster levels. If a target is a creature that has the ability to change shape between a specific set of forms (such as a barghest or lycanthrope), you may choose which form the creature takes. To force such a creature into a form, you must have either seen it in that form or succeeded at an appropriate Knowledge check to know the creature has the ability to take that form.&lt;/h5&gt;&lt;h5&gt;&lt;b&gt;Augmented (6th)&lt;/b&gt;: If you expend three uses of mythic power, the spell creates an area affecting all shapechanging creatures. The range changes to 30 feet and the spell affects all creatures in a 30-foot radius around you. Each creature must attempt a saving throw against the spell every round it remains in the area.&lt;/h5&gt;&lt;/div&gt;</t>
  </si>
  <si>
    <t>Removes polymorph effects.</t>
  </si>
  <si>
    <t>The spell's target changes to up to one creature per 2 caster levels. If a target is a creature that has the ability to change shape between a specific set of forms (such as a barghest or lycanthrope), you may choose which form the creature takes. To force such a creature into a form, you must have either seen it in that form or succeeded at an appropriate Knowledge check to know the creature has the ability to take that form.</t>
  </si>
  <si>
    <t>Augmented (6th): If you expend three uses of mythic power, the spell creates an area affecting all shapechanging creatures. The range changes to 30 feet and the spell affects all creatures in a 30-foot radius around you. Each creature must attempt a saving throw against the spell every round it remains in the area.</t>
  </si>
  <si>
    <t>Tsunami</t>
  </si>
  <si>
    <t>10-ft.-deep wave 10 ft. wide/level and 2 ft. tall/level</t>
  </si>
  <si>
    <t>5 rounds</t>
  </si>
  <si>
    <t>You create a massive wave of water that then moves in a straight line across water or land-you select the direction the wave travels (which must be perpendicular to its width), but once set in motion, the wave cannot change course. Over the surface of open water, the wave travels at a speed of 60 feet per round-on land or underwater, the wave travels at a speed of 30 feet per round. Creatures struck by a tsunami take 8d6 points of bludgeoning damage (a Fortitude save halves this damage). In addition, the tsunami makes a special CMB check against any creature it strikes-the wave's CMB is equal to your caster level + your relevant spellcasting ability score modifier (whichever is highest) + 8 (for the wave's size). If this CMB check defeats a creature's CMD, the creature is knocked prone and carried along by the wave. A creature carried along by a tsunami can attempt to escape the wave on its turn as a standard action by making a CMB or Swim check opposed by the wave's CMB check-if a creature fails to escape, it takes another 6d6 points of bludgeoning damage (Fortitude save for half ) and continues being carried along by the wave. Objects struck by a tsunami are swept up if they are Huge or smaller and are carried along by the wave, deposited in a pile at the end of the wave's journey. Gargantuan or larger objects, as well as structures or objects firmly attached to the ground, take 8d6 points of bludgeoning damage when a tsunami passes through its space-if this is enough to destroy the object or structure, the remains are carried along by the wave. Hardness does not reduce this damage, nor is it halved as damage dealt to objects normally is. Freedom of movement prevents a creature from being carried along by a tsunami but does not prevent damage caused by it hitting a creature. A solid barrier that is taller than the tsunami that is not destroyed by the wave stops that portion of the wave from continuing onward, leaving a gap in the wave as the rest of it continues forward.</t>
  </si>
  <si>
    <t>&lt;p&gt;You create a massive wave of water that then moves in a straight line across water or land-you select the direction the wave travels (which must be perpendicular to its width), but once set in motion, the wave cannot change course. Over the surface of open water, the wave travels at a speed of 60 feet per round-on land or underwater, the wave travels at a speed of 30 feet per round.&lt;/p&gt;&lt;p&gt;Creatures struck by a tsunami take 8d6 points of bludgeoning damage (a Fortitude save halves this damage).&lt;/p&gt;&lt;p&gt;In addition, the tsunami makes a special CMB check against any creature it strikes-the wave's CMB is equal to your caster level + your relevant spellcasting ability score modifier (whichever is highest) + 8 (for the wave's size). If this CMB check defeats a creature's CMD, the creature is knocked prone and carried along by the wave. A creature carried along by a tsunami can attempt to escape the wave on its turn as a standard action by making a CMB or Swim check opposed by the wave's CMB check-if a creature fails to escape, it takes another 6d6 points of bludgeoning damage (Fortitude save for half ) and continues being carried along by the wave.&lt;/p&gt;&lt;p&gt;Objects struck by a tsunami are swept up if they are Huge or smaller and are carried along by the wave, deposited in a pile at the end of the wave's journey. Gargantuan or larger objects, as well as structures or objects firmly attached to the ground, take 8d6 points of bludgeoning damage when a tsunami passes through its space-if this is enough to destroy the object or structure, the remains are carried along by the wave. Hardness does not reduce this damage, nor is it halved as damage dealt to objects normally is. &lt;i&gt;Freedom of movement&lt;/i&gt; prevents a creature from being carried along by a tsunami but does not prevent damage caused by it hitting a creature.&lt;/p&gt;&lt;p&gt;A solid barrier that is taller than the tsunami that is not destroyed by the wave stops that portion of the wave from continuing onward, leaving a gap in the wave as the rest of it continues forward.&lt;/p&gt;</t>
  </si>
  <si>
    <t>&lt;link rel="stylesheet"href="PF.css"&gt;&lt;div class="heading"&gt;&lt;p class="alignleft"&gt;Tsunami&lt;/p&gt;&lt;div style="clear: both;"&gt;&lt;/div&gt;&lt;/div&gt;&lt;div&gt;&lt;h5&gt;&lt;b&gt;School &lt;/b&gt;conjuration (creation) [water]; &lt;b&gt;Level &lt;/b&gt;druid 9, sorcerer/wizard 9&lt;/h5&gt;&lt;/div&gt;&lt;hr/&gt;&lt;div&gt;&lt;h5&gt;&lt;b&gt;CASTING&lt;/b&gt;&lt;/h5&gt;&lt;/div&gt;&lt;hr/&gt;&lt;div&gt;&lt;h5&gt;&lt;b&gt;Casting Time &lt;/b&gt;1 standard action&lt;/h5&gt;&lt;h5&gt;&lt;b&gt;Components &lt;/b&gt;V, S&lt;/h5&gt;&lt;/div&gt;&lt;hr/&gt;&lt;div&gt;&lt;h5&gt;&lt;b&gt;EFFECT&lt;/b&gt;&lt;/h5&gt;&lt;/div&gt;&lt;hr/&gt;&lt;div&gt;&lt;h5&gt;&lt;b&gt;Range &lt;/b&gt;long (400 ft. + 40 ft./level)&lt;/h5&gt;&lt;h5&gt;&lt;b&gt;Effect &lt;/b&gt;10-ft.-deep wave 10 ft. wide/level and 2 ft. tall/level&lt;/h5&gt;&lt;h5&gt;&lt;b&gt;Duration &lt;/b&gt;5 rounds&lt;/h5&gt;&lt;h5&gt;&lt;b&gt;Saving Throw &lt;/b&gt;see text; &lt;b&gt;Spell Resistance &lt;/b&gt;no&lt;/h5&gt;&lt;/div&gt;&lt;hr/&gt;&lt;div&gt;&lt;h5&gt;&lt;b&gt;DESCRIPTION&lt;/b&gt;&lt;/h5&gt;&lt;/div&gt;&lt;hr/&gt;&lt;div&gt;&lt;h4&gt;&lt;p&gt;You create a massive wave of water that then moves in a straight line across water or land-you select the direction the wave travels (which must be perpendicular to its width), but once set in motion, the wave cannot change course. Over the surface of open water, the wave travels at a speed of 60 feet per round-on land or underwater, the wave travels at a speed of 30 feet per round.&lt;/p&gt;&lt;p&gt;Creatures struck by a tsunami take 8d6 points of bludgeoning damage (a Fortitude save halves this damage).&lt;/p&gt;&lt;p&gt;In addition, the tsunami makes a special CMB check against any creature it strikes-the wave's CMB is equal to your caster level + your relevant spellcasting ability score modifier (whichever is highest) + 8 (for the wave's size). If this CMB check defeats a creature's CMD, the creature is knocked prone and carried along by the wave. A creature carried along by a tsunami can attempt to escape the wave on its turn as a standard action by making a CMB or Swim check opposed by the wave's CMB check-if a creature fails to escape, it takes another 6d6 points of bludgeoning damage (Fortitude save for half ) and continues being carried along by the wave.&lt;/p&gt;&lt;p&gt;Objects struck by a tsunami are swept up if they are Huge or smaller and are carried along by the wave, deposited in a pile at the end of the wave's journey. Gargantuan or larger objects, as well as structures or objects firmly attached to the ground, take 8d6 points of bludgeoning damage when a tsunami passes through its space-if this is enough to destroy the object or structure, the remains are carried along by the wave. Hardness does not reduce this damage, nor is it halved as damage dealt to objects normally is. &lt;i&gt;Freedom of movement&lt;/i&gt; prevents a creature from being carried along by a tsunami but does not prevent damage caused by it hitting a creature.&lt;/p&gt;&lt;p&gt;A solid barrier that is taller than the tsunami that is not destroyed by the wave stops that portion of the wave from continuing onward, leaving a gap in the wave as the rest of it continues forward.&lt;/p&gt;&lt;/h4&gt;&lt;h5&gt;&lt;b&gt;Mythic: &lt;/b&gt;The wave increases to 20 feet wide per caster level and 3 feet tall per caster level. The damage dealt to those struck by the wave increases to 12d6 points of bludgeoning damage. Add your tier to the wave's special combat maneuver check. The damage dealt to those that fail to escape the wave increases to 6d8 points of bludgeoning damage.&lt;/h5&gt;&lt;h5&gt;&lt;b&gt;Augmented (5th)&lt;/b&gt;: If you expend three uses of mythic power, you create a truly monstrous wave. The wave increases to 20 feet deep, 20 feet wide per caster level, and 5 feet tall per caster level. The duration of the effect increases to 10 rounds, and the speed of the wave increases to 120 feet per round on the surface of the water and 60 feet per round on land or underwater.&lt;/h5&gt;&lt;/div&gt;</t>
  </si>
  <si>
    <t>Huge wave damages and sweeps up all in its path.</t>
  </si>
  <si>
    <t>The wave increases to 20 feet wide per caster level and 3 feet tall per caster level. The damage dealt to those struck by the wave increases to 12d6 points of bludgeoning damage. Add your tier to the wave's special combat maneuver check. The damage dealt to those that fail to escape the wave increases to 6d8 points of bludgeoning damage.</t>
  </si>
  <si>
    <t>Augmented (5th): If you expend three uses of mythic power, you create a truly monstrous wave. The wave increases to 20 feet deep, 20 feet wide per caster level, and 5 feet tall per caster level. The duration of the effect increases to 10 rounds, and the speed of the wave increases to 120 feet per round on the surface of the water and 60 feet per round on land or underwater.</t>
  </si>
  <si>
    <t>Twilight Knife</t>
  </si>
  <si>
    <t>V, S, F (a small knife)</t>
  </si>
  <si>
    <t>floating knife of force</t>
  </si>
  <si>
    <t>You create a darkly sinister floating knife that attacks the same creature as you each round. If you choose not to attack a creature, or you make an attack that affects multiple opponents, the knife makes no attack during that round. The knife uses your base attack bonus modified by either your Intelligence or Charisma bonus (whichever is higher) when making this attack. Unless you specifically will it to do otherwise, or it proves impossible to do so, the knife always maneuvers itself so that it can flank your opponent before making the attack. The knife deals 1d4 points of force damage on a successful hit and has the same threat range and critical multipliers as a normal dagger. In addition, if the target is denied a Dexterity bonus to AC or the knife flanks the target, the knife can make sneak attacks as a rogue, inflicting an extra 1d6 points of force damage per four caster levels on a successful attack. A twilight knife cannot be attacked or harmed by physical attacks, but dispel magic, disintegrate, a sphere of annihilation, or a rod of cancellation affects it. A twilight knife's AC against touch attacks is 12 (10 + size bonus for Tiny object) plus your Dexterity modifier. If an attacked creature has spell resistance, you make a caster level check (1d20 + caster level) against that spell resistance the first time the twilight knife strikes it. If the knife is successfully resisted, the spell is dispelled. If not, the weapon has its normal full effect on that creature for the duration of the spell.</t>
  </si>
  <si>
    <t>&lt;p&gt;You create a darkly sinister floating knife that attacks the same creature as you each round. If you choose not to attack a creature, or you make an attack that affects multiple opponents, the knife makes no attack during that round.&lt;/p&gt;&lt;p&gt;The knife uses your base attack bonus modified by either your Intelligence or Charisma bonus (whichever is higher) when making this attack. Unless you specifically will it to do otherwise, or it proves impossible to do so, the knife always maneuvers itself so that it can flank your opponent before making the attack. The knife deals 1d4 points of force damage on a successful hit and has the same threat range and critical multipliers as a normal dagger. In addition, if the target is denied a Dexterity bonus to AC or the knife flanks the target, the knife can make sneak attacks as a rogue, inflicting an extra 1d6 points of force damage per four caster levels on a successful attack.&lt;/p&gt;&lt;p&gt;A &lt;i&gt;twilight knife&lt;/i&gt; cannot be attacked or harmed by physical attacks, but &lt;i&gt;dispel magic&lt;/i&gt;, &lt;i&gt;disintegrate&lt;/i&gt;, &lt;i&gt;a sphere of annihilation&lt;/i&gt;, or a &lt;i&gt;rod of cancellation&lt;/i&gt; affects it. A &lt;i&gt;twilight knife&lt;/i&gt;'s AC against touch attacks is 12 (10 + size bonus for Tiny object) plus your Dexterity modifier.&lt;/p&gt;&lt;p&gt;If an attacked creature has spell resistance, you make a caster level check (1d20 + caster level) against that spell resistance the first time the &lt;i&gt;twilight knife&lt;/i&gt; strikes it. If the knife is successfully resisted, the spell is dispelled. If not, the weapon has its normal full effect on that creature for the duration of the spell.&lt;/p&gt;</t>
  </si>
  <si>
    <t>&lt;link rel="stylesheet"href="PF.css"&gt;&lt;div class="heading"&gt;&lt;p class="alignleft"&gt;Twilight Knife&lt;/p&gt;&lt;div style="clear: both;"&gt;&lt;/div&gt;&lt;/div&gt;&lt;div&gt;&lt;h5&gt;&lt;b&gt;School &lt;/b&gt;evocation [force]; &lt;b&gt;Level &lt;/b&gt;sorcerer/wizard 3, witch 3&lt;/h5&gt;&lt;/div&gt;&lt;hr/&gt;&lt;div&gt;&lt;h5&gt;&lt;b&gt;CASTING&lt;/b&gt;&lt;/h5&gt;&lt;/div&gt;&lt;hr/&gt;&lt;div&gt;&lt;h5&gt;&lt;b&gt;Casting Time &lt;/b&gt;1 standard action&lt;/h5&gt;&lt;h5&gt;&lt;b&gt;Components &lt;/b&gt;V, S, F (a small knife)&lt;/h5&gt;&lt;/div&gt;&lt;hr/&gt;&lt;div&gt;&lt;h5&gt;&lt;b&gt;EFFECT&lt;/b&gt;&lt;/h5&gt;&lt;/div&gt;&lt;hr/&gt;&lt;div&gt;&lt;h5&gt;&lt;b&gt;Range &lt;/b&gt;close (25 ft. + 5 ft./2 levels)&lt;/h5&gt;&lt;h5&gt;&lt;b&gt;Effect &lt;/b&gt;floating knife of force&lt;/h5&gt;&lt;h5&gt;&lt;b&gt;Duration &lt;/b&gt;1 round/level (D)&lt;/h5&gt;&lt;h5&gt;&lt;b&gt;Saving Throw &lt;/b&gt;none; &lt;b&gt;Spell Resistance &lt;/b&gt;yes&lt;/h5&gt;&lt;/div&gt;&lt;hr/&gt;&lt;div&gt;&lt;h5&gt;&lt;b&gt;DESCRIPTION&lt;/b&gt;&lt;/h5&gt;&lt;/div&gt;&lt;hr/&gt;&lt;div&gt;&lt;h4&gt;&lt;p&gt;You create a darkly sinister floating knife that attacks the same creature as you each round. If you choose not to attack a creature, or you make an attack that affects multiple opponents, the knife makes no attack during that round.&lt;/p&gt;&lt;p&gt;The knife uses your base attack bonus modified by either your Intelligence or Charisma bonus (whichever is higher) when making this attack. Unless you specifically will it to do otherwise, or it proves impossible to do so, the knife always maneuvers itself so that it can flank your opponent before making the attack. The knife deals 1d4 points of force damage on a successful hit and has the same threat range and critical multipliers as a normal dagger. In addition, if the target is denied a Dexterity bonus to AC or the knife flanks the target, the knife can make sneak attacks as a rogue, inflicting an extra 1d6 points of force damage per four caster levels on a successful attack.&lt;/p&gt;&lt;p&gt;A &lt;i&gt;twilight knife&lt;/i&gt; cannot be attacked or harmed by physical attacks, but &lt;i&gt;dispel magic&lt;/i&gt;, &lt;i&gt;disintegrate&lt;/i&gt;, &lt;i&gt;a sphere of annihilation&lt;/i&gt;, or a &lt;i&gt;rod of cancellation&lt;/i&gt; affects it. A &lt;i&gt;twilight knife&lt;/i&gt;'s AC against touch attacks is 12 (10 + size bonus for Tiny object) plus your Dexterity modifier.&lt;/p&gt;&lt;p&gt;If an attacked creature has spell resistance, you make a caster level check (1d20 + caster level) against that spell resistance the first time the &lt;i&gt;twilight knife&lt;/i&gt; strikes it. If the knife is successfully resisted, the spell is dispelled. If not, the weapon has its normal full effect on that creature for the duration of the spell.&lt;/p&gt;&lt;/h4&gt;&lt;/div&gt;</t>
  </si>
  <si>
    <t>Floating knife attacks with you.</t>
  </si>
  <si>
    <t>Twin Form</t>
  </si>
  <si>
    <t>alchemist 6</t>
  </si>
  <si>
    <t>V, S, M (a blend of soil and the caster's blood)</t>
  </si>
  <si>
    <t>1 round/level or until discharged (D)</t>
  </si>
  <si>
    <t>This extract splits a perfect double of yourself from your body, dressed and equipped exactly as you are. You are able to shift your consciousness from one body to the other once each round as a free action. This shift takes place either immediately before your turn or immediately after it, but not during the round. You may act normally in the body you inhabit. Your other self is treated as though dazed, except it may take a single move action each round during your turn. Your twin cannot speak while you are in your other body, and cannot flank, make attacks of opportunity, or otherwise threaten enemies. Both you and your twin have the same statistics and start with the number of hit points you had when you ingested the extract. Once you have split, these hit points are tracked separately. Any spells, extracts, or magical effects (such as from potions) that were active when you ingested the extract are active for both you and your twin. If any such effects expire, are dispelled, dismissed, or otherwise used or ended, they end for both of you. Extracts or spells cast after you split affect you and your twin as though you were two separate targets. Your equipment is linked between your two selves, and if an item on one is consumed or destroyed, its duplicate is used up or destroyed as well. The body you do not inhabit crumbles into dust when the extract's duration expires or is dismissed. If the body you inhabit is destroyed, you immediately shift to your surviving self and the extract immediately ends. The body you left behind crumbles into dust, and you are stunned until the start of your next turn. If the body you do not inhabit is destroyed, the extract also ends immediately, but you suffer no ill effects. You have no special ability to sense what your second body is experiencing, though you immediately know if it has been destroyed. You may switch between bodies at any distance on the same plane. If your bodies cross into separate planes (including through the use of teleport or blink), the body you inhabit survives, while your other body is destroyed.</t>
  </si>
  <si>
    <t>&lt;p&gt;This extract splits a perfect double of yourself from your body, dressed and equipped exactly as you are. You are able to shift your consciousness from one body to the other once each round as a free action. This shift takes place either immediately before your turn or immediately after it, but not during the round. You may act normally in the body you inhabit. Your other self is treated as though dazed, except it may take a single move action each round during your turn. Your twin cannot speak while you are in your other body, and cannot flank, make attacks of opportunity, or otherwise threaten enemies.&lt;/p&gt;&lt;p&gt;Both you and your twin have the same statistics and start with the number of hit points you had when you ingested the extract. Once you have split, these hit points are tracked separately. Any spells, extracts, or magical effects (such as from potions) that were active when you ingested the extract are active for both you and your twin. If any such effects expire, are dispelled, dismissed, or otherwise used or ended, they end for both of you. Extracts or spells cast after you split affect you and your twin as though you were two separate targets. Your equipment is linked between your two selves, and if an item on one is consumed or destroyed, its duplicate is used up or destroyed as well.&lt;/p&gt;&lt;p&gt;The body you do not inhabit crumbles into dust when the extract's duration expires or is dismissed. If the body you inhabit is destroyed, you immediately shift to your surviving self and the extract immediately ends. The body you left behind crumbles into dust, and you are stunned until the start of your next turn. If the body you do not inhabit is destroyed, the extract also ends immediately, but you suffer no ill effects.&lt;/p&gt;&lt;p&gt;You have no special ability to sense what your second body is experiencing, though you immediately know if it has been destroyed. You may switch between bodies at any distance on the same plane. If your bodies cross into separate planes (including through the use of &lt;i&gt;teleport or blink&lt;/i&gt;), the body you inhabit survives, while your other body is destroyed.&lt;/p&gt;</t>
  </si>
  <si>
    <t>&lt;link rel="stylesheet"href="PF.css"&gt;&lt;div class="heading"&gt;&lt;p class="alignleft"&gt;Twin Form&lt;/p&gt;&lt;div style="clear: both;"&gt;&lt;/div&gt;&lt;/div&gt;&lt;div&gt;&lt;h5&gt;&lt;b&gt;School &lt;/b&gt;transmutation; &lt;b&gt;Level &lt;/b&gt;alchemist 6&lt;/h5&gt;&lt;/div&gt;&lt;hr/&gt;&lt;div&gt;&lt;h5&gt;&lt;b&gt;CASTING&lt;/b&gt;&lt;/h5&gt;&lt;/div&gt;&lt;hr/&gt;&lt;div&gt;&lt;h5&gt;&lt;b&gt;Casting Time &lt;/b&gt;1 standard action&lt;/h5&gt;&lt;h5&gt;&lt;b&gt;Components &lt;/b&gt;V, S, M (a blend of soil and the caster's blood)&lt;/h5&gt;&lt;/div&gt;&lt;hr/&gt;&lt;div&gt;&lt;h5&gt;&lt;b&gt;EFFECT&lt;/b&gt;&lt;/h5&gt;&lt;/div&gt;&lt;hr/&gt;&lt;div&gt;&lt;h5&gt;&lt;b&gt;Range &lt;/b&gt;personal&lt;/h5&gt;&lt;h5&gt;&lt;b&gt;Targets &lt;/b&gt;you&lt;/h5&gt;&lt;h5&gt;&lt;b&gt;Duration &lt;/b&gt;1 round/level or until discharged (D)&lt;/h5&gt;&lt;/div&gt;&lt;hr/&gt;&lt;div&gt;&lt;h5&gt;&lt;b&gt;DESCRIPTION&lt;/b&gt;&lt;/h5&gt;&lt;/div&gt;&lt;hr/&gt;&lt;div&gt;&lt;h4&gt;&lt;p&gt;This extract splits a perfect double of yourself from your body, dressed and equipped exactly as you are. You are able to shift your consciousness from one body to the other once each round as a free action. This shift takes place either immediately before your turn or immediately after it, but not during the round. You may act normally in the body you inhabit. Your other self is treated as though dazed, except it may take a single move action each round during your turn. Your twin cannot speak while you are in your other body, and cannot flank, make attacks of opportunity, or otherwise threaten enemies.&lt;/p&gt;&lt;p&gt;Both you and your twin have the same statistics and start with the number of hit points you had when you ingested the extract. Once you have split, these hit points are tracked separately. Any spells, extracts, or magical effects (such as from potions) that were active when you ingested the extract are active for both you and your twin. If any such effects expire, are dispelled, dismissed, or otherwise used or ended, they end for both of you. Extracts or spells cast after you split affect you and your twin as though you were two separate targets. Your equipment is linked between your two selves, and if an item on one is consumed or destroyed, its duplicate is used up or destroyed as well.&lt;/p&gt;&lt;p&gt;The body you do not inhabit crumbles into dust when the extract's duration expires or is dismissed. If the body you inhabit is destroyed, you immediately shift to your surviving self and the extract immediately ends. The body you left behind crumbles into dust, and you are stunned until the start of your next turn. If the body you do not inhabit is destroyed, the extract also ends immediately, but you suffer no ill effects.&lt;/p&gt;&lt;p&gt;You have no special ability to sense what your second body is experiencing, though you immediately know if it has been destroyed. You may switch between bodies at any distance on the same plane. If your bodies cross into separate planes (including through the use of &lt;i&gt;teleport or blink&lt;/i&gt;), the body you inhabit survives, while your other body is destroyed.&lt;/p&gt;&lt;/h4&gt;&lt;/div&gt;</t>
  </si>
  <si>
    <t>Creates controllable duplicate of you.</t>
  </si>
  <si>
    <t>Unfetter</t>
  </si>
  <si>
    <t>V, S, M (a broken chain)</t>
  </si>
  <si>
    <t>This spell breaks the life link between you and your eidolon. This spell allows your eidolon to venture more than 100 feet away from you without penalty. It can travel any distance while this spell is in effect without penalty, but if the spell expires while the eidolon is farther than 100 feet away, it immediately loses hit points as normal for distance and is possibly sent back to its home plane. While this spell is in effect, you cannot sacrifice hit points to prevent damage to your eidolon. Damage that would be transferred due to the life bond ability is not transferred. If you attempt to use the transposition ability while this spell is in effect, you must roll on the teleport mishap table, using the "studied carefully" row.</t>
  </si>
  <si>
    <t>&lt;p&gt;This spell breaks the life link between you and your eidolon. This spell allows your eidolon to venture more than 100 feet away from you without penalty. It can travel any distance while this spell is in effect without penalty, but if the spell expires while the eidolon is farther than 100 feet away, it immediately loses hit points as normal for distance and is possibly sent back to its home plane. While this spell is in effect, you cannot sacrifice hit points to prevent damage to your eidolon. Damage that would be transferred due to the life bond ability is not transferred. If you attempt to use the transposition ability while this spell is in effect, you must roll on the &lt;i&gt;teleport&lt;/i&gt; mishap table, using the "studied carefully" row.&lt;/p&gt;</t>
  </si>
  <si>
    <t>&lt;link rel="stylesheet"href="PF.css"&gt;&lt;div class="heading"&gt;&lt;p class="alignleft"&gt;Unfetter&lt;/p&gt;&lt;div style="clear: both;"&gt;&lt;/div&gt;&lt;/div&gt;&lt;div&gt;&lt;h5&gt;&lt;b&gt;School &lt;/b&gt;transmutation; &lt;b&gt;Level &lt;/b&gt;summoner 1&lt;/h5&gt;&lt;/div&gt;&lt;hr/&gt;&lt;div&gt;&lt;h5&gt;&lt;b&gt;CASTING&lt;/b&gt;&lt;/h5&gt;&lt;/div&gt;&lt;hr/&gt;&lt;div&gt;&lt;h5&gt;&lt;b&gt;Casting Time &lt;/b&gt;1 standard action&lt;/h5&gt;&lt;h5&gt;&lt;b&gt;Components &lt;/b&gt;V, S, M (a broken chain)&lt;/h5&gt;&lt;/div&gt;&lt;hr/&gt;&lt;div&gt;&lt;h5&gt;&lt;b&gt;EFFECT&lt;/b&gt;&lt;/h5&gt;&lt;/div&gt;&lt;hr/&gt;&lt;div&gt;&lt;h5&gt;&lt;b&gt;Range &lt;/b&gt;medium (100 ft. + 10 ft./level)&lt;/h5&gt;&lt;h5&gt;&lt;b&gt;Targets &lt;/b&gt;your eidolon&lt;/h5&gt;&lt;h5&gt;&lt;b&gt;Duration &lt;/b&gt;10 minutes/level&lt;/h5&gt;&lt;h5&gt;&lt;b&gt;Saving Throw &lt;/b&gt;Will negates (harmless); &lt;b&gt;Spell Resistance &lt;/b&gt;no&lt;/h5&gt;&lt;/div&gt;&lt;hr/&gt;&lt;div&gt;&lt;h5&gt;&lt;b&gt;DESCRIPTION&lt;/b&gt;&lt;/h5&gt;&lt;/div&gt;&lt;hr/&gt;&lt;div&gt;&lt;h4&gt;&lt;p&gt;This spell breaks the life link between you and your eidolon. This spell allows your eidolon to venture more than 100 feet away from you without penalty. It can travel any distance while this spell is in effect without penalty, but if the spell expires while the eidolon is farther than 100 feet away, it immediately loses hit points as normal for distance and is possibly sent back to its home plane. While this spell is in effect, you cannot sacrifice hit points to prevent damage to your eidolon. Damage that would be transferred due to the life bond ability is not transferred. If you attempt to use the transposition ability while this spell is in effect, you must roll on the &lt;i&gt;teleport&lt;/i&gt; mishap table, using the "studied carefully" row.&lt;/p&gt;&lt;/h4&gt;&lt;/div&gt;</t>
  </si>
  <si>
    <t>Remove distance restriction on eidolon.</t>
  </si>
  <si>
    <t>Universal Formula</t>
  </si>
  <si>
    <t>alchemist 4</t>
  </si>
  <si>
    <t>V, S, M (quicksilver and powdered platinum worth 100 gp)</t>
  </si>
  <si>
    <t>As you ingest this extract, it transforms into the appropriate extract for any formula you know of 3rd level or lower and takes effect immediately. If the chosen formula has an expensive material component, it must be provided along with the component for this formula. You may not create an infused extract with this formula.</t>
  </si>
  <si>
    <t>&lt;p&gt;As you ingest this extract, it transforms into the appropriate extract for any formula you know of 3rd level or lower and takes effect immediately. If the chosen formula has an expensive material component, it must be provided along with the component for this formula. You may not create an infused extract with this formula.&lt;/p&gt;</t>
  </si>
  <si>
    <t>&lt;link rel="stylesheet"href="PF.css"&gt;&lt;div class="heading"&gt;&lt;p class="alignleft"&gt;Universal Formula&lt;/p&gt;&lt;div style="clear: both;"&gt;&lt;/div&gt;&lt;/div&gt;&lt;div&gt;&lt;h5&gt;&lt;b&gt;School &lt;/b&gt;transmutation; &lt;b&gt;Level &lt;/b&gt;alchemist 4&lt;/h5&gt;&lt;/div&gt;&lt;hr/&gt;&lt;div&gt;&lt;h5&gt;&lt;b&gt;CASTING&lt;/b&gt;&lt;/h5&gt;&lt;/div&gt;&lt;hr/&gt;&lt;div&gt;&lt;h5&gt;&lt;b&gt;Casting Time &lt;/b&gt;1 standard action&lt;/h5&gt;&lt;h5&gt;&lt;b&gt;Components &lt;/b&gt;V, S, M (quicksilver and powdered platinum worth 100 gp)&lt;/h5&gt;&lt;/div&gt;&lt;hr/&gt;&lt;div&gt;&lt;h5&gt;&lt;b&gt;EFFECT&lt;/b&gt;&lt;/h5&gt;&lt;/div&gt;&lt;hr/&gt;&lt;div&gt;&lt;h5&gt;&lt;b&gt;Range &lt;/b&gt;personal&lt;/h5&gt;&lt;h5&gt;&lt;b&gt;Targets &lt;/b&gt;you&lt;/h5&gt;&lt;h5&gt;&lt;b&gt;Duration &lt;/b&gt;instantaneous&lt;/h5&gt;&lt;/div&gt;&lt;hr/&gt;&lt;div&gt;&lt;h5&gt;&lt;b&gt;DESCRIPTION&lt;/b&gt;&lt;/h5&gt;&lt;/div&gt;&lt;hr/&gt;&lt;div&gt;&lt;h4&gt;&lt;p&gt;As you ingest this extract, it transforms into the appropriate extract for any formula you know of 3rd level or lower and takes effect immediately. If the chosen formula has an expensive material component, it must be provided along with the component for this formula. You may not create an infused extract with this formula.&lt;/p&gt;&lt;/h4&gt;&lt;/div&gt;</t>
  </si>
  <si>
    <t>Acts as any extract 3rd level or lower.</t>
  </si>
  <si>
    <t>Unwilling Shield</t>
  </si>
  <si>
    <t>bard 5, inquisitor 5, sorcerer/wizard 6, witch 6</t>
  </si>
  <si>
    <t>V, S, M (ruby dust worth 250 gp)</t>
  </si>
  <si>
    <t>Like shield other, unwilling shield creates a mystic connection between you and the target, but unlike shield other, the target shares the wounds that you receive. In addition, the link draws upon the target's life force to supplement your own defenses. You gain a +1 luck bonus to AC and on saving throws. You take only half damage from all wounds and attacks (including those dealt by special abilities) that deal hit point damage. The amount of damage not taken by you is taken by the target. Forms of harm that do not involve hit points, such as charm effects, ability damage, level draining, and death effects are not affected. If you take a reduction in hit points from a lowered Constitution score, the reduction is not split with the target because it is not hit point damage. When the spell ends, subsequent damage is no longer divided between you and the subject, but damage already split is not assigned to you. If you and the target of the spell move out of range of each other, the spell remains active, but damage is no longer shared until you are once again within range of each other.</t>
  </si>
  <si>
    <t>&lt;p&gt;Like &lt;i&gt;shield other&lt;/i&gt;, &lt;i&gt;unwilling shield&lt;/i&gt; creates a mystic connection between you and the target, but unlike &lt;i&gt;shield other&lt;/i&gt;, the target shares the wounds that you receive. In addition, the link draws upon the target's life force to supplement your own defenses. You gain a +1 luck bonus to AC and on saving throws. You take only half damage from all wounds and attacks (including those dealt by special abilities) that deal hit point damage. The amount of damage not taken by you is taken by the target. Forms of harm that do not involve hit points, such as &lt;i&gt;charm&lt;/i&gt; effects, ability damage, level draining, and death effects are not affected. If you take a reduction in hit points from a lowered Constitution score, the reduction is not split with the target because it is not hit point damage.&lt;/p&gt;&lt;p&gt;When the spell ends, subsequent damage is no longer divided between you and the subject, but damage already split is not assigned to you.&lt;/p&gt;&lt;p&gt;If you and the target of the spell move out of range of each other, the spell remains active, but damage is no longer shared until you are once again within range of each other.&lt;/p&gt;</t>
  </si>
  <si>
    <t>&lt;link rel="stylesheet"href="PF.css"&gt;&lt;div class="heading"&gt;&lt;p class="alignleft"&gt;Unwilling Shield&lt;/p&gt;&lt;div style="clear: both;"&gt;&lt;/div&gt;&lt;/div&gt;&lt;div&gt;&lt;h5&gt;&lt;b&gt;School &lt;/b&gt;necromancy; &lt;b&gt;Level &lt;/b&gt;bard 5, inquisitor 5, sorcerer/wizard 6, witch 6&lt;/h5&gt;&lt;/div&gt;&lt;hr/&gt;&lt;div&gt;&lt;h5&gt;&lt;b&gt;CASTING&lt;/b&gt;&lt;/h5&gt;&lt;/div&gt;&lt;hr/&gt;&lt;div&gt;&lt;h5&gt;&lt;b&gt;Casting Time &lt;/b&gt;1 standard action&lt;/h5&gt;&lt;h5&gt;&lt;b&gt;Components &lt;/b&gt;V, S, M (ruby dust worth 250 gp)&lt;/h5&gt;&lt;/div&gt;&lt;hr/&gt;&lt;div&gt;&lt;h5&gt;&lt;b&gt;EFFECT&lt;/b&gt;&lt;/h5&gt;&lt;/div&gt;&lt;hr/&gt;&lt;div&gt;&lt;h5&gt;&lt;b&gt;Range &lt;/b&gt;close (25 ft. + 5 ft./2 levels)&lt;/h5&gt;&lt;h5&gt;&lt;b&gt;Targets &lt;/b&gt;one creature&lt;/h5&gt;&lt;h5&gt;&lt;b&gt;Duration &lt;/b&gt;1 round/level (D)&lt;/h5&gt;&lt;h5&gt;&lt;b&gt;Saving Throw &lt;/b&gt;Will negates; &lt;b&gt;Spell Resistance &lt;/b&gt;yes&lt;/h5&gt;&lt;/div&gt;&lt;hr/&gt;&lt;div&gt;&lt;h5&gt;&lt;b&gt;DESCRIPTION&lt;/b&gt;&lt;/h5&gt;&lt;/div&gt;&lt;hr/&gt;&lt;div&gt;&lt;h4&gt;&lt;p&gt;Like &lt;i&gt;shield other&lt;/i&gt;, &lt;i&gt;unwilling shield&lt;/i&gt; creates a mystic connection between you and the target, but unlike &lt;i&gt;shield other&lt;/i&gt;, the target shares the wounds that you receive. In addition, the link draws upon the target's life force to supplement your own defenses. You gain a +1 luck bonus to AC and on saving throws. You take only half damage from all wounds and attacks (including those dealt by special abilities) that deal hit point damage. The amount of damage not taken by you is taken by the target. Forms of harm that do not involve hit points, such as &lt;i&gt;charm&lt;/i&gt; effects, ability damage, level draining, and death effects are not affected. If you take a reduction in hit points from a lowered Constitution score, the reduction is not split with the target because it is not hit point damage.&lt;/p&gt;&lt;p&gt;When the spell ends, subsequent damage is no longer divided between you and the subject, but damage already split is not assigned to you.&lt;/p&gt;&lt;p&gt;If you and the target of the spell move out of range of each other, the spell remains active, but damage is no longer shared until you are once again within range of each other.&lt;/p&gt;&lt;/h4&gt;&lt;/div&gt;</t>
  </si>
  <si>
    <t>Subject shares wounds you receive.</t>
  </si>
  <si>
    <t>Unwitting Ally</t>
  </si>
  <si>
    <t>You befuddle the target's mind. The target has difficulty telling friend from foe for a short period of time. The subject is considered your ally and not your enemies' ally while determining flanking. The subject takes no other hostile action against your enemies due to this spell's effect.</t>
  </si>
  <si>
    <t>&lt;p&gt;You befuddle the target's mind. The target has difficulty telling friend from foe for a short period of time. The subject is considered your ally and not your enemies' ally while determining flanking. The subject takes no other hostile action against your enemies due to this spell's effect.&lt;/p&gt;</t>
  </si>
  <si>
    <t>&lt;link rel="stylesheet"href="PF.css"&gt;&lt;div class="heading"&gt;&lt;p class="alignleft"&gt;Unwitting Ally&lt;/p&gt;&lt;div style="clear: both;"&gt;&lt;/div&gt;&lt;/div&gt;&lt;div&gt;&lt;h5&gt;&lt;b&gt;School &lt;/b&gt;enchantment (charm) [mind-affecting]; &lt;b&gt;Level &lt;/b&gt;bard 0&lt;/h5&gt;&lt;/div&gt;&lt;hr/&gt;&lt;div&gt;&lt;h5&gt;&lt;b&gt;CASTING&lt;/b&gt;&lt;/h5&gt;&lt;/div&gt;&lt;hr/&gt;&lt;div&gt;&lt;h5&gt;&lt;b&gt;Casting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living creature&lt;/h5&gt;&lt;h5&gt;&lt;b&gt;Duration &lt;/b&gt;1 round&lt;/h5&gt;&lt;h5&gt;&lt;b&gt;Saving Throw &lt;/b&gt;Will negates; &lt;b&gt;Spell Resistance &lt;/b&gt;yes&lt;/h5&gt;&lt;/div&gt;&lt;hr/&gt;&lt;div&gt;&lt;h5&gt;&lt;b&gt;DESCRIPTION&lt;/b&gt;&lt;/h5&gt;&lt;/div&gt;&lt;hr/&gt;&lt;div&gt;&lt;h4&gt;&lt;p&gt;You befuddle the target's mind. The target has difficulty telling friend from foe for a short period of time. The subject is considered your ally and not your enemies' ally while determining flanking. The subject takes no other hostile action against your enemies due to this spell's effect.&lt;/p&gt;&lt;/h4&gt;&lt;/div&gt;</t>
  </si>
  <si>
    <t>Subject is considered ally for 1 round.</t>
  </si>
  <si>
    <t>Vanish</t>
  </si>
  <si>
    <t>1 round/level (up to 5 rounds) (D)</t>
  </si>
  <si>
    <t>This spell functions like invisibility, except the effect only lasts for 1 round per caster level (maximum of 5 rounds). Like invisibility, the spell immediately ends if the subject attacks any creature.</t>
  </si>
  <si>
    <t>&lt;p&gt;This spell functions like &lt;i&gt;invisibility&lt;/i&gt;, except the effect only lasts for 1 round per caster level (maximum of 5 rounds). Like &lt;i&gt;invisibility&lt;/i&gt;, the spell immediately ends if the subject attacks any creature.&lt;/p&gt;</t>
  </si>
  <si>
    <t>&lt;link rel="stylesheet"href="PF.css"&gt;&lt;div class="heading"&gt;&lt;p class="alignleft"&gt;Vanish&lt;/p&gt;&lt;div style="clear: both;"&gt;&lt;/div&gt;&lt;/div&gt;&lt;div&gt;&lt;h5&gt;&lt;b&gt;School &lt;/b&gt;illusion (glamer); &lt;b&gt;Level &lt;/b&gt;bard 1, sorcerer/wizard 1, magus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round/level (up to 5 rounds) (D)&lt;/h5&gt;&lt;h5&gt;&lt;b&gt;Saving Throw &lt;/b&gt;Will negates (harmless); &lt;b&gt;Spell Resistance &lt;/b&gt;yes (harmless)&lt;/h5&gt;&lt;/div&gt;&lt;hr/&gt;&lt;div&gt;&lt;h5&gt;&lt;b&gt;DESCRIPTION&lt;/b&gt;&lt;/h5&gt;&lt;/div&gt;&lt;hr/&gt;&lt;div&gt;&lt;h4&gt;&lt;p&gt;This spell functions like &lt;i&gt;invisibility&lt;/i&gt;, except the effect only lasts for 1 round per caster level (maximum of 5 rounds). Like &lt;i&gt;invisibility&lt;/i&gt;, the spell immediately ends if the subject attacks any creature.&lt;/p&gt;&lt;/h4&gt;&lt;/div&gt;</t>
  </si>
  <si>
    <t>As invisibility for 1 round/level (5 max).</t>
  </si>
  <si>
    <t>Veil of Positive Energy</t>
  </si>
  <si>
    <t>personal or 5 ft.; see text</t>
  </si>
  <si>
    <t>you or all creatures within 5 ft.; see text</t>
  </si>
  <si>
    <t>You surround yourself with a veil of positive energy, making it harder for undead creatures to harm you. When under the effect of this spell, you gain a +2 sacred bonus to AC and a+2 sacred bonus on saves. Both of these bonuses apply only against attacks or effects created by undead creatures. You can dismiss this spell before its normal duration as a swift action on your turn to deal a number of points of positive energy damage equal to your level to all undead creatures within 5 feet of you.</t>
  </si>
  <si>
    <t>&lt;p&gt;You surround yourself with a veil of positive energy, making it harder for undead creatures to harm you. When under the effect of this spell, you gain a +2 sacred bonus to AC and a+2 sacred bonus on saves. Both of these bonuses apply only against attacks or effects created by undead creatures. You can dismiss this spell before its normal duration as a swift action on your turn to deal a number of points of positive energy damage equal to your level to all undead creatures within 5 feet of you.&lt;/p&gt;</t>
  </si>
  <si>
    <t>&lt;link rel="stylesheet"href="PF.css"&gt;&lt;div class="heading"&gt;&lt;p class="alignleft"&gt;Veil of Positive Energy&lt;/p&gt;&lt;div style="clear: both;"&gt;&lt;/div&gt;&lt;/div&gt;&lt;div&gt;&lt;h5&gt;&lt;b&gt;School &lt;/b&gt;abjuration [good]; &lt;b&gt;Level &lt;/b&gt;paladin 1&lt;/h5&gt;&lt;/div&gt;&lt;hr/&gt;&lt;div&gt;&lt;h5&gt;&lt;b&gt;CASTING&lt;/b&gt;&lt;/h5&gt;&lt;/div&gt;&lt;hr/&gt;&lt;div&gt;&lt;h5&gt;&lt;b&gt;Casting Time &lt;/b&gt;1 standard action&lt;/h5&gt;&lt;h5&gt;&lt;b&gt;Components &lt;/b&gt;V, S, DF&lt;/h5&gt;&lt;/div&gt;&lt;hr/&gt;&lt;div&gt;&lt;h5&gt;&lt;b&gt;EFFECT&lt;/b&gt;&lt;/h5&gt;&lt;/div&gt;&lt;hr/&gt;&lt;div&gt;&lt;h5&gt;&lt;b&gt;Range &lt;/b&gt;personal or 5 ft.; see text&lt;/h5&gt;&lt;h5&gt;&lt;b&gt;Targets &lt;/b&gt;you or all creatures within 5 ft.; see text&lt;/h5&gt;&lt;h5&gt;&lt;b&gt;Duration &lt;/b&gt;10 minutes/level (D)&lt;/h5&gt;&lt;/div&gt;&lt;hr/&gt;&lt;div&gt;&lt;h5&gt;&lt;b&gt;DESCRIPTION&lt;/b&gt;&lt;/h5&gt;&lt;/div&gt;&lt;hr/&gt;&lt;div&gt;&lt;h4&gt;&lt;p&gt;You surround yourself with a veil of positive energy, making it harder for undead creatures to harm you. When under the effect of this spell, you gain a +2 sacred bonus to AC and a+2 sacred bonus on saves. Both of these bonuses apply only against attacks or effects created by undead creatures. You can dismiss this spell before its normal duration as a swift action on your turn to deal a number of points of positive energy damage equal to your level to all undead creatures within 5 feet of you.&lt;/p&gt;&lt;/h4&gt;&lt;/div&gt;</t>
  </si>
  <si>
    <t>+2 AC, +2 on saves vs. undead.</t>
  </si>
  <si>
    <t>Venomous Bolt</t>
  </si>
  <si>
    <t>one arrow or bolt</t>
  </si>
  <si>
    <t>You infuse a single arrow or crossbow bolt with natural venom as you fire it. In addition to its normal damage, anyone struck by this arrow or bolt is affected as if by the poison spell. If the arrow is not fired immediately, the spell ends with no effect.</t>
  </si>
  <si>
    <t>&lt;p&gt;You infuse a single arrow or crossbow bolt with natural venom as you fire it. In addition to its normal damage, anyone struck by this arrow or bolt is affected as if by the &lt;i&gt;poison&lt;/i&gt; spell. If the arrow is not fired immediately, the spell ends with no effect.&lt;/p&gt;</t>
  </si>
  <si>
    <t>&lt;link rel="stylesheet"href="PF.css"&gt;&lt;div class="heading"&gt;&lt;p class="alignleft"&gt;Venomous Bolt&lt;/p&gt;&lt;div style="clear: both;"&gt;&lt;/div&gt;&lt;/div&gt;&lt;div&gt;&lt;h5&gt;&lt;b&gt;School &lt;/b&gt;necromancy [poison]; &lt;b&gt;Level &lt;/b&gt;ranger 3&lt;/h5&gt;&lt;/div&gt;&lt;hr/&gt;&lt;div&gt;&lt;h5&gt;&lt;b&gt;CASTING&lt;/b&gt;&lt;/h5&gt;&lt;/div&gt;&lt;hr/&gt;&lt;div&gt;&lt;h5&gt;&lt;b&gt;Casting Time &lt;/b&gt;1 swift action&lt;/h5&gt;&lt;h5&gt;&lt;b&gt;Components &lt;/b&gt;V, S&lt;/h5&gt;&lt;/div&gt;&lt;hr/&gt;&lt;div&gt;&lt;h5&gt;&lt;b&gt;EFFECT&lt;/b&gt;&lt;/h5&gt;&lt;/div&gt;&lt;hr/&gt;&lt;div&gt;&lt;h5&gt;&lt;b&gt;Range &lt;/b&gt;0 ft.&lt;/h5&gt;&lt;h5&gt;&lt;b&gt;Targets &lt;/b&gt;one arrow or bolt&lt;/h5&gt;&lt;h5&gt;&lt;b&gt;Duration &lt;/b&gt;instantaneous&lt;/h5&gt;&lt;h5&gt;&lt;b&gt;Saving Throw &lt;/b&gt;Fortitude negates; see text; &lt;b&gt;Spell Resistance &lt;/b&gt;yes&lt;/h5&gt;&lt;/div&gt;&lt;hr/&gt;&lt;div&gt;&lt;h5&gt;&lt;b&gt;DESCRIPTION&lt;/b&gt;&lt;/h5&gt;&lt;/div&gt;&lt;hr/&gt;&lt;div&gt;&lt;h4&gt;&lt;p&gt;You infuse a single arrow or crossbow bolt with natural venom as you fire it. In addition to its normal damage, anyone struck by this arrow or bolt is affected as if by the &lt;i&gt;poison&lt;/i&gt; spell. If the arrow is not fired immediately, the spell ends with no effect.&lt;/p&gt;&lt;/h4&gt;&lt;/div&gt;</t>
  </si>
  <si>
    <t>Arrow or bolt poisons target.</t>
  </si>
  <si>
    <t>Versatile Weapon</t>
  </si>
  <si>
    <t>bard 2, ranger 2, sorcerer/wizard 3, magus 3</t>
  </si>
  <si>
    <t>You transform the physical makeup of a weapon as you desire. This spell functions like greater magic weapon, except that it subtly alters the physical properties of a weapon, enabling it to bypass damage reduction of one the following types: bludgeoning, cold iron, piercing, silver, or slashing. The affected weapon still inflicts damage of its normal type and its hardness and hit points are unchanged. This spell can be cast on a natural weapon or unarmed strike.</t>
  </si>
  <si>
    <t>&lt;p&gt;You transform the physical makeup of a weapon as you desire.&lt;/p&gt;&lt;p&gt;This spell functions like &lt;i&gt;greater magic weapon&lt;/i&gt;, except that it subtly alters the physical properties of a weapon, enabling it to bypass damage reduction of one the following types: bludgeoning, cold iron, piercing, silver, or slashing. The affected weapon still inflicts damage of its normal type and its hardness and hit points are unchanged. This spell can be cast on a natural weapon or unarmed strike.&lt;/p&gt;</t>
  </si>
  <si>
    <t>&lt;link rel="stylesheet"href="PF.css"&gt;&lt;div class="heading"&gt;&lt;p class="alignleft"&gt;Versatile Weapon&lt;/p&gt;&lt;div style="clear: both;"&gt;&lt;/div&gt;&lt;/div&gt;&lt;div&gt;&lt;h5&gt;&lt;b&gt;School &lt;/b&gt;transmutation; &lt;b&gt;Level &lt;/b&gt;bard 2, ranger 2, sorcerer/wizard 3, magus 3&lt;/h5&gt;&lt;/div&gt;&lt;hr/&gt;&lt;div&gt;&lt;h5&gt;&lt;b&gt;CASTING&lt;/b&gt;&lt;/h5&gt;&lt;/div&gt;&lt;hr/&gt;&lt;div&gt;&lt;h5&gt;&lt;b&gt;Casting Time &lt;/b&gt;1 standard action&lt;/h5&gt;&lt;h5&gt;&lt;b&gt;Components &lt;/b&gt;V, S, M (iron filings)&lt;/h5&gt;&lt;/div&gt;&lt;hr/&gt;&lt;div&gt;&lt;h5&gt;&lt;b&gt;EFFECT&lt;/b&gt;&lt;/h5&gt;&lt;/div&gt;&lt;hr/&gt;&lt;div&gt;&lt;h5&gt;&lt;b&gt;Range &lt;/b&gt;close (25 ft. + 5 ft./2 levels)&lt;/h5&gt;&lt;h5&gt;&lt;b&gt;Targets &lt;/b&gt;one weapon or 50 projectiles, all of which must be together at the time of casting&lt;/h5&gt;&lt;h5&gt;&lt;b&gt;Duration &lt;/b&gt;1 minute/level&lt;/h5&gt;&lt;h5&gt;&lt;b&gt;Saving Throw &lt;/b&gt;Will negates (harmless, object); &lt;b&gt;Spell Resistance &lt;/b&gt;yes (harmless, object)&lt;/h5&gt;&lt;/div&gt;&lt;hr/&gt;&lt;div&gt;&lt;h5&gt;&lt;b&gt;DESCRIPTION&lt;/b&gt;&lt;/h5&gt;&lt;/div&gt;&lt;hr/&gt;&lt;div&gt;&lt;h4&gt;&lt;p&gt;You transform the physical makeup of a weapon as you desire.&lt;/p&gt;&lt;p&gt;This spell functions like &lt;i&gt;greater magic weapon&lt;/i&gt;, except that it subtly alters the physical properties of a weapon, enabling it to bypass damage reduction of one the following types: bludgeoning, cold iron, piercing, silver, or slashing. The affected weapon still inflicts damage of its normal type and its hardness and hit points are unchanged. This spell can be cast on a natural weapon or unarmed strike.&lt;/p&gt;&lt;/h4&gt;&lt;/div&gt;</t>
  </si>
  <si>
    <t>Weapon bypasses some DR.</t>
  </si>
  <si>
    <t>Vomit Swarm</t>
  </si>
  <si>
    <t>alchemist 2, witch 2</t>
  </si>
  <si>
    <t>one swarm of spiders</t>
  </si>
  <si>
    <t>You vomit forth a swarm of spiders (Bestiary, page 258) that attacks all other creatures within its area. The swarm begins adjacent to you, but if no living creatures are within its area, it moves in one direction of your choosing at its normal speed. You can move the swarm or change the swarm's direction by spending a standard action to concentrate on the swarm, otherwise it continues moving in its current direction. If your caster level is at least 7th, you can vomit forth a swarm of wasps instead (Bestiary 275). Finally, if your caster level is at least 13th, you can vomit forth a swarm of army ants (Bestiary 16).</t>
  </si>
  <si>
    <t>&lt;p&gt;You vomit forth a swarm of spiders (&lt;i&gt;Bestiary&lt;/i&gt;, page 258) that attacks all other creatures within its area. The swarm begins adjacent to you, but if no living creatures are within its area, it moves in one direction of your choosing at its normal speed.&lt;/p&gt;&lt;p&gt;You can move the swarm or change the swarm's direction by spending a standard action to concentrate on the swarm, otherwise it continues moving in its current direction. If your caster level is at least 7th, you can vomit forth a swarm of wasps instead (&lt;i&gt;Bestiary&lt;/i&gt; 275). Finally, if your caster level is at least 13th, you can vomit forth a swarm of army ants (&lt;i&gt;Bestiary&lt;/i&gt; 16).&lt;/p&gt;</t>
  </si>
  <si>
    <t>&lt;link rel="stylesheet"href="PF.css"&gt;&lt;div class="heading"&gt;&lt;p class="alignleft"&gt;Vomit Swarm&lt;/p&gt;&lt;div style="clear: both;"&gt;&lt;/div&gt;&lt;/div&gt;&lt;div&gt;&lt;h5&gt;&lt;b&gt;School &lt;/b&gt;conjuration (summoning); &lt;b&gt;Level &lt;/b&gt;alchemist 2, witch 2&lt;/h5&gt;&lt;/div&gt;&lt;hr/&gt;&lt;div&gt;&lt;h5&gt;&lt;b&gt;CASTING&lt;/b&gt;&lt;/h5&gt;&lt;/div&gt;&lt;hr/&gt;&lt;div&gt;&lt;h5&gt;&lt;b&gt;Casting Time &lt;/b&gt;1 standard action&lt;/h5&gt;&lt;h5&gt;&lt;b&gt;Components &lt;/b&gt;S&lt;/h5&gt;&lt;/div&gt;&lt;hr/&gt;&lt;div&gt;&lt;h5&gt;&lt;b&gt;EFFECT&lt;/b&gt;&lt;/h5&gt;&lt;/div&gt;&lt;hr/&gt;&lt;div&gt;&lt;h5&gt;&lt;b&gt;Range &lt;/b&gt;personal&lt;/h5&gt;&lt;h5&gt;&lt;b&gt;Effect &lt;/b&gt;one swarm of spiders&lt;/h5&gt;&lt;h5&gt;&lt;b&gt;Duration &lt;/b&gt;1 round/level&lt;/h5&gt;&lt;/div&gt;&lt;hr/&gt;&lt;div&gt;&lt;h5&gt;&lt;b&gt;DESCRIPTION&lt;/b&gt;&lt;/h5&gt;&lt;/div&gt;&lt;hr/&gt;&lt;div&gt;&lt;h4&gt;&lt;p&gt;You vomit forth a swarm of spiders (&lt;i&gt;Bestiary&lt;/i&gt;, page 258) that attacks all other creatures within its area. The swarm begins adjacent to you, but if no living creatures are within its area, it moves in one direction of your choosing at its normal speed.&lt;/p&gt;&lt;p&gt;You can move the swarm or change the swarm's direction by spending a standard action to concentrate on the swarm, otherwise it continues moving in its current direction. If your caster level is at least 7th, you can vomit forth a swarm of wasps instead (&lt;i&gt;Bestiary&lt;/i&gt; 275). Finally, if your caster level is at least 13th, you can vomit forth a swarm of army ants (&lt;i&gt;Bestiary&lt;/i&gt; 16).&lt;/p&gt;&lt;/h4&gt;&lt;/div&gt;</t>
  </si>
  <si>
    <t>Produces a spider swarm that fights for you.</t>
  </si>
  <si>
    <t>Vortex</t>
  </si>
  <si>
    <t>V, S, M/DF (a stirring spoon)</t>
  </si>
  <si>
    <t>whirlpool 50 ft. deep, 30 ft. wide at top, and 5 ft. wide at base</t>
  </si>
  <si>
    <t>Reflex negates, see text</t>
  </si>
  <si>
    <t>You create a powerful and immobile whirlpool in any body of liquid large enough to contain the spell's effect. Any Large or smaller creature that comes in contact with the spell effect must succeed on a Reflex save or take 3d6 points of bludgeoning damage. A Medium or smaller creature that fails its first save must succeed on a second one or be pulled into the whirlpool and held suspended in its powerful currents, taking 1d8 points of damage each round on your turn with no save allowed. You may direct the whirlpool to eject any carried creatures whenever you wish. A boat that is equal in length or shorter than the vortex's width that passes through a vortex takes 6d6 points of damage and is caught up by the current. If the boat's captain makes a DC 25 Profession (sailor) check (or if the boat is longer than the vortex's width), the boat takes only half damage and is not caught up by the vortex.</t>
  </si>
  <si>
    <t>&lt;p&gt;You create a powerful and immobile whirlpool in any body of liquid large enough to contain the spell's effect. Any Large or smaller creature that comes in contact with the spell effect must succeed on a Reflex save or take 3d6 points of bludgeoning damage. A Medium or smaller creature that fails its first save must succeed on a second one or be pulled into the whirlpool and held suspended in its powerful currents, taking 1d8 points of damage each round on your turn with no save allowed.&lt;/p&gt;&lt;p&gt;You may direct the whirlpool to eject any carried creatures whenever you wish. A boat that is equal in length or shorter than the vortex's width that passes through a vortex takes 6d6 points of damage and is caught up by the current. If the boat's captain makes a DC 25 Profession (sailor) check (or if the boat is longer than the vortex's width), the boat takes only half damage and is not caught up by the vortex.&lt;/p&gt;</t>
  </si>
  <si>
    <t>&lt;link rel="stylesheet"href="PF.css"&gt;&lt;div class="heading"&gt;&lt;p class="alignleft"&gt;Vortex&lt;/p&gt;&lt;div style="clear: both;"&gt;&lt;/div&gt;&lt;/div&gt;&lt;div&gt;&lt;h5&gt;&lt;b&gt;School &lt;/b&gt;evocation [water]; &lt;b&gt;Level &lt;/b&gt;druid 7, sorcerer/wizard 7&lt;/h5&gt;&lt;/div&gt;&lt;hr/&gt;&lt;div&gt;&lt;h5&gt;&lt;b&gt;CASTING&lt;/b&gt;&lt;/h5&gt;&lt;/div&gt;&lt;hr/&gt;&lt;div&gt;&lt;h5&gt;&lt;b&gt;Casting Time &lt;/b&gt;1 standard action&lt;/h5&gt;&lt;h5&gt;&lt;b&gt;Components &lt;/b&gt;V, S, M/DF (a stirring spoon)&lt;/h5&gt;&lt;/div&gt;&lt;hr/&gt;&lt;div&gt;&lt;h5&gt;&lt;b&gt;EFFECT&lt;/b&gt;&lt;/h5&gt;&lt;/div&gt;&lt;hr/&gt;&lt;div&gt;&lt;h5&gt;&lt;b&gt;Range &lt;/b&gt;long (400 ft. + 40 ft./level)&lt;/h5&gt;&lt;h5&gt;&lt;b&gt;Effect &lt;/b&gt;whirlpool 50 ft. deep, 30 ft. wide at top, and 5 ft. wide at base&lt;/h5&gt;&lt;h5&gt;&lt;b&gt;Duration &lt;/b&gt;1 round/level (D)&lt;/h5&gt;&lt;h5&gt;&lt;b&gt;Saving Throw &lt;/b&gt;Reflex negates, see text; &lt;b&gt;Spell Resistance &lt;/b&gt;yes&lt;/h5&gt;&lt;/div&gt;&lt;hr/&gt;&lt;div&gt;&lt;h5&gt;&lt;b&gt;DESCRIPTION&lt;/b&gt;&lt;/h5&gt;&lt;/div&gt;&lt;hr/&gt;&lt;div&gt;&lt;h4&gt;&lt;p&gt;You create a powerful and immobile whirlpool in any body of liquid large enough to contain the spell's effect. Any Large or smaller creature that comes in contact with the spell effect must succeed on a Reflex save or take 3d6 points of bludgeoning damage. A Medium or smaller creature that fails its first save must succeed on a second one or be pulled into the whirlpool and held suspended in its powerful currents, taking 1d8 points of damage each round on your turn with no save allowed.&lt;/p&gt;&lt;p&gt;You may direct the whirlpool to eject any carried creatures whenever you wish. A boat that is equal in length or shorter than the vortex's width that passes through a vortex takes 6d6 points of damage and is caught up by the current. If the boat's captain makes a DC 25 Profession (sailor) check (or if the boat is longer than the vortex's width), the boat takes only half damage and is not caught up by the vortex.&lt;/p&gt;&lt;/h4&gt;&lt;/div&gt;</t>
  </si>
  <si>
    <t>Creates a whirlpool in water.</t>
  </si>
  <si>
    <t>Wake of Light</t>
  </si>
  <si>
    <t>a 10-ft.-wide path in a straight line, up to 120 ft. long</t>
  </si>
  <si>
    <t>You and your mount lay down a trail of glowing, heavenly mist behind you as you move that makes passage easier for good creatures but more difficult for evil creatures. This glowing trail of mist appears behind your mount in a straight line starting where you cast the spell and ending where your mount ends its movement. The mist takes the form of a path 10 feet wide and up to 120 feet long and always floats just above the ground, up to a height of 1 foot. Thereafter, the mist persists for 1 round per level. Good creatures may walk along the top of the mist as if it were solid, treating squares of difficult terrain containing the mist as normal terrain. Evil creatures find the mist thick and cloying, and treat squares of normal terrain containing the mist as difficult terrain instead. Neutral creatures pass through the mist with no effect. The mist has no effect on obstacles or otherwise impassable terrain, and does not block sight or provide concealment. Except for very special circumstances (such as a celestial or fiendish mount), mounts use the alignment of their rider when determining how this spell affects them. You must be mounted to enjoy the benefits of this spell. If you dismount, get knocked off, or take any other action that separates you from your mount, the spell immediately ends, although the mist remains for the spell's normal duration. A wake of light cannot follow across water, underwater, or through the air in the case of a mount capable of walking on water, swimming, or flight.</t>
  </si>
  <si>
    <t>&lt;p&gt;You and your mount lay down a trail of glowing, heavenly mist behind you as you move that makes passage easier for good creatures but more difficult for evil creatures. This glowing trail of mist appears behind your mount in a straight line starting where you cast the spell and ending where your mount ends its movement. The mist takes the form of a path 10 feet wide and up to 120 feet long and always floats just above the ground, up to a height of 1 foot. Thereafter, the mist persists for 1 round per level.&lt;/p&gt;&lt;p&gt;Good creatures may walk along the top of the mist as if it were solid, treating squares of difficult terrain containing the mist as normal terrain. Evil creatures find the mist thick and cloying, and treat squares of normal terrain containing the mist as difficult terrain instead. Neutral creatures pass through the mist with no effect. The mist has no effect on obstacles or otherwise impassable terrain, and does not block sight or provide concealment.&lt;/p&gt;&lt;p&gt;Except for very special circumstances (such as a celestial or fiendish mount), mounts use the alignment of their rider when determining how this spell affects them. You must be mounted to enjoy the benefits of this spell. If you dismount, get knocked off, or take any other action that separates you from your mount, the spell immediately ends, although the mist remains for the spell's normal duration.&lt;/p&gt;&lt;p&gt;A wake of light cannot follow across water, underwater, or through the air in the case of a mount capable of walking on water, swimming, or flight.&lt;/p&gt;</t>
  </si>
  <si>
    <t>&lt;link rel="stylesheet"href="PF.css"&gt;&lt;div class="heading"&gt;&lt;p class="alignleft"&gt;Wake of Light&lt;/p&gt;&lt;div style="clear: both;"&gt;&lt;/div&gt;&lt;/div&gt;&lt;div&gt;&lt;h5&gt;&lt;b&gt;School &lt;/b&gt;evocation [good]; &lt;b&gt;Level &lt;/b&gt;paladin 2&lt;/h5&gt;&lt;/div&gt;&lt;hr/&gt;&lt;div&gt;&lt;h5&gt;&lt;b&gt;CASTING&lt;/b&gt;&lt;/h5&gt;&lt;/div&gt;&lt;hr/&gt;&lt;div&gt;&lt;h5&gt;&lt;b&gt;Casting Time &lt;/b&gt;1 standard action&lt;/h5&gt;&lt;h5&gt;&lt;b&gt;Components &lt;/b&gt;V, S, DF&lt;/h5&gt;&lt;/div&gt;&lt;hr/&gt;&lt;div&gt;&lt;h5&gt;&lt;b&gt;EFFECT&lt;/b&gt;&lt;/h5&gt;&lt;/div&gt;&lt;hr/&gt;&lt;div&gt;&lt;h5&gt;&lt;b&gt;Range &lt;/b&gt;120 ft.&lt;/h5&gt;&lt;h5&gt;&lt;b&gt;Effect &lt;/b&gt;a 10-ft.-wide path in a straight line, up to 120 ft. long&lt;/h5&gt;&lt;h5&gt;&lt;b&gt;Duration &lt;/b&gt;1 round/level&lt;/h5&gt;&lt;h5&gt;&lt;b&gt;Saving Throw &lt;/b&gt;none; &lt;b&gt;Spell Resistance &lt;/b&gt;yes&lt;/h5&gt;&lt;/div&gt;&lt;hr/&gt;&lt;div&gt;&lt;h5&gt;&lt;b&gt;DESCRIPTION&lt;/b&gt;&lt;/h5&gt;&lt;/div&gt;&lt;hr/&gt;&lt;div&gt;&lt;h4&gt;&lt;p&gt;You and your mount lay down a trail of glowing, heavenly mist behind you as you move that makes passage easier for good creatures but more difficult for evil creatures. This glowing trail of mist appears behind your mount in a straight line starting where you cast the spell and ending where your mount ends its movement. The mist takes the form of a path 10 feet wide and up to 120 feet long and always floats just above the ground, up to a height of 1 foot. Thereafter, the mist persists for 1 round per level.&lt;/p&gt;&lt;p&gt;Good creatures may walk along the top of the mist as if it were solid, treating squares of difficult terrain containing the mist as normal terrain. Evil creatures find the mist thick and cloying, and treat squares of normal terrain containing the mist as difficult terrain instead. Neutral creatures pass through the mist with no effect. The mist has no effect on obstacles or otherwise impassable terrain, and does not block sight or provide concealment.&lt;/p&gt;&lt;p&gt;Except for very special circumstances (such as a celestial or fiendish mount), mounts use the alignment of their rider when determining how this spell affects them. You must be mounted to enjoy the benefits of this spell. If you dismount, get knocked off, or take any other action that separates you from your mount, the spell immediately ends, although the mist remains for the spell's normal duration.&lt;/p&gt;&lt;p&gt;A wake of light cannot follow across water, underwater, or through the air in the case of a mount capable of walking on water, swimming, or flight.&lt;/p&gt;&lt;/h4&gt;&lt;/div&gt;</t>
  </si>
  <si>
    <t>Magical trail aids good creatures, hinders evil ones.</t>
  </si>
  <si>
    <t>Wall of Lava</t>
  </si>
  <si>
    <t>earth, fire</t>
  </si>
  <si>
    <t>V, S, M/DF (a chunk of dried lava)</t>
  </si>
  <si>
    <t>lava wall whose area is up to one 5-ft. square/level (S)</t>
  </si>
  <si>
    <t>This spell creates a vertical wall of lava that is 1 inch thick for every 4 caster levels and composed of up to one 5-foot square per level. A wall of lava's maximum height cannot exceed half of its width (with a minimum height of 5 feet). The wall cannot be conjured so that it occupies the same space as a creature or object. A section of a wall of lava can be destroyed by damage (hardness 4, hp 90), but if a section is destroyed, the remaining lava in the wall immediately fills in any such hole created, reducing the wall's overall size by one 5-foot square but remaining a contiguous barrier. Each time a weapon strikes a wall of lava, it takes 2d6 points of fire damage (or the creature who strikes the wall takes 2d6 fire damage if the attack was via an unarmed strike or natural attack). A creature can move through a wall of lava as a full-round action by making a DC 25 Strength check-failure indicates that the creature is pushed back out of the wall to the point he just attempted to leave. A creature with a burrow speed can move through the wall using its burrow speed. An attempt to move through a wall of lava inflicts 20d6 fire damage. A wall of lava also radiates heat as if it were a wall of fire, although the heat from a wall of lava radiates from both sides. Once per round as a move action, you can direct the wall of lava to erupt. This causes a plume of lava to fire at any target within 60 feet of either side of the wall, but reduces the wall's overall size by 1d4 5-foot square sections. You must make a ranged touch attack to hit the target, which takes 10d6 points of fire damage on a hit. Holes created in a wall of lava from this effect instantly reseal, reducing the overall size of the wall. All damage inflicted by physical contact with a wall of lava continues for 1d3 rounds after exposure ceases, but this additional damage is only half that dealt during actual contact (that is, 1d6 or 5d6 or 10d6 points per round).</t>
  </si>
  <si>
    <t>&lt;p&gt;This spell creates a vertical &lt;i&gt;wall of lava&lt;/i&gt; that is 1 inch thick for every 4 caster levels and composed of up to one 5-foot square per level. A &lt;i&gt;wall of lava&lt;/i&gt;'s maximum height cannot exceed half of its width (with a minimum height of 5 feet). The wall cannot be conjured so that it occupies the same space as a creature or object. A section of a &lt;i&gt;wall of lava&lt;/i&gt; can be destroyed by damage (hardness 4, hp 90), but if a section is destroyed, the remaining lava in the wall immediately fills in any such hole created, reducing the wall's overall size by one 5-foot square but remaining a contiguous barrier. Each time a weapon strikes a &lt;i&gt;wall of lava&lt;/i&gt;, it takes 2d6 points of fire damage (or the creature who strikes the wall takes 2d6 fire damage if the attack was via an unarmed strike or natural attack).&lt;/p&gt;&lt;p&gt;A creature can move through a &lt;i&gt;wall of lava&lt;/i&gt; as a full-round action by making a DC 25 Strength check-failure indicates that the creature is pushed back out of the wall to the point he just attempted to leave. A creature with a burrow speed can move through the wall using its burrow speed. An attempt to move through a &lt;i&gt;wall of lava&lt;/i&gt; inflicts 20d6 fire damage. A &lt;i&gt;wall of lava&lt;/i&gt; also radiates heat as if it were a &lt;i&gt;wall of fire&lt;/i&gt;, although the heat from a &lt;i&gt;wall of lava&lt;/i&gt; radiates from both sides.&lt;/p&gt;&lt;p&gt;Once per round as a move action, you can direct the &lt;i&gt;wall of lava&lt;/i&gt; to erupt. This causes a plume of lava to fire at any target within 60 feet of either side of the wall, but reduces the wall's overall size by 1d4 5-foot square sections. You must make a ranged touch attack to hit the target, which takes 10d6 points of fire damage on a hit. Holes created in a &lt;i&gt;wall of lava&lt;/i&gt; from this effect instantly reseal, reducing the overall size of the wall.&lt;/p&gt;&lt;p&gt;All damage inflicted by physical contact with a &lt;i&gt;wall of lava&lt;/i&gt; continues for 1d3 rounds after exposure ceases, but this additional damage is only half that dealt during actual contact (that is, 1d6 or 5d6 or 10d6 points per round).&lt;/p&gt;</t>
  </si>
  <si>
    <t>&lt;link rel="stylesheet"href="PF.css"&gt;&lt;div class="heading"&gt;&lt;p class="alignleft"&gt;Wall of Lava&lt;/p&gt;&lt;div style="clear: both;"&gt;&lt;/div&gt;&lt;/div&gt;&lt;div&gt;&lt;h5&gt;&lt;b&gt;School &lt;/b&gt;conjuration (creation) [earth, fire]; &lt;b&gt;Level &lt;/b&gt;druid 8, sorcerer/wizard 8&lt;/h5&gt;&lt;/div&gt;&lt;hr/&gt;&lt;div&gt;&lt;h5&gt;&lt;b&gt;CASTING&lt;/b&gt;&lt;/h5&gt;&lt;/div&gt;&lt;hr/&gt;&lt;div&gt;&lt;h5&gt;&lt;b&gt;Casting Time &lt;/b&gt;1 standard action&lt;/h5&gt;&lt;h5&gt;&lt;b&gt;Components &lt;/b&gt;V, S, M/DF (a chunk of dried lava)&lt;/h5&gt;&lt;/div&gt;&lt;hr/&gt;&lt;div&gt;&lt;h5&gt;&lt;b&gt;EFFECT&lt;/b&gt;&lt;/h5&gt;&lt;/div&gt;&lt;hr/&gt;&lt;div&gt;&lt;h5&gt;&lt;b&gt;Range &lt;/b&gt;medium (100 ft. + 10 ft./level)&lt;/h5&gt;&lt;h5&gt;&lt;b&gt;Targets &lt;/b&gt;lava wall whose area is up to one 5-ft. square/level (S)&lt;/h5&gt;&lt;h5&gt;&lt;b&gt;Duration &lt;/b&gt;1 round/level (D)&lt;/h5&gt;&lt;h5&gt;&lt;b&gt;Saving Throw &lt;/b&gt;see text; &lt;b&gt;Spell Resistance &lt;/b&gt;no&lt;/h5&gt;&lt;/div&gt;&lt;hr/&gt;&lt;div&gt;&lt;h5&gt;&lt;b&gt;DESCRIPTION&lt;/b&gt;&lt;/h5&gt;&lt;/div&gt;&lt;hr/&gt;&lt;div&gt;&lt;h4&gt;&lt;p&gt;This spell creates a vertical &lt;i&gt;wall of lava&lt;/i&gt; that is 1 inch thick for every 4 caster levels and composed of up to one 5-foot square per level. A &lt;i&gt;wall of lava&lt;/i&gt;'s maximum height cannot exceed half of its width (with a minimum height of 5 feet). The wall cannot be conjured so that it occupies the same space as a creature or object. A section of a &lt;i&gt;wall of lava&lt;/i&gt; can be destroyed by damage (hardness 4, hp 90), but if a section is destroyed, the remaining lava in the wall immediately fills in any such hole created, reducing the wall's overall size by one 5-foot square but remaining a contiguous barrier. Each time a weapon strikes a &lt;i&gt;wall of lava&lt;/i&gt;, it takes 2d6 points of fire damage (or the creature who strikes the wall takes 2d6 fire damage if the attack was via an unarmed strike or natural attack).&lt;/p&gt;&lt;p&gt;A creature can move through a &lt;i&gt;wall of lava&lt;/i&gt; as a full-round action by making a DC 25 Strength check-failure indicates that the creature is pushed back out of the wall to the point he just attempted to leave. A creature with a burrow speed can move through the wall using its burrow speed. An attempt to move through a &lt;i&gt;wall of lava&lt;/i&gt; inflicts 20d6 fire damage. A &lt;i&gt;wall of lava&lt;/i&gt; also radiates heat as if it were a &lt;i&gt;wall of fire&lt;/i&gt;, although the heat from a &lt;i&gt;wall of lava&lt;/i&gt; radiates from both sides.&lt;/p&gt;&lt;p&gt;Once per round as a move action, you can direct the &lt;i&gt;wall of lava&lt;/i&gt; to erupt. This causes a plume of lava to fire at any target within 60 feet of either side of the wall, but reduces the wall's overall size by 1d4 5-foot square sections. You must make a ranged touch attack to hit the target, which takes 10d6 points of fire damage on a hit. Holes created in a &lt;i&gt;wall of lava&lt;/i&gt; from this effect instantly reseal, reducing the overall size of the wall.&lt;/p&gt;&lt;p&gt;All damage inflicted by physical contact with a &lt;i&gt;wall of lava&lt;/i&gt; continues for 1d3 rounds after exposure ceases, but this additional damage is only half that dealt during actual contact (that is, 1d6 or 5d6 or 10d6 points per round).&lt;/p&gt;&lt;/h4&gt;&lt;/div&gt;</t>
  </si>
  <si>
    <t>Wall damages foes that try to enter, periodically launches lava at nearby targets.</t>
  </si>
  <si>
    <t>Wall of Suppression</t>
  </si>
  <si>
    <t>V, S, M (powdered adamantine worth 1,000 gp)</t>
  </si>
  <si>
    <t>anti-magic wall occupying up to two 5 ft. cubes/level (S)</t>
  </si>
  <si>
    <t>10 minutes/level; see text</t>
  </si>
  <si>
    <t>You create a wall of glittering motes that suppresses or even negates any magical effect passing through it. The wall appears to have no actual substance and does not physically obstruct or impede anything attempting to move through it. However, the wall exerts a powerful anti-magical effect. Any magic item or magical spell or effect of your caster level or lower that passes through the wall is suppressed for 1 round per level. Spells or effects with durations expire normally, even while thus suppressed. A spell or with a duration greater than that of the suppression resumes functioning normally when the suppression ends. The wall affects all magical effects, including spells, spelllike abilities, magical items, and any effects stemming from them that pass through the wall. The wall does not suppress a creature's ability to cast spells, use spell-like abilities, or any other sort of limited-use abilities even if the wall suppresses a particular application of those abilities. However, if a creature with magical abilities that are constant or otherwise always active passes through the wall, those abilities are suppressed for the normal duration. The wall blocks line of effect, so no spell or effect can pass through the wall, but it does not block line of sight. Magic items or spell effects with a higher caster level than yours are unaffected by the wall of suppression. The wall does not affect artifacts, anything stemming from the direct action of a deity, or similarly powerful sorts of magic.</t>
  </si>
  <si>
    <t>&lt;p&gt;You create a &lt;i&gt;wall of&lt;/i&gt; glittering motes that suppresses or even negates any magical effect passing through it. The wall appears to have no actual substance and does not physically obstruct or impede anything attempting to move through it. However, the wall exerts a powerful anti-magical effect.&lt;/p&gt;&lt;p&gt;Any magic item or magical spell or effect of your caster level or lower that passes through the wall is suppressed for 1 round per level. Spells or effects with durations expire normally, even while thus suppressed. A spell or with a duration greater than that of the suppression resumes functioning normally when the suppression ends.&lt;/p&gt;&lt;p&gt;The wall affects all magical effects, including spells, spelllike abilities, magical items, and any effects stemming from them that pass through the wall. The wall does not suppress a creature's ability to cast spells, use spell-like abilities, or any other sort of limited-use abilities even if the wall suppresses a particular application of those abilities. However, if a creature with magical abilities that are constant or otherwise always active passes through the wall, those abilities are suppressed for the normal duration.&lt;/p&gt;&lt;p&gt;The wall blocks line of effect, so no spell or effect can pass through the wall, but it does not block line of sight. Magic items or spell effects with a higher caster level than yours are unaffected by the &lt;i&gt;wall of&lt;/i&gt; suppression. The wall does not affect artifacts, anything stemming from the direct action of a deity, or similarly powerful sorts of magic.&lt;/p&gt;</t>
  </si>
  <si>
    <t>&lt;link rel="stylesheet"href="PF.css"&gt;&lt;div class="heading"&gt;&lt;p class="alignleft"&gt;Wall of Suppression&lt;/p&gt;&lt;div style="clear: both;"&gt;&lt;/div&gt;&lt;/div&gt;&lt;div&gt;&lt;h5&gt;&lt;b&gt;School &lt;/b&gt;abjuration; &lt;b&gt;Level &lt;/b&gt;sorcerer/wizard 9&lt;/h5&gt;&lt;/div&gt;&lt;hr/&gt;&lt;div&gt;&lt;h5&gt;&lt;b&gt;CASTING&lt;/b&gt;&lt;/h5&gt;&lt;/div&gt;&lt;hr/&gt;&lt;div&gt;&lt;h5&gt;&lt;b&gt;Casting Time &lt;/b&gt;1 standard action&lt;/h5&gt;&lt;h5&gt;&lt;b&gt;Components &lt;/b&gt;V, S, M (powdered adamantine worth 1,000 gp)&lt;/h5&gt;&lt;/div&gt;&lt;hr/&gt;&lt;div&gt;&lt;h5&gt;&lt;b&gt;EFFECT&lt;/b&gt;&lt;/h5&gt;&lt;/div&gt;&lt;hr/&gt;&lt;div&gt;&lt;h5&gt;&lt;b&gt;Range &lt;/b&gt;medium (100 ft. + 10 ft./level)&lt;/h5&gt;&lt;h5&gt;&lt;b&gt;Effect &lt;/b&gt;anti-magic wall occupying up to two 5 ft. cubes/level (S)&lt;/h5&gt;&lt;h5&gt;&lt;b&gt;Duration &lt;/b&gt;10 minutes/level; see text&lt;/h5&gt;&lt;h5&gt;&lt;b&gt;Saving Throw &lt;/b&gt;none; &lt;b&gt;Spell Resistance &lt;/b&gt;no&lt;/h5&gt;&lt;/div&gt;&lt;hr/&gt;&lt;div&gt;&lt;h5&gt;&lt;b&gt;DESCRIPTION&lt;/b&gt;&lt;/h5&gt;&lt;/div&gt;&lt;hr/&gt;&lt;div&gt;&lt;h4&gt;&lt;p&gt;You create a &lt;i&gt;wall of&lt;/i&gt; glittering motes that suppresses or even negates any magical effect passing through it. The wall appears to have no actual substance and does not physically obstruct or impede anything attempting to move through it. However, the wall exerts a powerful anti-magical effect.&lt;/p&gt;&lt;p&gt;Any magic item or magical spell or effect of your caster level or lower that passes through the wall is suppressed for 1 round per level. Spells or effects with durations expire normally, even while thus suppressed. A spell or with a duration greater than that of the suppression resumes functioning normally when the suppression ends.&lt;/p&gt;&lt;p&gt;The wall affects all magical effects, including spells, spelllike abilities, magical items, and any effects stemming from them that pass through the wall. The wall does not suppress a creature's ability to cast spells, use spell-like abilities, or any other sort of limited-use abilities even if the wall suppresses a particular application of those abilities. However, if a creature with magical abilities that are constant or otherwise always active passes through the wall, those abilities are suppressed for the normal duration.&lt;/p&gt;&lt;p&gt;The wall blocks line of effect, so no spell or effect can pass through the wall, but it does not block line of sight. Magic items or spell effects with a higher caster level than yours are unaffected by the &lt;i&gt;wall of&lt;/i&gt; suppression. The wall does not affect artifacts, anything stemming from the direct action of a deity, or similarly powerful sorts of magic.&lt;/p&gt;&lt;/h4&gt;&lt;/div&gt;</t>
  </si>
  <si>
    <t>Creates wall that disables magic.</t>
  </si>
  <si>
    <t>Wandering Star Motes</t>
  </si>
  <si>
    <t>light, mind-affecting</t>
  </si>
  <si>
    <t>V, S, M (a sprinkle of flash powder)</t>
  </si>
  <si>
    <t>one living creature and special; see text</t>
  </si>
  <si>
    <t>1/round per level</t>
  </si>
  <si>
    <t>You create sparkling motes of bright light that shoot toward the target and swirl around it in a complex pattern. The pattern clearly outlines the target and radiates light as if it were a sunrod, negating any concealment for the target. The target must make a successful Will save. If the target fails its save, it is dazed for 1 round and must make another save on its next turn or be dazed again for 1 round. The target must continue making Will saves each round. If a target makes its Will save, the wandering star motes jump to the nearest enemy within 30 feet, who must now make Will saves every round or be dazed. Any time a target makes its Will save, the wandering star motes jump to the next nearest enemy within 30 feet. A given creature can only be affected by the wandering star motes once; once a target has successfully saved against the spell, it cannot be affected again. If there are no new targets within 30 feet of a target that has successfully made its save, the spell immediately ends. The spell only affects enemy creatures; your allies are not affected.</t>
  </si>
  <si>
    <t>&lt;p&gt;You create sparkling motes of bright light that shoot toward the target and swirl around it in a complex pattern. The pattern clearly outlines the target and radiates light as if it were a sunrod, negating any concealment for the target. The target must make a successful Will save. If the target fails its save, it is dazed for 1 round and must make another save on its next turn or be dazed again for 1 round. The target must continue making Will saves each round. If a target makes its Will save, the &lt;i&gt;wandering star motes&lt;/i&gt; jump to the nearest enemy within 30 feet, who must now make Will saves every round or be dazed. Any time a target makes its Will save, the &lt;i&gt;wandering star motes&lt;/i&gt; jump to the next nearest enemy within 30 feet.&lt;/p&gt;&lt;p&gt;A given creature can only be affected by the &lt;i&gt;wandering star motes&lt;/i&gt; once; once a target has successfully saved against the spell, it cannot be affected again. If there are no new targets within 30 feet of a target that has successfully made its save, the spell immediately ends. The spell only affects enemy creatures; your allies are not affected.&lt;/p&gt;</t>
  </si>
  <si>
    <t>&lt;link rel="stylesheet"href="PF.css"&gt;&lt;div class="heading"&gt;&lt;p class="alignleft"&gt;Wandering Star Motes&lt;/p&gt;&lt;div style="clear: both;"&gt;&lt;/div&gt;&lt;/div&gt;&lt;div&gt;&lt;h5&gt;&lt;b&gt;School &lt;/b&gt;illusion (pattern) [light, mind-affecting]; &lt;b&gt;Level &lt;/b&gt;bard 4, sorcerer/wizard 4, witch 4&lt;/h5&gt;&lt;/div&gt;&lt;hr/&gt;&lt;div&gt;&lt;h5&gt;&lt;b&gt;CASTING&lt;/b&gt;&lt;/h5&gt;&lt;/div&gt;&lt;hr/&gt;&lt;div&gt;&lt;h5&gt;&lt;b&gt;Casting Time &lt;/b&gt;1 standard action&lt;/h5&gt;&lt;h5&gt;&lt;b&gt;Components &lt;/b&gt;V, S, M (a sprinkle of flash powder)&lt;/h5&gt;&lt;/div&gt;&lt;hr/&gt;&lt;div&gt;&lt;h5&gt;&lt;b&gt;EFFECT&lt;/b&gt;&lt;/h5&gt;&lt;/div&gt;&lt;hr/&gt;&lt;div&gt;&lt;h5&gt;&lt;b&gt;Range &lt;/b&gt;close (25 ft. + 5 ft./2 levels)&lt;/h5&gt;&lt;h5&gt;&lt;b&gt;Targets &lt;/b&gt;one living creature and special; see text&lt;/h5&gt;&lt;h5&gt;&lt;b&gt;Duration &lt;/b&gt;1/round per level&lt;/h5&gt;&lt;h5&gt;&lt;b&gt;Saving Throw &lt;/b&gt;Will negates; see text; &lt;b&gt;Spell Resistance &lt;/b&gt;yes&lt;/h5&gt;&lt;/div&gt;&lt;hr/&gt;&lt;div&gt;&lt;h5&gt;&lt;b&gt;DESCRIPTION&lt;/b&gt;&lt;/h5&gt;&lt;/div&gt;&lt;hr/&gt;&lt;div&gt;&lt;h4&gt;&lt;p&gt;You create sparkling motes of bright light that shoot toward the target and swirl around it in a complex pattern. The pattern clearly outlines the target and radiates light as if it were a sunrod, negating any concealment for the target. The target must make a successful Will save. If the target fails its save, it is dazed for 1 round and must make another save on its next turn or be dazed again for 1 round. The target must continue making Will saves each round. If a target makes its Will save, the &lt;i&gt;wandering star motes&lt;/i&gt; jump to the nearest enemy within 30 feet, who must now make Will saves every round or be dazed. Any time a target makes its Will save, the &lt;i&gt;wandering star motes&lt;/i&gt; jump to the next nearest enemy within 30 feet.&lt;/p&gt;&lt;p&gt;A given creature can only be affected by the &lt;i&gt;wandering star motes&lt;/i&gt; once; once a target has successfully saved against the spell, it cannot be affected again. If there are no new targets within 30 feet of a target that has successfully made its save, the spell immediately ends. The spell only affects enemy creatures; your allies are not affected.&lt;/p&gt;&lt;/h4&gt;&lt;/div&gt;</t>
  </si>
  <si>
    <t>Outlines subject and produces light as a sunrod.</t>
  </si>
  <si>
    <t>Ward the Faithful</t>
  </si>
  <si>
    <t>All creatures within the area who worship the same god as you gain a +2 deflection bonus to AC and a +2 resistance bonus on all saves. At 12th level, these bonuses increase to +3. At 18th level, the bonuses increase to +4. If you do not worship a specific deity, the bonuses apply to those who share your faith. If you do not have a specific faith or religion, the spell provides benefits only to yourself. Enemies gain the benefits of this spell if they worship the same god or share the same faith as you, even if you view them as heretical.</t>
  </si>
  <si>
    <t>&lt;p&gt;All creatures within the area who worship the same god as you gain a +2 deflection bonus to AC and a +2 resistance bonus on all saves. At 12th level, these bonuses increase to +3. At 18th level, the bonuses increase to +4.&lt;/p&gt;&lt;p&gt;If you do not worship a specific deity, the bonuses apply to those who share your faith. If you do not have a specific faith or religion, the spell provides benefits only to yourself. Enemies gain the benefits of this spell if they worship the same god or share the same faith as you, even if you view them as heretical.&lt;/p&gt;</t>
  </si>
  <si>
    <t>&lt;link rel="stylesheet"href="PF.css"&gt;&lt;div class="heading"&gt;&lt;p class="alignleft"&gt;Ward the Faithful&lt;/p&gt;&lt;div style="clear: both;"&gt;&lt;/div&gt;&lt;/div&gt;&lt;div&gt;&lt;h5&gt;&lt;b&gt;School &lt;/b&gt;abjuration; &lt;b&gt;Level &lt;/b&gt;inquisitor 3&lt;/h5&gt;&lt;/div&gt;&lt;hr/&gt;&lt;div&gt;&lt;h5&gt;&lt;b&gt;CASTING&lt;/b&gt;&lt;/h5&gt;&lt;/div&gt;&lt;hr/&gt;&lt;div&gt;&lt;h5&gt;&lt;b&gt;Casting Time &lt;/b&gt;1 standard action&lt;/h5&gt;&lt;h5&gt;&lt;b&gt;Components &lt;/b&gt;V, S, DF&lt;/h5&gt;&lt;/div&gt;&lt;hr/&gt;&lt;div&gt;&lt;h5&gt;&lt;b&gt;EFFECT&lt;/b&gt;&lt;/h5&gt;&lt;/div&gt;&lt;hr/&gt;&lt;div&gt;&lt;h5&gt;&lt;b&gt;Range &lt;/b&gt;touch&lt;/h5&gt;&lt;h5&gt;&lt;b&gt;Area &lt;/b&gt;10-ft.-radius emanation from touched creature&lt;/h5&gt;&lt;h5&gt;&lt;b&gt;Duration &lt;/b&gt;10 minutes/level&lt;/h5&gt;&lt;h5&gt;&lt;b&gt;Saving Throw &lt;/b&gt;Will negates (harmless); &lt;b&gt;Spell Resistance &lt;/b&gt;no&lt;/h5&gt;&lt;/div&gt;&lt;hr/&gt;&lt;div&gt;&lt;h5&gt;&lt;b&gt;DESCRIPTION&lt;/b&gt;&lt;/h5&gt;&lt;/div&gt;&lt;hr/&gt;&lt;div&gt;&lt;h4&gt;&lt;p&gt;All creatures within the area who worship the same god as you gain a +2 deflection bonus to AC and a +2 resistance bonus on all saves. At 12th level, these bonuses increase to +3. At 18th level, the bonuses increase to +4.&lt;/p&gt;&lt;p&gt;If you do not worship a specific deity, the bonuses apply to those who share your faith. If you do not have a specific faith or religion, the spell provides benefits only to yourself. Enemies gain the benefits of this spell if they worship the same god or share the same faith as you, even if you view them as heretical.&lt;/p&gt;&lt;/h4&gt;&lt;/div&gt;</t>
  </si>
  <si>
    <t>Creatures of same faith gain bonuses to AC and on saving throws.</t>
  </si>
  <si>
    <t>Weapon of Awe</t>
  </si>
  <si>
    <t>cleric 2/oracle 2, inquisitor 2, paladin 2</t>
  </si>
  <si>
    <t>You transform a single weapon into an awe-inspiring instrument. The weapon gains a +2 sacred bonus on damage rolls, and if the weapon scores a critical hit, the target of that critical hit becomes shaken for 1 round with no saving throw. This is a mind-affecting fear effect. A ranged weapon affected by this spell applies these effects to its ammunition. You can't cast this spell on a natural weapon, but you can cast it on an unarmed strike.</t>
  </si>
  <si>
    <t>&lt;p&gt;You transform a single weapon into an awe-inspiring instrument. The weapon gains a +2 sacred bonus on damage rolls, and if the weapon scores a critical hit, the target of that critical hit becomes shaken for 1 round with no saving throw.&lt;/p&gt;&lt;p&gt;This is a mind-affecting fear effect. A ranged weapon affected by this spell applies these effects to its ammunition.&lt;/p&gt;&lt;p&gt;You can't cast this spell on a natural weapon, but you can cast it on an unarmed strike.&lt;/p&gt;</t>
  </si>
  <si>
    <t>&lt;link rel="stylesheet"href="PF.css"&gt;&lt;div class="heading"&gt;&lt;p class="alignleft"&gt;Weapon of Awe&lt;/p&gt;&lt;div style="clear: both;"&gt;&lt;/div&gt;&lt;/div&gt;&lt;div&gt;&lt;h5&gt;&lt;b&gt;School &lt;/b&gt;transmutation [emotion]; &lt;b&gt;Level &lt;/b&gt;cleric 2/oracle 2, inquisitor 2, paladin 2&lt;/h5&gt;&lt;/div&gt;&lt;hr/&gt;&lt;div&gt;&lt;h5&gt;&lt;b&gt;CASTING&lt;/b&gt;&lt;/h5&gt;&lt;/div&gt;&lt;hr/&gt;&lt;div&gt;&lt;h5&gt;&lt;b&gt;Casting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&lt;/b&gt;weapon touched&lt;/h5&gt;&lt;h5&gt;&lt;b&gt;Duration &lt;/b&gt;1 minute/level&lt;/h5&gt;&lt;h5&gt;&lt;b&gt;Saving Throw &lt;/b&gt;Will negates (harmless, object); &lt;b&gt;Spell Resistance &lt;/b&gt;yes (harmless, object)&lt;/h5&gt;&lt;/div&gt;&lt;hr/&gt;&lt;div&gt;&lt;h5&gt;&lt;b&gt;DESCRIPTION&lt;/b&gt;&lt;/h5&gt;&lt;/div&gt;&lt;hr/&gt;&lt;div&gt;&lt;h4&gt;&lt;p&gt;You transform a single weapon into an awe-inspiring instrument. The weapon gains a +2 sacred bonus on damage rolls, and if the weapon scores a critical hit, the target of that critical hit becomes shaken for 1 round with no saving throw.&lt;/p&gt;&lt;p&gt;This is a mind-affecting fear effect. A ranged weapon affected by this spell applies these effects to its ammunition.&lt;/p&gt;&lt;p&gt;You can't cast this spell on a natural weapon, but you can cast it on an unarmed strike.&lt;/p&gt;&lt;/h4&gt;&lt;/div&gt;</t>
  </si>
  <si>
    <t>Weapon gets +2 on damage rolls.</t>
  </si>
  <si>
    <t>Winds of Vengeance</t>
  </si>
  <si>
    <t>cleric 9/oracle 9, druid 9, sorcerer/wizard 9</t>
  </si>
  <si>
    <t>You surround yourself with a buffeting shroud of supernatural, tornado-force winds. These winds grant you a fly speed of 60 feet with perfect maneuverability. Neither your armor nor your load affects this fly speed. The winds shield you from any other wind effects, and form a shell of breathable air around you, allowing you to fly and breathe underwater or in outer space. Ranged weapons (including giant-thrown boulders, siege weapon projectiles, and other massive ranged weapons) passing through the winds are deflected by the winds and automatically miss you. Gases and most gaseous breath weapons cannot pass though the winds. In addition, when a creature hits you with a melee attack, you can shape your winds so they lash out at that creature as an immediate action. The creature must make a Fortitude saving throw or take 5d8 points of bludgeoning damage and be knocked prone (if on the ground). On a failed save, Huge flying creatures are checked and Large-sized or smaller flying creatures are blown away instead of knocked prone (see page 439 of the Pathfinder RPG Core Rulebook for more information). On a successful save, the damage is halved and the creature is not knocked prone (or checked or blown away).</t>
  </si>
  <si>
    <t>&lt;p&gt;You surround yourself with a buffeting shroud of supernatural, tornado-force winds. These winds grant you a fly speed of 60 feet with perfect maneuverability. Neither your armor nor your load affects this fly speed. The winds shield you from any other wind effects, and form a shell of breathable air around you, allowing you to fly and breathe underwater or in outer space.&lt;/p&gt;&lt;p&gt;Ranged weapons (including giant-thrown boulders, siege weapon projectiles, and other massive ranged weapons) passing through the winds are deflected by the winds and automatically miss you. Gases and most gaseous breath weapons cannot pass though the winds.&lt;/p&gt;&lt;p&gt;In addition, when a creature hits you with a melee attack, you can shape your winds so they lash out at that creature as an immediate action. The creature must make a Fortitude saving throw or take 5d8 points of bludgeoning damage and be knocked prone (if on the ground). On a failed save, Huge flying creatures are checked and Large-sized or smaller flying creatures are blown away instead of knocked prone (see page 439 of the &lt;i&gt;Pathfinder RPG Core Rulebook&lt;/i&gt; for more information).&lt;/p&gt;&lt;p&gt;On a successful save, the damage is halved and the creature is not knocked prone (or checked or blown away).&lt;/p&gt;</t>
  </si>
  <si>
    <t>&lt;link rel="stylesheet"href="PF.css"&gt;&lt;div class="heading"&gt;&lt;p class="alignleft"&gt;Winds of Vengeance&lt;/p&gt;&lt;div style="clear: both;"&gt;&lt;/div&gt;&lt;/div&gt;&lt;div&gt;&lt;h5&gt;&lt;b&gt;School &lt;/b&gt;evocation [air]; &lt;b&gt;Level &lt;/b&gt;cleric 9/oracle 9, druid 9, sorcerer/wizard 9&lt;/h5&gt;&lt;/div&gt;&lt;hr/&gt;&lt;div&gt;&lt;h5&gt;&lt;b&gt;CASTING&lt;/b&gt;&lt;/h5&gt;&lt;/div&gt;&lt;hr/&gt;&lt;div&gt;&lt;h5&gt;&lt;b&gt;Casting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&lt;/b&gt;you&lt;/h5&gt;&lt;h5&gt;&lt;b&gt;Duration &lt;/b&gt;1 minute/level&lt;/h5&gt;&lt;/div&gt;&lt;hr/&gt;&lt;div&gt;&lt;h5&gt;&lt;b&gt;DESCRIPTION&lt;/b&gt;&lt;/h5&gt;&lt;/div&gt;&lt;hr/&gt;&lt;div&gt;&lt;h4&gt;&lt;p&gt;You surround yourself with a buffeting shroud of supernatural, tornado-force winds. These winds grant you a fly speed of 60 feet with perfect maneuverability. Neither your armor nor your load affects this fly speed. The winds shield you from any other wind effects, and form a shell of breathable air around you, allowing you to fly and breathe underwater or in outer space.&lt;/p&gt;&lt;p&gt;Ranged weapons (including giant-thrown boulders, siege weapon projectiles, and other massive ranged weapons) passing through the winds are deflected by the winds and automatically miss you. Gases and most gaseous breath weapons cannot pass though the winds.&lt;/p&gt;&lt;p&gt;In addition, when a creature hits you with a melee attack, you can shape your winds so they lash out at that creature as an immediate action. The creature must make a Fortitude saving throw or take 5d8 points of bludgeoning damage and be knocked prone (if on the ground). On a failed save, Huge flying creatures are checked and Large-sized or smaller flying creatures are blown away instead of knocked prone (see page 439 of the &lt;i&gt;Pathfinder RPG Core Rulebook&lt;/i&gt; for more information).&lt;/p&gt;&lt;p&gt;On a successful save, the damage is halved and the creature is not knocked prone (or checked or blown away).&lt;/p&gt;&lt;/h4&gt;&lt;/div&gt;</t>
  </si>
  <si>
    <t>Grants flight; attack with wind.</t>
  </si>
  <si>
    <t>World Wave</t>
  </si>
  <si>
    <t>earth, water</t>
  </si>
  <si>
    <t>1 round/level or 1 hour/level; see text (D)</t>
  </si>
  <si>
    <t>You cause any sort of natural terrain (including water, forest, desert, tundra, and so on) to surge beneath your feet and safely propel you with devastating force over great distances. This wave of terrain undulates as it passes over the world, harmlessly lifting or stretching objects, creatures, and phenomena with a connection to nature but tearing through and damaging anything else it encounters. When you cast the spell you must choose the wave's type, either a tsunami or a swell. If you choose a tsunami, you create a 30-foot-high tidal wave of earth or water hurtling across the landscape that lasts for 1 round per level. If you choose a swell, you create a more controlled and gentle 5-foot-high wave that lasts for 1 hour per level. Regardless of its form or composition, the crest of the wave extends 10 feet in front of and behind you, and 5 feet per level to both your left and right. You can stand or sit on the crest of this wave without any fear of falling off it and can even lie down and sleep (or take any other actions you could take if standing on solid ground) as it travels. You can grant up to one additional creature per level the ability to safely accompany you on this wave. When you first create the wave, you must choose its path by facing the direction you wish it to travel. Once you make this decision, you cannot change it. The wave, in either version, moves at eight times your base land speed. Any object, creature, or phenomena strongly connected to, or a part of, the natural world simply rises up and down with the wave as it passes, taking no damage or injury. However, anything else coming into contact with the wave takes either 6d6 points of bludgeoning damage (if the tsunami) or 1d6 points of bludgeoning damage (if the swell). The wave damages any manufactured object or structure. On the Material Plane, it also damages any creature of the aberration, construct, outsider, or undead type, or with the extraplanar subtype. Creatures with the construct or undead type take double damage from the wave. Other creatures, or creatures with even one druid class level (regardless of their type), are considered a part of the natural world and are unaffected by the wave. Note that on other planes of existence, what is considered to be a part of the natural world may vary at the GM's discretion. The wave can travel up or down the sides of natural features so long as it does not exceed a 45-degree angle. You cannot alter the dimensions of the wave as it travels. If the wave encounters terrain that it cannot incorporate into itself, the wave simply flows over or around the obstacle (creatures riding the wave are harmlessly displaced to the side to avoid the obstacle) unless the terrain occupies one-half or more of the area of the wave's crest. In such cases the spell ends in 1d6 rounds as the wave falters and collapses, unless its duration would normally cause it to expire prior to that. The momentum of the wave carries you forward through this new terrain without any injury until it collapses, at which point you suffer the normal effects of the terrain in which you are deposited. Terrain the wave cannot incorporate includes anything primarily made from fire (such as lava), air (such as an open cliff face), or something man-made (such as a city). You can only create the wave if standing on the ground. You cannot create it when underground or on terrain that it cannot incorporate.</t>
  </si>
  <si>
    <t>&lt;p&gt;You cause any sort of natural terrain (including water, forest, desert, tundra, and so on) to surge beneath your feet and safely propel you with devastating force over great distances. This wave of terrain undulates as it passes over the world, harmlessly lifting or stretching objects, creatures, and phenomena with a connection to nature but tearing through and damaging anything else it encounters. When you cast the spell you must choose the wave's type, either a tsunami or a swell. If you choose a tsunami, you create a 30-foot-high tidal wave of earth or water hurtling across the landscape that lasts for 1 round per level. If you choose a swell, you create a more controlled and gentle 5-foot-high wave that lasts for 1 hour per level. Regardless of its form or composition, the crest of the wave extends 10 feet in front of and behind you, and 5 feet per level to both your left and right. You can stand or sit on the crest of this wave without any fear of falling off it and can even lie down and sleep (or take any other actions you could take if standing on solid ground) as it travels. You can grant up to one additional creature per level the ability to safely accompany you on this wave.&lt;/p&gt;&lt;p&gt;When you first create the wave, you must choose its path by facing the direction you wish it to travel. Once you make this decision, you cannot change it. The wave, in either version, moves at eight times your base land speed. Any object, creature, or phenomena strongly connected to, or a part of, the natural world simply rises up and down with the wave as it passes, taking no damage or injury. However, anything else coming into contact with the wave takes either 6d6 points of bludgeoning damage (if the tsunami) or 1d6 points of bludgeoning damage (if the swell).&lt;/p&gt;&lt;p&gt;The wave damages any manufactured object or structure. On the Material Plane, it also damages any creature of the aberration, construct, outsider, or undead type, or with the extraplanar subtype. Creatures with the construct or undead type take double damage from the wave. Other creatures, or creatures with even one druid class level (regardless of their type), are considered a part of the natural world and are unaffected by the wave. Note that on other planes of existence, what is considered to be a part of the natural world may vary at the GM's discretion.&lt;/p&gt;&lt;p&gt;The wave can travel up or down the sides of natural features so long as it does not exceed a 45-degree angle. You cannot alter the dimensions of the wave as it travels. If the wave encounters terrain that it cannot incorporate into itself, the wave simply flows over or around the obstacle (creatures riding the wave are harmlessly displaced to the side to avoid the obstacle) unless the terrain occupies one-half or more of the area of the wave's crest. In such cases the spell ends in 1d6 rounds as the wave falters and collapses, unless its duration would normally cause it to expire prior to that.&lt;/p&gt;&lt;p&gt;The momentum of the wave carries you forward through this new terrain without any injury until it collapses, at which point you suffer the normal effects of the terrain in which you are deposited. Terrain the wave cannot incorporate includes anything primarily made from fire (such as lava), air (such as an open cliff face), or something man-made (such as a city).&lt;/p&gt;&lt;p&gt;You can only create the wave if standing on the ground. You cannot create it when underground or on terrain that it cannot incorporate.&lt;/p&gt;</t>
  </si>
  <si>
    <t>&lt;link rel="stylesheet"href="PF.css"&gt;&lt;div class="heading"&gt;&lt;p class="alignleft"&gt;World Wave&lt;/p&gt;&lt;div style="clear: both;"&gt;&lt;/div&gt;&lt;/div&gt;&lt;div&gt;&lt;h5&gt;&lt;b&gt;School &lt;/b&gt;transmutation [earth, water]; &lt;b&gt;Level &lt;/b&gt;druid 9, sorcerer/wizard 9&lt;/h5&gt;&lt;/div&gt;&lt;hr/&gt;&lt;div&gt;&lt;h5&gt;&lt;b&gt;CASTING&lt;/b&gt;&lt;/h5&gt;&lt;/div&gt;&lt;hr/&gt;&lt;div&gt;&lt;h5&gt;&lt;b&gt;Casting Time &lt;/b&gt;1 standard action&lt;/h5&gt;&lt;h5&gt;&lt;b&gt;Components &lt;/b&gt;V, S, DF&lt;/h5&gt;&lt;/div&gt;&lt;hr/&gt;&lt;div&gt;&lt;h5&gt;&lt;b&gt;EFFECT&lt;/b&gt;&lt;/h5&gt;&lt;/div&gt;&lt;hr/&gt;&lt;div&gt;&lt;h5&gt;&lt;b&gt;Range &lt;/b&gt;see text&lt;/h5&gt;&lt;h5&gt;&lt;b&gt;Effect &lt;/b&gt;see text&lt;/h5&gt;&lt;h5&gt;&lt;b&gt;Duration &lt;/b&gt;1 round/level or 1 hour/level; see text (D)&lt;/h5&gt;&lt;h5&gt;&lt;b&gt;Saving Throw &lt;/b&gt;none; &lt;b&gt;Spell Resistance &lt;/b&gt;yes&lt;/h5&gt;&lt;/div&gt;&lt;hr/&gt;&lt;div&gt;&lt;h5&gt;&lt;b&gt;DESCRIPTION&lt;/b&gt;&lt;/h5&gt;&lt;/div&gt;&lt;hr/&gt;&lt;div&gt;&lt;h4&gt;&lt;p&gt;You cause any sort of natural terrain (including water, forest, desert, tundra, and so on) to surge beneath your feet and safely propel you with devastating force over great distances. This wave of terrain undulates as it passes over the world, harmlessly lifting or stretching objects, creatures, and phenomena with a connection to nature but tearing through and damaging anything else it encounters. When you cast the spell you must choose the wave's type, either a tsunami or a swell. If you choose a tsunami, you create a 30-foot-high tidal wave of earth or water hurtling across the landscape that lasts for 1 round per level. If you choose a swell, you create a more controlled and gentle 5-foot-high wave that lasts for 1 hour per level. Regardless of its form or composition, the crest of the wave extends 10 feet in front of and behind you, and 5 feet per level to both your left and right. You can stand or sit on the crest of this wave without any fear of falling off it and can even lie down and sleep (or take any other actions you could take if standing on solid ground) as it travels. You can grant up to one additional creature per level the ability to safely accompany you on this wave.&lt;/p&gt;&lt;p&gt;When you first create the wave, you must choose its path by facing the direction you wish it to travel. Once you make this decision, you cannot change it. The wave, in either version, moves at eight times your base land speed. Any object, creature, or phenomena strongly connected to, or a part of, the natural world simply rises up and down with the wave as it passes, taking no damage or injury. However, anything else coming into contact with the wave takes either 6d6 points of bludgeoning damage (if the tsunami) or 1d6 points of bludgeoning damage (if the swell).&lt;/p&gt;&lt;p&gt;The wave damages any manufactured object or structure. On the Material Plane, it also damages any creature of the aberration, construct, outsider, or undead type, or with the extraplanar subtype. Creatures with the construct or undead type take double damage from the wave. Other creatures, or creatures with even one druid class level (regardless of their type), are considered a part of the natural world and are unaffected by the wave. Note that on other planes of existence, what is considered to be a part of the natural world may vary at the GM's discretion.&lt;/p&gt;&lt;p&gt;The wave can travel up or down the sides of natural features so long as it does not exceed a 45-degree angle. You cannot alter the dimensions of the wave as it travels. If the wave encounters terrain that it cannot incorporate into itself, the wave simply flows over or around the obstacle (creatures riding the wave are harmlessly displaced to the side to avoid the obstacle) unless the terrain occupies one-half or more of the area of the wave's crest. In such cases the spell ends in 1d6 rounds as the wave falters and collapses, unless its duration would normally cause it to expire prior to that.&lt;/p&gt;&lt;p&gt;The momentum of the wave carries you forward through this new terrain without any injury until it collapses, at which point you suffer the normal effects of the terrain in which you are deposited. Terrain the wave cannot incorporate includes anything primarily made from fire (such as lava), air (such as an open cliff face), or something man-made (such as a city).&lt;/p&gt;&lt;p&gt;You can only create the wave if standing on the ground. You cannot create it when underground or on terrain that it cannot incorporate.&lt;/p&gt;&lt;/h4&gt;&lt;/div&gt;</t>
  </si>
  <si>
    <t>Earth moves you across distances.</t>
  </si>
  <si>
    <t>Wrath</t>
  </si>
  <si>
    <t>You focus your anger against an enemy. Choose one enemy creature that you can see. You gain a +1 morale bonus on attack rolls and weapon damage rolls against that designated creature for every three caster levels you have (at least +1, maximum +3). You also receive this bonus on caster level checks made to overcome the creature's spell resistance, if any. At 12th level, you gain the benefits of the Improved Critical feat on attack rolls made against the designated creature. This effect doesn't stack with any other effect that expands the threat range of a weapon.</t>
  </si>
  <si>
    <t>&lt;p&gt;You focus your anger against an enemy. Choose one enemy creature that you can see. You gain a +1 morale bonus on attack rolls and weapon damage rolls against that designated creature for every three caster levels you have (at least +1, maximum +3). You also receive this bonus on caster level checks made to overcome the creature's spell resistance, if any. At 12th level, you gain the benefits of the Improved Critical feat on attack rolls made against the designated creature. This effect doesn't stack with any other effect that expands the threat range of a weapon.&lt;/p&gt;</t>
  </si>
  <si>
    <t>&lt;link rel="stylesheet"href="PF.css"&gt;&lt;div class="heading"&gt;&lt;p class="alignleft"&gt;Wrath&lt;/p&gt;&lt;div style="clear: both;"&gt;&lt;/div&gt;&lt;/div&gt;&lt;div&gt;&lt;h5&gt;&lt;b&gt;School &lt;/b&gt;enchantment (compulsion) [mind-affecting, emotion]; &lt;b&gt;Level &lt;/b&gt;inquisitor 1&lt;/h5&gt;&lt;/div&gt;&lt;hr/&gt;&lt;div&gt;&lt;h5&gt;&lt;b&gt;CASTING&lt;/b&gt;&lt;/h5&gt;&lt;/div&gt;&lt;hr/&gt;&lt;div&gt;&lt;h5&gt;&lt;b&gt;Casting Time &lt;/b&gt;1 standard action&lt;/h5&gt;&lt;h5&gt;&lt;b&gt;Components &lt;/b&gt;V, S, M (a thorny vine)&lt;/h5&gt;&lt;/div&gt;&lt;hr/&gt;&lt;div&gt;&lt;h5&gt;&lt;b&gt;EFFECT&lt;/b&gt;&lt;/h5&gt;&lt;/div&gt;&lt;hr/&gt;&lt;div&gt;&lt;h5&gt;&lt;b&gt;Range &lt;/b&gt;personal&lt;/h5&gt;&lt;h5&gt;&lt;b&gt;Targets &lt;/b&gt;you&lt;/h5&gt;&lt;h5&gt;&lt;b&gt;Duration &lt;/b&gt;1 minute&lt;/h5&gt;&lt;/div&gt;&lt;hr/&gt;&lt;div&gt;&lt;h5&gt;&lt;b&gt;DESCRIPTION&lt;/b&gt;&lt;/h5&gt;&lt;/div&gt;&lt;hr/&gt;&lt;div&gt;&lt;h4&gt;&lt;p&gt;You focus your anger against an enemy. Choose one enemy creature that you can see. You gain a +1 morale bonus on attack rolls and weapon damage rolls against that designated creature for every three caster levels you have (at least +1, maximum +3). You also receive this bonus on caster level checks made to overcome the creature's spell resistance, if any. At 12th level, you gain the benefits of the Improved Critical feat on attack rolls made against the designated creature. This effect doesn't stack with any other effect that expands the threat range of a weapon.&lt;/p&gt;&lt;/h4&gt;&lt;/div&gt;</t>
  </si>
  <si>
    <t>+1 attack and damage against target creature.</t>
  </si>
  <si>
    <t>Wrathful Mantle</t>
  </si>
  <si>
    <t>force, light</t>
  </si>
  <si>
    <t>cleric 3/oracle 3, paladin 3</t>
  </si>
  <si>
    <t>touch or 5 ft.; see text</t>
  </si>
  <si>
    <t>creature touched or all creatures within 5 ft.; see text</t>
  </si>
  <si>
    <t>A shimmering mantle of light shrouds the subject, light like a torch. The subject of the spell gains a +1 resistance bonus on all saving throws per four caster levels (maximum +5 at 20th level). The subject can end the wrathful mantle at any time as a swift action to deal 2d8 points of force damage to all creatures within 5 feet.</t>
  </si>
  <si>
    <t>&lt;p&gt;A shimmering mantle of light shrouds the subject, light like a torch. The subject of the spell gains a +1 resistance bonus on all saving throws per four caster levels (maximum +5 at 20th level). The subject can end the &lt;i&gt;wrathful mantle&lt;/i&gt; at any time as a swift action to deal 2d8 points of force damage to all creatures within 5 feet.&lt;/p&gt;</t>
  </si>
  <si>
    <t>&lt;link rel="stylesheet"href="PF.css"&gt;&lt;div class="heading"&gt;&lt;p class="alignleft"&gt;Wrathful Mantle&lt;/p&gt;&lt;div style="clear: both;"&gt;&lt;/div&gt;&lt;/div&gt;&lt;div&gt;&lt;h5&gt;&lt;b&gt;School &lt;/b&gt;evocation [force, light]; &lt;b&gt;Level &lt;/b&gt;cleric 3/oracle 3, paladin 3&lt;/h5&gt;&lt;/div&gt;&lt;hr/&gt;&lt;div&gt;&lt;h5&gt;&lt;b&gt;CASTING&lt;/b&gt;&lt;/h5&gt;&lt;/div&gt;&lt;hr/&gt;&lt;div&gt;&lt;h5&gt;&lt;b&gt;Casting Time &lt;/b&gt;1 standard action&lt;/h5&gt;&lt;h5&gt;&lt;b&gt;Components &lt;/b&gt;V, S, DF&lt;/h5&gt;&lt;/div&gt;&lt;hr/&gt;&lt;div&gt;&lt;h5&gt;&lt;b&gt;EFFECT&lt;/b&gt;&lt;/h5&gt;&lt;/div&gt;&lt;hr/&gt;&lt;div&gt;&lt;h5&gt;&lt;b&gt;Range &lt;/b&gt;touch or 5 ft.; see text&lt;/h5&gt;&lt;h5&gt;&lt;b&gt;Targets &lt;/b&gt;creature touched or all creatures within 5 ft.; see text&lt;/h5&gt;&lt;h5&gt;&lt;b&gt;Duration &lt;/b&gt;1 minute/level&lt;/h5&gt;&lt;h5&gt;&lt;b&gt;Saving Throw &lt;/b&gt;Will negates (harmless); &lt;b&gt;Spell Resistance &lt;/b&gt;yes (harmless)&lt;/h5&gt;&lt;/div&gt;&lt;hr/&gt;&lt;div&gt;&lt;h5&gt;&lt;b&gt;DESCRIPTION&lt;/b&gt;&lt;/h5&gt;&lt;/div&gt;&lt;hr/&gt;&lt;div&gt;&lt;h4&gt;&lt;p&gt;A shimmering mantle of light shrouds the subject, light like a torch. The subject of the spell gains a +1 resistance bonus on all saving throws per four caster levels (maximum +5 at 20th level). The subject can end the &lt;i&gt;wrathful mantle&lt;/i&gt; at any time as a swift action to deal 2d8 points of force damage to all creatures within 5 feet.&lt;/p&gt;&lt;/h4&gt;&lt;/div&gt;</t>
  </si>
  <si>
    <t>Subject shines and gets +1/four levels on all saves.</t>
  </si>
  <si>
    <t>Ice Armor</t>
  </si>
  <si>
    <t>cold, water</t>
  </si>
  <si>
    <t>cleric 1/oracle 1, druid 1</t>
  </si>
  <si>
    <t>V, S, F (5 gallons of water)</t>
  </si>
  <si>
    <t>a suit of armor made of ice</t>
  </si>
  <si>
    <t>1 hour/level or until destroyed</t>
  </si>
  <si>
    <t>You create a suit of armor made of ice. While cold to the touch, it does not harm the wearer, especially if worn over normal clothing (though it can hasten the effects of exposure in cold environments). It offers the same protection as breastplate armor, except it has hardness 0 and 30 hit points. If the intended wearer is submersed in water when you cast this spell, you may form the armor around the wearer (who may be you); otherwise the wearer must don the armor normally. Attacks against the wearer that create heat or fire degrade the armor, reducing its Armor Class by 1 for every 5 points of fire damage the wearer takes; when the armor's AC reaches 0, the spell ends. Because the ice is slightly buoyant, the wearer gains a +2 circumstance bonus on Swim checks, except when swimming downward. This armor is freely wearable by druids.</t>
  </si>
  <si>
    <t>&lt;p&gt;You create a suit of armor made of ice. While cold to the touch, it does not harm the wearer, especially if worn over normal clothing (though it can hasten the effects of exposure in cold environments). It offers the same protection as breastplate armor, except it has hardness 0 and 30 hit points. If the intended wearer is submersed in water when you cast this spell, you may form the armor around the wearer (who may be you); otherwise the wearer must don the armor normally. Attacks against the wearer that create heat or fire degrade the armor, reducing its Armor Class by 1 for every 5 points of fire damage the wearer takes; when the armor's AC reaches 0, the spell ends. Because the ice is slightly buoyant, the wearer gains a +2 circumstance bonus on Swim checks, except when swimming downward. This armor is freely wearable by druids.&lt;/p&gt;</t>
  </si>
  <si>
    <t>AP 38</t>
  </si>
  <si>
    <t>&lt;link rel="stylesheet"href="PF.css"&gt;&lt;div class="heading"&gt;&lt;p class="alignleft"&gt;Ice Armor&lt;/p&gt;&lt;div style="clear: both;"&gt;&lt;/div&gt;&lt;/div&gt;&lt;div&gt;&lt;h5&gt;&lt;b&gt;School &lt;/b&gt;transmutation [cold, water]; &lt;b&gt;Level &lt;/b&gt;cleric 1/oracle 1, druid 1 (Gozreh)&lt;/h5&gt;&lt;/div&gt;&lt;hr/&gt;&lt;div&gt;&lt;h5&gt;&lt;b&gt;CASTING&lt;/b&gt;&lt;/h5&gt;&lt;/div&gt;&lt;hr/&gt;&lt;div&gt;&lt;h5&gt;&lt;b&gt;Casting Time &lt;/b&gt;1 minute&lt;/h5&gt;&lt;h5&gt;&lt;b&gt;Components &lt;/b&gt;V, S, F (5 gallons of water)&lt;/h5&gt;&lt;/div&gt;&lt;hr/&gt;&lt;div&gt;&lt;h5&gt;&lt;b&gt;EFFECT&lt;/b&gt;&lt;/h5&gt;&lt;/div&gt;&lt;hr/&gt;&lt;div&gt;&lt;h5&gt;&lt;b&gt;Range &lt;/b&gt;0 ft.&lt;/h5&gt;&lt;h5&gt;&lt;b&gt;Effect &lt;/b&gt;a suit of armor made of ice&lt;/h5&gt;&lt;h5&gt;&lt;b&gt;Duration &lt;/b&gt;1 hour/level or until destroyed&lt;/h5&gt;&lt;h5&gt;&lt;b&gt;Saving Throw &lt;/b&gt;none; &lt;b&gt;Spell Resistance &lt;/b&gt;no&lt;/h5&gt;&lt;/div&gt;&lt;hr/&gt;&lt;div&gt;&lt;h5&gt;&lt;b&gt;DESCRIPTION&lt;/b&gt;&lt;/h5&gt;&lt;/div&gt;&lt;hr/&gt;&lt;div&gt;&lt;h4&gt;&lt;p&gt;You create a suit of armor made of ice. While cold to the touch, it does not harm the wearer, especially if worn over normal clothing (though it can hasten the effects of exposure in cold environments). It offers the same protection as breastplate armor, except it has hardness 0 and 30 hit points. If the intended wearer is submersed in water when you cast this spell, you may form the armor around the wearer (who may be you); otherwise the wearer must don the armor normally. Attacks against the wearer that create heat or fire degrade the armor, reducing its Armor Class by 1 for every 5 points of fire damage the wearer takes; when the armor's AC reaches 0, the spell ends. Because the ice is slightly buoyant, the wearer gains a +2 circumstance bonus on Swim checks, except when swimming downward. This armor is freely wearable by druids.&lt;/p&gt;&lt;/h4&gt;&lt;/div&gt;</t>
  </si>
  <si>
    <t>Gozreh</t>
  </si>
  <si>
    <t>Hunter's Eye</t>
  </si>
  <si>
    <t>inquisitor 3, ranger 2</t>
  </si>
  <si>
    <t>Sharpening your perceptive abilities and tuning them against obfuscating effects, hunter's eye greatly enhances your senses against the target creature. You gain the ability to perceive the target when it is invisible or ethereal as though using the see invisibility spell, and receive a +20 competence bonus on Perception checks to locate the target. You ignore concealment provided by fog or mist, blur, displacement, invisibility, and similar effects affecting the target, but not concealment provided by darkness. This spell provides no benefits to your allies, and no benefits against creatures other than the target.</t>
  </si>
  <si>
    <t>&lt;p&gt;Sharpening your perceptive abilities and tuning them against obfuscating effects, hunter's eye greatly enhances your senses against the target creature. You gain the ability to perceive the target when it is invisible or ethereal as though using the &lt;i&gt;see &lt;i&gt;invisibility&lt;/i&gt;&lt;/i&gt; spell, and receive a +20 competence bonus on Perception checks to locate the target. You ignore concealment provided by fog or mist, &lt;i&gt;blur&lt;/i&gt;, &lt;i&gt;displacement&lt;/i&gt;, &lt;i&gt;invisibility&lt;/i&gt;, and similar effects affecting the target, but not concealment provided by darkness. This spell provides no benefits to your allies, and no benefits against creatures other than the target.&lt;/p&gt;</t>
  </si>
  <si>
    <t>&lt;link rel="stylesheet"href="PF.css"&gt;&lt;div class="heading"&gt;&lt;p class="alignleft"&gt;Hunter's Eye&lt;/p&gt;&lt;div style="clear: both;"&gt;&lt;/div&gt;&lt;/div&gt;&lt;div&gt;&lt;h5&gt;&lt;b&gt;School &lt;/b&gt;divination; &lt;b&gt;Level &lt;/b&gt;inquisitor 3, ranger 2&lt;/h5&gt;&lt;/div&gt;&lt;hr/&gt;&lt;div&gt;&lt;h5&gt;&lt;b&gt;CASTING&lt;/b&gt;&lt;/h5&gt;&lt;/div&gt;&lt;hr/&gt;&lt;div&gt;&lt;h5&gt;&lt;b&gt;Casting Time &lt;/b&gt;1 standard action&lt;/h5&gt;&lt;h5&gt;&lt;b&gt;Components &lt;/b&gt;V, S, DF&lt;/h5&gt;&lt;/div&gt;&lt;hr/&gt;&lt;div&gt;&lt;h5&gt;&lt;b&gt;EFFECT&lt;/b&gt;&lt;/h5&gt;&lt;/div&gt;&lt;hr/&gt;&lt;div&gt;&lt;h5&gt;&lt;b&gt;Range &lt;/b&gt;medium (100 ft. + 10 ft./level)&lt;/h5&gt;&lt;h5&gt;&lt;b&gt;Targets &lt;/b&gt;one creature&lt;/h5&gt;&lt;h5&gt;&lt;b&gt;Duration &lt;/b&gt;1 minute/level&lt;/h5&gt;&lt;h5&gt;&lt;b&gt;Saving Throw &lt;/b&gt;none; &lt;b&gt;Spell Resistance &lt;/b&gt;yes&lt;/h5&gt;&lt;/div&gt;&lt;hr/&gt;&lt;div&gt;&lt;h5&gt;&lt;b&gt;DESCRIPTION&lt;/b&gt;&lt;/h5&gt;&lt;/div&gt;&lt;hr/&gt;&lt;div&gt;&lt;h4&gt;&lt;p&gt;Sharpening your perceptive abilities and tuning them against obfuscating effects, hunter's eye greatly enhances your senses against the target creature. You gain the ability to perceive the target when it is invisible or ethereal as though using the &lt;i&gt;see &lt;i&gt;invisibility&lt;/i&gt;&lt;/i&gt; spell, and receive a +20 competence bonus on Perception checks to locate the target. You ignore concealment provided by fog or mist, &lt;i&gt;blur&lt;/i&gt;, &lt;i&gt;displacement&lt;/i&gt;, &lt;i&gt;invisibility&lt;/i&gt;, and similar effects affecting the target, but not concealment provided by darkness. This spell provides no benefits to your allies, and no benefits against creatures other than the target.&lt;/p&gt;&lt;/h4&gt;&lt;/div&gt;</t>
  </si>
  <si>
    <t>+20 on Perception checks to locate a target.</t>
  </si>
  <si>
    <t>Hunter's Howl</t>
  </si>
  <si>
    <t>With a single primal howl, you strike fear in your opponents. Until the end of the spell's duration, you treat those affected by it as if they were your favored enemy, gaining a +2 bonus on weapon attack and damage rolls against them, and a +2 bonus on Bluff, Knowledge, Perception, Sense Motive, and Survival checks against them. If an affected creature is already one of your favored enemies, it is shaken instead. This is a mindaffecting fear effect.</t>
  </si>
  <si>
    <t>&lt;p&gt;With a single primal howl, you strike fear in your opponents.&lt;/p&gt;&lt;p&gt;Until the end of the spell's duration, you treat those affected by it as if they were your favored enemy, gaining a +2 bonus on weapon attack and damage rolls against them, and a +2 bonus on Bluff, Knowledge, Perception, Sense Motive, and Survival checks against them. If an affected creature is already one of your favored enemies, it is shaken instead. This is a mindaffecting fear effect.&lt;/p&gt;</t>
  </si>
  <si>
    <t>&lt;link rel="stylesheet"href="PF.css"&gt;&lt;div class="heading"&gt;&lt;p class="alignleft"&gt;Hunter's Howl&lt;/p&gt;&lt;div style="clear: both;"&gt;&lt;/div&gt;&lt;/div&gt;&lt;div&gt;&lt;h5&gt;&lt;b&gt;School &lt;/b&gt;necromancy [fear, mind-affecting, emotion]; &lt;b&gt;Level &lt;/b&gt;ranger 1&lt;/h5&gt;&lt;/div&gt;&lt;hr/&gt;&lt;div&gt;&lt;h5&gt;&lt;b&gt;CASTING&lt;/b&gt;&lt;/h5&gt;&lt;/div&gt;&lt;hr/&gt;&lt;div&gt;&lt;h5&gt;&lt;b&gt;Casting Time &lt;/b&gt;1 standard action&lt;/h5&gt;&lt;h5&gt;&lt;b&gt;Components &lt;/b&gt;V, S&lt;/h5&gt;&lt;/div&gt;&lt;hr/&gt;&lt;div&gt;&lt;h5&gt;&lt;b&gt;EFFECT&lt;/b&gt;&lt;/h5&gt;&lt;/div&gt;&lt;hr/&gt;&lt;div&gt;&lt;h5&gt;&lt;b&gt;Range &lt;/b&gt;20 ft.&lt;/h5&gt;&lt;h5&gt;&lt;b&gt;Area &lt;/b&gt;20-ft.-radius burst&lt;/h5&gt;&lt;h5&gt;&lt;b&gt;Duration &lt;/b&gt;1 round/level&lt;/h5&gt;&lt;h5&gt;&lt;b&gt;Saving Throw &lt;/b&gt;Will negates; &lt;b&gt;Spell Resistance &lt;/b&gt;none&lt;/h5&gt;&lt;/div&gt;&lt;hr/&gt;&lt;div&gt;&lt;h5&gt;&lt;b&gt;DESCRIPTION&lt;/b&gt;&lt;/h5&gt;&lt;/div&gt;&lt;hr/&gt;&lt;div&gt;&lt;h4&gt;&lt;p&gt;With a single primal howl, you strike fear in your opponents.&lt;/p&gt;&lt;p&gt;Until the end of the spell's duration, you treat those affected by it as if they were your favored enemy, gaining a +2 bonus on weapon attack and damage rolls against them, and a +2 bonus on Bluff, Knowledge, Perception, Sense Motive, and Survival checks against them. If an affected creature is already one of your favored enemies, it is shaken instead. This is a mindaffecting fear effect.&lt;/p&gt;&lt;/h4&gt;&lt;/div&gt;</t>
  </si>
  <si>
    <t>Treat enemies as favored for 1 round/level.</t>
  </si>
  <si>
    <t>Perceive Cues</t>
  </si>
  <si>
    <t>alchemist 2, inquisitor 2, ranger 2, witch 2</t>
  </si>
  <si>
    <t>V, S, M (a drop of water)</t>
  </si>
  <si>
    <t>Your senses become preternaturally keen, and you gain insight into subtle behavioral cues. For the duration of the spell, you receive a +5 competence bonus on Perception and Sense Motive checks.</t>
  </si>
  <si>
    <t>&lt;p&gt;Your senses become preternaturally keen, and you gain insight into subtle behavioral cues. For the duration of the spell, you receive a +5 competence bonus on Perception and Sense Motive checks.&lt;/p&gt;</t>
  </si>
  <si>
    <t>&lt;link rel="stylesheet"href="PF.css"&gt;&lt;div class="heading"&gt;&lt;p class="alignleft"&gt;Perceive Cues&lt;/p&gt;&lt;div style="clear: both;"&gt;&lt;/div&gt;&lt;/div&gt;&lt;div&gt;&lt;h5&gt;&lt;b&gt;School &lt;/b&gt;transmutation; &lt;b&gt;Level &lt;/b&gt;alchemist 2, inquisitor 2, ranger 2, witch 2&lt;/h5&gt;&lt;/div&gt;&lt;hr/&gt;&lt;div&gt;&lt;h5&gt;&lt;b&gt;CASTING&lt;/b&gt;&lt;/h5&gt;&lt;/div&gt;&lt;hr/&gt;&lt;div&gt;&lt;h5&gt;&lt;b&gt;Casting Time &lt;/b&gt;1 standard action&lt;/h5&gt;&lt;h5&gt;&lt;b&gt;Components &lt;/b&gt;V, S, M (a drop of water)&lt;/h5&gt;&lt;/div&gt;&lt;hr/&gt;&lt;div&gt;&lt;h5&gt;&lt;b&gt;EFFECT&lt;/b&gt;&lt;/h5&gt;&lt;/div&gt;&lt;hr/&gt;&lt;div&gt;&lt;h5&gt;&lt;b&gt;Range &lt;/b&gt;personal&lt;/h5&gt;&lt;h5&gt;&lt;b&gt;Targets &lt;/b&gt;you&lt;/h5&gt;&lt;h5&gt;&lt;b&gt;Duration &lt;/b&gt;10 minutes/level&lt;/h5&gt;&lt;/div&gt;&lt;hr/&gt;&lt;div&gt;&lt;h5&gt;&lt;b&gt;DESCRIPTION&lt;/b&gt;&lt;/h5&gt;&lt;/div&gt;&lt;hr/&gt;&lt;div&gt;&lt;h4&gt;&lt;p&gt;Your senses become preternaturally keen, and you gain insight into subtle behavioral cues. For the duration of the spell, you receive a +5 competence bonus on Perception and Sense Motive checks.&lt;/p&gt;&lt;/h4&gt;&lt;/div&gt;</t>
  </si>
  <si>
    <t>+5 Perception and Sense Motive 10 min./level.</t>
  </si>
  <si>
    <t>Residual Tracking</t>
  </si>
  <si>
    <t>V, S, M (a bit of plaster)</t>
  </si>
  <si>
    <t>footprint touched</t>
  </si>
  <si>
    <t>By touching a footprint, you receive a clear mental image of the person or creature that made it. The image has the exact same appearance as the creature that made the footprint at the moment it made the imprint, including any telling features or expressions, any gear or equipment, or anything else the creature was carrying at the time. For example, the footprint of a horse would reveal both the horse and any creature riding it when it made the footprint.</t>
  </si>
  <si>
    <t>&lt;p&gt;By touching a footprint, you receive a clear mental image of the person or creature that made it. The image has the exact same appearance as the creature that made the footprint at the moment it made the imprint, including any telling features or expressions, any gear or equipment, or anything else the creature was carrying at the time. For example, the footprint of a horse would reveal both the horse and any creature riding it when it made the footprint.&lt;/p&gt;</t>
  </si>
  <si>
    <t>&lt;link rel="stylesheet"href="PF.css"&gt;&lt;div class="heading"&gt;&lt;p class="alignleft"&gt;Residual Tracking&lt;/p&gt;&lt;div style="clear: both;"&gt;&lt;/div&gt;&lt;/div&gt;&lt;div&gt;&lt;h5&gt;&lt;b&gt;School &lt;/b&gt;divination; &lt;b&gt;Level &lt;/b&gt;ranger 1&lt;/h5&gt;&lt;/div&gt;&lt;hr/&gt;&lt;div&gt;&lt;h5&gt;&lt;b&gt;CASTING&lt;/b&gt;&lt;/h5&gt;&lt;/div&gt;&lt;hr/&gt;&lt;div&gt;&lt;h5&gt;&lt;b&gt;Casting Time &lt;/b&gt;1 minute&lt;/h5&gt;&lt;h5&gt;&lt;b&gt;Components &lt;/b&gt;V, S, M (a bit of plaster)&lt;/h5&gt;&lt;/div&gt;&lt;hr/&gt;&lt;div&gt;&lt;h5&gt;&lt;b&gt;EFFECT&lt;/b&gt;&lt;/h5&gt;&lt;/div&gt;&lt;hr/&gt;&lt;div&gt;&lt;h5&gt;&lt;b&gt;Range &lt;/b&gt;touch&lt;/h5&gt;&lt;h5&gt;&lt;b&gt;Targets &lt;/b&gt;footprint touched&lt;/h5&gt;&lt;h5&gt;&lt;b&gt;Duration &lt;/b&gt;instantaneous&lt;/h5&gt;&lt;h5&gt;&lt;b&gt;Saving Throw &lt;/b&gt;none; &lt;b&gt;Spell Resistance &lt;/b&gt;no&lt;/h5&gt;&lt;/div&gt;&lt;hr/&gt;&lt;div&gt;&lt;h5&gt;&lt;b&gt;DESCRIPTION&lt;/b&gt;&lt;/h5&gt;&lt;/div&gt;&lt;hr/&gt;&lt;div&gt;&lt;h4&gt;&lt;p&gt;By touching a footprint, you receive a clear mental image of the person or creature that made it. The image has the exact same appearance as the creature that made the footprint at the moment it made the imprint, including any telling features or expressions, any gear or equipment, or anything else the creature was carrying at the time. For example, the footprint of a horse would reveal both the horse and any creature riding it when it made the footprint.&lt;/p&gt;&lt;/h4&gt;&lt;/div&gt;</t>
  </si>
  <si>
    <t>Tell creature's appearance by footprint.</t>
  </si>
  <si>
    <t>Blessing of Courage and Life</t>
  </si>
  <si>
    <t>1 minute/level (see below)</t>
  </si>
  <si>
    <t>With this prayer you provide long-lasting succor to a wounded creature. For as long as the effect lasts, the target receives a +2 morale bonus on saving throws against fear and death effects. At any time while the spell is in effect, the target can choose to end the spell as a swift action for a burst of healing energy. The target loses the saving throw bonus, but is healed of 1d8 points of damage +1 point per caster level (maximum +10).</t>
  </si>
  <si>
    <t>&lt;p&gt;With this prayer you provide long-lasting succor to a wounded creature. For as long as the effect lasts, the target receives a +2 morale bonus on saving throws against fear and death effects.&lt;/p&gt;&lt;p&gt;At any time while the spell is in effect, the target can choose to end the spell as a swift action for a burst of healing energy. The target loses the saving throw bonus, but is healed of 1d8 points of damage +1 point per caster level (maximum +10).&lt;/p&gt;</t>
  </si>
  <si>
    <t>&lt;link rel="stylesheet"href="PF.css"&gt;&lt;div class="heading"&gt;&lt;p class="alignleft"&gt;Blessing of Courage and Life&lt;/p&gt;&lt;div style="clear: both;"&gt;&lt;/div&gt;&lt;/div&gt;&lt;div&gt;&lt;h5&gt;&lt;b&gt;School &lt;/b&gt;conjuration (healing) [emotion]; &lt;b&gt;Level &lt;/b&gt;cleric 2/oracle 2, paladin 2&lt;/h5&gt;&lt;/div&gt;&lt;hr/&gt;&lt;div&gt;&lt;h5&gt;&lt;b&gt;CASTING&lt;/b&gt;&lt;/h5&gt;&lt;/div&gt;&lt;hr/&gt;&lt;div&gt;&lt;h5&gt;&lt;b&gt;Casting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levels)&lt;/h5&gt;&lt;h5&gt;&lt;b&gt;Targets &lt;/b&gt;one living creature&lt;/h5&gt;&lt;h5&gt;&lt;b&gt;Duration &lt;/b&gt;1 minute/level (see below)&lt;/h5&gt;&lt;h5&gt;&lt;b&gt;Saving Throw &lt;/b&gt;Will negates (harmless); &lt;b&gt;Spell Resistance &lt;/b&gt;yes (harmless)&lt;/h5&gt;&lt;/div&gt;&lt;hr/&gt;&lt;div&gt;&lt;h5&gt;&lt;b&gt;DESCRIPTION&lt;/b&gt;&lt;/h5&gt;&lt;/div&gt;&lt;hr/&gt;&lt;div&gt;&lt;h4&gt;&lt;p&gt;With this prayer you provide long-lasting succor to a wounded creature. For as long as the effect lasts, the target receives a +2 morale bonus on saving throws against fear and death effects.&lt;/p&gt;&lt;p&gt;At any time while the spell is in effect, the target can choose to end the spell as a swift action for a burst of healing energy. The target loses the saving throw bonus, but is healed of 1d8 points of damage +1 point per caster level (maximum +10).&lt;/p&gt;&lt;/h4&gt;&lt;/div&gt;</t>
  </si>
  <si>
    <t>Grants a +2 bonus on saves vs. fear and death.</t>
  </si>
  <si>
    <t>Rift of Ruin</t>
  </si>
  <si>
    <t>chaotic, evil</t>
  </si>
  <si>
    <t>5-ft.-wide, 60-ft.-deep extradimensional hole, up to 5 ft. long per level (S)</t>
  </si>
  <si>
    <t>1 round/level (see text)</t>
  </si>
  <si>
    <t>This spell tears a rift in reality, creating an extradimensional hole with a depth of 60 feet. You must create the rift on a horizontal surface of sufficient size. Since the rift extends into the Abyss, it does not displace the original underlying material or allow access to areas below the surface-you can create the rift on the deck of a ship as easily as in a dungeon floor or the ground of a forest. Any Large or smaller creature standing in the area where you conjure the rift must make a Reflex save to avoid falling into the rift. If the Reflex save is successful, the creature picks which side of the rift it remains on once the boiling pools of acid, writhing shards of ice, and all manner of other chaotic and deadly manifestations of the Abyss. A creature that falls into the pit takes 6d6 points of falling damage. Any creature in the pit (starting on the round it enters) takes an additional 6d6 points of damage from the pit's environs, even if the creature is merely climbing or flying within the pit rather than at the bottom. This additional damage changes from round to round, and is randomly selected from acid, bludgeoning, cold, electricity, fire, piercing, slashing, or sonic. Each round, a creature in the pit can make a Reflex save to take half damage that round. The pit's walls have a Climb DC of 25. When this spell's duration ends, the rift snaps shut, violently expelling all creatures still within. These creatures take double damage from the rift's environs in that round and are knocked prone as they are returned to the surface above. At any time during the spell's duration, you can use it to conjure a number of Abyssal denizens out into the surrounding region as a standard action. Doing so causes the rift to snap shut, ending the spell's duration and returning any creatures that had fallen into it to the ground as detailed above. As the rift snaps shut, choose one of the following creatures or groups of creatures to appear in the area-these Abyssal denizens are treated as if you had summoned them via summon monster VII, and remain for a number of rounds equal to the remaining duration of the rift of ruin spell. You can choose one of the following to be summoned: 1 bebilith, 1 vrock, 1d3 succubi, 1d3 shadow demons, 1d4+1 babaus, or 1d4+1 brimoraks. rift opens. Unattended objects or structures fully engulfed by the rift automatically fall into it. The walls of the rift are covered by razor-sharp blades, while the rift floor seethes with strange chewing vermin,</t>
  </si>
  <si>
    <t>&lt;p&gt;This spell tears a rift in reality, creating an extradimensional hole with a depth of 60 feet. You must create the rift on a horizontal surface of sufficient size. Since the rift extends into the Abyss, it does not displace the original underlying material or allow access to areas below the surface-you can create the rift on the deck of a ship as easily as in a dungeon floor or the ground of a forest. Any Large or smaller creature standing in the area where you conjure the rift must make a Reflex save to avoid falling into the rift. If the Reflex save is successful, the creature picks which side of the rift it remains on once the boiling pools of acid, writhing shards of ice, and all manner of other chaotic and deadly manifestations of the Abyss.&lt;/p&gt;&lt;p&gt;A creature that falls into the pit takes 6d6 points of falling damage. Any creature in the pit (starting on the round it enters) takes an additional 6d6 points of damage from the pit's environs, even if the creature is merely climbing or flying within the pit rather than at the bottom. This additional damage changes from round to round, and is randomly selected from acid, bludgeoning, cold, electricity, fire, piercing, slashing, or sonic. Each round, a creature in the pit can make a Reflex save to take half damage that round. The pit's walls have a Climb DC of 25.&lt;/p&gt;&lt;p&gt;When this spell's duration ends, the rift snaps shut, violently expelling all creatures still within. These creatures take double damage from the rift's environs in that round and are knocked prone as they are returned to the surface above.&lt;/p&gt;&lt;p&gt;At any time during the spell's duration, you can use it to conjure a number of Abyssal denizens out into the surrounding region as a standard action. Doing so causes the rift to snap shut, ending the spell's duration and returning any creatures that had fallen into it to the ground as detailed above. As the rift snaps shut, choose one of the following creatures or groups of creatures to appear in the area-these Abyssal denizens are treated as if you had summoned them via &lt;i&gt;summon monster VII&lt;/i&gt;, and remain for a number of rounds equal to the remaining duration of the &lt;i&gt;rift of ruin&lt;/i&gt; spell. You can choose one of the following to be summoned: 1 bebilith, 1 vrock, 1d3 succubi, 1d3 shadow demons, 1d4+1 babaus, or 1d4+1 brimoraks.&lt;/p&gt;&lt;p&gt;rift opens. Unattended objects or structures fully engulfed by the rift automatically fall into it.&lt;/p&gt;&lt;p&gt;The walls of the rift are covered by razor-sharp blades, while the rift floor seethes with strange chewing vermin,&lt;/p&gt;</t>
  </si>
  <si>
    <t>Book of the Damned V2</t>
  </si>
  <si>
    <t>&lt;link rel="stylesheet"href="PF.css"&gt;&lt;div class="heading"&gt;&lt;p class="alignleft"&gt;Rift of Ruin&lt;/p&gt;&lt;div style="clear: both;"&gt;&lt;/div&gt;&lt;/div&gt;&lt;div&gt;&lt;h5&gt;&lt;b&gt;School &lt;/b&gt;conjuration (calling) [chaotic, evil]; &lt;b&gt;Level &lt;/b&gt;cleric 8/oracle 8, sorcerer/wizard 8&lt;/h5&gt;&lt;/div&gt;&lt;hr/&gt;&lt;div&gt;&lt;h5&gt;&lt;b&gt;CASTING&lt;/b&gt;&lt;/h5&gt;&lt;/div&gt;&lt;hr/&gt;&lt;div&gt;&lt;h5&gt;&lt;b&gt;Casting Time &lt;/b&gt;1 standard action&lt;/h5&gt;&lt;h5&gt;&lt;b&gt;Components &lt;/b&gt;V, S&lt;/h5&gt;&lt;/div&gt;&lt;hr/&gt;&lt;div&gt;&lt;h5&gt;&lt;b&gt;EFFECT&lt;/b&gt;&lt;/h5&gt;&lt;/div&gt;&lt;hr/&gt;&lt;div&gt;&lt;h5&gt;&lt;b&gt;Range &lt;/b&gt;long (400 ft. + 40 ft./level)&lt;/h5&gt;&lt;h5&gt;&lt;b&gt;Targets &lt;/b&gt;5-ft.-wide, 60-ft.-deep extradimensional hole, up to 5 ft. long per level (S)&lt;/h5&gt;&lt;h5&gt;&lt;b&gt;Duration &lt;/b&gt;1 round/level (see text)&lt;/h5&gt;&lt;h5&gt;&lt;b&gt;Saving Throw &lt;/b&gt;Reflex partial; &lt;b&gt;Spell Resistance &lt;/b&gt;no&lt;/h5&gt;&lt;/div&gt;&lt;hr/&gt;&lt;div&gt;&lt;h5&gt;&lt;b&gt;DESCRIPTION&lt;/b&gt;&lt;/h5&gt;&lt;/div&gt;&lt;hr/&gt;&lt;div&gt;&lt;h4&gt;&lt;p&gt;This spell tears a rift in reality, creating an extradimensional hole with a depth of 60 feet. You must create the rift on a horizontal surface of sufficient size. Since the rift extends into the Abyss, it does not displace the original underlying material or allow access to areas below the surface-you can create the rift on the deck of a ship as easily as in a dungeon floor or the ground of a forest. Any Large or smaller creature standing in the area where you conjure the rift must make a Reflex save to avoid falling into the rift. If the Reflex save is successful, the creature picks which side of the rift it remains on once the boiling pools of acid, writhing shards of ice, and all manner of other chaotic and deadly manifestations of the Abyss.&lt;/p&gt;&lt;p&gt;A creature that falls into the pit takes 6d6 points of falling damage. Any creature in the pit (starting on the round it enters) takes an additional 6d6 points of damage from the pit's environs, even if the creature is merely climbing or flying within the pit rather than at the bottom. This additional damage changes from round to round, and is randomly selected from acid, bludgeoning, cold, electricity, fire, piercing, slashing, or sonic. Each round, a creature in the pit can make a Reflex save to take half damage that round. The pit's walls have a Climb DC of 25.&lt;/p&gt;&lt;p&gt;When this spell's duration ends, the rift snaps shut, violently expelling all creatures still within. These creatures take double damage from the rift's environs in that round and are knocked prone as they are returned to the surface above.&lt;/p&gt;&lt;p&gt;At any time during the spell's duration, you can use it to conjure a number of Abyssal denizens out into the surrounding region as a standard action. Doing so causes the rift to snap shut, ending the spell's duration and returning any creatures that had fallen into it to the ground as detailed above. As the rift snaps shut, choose one of the following creatures or groups of creatures to appear in the area-these Abyssal denizens are treated as if you had summoned them via &lt;i&gt;summon monster VII&lt;/i&gt;, and remain for a number of rounds equal to the remaining duration of the &lt;i&gt;rift of ruin&lt;/i&gt; spell. You can choose one of the following to be summoned: 1 bebilith, 1 vrock, 1d3 succubi, 1d3 shadow demons, 1d4+1 babaus, or 1d4+1 brimoraks.&lt;/p&gt;&lt;p&gt;rift opens. Unattended objects or structures fully engulfed by the rift automatically fall into it.&lt;/p&gt;&lt;p&gt;The walls of the rift are covered by razor-sharp blades, while the rift floor seethes with strange chewing vermin,&lt;/p&gt;&lt;/h4&gt;&lt;/div&gt;</t>
  </si>
  <si>
    <t>Fractions of Heal and Harm</t>
  </si>
  <si>
    <t>bard 3, cleric 3/oracle 3, sorcerer/wizard 3</t>
  </si>
  <si>
    <t>This spell channels a portion of the next spell you cast into magic that heals you. The next instantaneous area damage spell you cast deals only 75% of its damage, but you heal hit points equal to the remaining 25% of the spell's damage. For example, if you cast this spell and followed it with a fireball that would normally deal 40 hit points of damage, the fireball instead deals 30 hit points of damage and you heal 10 hit points. The spell affected by this spell must be cast before the end of the next round. This spell has no effect on spells that do not deal damage or spells higher than 3rd level. This healing is treated as if you had been affected by a cure or inflict spell (whichever would heal you), and is treated as the same spell level as the area-affecting spell for the purpose of effects that relate to the spell level of cure or inflict spells.</t>
  </si>
  <si>
    <t>&lt;p&gt;This spell channels a portion of the next spell you cast into magic that heals you. The next instantaneous area damage spell you cast deals only 75% of its damage, but you heal hit points equal to the remaining 25% of the spell's damage. For example, if you cast this spell and followed it with a &lt;i&gt;fireball&lt;/i&gt; that would normally deal 40 hit points of damage, the &lt;i&gt;fireball&lt;/i&gt; instead deals 30 hit points of damage and you heal 10 hit points. The spell affected by this spell must be cast before the end of the next round. This spell has no effect on spells that do not deal damage or spells higher than 3rd level. This healing is treated as if you had been affected by a cure or inflict spell (whichever would heal you), and is treated as the same spell level as the area-affecting spell for the purpose of effects that relate to the spell level of cure or inflict spells.&lt;/p&gt;</t>
  </si>
  <si>
    <t>AP 41</t>
  </si>
  <si>
    <t>&lt;link rel="stylesheet"href="PF.css"&gt;&lt;div class="heading"&gt;&lt;p class="alignleft"&gt;Fractions of Heal and Harm&lt;/p&gt;&lt;div style="clear: both;"&gt;&lt;/div&gt;&lt;/div&gt;&lt;div&gt;&lt;h5&gt;&lt;b&gt;School &lt;/b&gt;transmutation; &lt;b&gt;Level &lt;/b&gt;bard 3, cleric 3/oracle 3, sorcerer/wizard 3 (Nethys)&lt;/h5&gt;&lt;/div&gt;&lt;hr/&gt;&lt;div&gt;&lt;h5&gt;&lt;b&gt;CASTING&lt;/b&gt;&lt;/h5&gt;&lt;/div&gt;&lt;hr/&gt;&lt;div&gt;&lt;h5&gt;&lt;b&gt;Casting Time &lt;/b&gt;1 swift action&lt;/h5&gt;&lt;h5&gt;&lt;b&gt;Components &lt;/b&gt;V, S&lt;/h5&gt;&lt;/div&gt;&lt;hr/&gt;&lt;div&gt;&lt;h5&gt;&lt;b&gt;EFFECT&lt;/b&gt;&lt;/h5&gt;&lt;/div&gt;&lt;hr/&gt;&lt;div&gt;&lt;h5&gt;&lt;b&gt;Range &lt;/b&gt;personal&lt;/h5&gt;&lt;h5&gt;&lt;b&gt;Targets &lt;/b&gt;you&lt;/h5&gt;&lt;h5&gt;&lt;b&gt;Duration &lt;/b&gt;instantaneous&lt;/h5&gt;&lt;/div&gt;&lt;hr/&gt;&lt;div&gt;&lt;h5&gt;&lt;b&gt;DESCRIPTION&lt;/b&gt;&lt;/h5&gt;&lt;/div&gt;&lt;hr/&gt;&lt;div&gt;&lt;h4&gt;&lt;p&gt;This spell channels a portion of the next spell you cast into magic that heals you. The next instantaneous area damage spell you cast deals only 75% of its damage, but you heal hit points equal to the remaining 25% of the spell's damage. For example, if you cast this spell and followed it with a &lt;i&gt;fireball&lt;/i&gt; that would normally deal 40 hit points of damage, the &lt;i&gt;fireball&lt;/i&gt; instead deals 30 hit points of damage and you heal 10 hit points. The spell affected by this spell must be cast before the end of the next round. This spell has no effect on spells that do not deal damage or spells higher than 3rd level. This healing is treated as if you had been affected by a cure or inflict spell (whichever would heal you), and is treated as the same spell level as the area-affecting spell for the purpose of effects that relate to the spell level of cure or inflict spells.&lt;/p&gt;&lt;/h4&gt;&lt;/div&gt;</t>
  </si>
  <si>
    <t>Nethys</t>
  </si>
  <si>
    <t>Constricting Coils</t>
  </si>
  <si>
    <t>cleric 5/oracle 5, sorcerer/wizard 5</t>
  </si>
  <si>
    <t>V, S, M/DF (a snakeskin)</t>
  </si>
  <si>
    <t>This spell functions like hold monster, except that the target is constricted as if by the coils of a large snake, taking 1d6+6 points of bludgeoning damage each round that it fails its save. A successful save ends both the paralyzing and constriction effects.</t>
  </si>
  <si>
    <t>&lt;p&gt;This spell functions like &lt;i&gt;hold monster&lt;/i&gt;, except that the target is constricted as if by the coils of a large snake, taking 1d6+6 points of bludgeoning damage each round that it fails its save. A successful save ends both the paralyzing and constriction effects.&lt;/p&gt;</t>
  </si>
  <si>
    <t>AP 42</t>
  </si>
  <si>
    <t>&lt;link rel="stylesheet"href="PF.css"&gt;&lt;div class="heading"&gt;&lt;p class="alignleft"&gt;Constricting Coils&lt;/p&gt;&lt;div style="clear: both;"&gt;&lt;/div&gt;&lt;/div&gt;&lt;div&gt;&lt;h5&gt;&lt;b&gt;School &lt;/b&gt;enchantment (compulsion) [mind-affecting]; &lt;b&gt;Level &lt;/b&gt;cleric 5/oracle 5, sorcerer/wizard 5&lt;/h5&gt;&lt;/div&gt;&lt;hr/&gt;&lt;div&gt;&lt;h5&gt;&lt;b&gt;CASTING&lt;/b&gt;&lt;/h5&gt;&lt;/div&gt;&lt;hr/&gt;&lt;div&gt;&lt;h5&gt;&lt;b&gt;Casting Time &lt;/b&gt;1 standard action&lt;/h5&gt;&lt;h5&gt;&lt;b&gt;Components &lt;/b&gt;V, S, M/DF (a snakeskin)&lt;/h5&gt;&lt;/div&gt;&lt;hr/&gt;&lt;div&gt;&lt;h5&gt;&lt;b&gt;EFFECT&lt;/b&gt;&lt;/h5&gt;&lt;/div&gt;&lt;hr/&gt;&lt;div&gt;&lt;h5&gt;&lt;b&gt;Range &lt;/b&gt;medium (100 ft. + 10 ft./level)&lt;/h5&gt;&lt;h5&gt;&lt;b&gt;Targets &lt;/b&gt;one living creature&lt;/h5&gt;&lt;h5&gt;&lt;b&gt;Duration &lt;/b&gt;1 round/level (D); see text&lt;/h5&gt;&lt;h5&gt;&lt;b&gt;Saving Throw &lt;/b&gt;Will negates; see text; &lt;b&gt;Spell Resistance &lt;/b&gt;yes&lt;/h5&gt;&lt;/div&gt;&lt;hr/&gt;&lt;div&gt;&lt;h5&gt;&lt;b&gt;DESCRIPTION&lt;/b&gt;&lt;/h5&gt;&lt;/div&gt;&lt;hr/&gt;&lt;div&gt;&lt;h4&gt;&lt;p&gt;This spell functions like &lt;i&gt;hold monster&lt;/i&gt;, except that the target is constricted as if by the coils of a large snake, taking 1d6+6 points of bludgeoning damage each round that it fails its save. A successful save ends both the paralyzing and constriction effects.&lt;/p&gt;&lt;/h4&gt;&lt;/div&gt;</t>
  </si>
  <si>
    <t>Ancestral Memory</t>
  </si>
  <si>
    <t>alchemist 5, cleric/oracle 5, druid 4</t>
  </si>
  <si>
    <t>When you cast this spell, you open your mind to the vast experiences of your ancestors in the hope of learning something pertinent about your current situation. The chance of successfully finding an ancestral memory that is pertinent is equal to 70% + your caster level. Failure indicates you merely gain a +5 insight bonus on all Intelligence-based skill checks for the duration of the spell. Success indicates that you not only gain the +5 insight bonus on all Intelligence-based skill checks, but that one of your ancestors came across a situation or problem similar to one you are currently facing. In this case, the GM provides you with some specific information to assist you in overcoming your problem. For example, a character might encounter a clay golem deep underground, and finds that her magic weapon and spells seem to be useless against the creature. She successfully casts ancestral memory, and "remembers" the proper type of weapons and spells that work against such creatures.</t>
  </si>
  <si>
    <t>&lt;p&gt;When you cast this spell, you open your mind to the vast experiences of your ancestors in the hope of learning something pertinent about your current situation. The chance of successfully finding an &lt;i&gt;ancestral memory&lt;/i&gt; that is pertinent is equal to 70% + your caster level. Failure indicates you merely gain a +5 insight bonus on all Intelligence-based skill checks for the duration of the spell.&lt;/p&gt;&lt;p&gt;Success indicates that you not only gain the +5 insight bonus on all Intelligence-based skill checks, but that one of your ancestors came across a situation or problem similar to one you are currently facing. In this case, the GM provides you with some specific information to assist you in overcoming your problem.&lt;/p&gt;&lt;p&gt;For example, a character might encounter a clay golem deep underground, and finds that her magic weapon and spells seem to be useless against the creature. She successfully casts &lt;i&gt;ancestral memory&lt;/i&gt;, and "remembers" the proper type of weapons and spells that work against such creatures.&lt;/p&gt;</t>
  </si>
  <si>
    <t>&lt;link rel="stylesheet"href="PF.css"&gt;&lt;div class="heading"&gt;&lt;p class="alignleft"&gt;Ancestral Memory&lt;/p&gt;&lt;div style="clear: both;"&gt;&lt;/div&gt;&lt;/div&gt;&lt;div&gt;&lt;h5&gt;&lt;b&gt;School &lt;/b&gt;divination; &lt;b&gt;Level &lt;/b&gt;alchemist 5, cleric/oracle 5, druid 4&lt;/h5&gt;&lt;/div&gt;&lt;hr/&gt;&lt;div&gt;&lt;h5&gt;&lt;b&gt;CASTING&lt;/b&gt;&lt;/h5&gt;&lt;/div&gt;&lt;hr/&gt;&lt;div&gt;&lt;h5&gt;&lt;b&gt;Casting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round/level&lt;/h5&gt;&lt;/div&gt;&lt;hr/&gt;&lt;div&gt;&lt;h5&gt;&lt;b&gt;DESCRIPTION&lt;/b&gt;&lt;/h5&gt;&lt;/div&gt;&lt;hr/&gt;&lt;div&gt;&lt;h4&gt;&lt;p&gt;When you cast this spell, you open your mind to the vast experiences of your ancestors in the hope of learning something pertinent about your current situation. The chance of successfully finding an &lt;i&gt;ancestral memory&lt;/i&gt; that is pertinent is equal to 70% + your caster level. Failure indicates you merely gain a +5 insight bonus on all Intelligence-based skill checks for the duration of the spell.&lt;/p&gt;&lt;p&gt;Success indicates that you not only gain the +5 insight bonus on all Intelligence-based skill checks, but that one of your ancestors came across a situation or problem similar to one you are currently facing. In this case, the GM provides you with some specific information to assist you in overcoming your problem.&lt;/p&gt;&lt;p&gt;For example, a character might encounter a clay golem deep underground, and finds that her magic weapon and spells seem to be useless against the creature. She successfully casts &lt;i&gt;ancestral memory&lt;/i&gt;, and "remembers" the proper type of weapons and spells that work against such creatures.&lt;/p&gt;&lt;/h4&gt;&lt;/div&gt;</t>
  </si>
  <si>
    <t>Gorum's Armor</t>
  </si>
  <si>
    <t>cleric/oracle 1, inquisitor 1, magus 1</t>
  </si>
  <si>
    <t>V, S, M (1 iron spike)</t>
  </si>
  <si>
    <t>1 suit of metal armor or 1 metal shield</t>
  </si>
  <si>
    <t>The targeted suit of armor or shield sprouts thousands of tiny iron spikes like porcupine quills. These do not harm the armor's wearer (though donning or removing armor under the effects of this spell takes twice as long), but they act as armor spikes or shield spikes (as appropriate). Any creature attacking the wearer with natural weapons takes 1 point of piercing damage for each attack that hits. At 5th level, the spikes gain a +1 enhancement bonus on attack and damage rolls; this bonus increases to +2 at 10th level. At 15th level, the spikes also gain the anarchic weapon quality.</t>
  </si>
  <si>
    <t>&lt;p&gt;The targeted suit of armor or shield sprouts thousands of tiny iron spikes like porcupine quills. These do not harm the armor's wearer (though donning or removing armor under the effects of this spell takes twice as long), but they act as armor spikes or shield spikes (as appropriate). Any creature attacking the wearer with natural weapons takes 1 point of piercing damage for each attack that hits. At 5th level, the spikes gain a +1 enhancement bonus on attack and damage rolls; this bonus increases to +2 at 10th level. At 15th level, the spikes also gain the &lt;i&gt;anarchic&lt;/i&gt; weapon quality.&lt;/p&gt;</t>
  </si>
  <si>
    <t>&lt;link rel="stylesheet"href="PF.css"&gt;&lt;div class="heading"&gt;&lt;p class="alignleft"&gt;Gorum's Armor&lt;/p&gt;&lt;div style="clear: both;"&gt;&lt;/div&gt;&lt;/div&gt;&lt;div&gt;&lt;h5&gt;&lt;b&gt;School &lt;/b&gt;transmutation; &lt;b&gt;Level &lt;/b&gt;cleric/oracle 1, inquisitor 1, magus 1&lt;/h5&gt;&lt;/div&gt;&lt;hr/&gt;&lt;div&gt;&lt;h5&gt;&lt;b&gt;CASTING&lt;/b&gt;&lt;/h5&gt;&lt;/div&gt;&lt;hr/&gt;&lt;div&gt;&lt;h5&gt;&lt;b&gt;Casting Time &lt;/b&gt;1 standard action&lt;/h5&gt;&lt;h5&gt;&lt;b&gt;Components &lt;/b&gt;V, S, M (1 iron spike)&lt;/h5&gt;&lt;/div&gt;&lt;hr/&gt;&lt;div&gt;&lt;h5&gt;&lt;b&gt;EFFECT&lt;/b&gt;&lt;/h5&gt;&lt;/div&gt;&lt;hr/&gt;&lt;div&gt;&lt;h5&gt;&lt;b&gt;Range &lt;/b&gt;touch&lt;/h5&gt;&lt;h5&gt;&lt;b&gt;Targets &lt;/b&gt;1 suit of metal armor or 1 metal shield&lt;/h5&gt;&lt;h5&gt;&lt;b&gt;Duration &lt;/b&gt;10 minutes/level&lt;/h5&gt;&lt;h5&gt;&lt;b&gt;Saving Throw &lt;/b&gt;Fortitude negates (harmless); &lt;b&gt;Spell Resistance &lt;/b&gt;yes (harmless)&lt;/h5&gt;&lt;/div&gt;&lt;hr/&gt;&lt;div&gt;&lt;h5&gt;&lt;b&gt;DESCRIPTION&lt;/b&gt;&lt;/h5&gt;&lt;/div&gt;&lt;hr/&gt;&lt;div&gt;&lt;h4&gt;&lt;p&gt;The targeted suit of armor or shield sprouts thousands of tiny iron spikes like porcupine quills. These do not harm the armor's wearer (though donning or removing armor under the effects of this spell takes twice as long), but they act as armor spikes or shield spikes (as appropriate). Any creature attacking the wearer with natural weapons takes 1 point of piercing damage for each attack that hits. At 5th level, the spikes gain a +1 enhancement bonus on attack and damage rolls; this bonus increases to +2 at 10th level. At 15th level, the spikes also gain the &lt;i&gt;anarchic&lt;/i&gt; weapon quality.&lt;/p&gt;&lt;/h4&gt;&lt;h5&gt;&lt;b&gt;Mythic: &lt;/b&gt;The damage to attackers increases to 1d4 points of piercingdamage and affects creatures that attack the wearer with amelee weapon, an unarmed strike, or a natural weapon. Meleeweapons with reach do not endanger a creature in this way.If you're wearing the armor and are taking bleed damage,the spikes lengthen and grow wicked barbs-this increases theirdamage against foes that strike you to 1d6 + 1/2 your caster level(maximum +5), and the spikes deal 1 point of bleed damage toany foe damaged by them. When your bleeding stops, the spikesimmediately return to their normal size and any bleed effectscaused by the armor end.&lt;/h5&gt;&lt;/div&gt;</t>
  </si>
  <si>
    <t>The damage to attackers increases to 1d4 points of piercingdamage and affects creatures that attack the wearer with amelee weapon, an unarmed strike, or a natural weapon. Meleeweapons with reach do not endanger a creature in this way.If you're wearing the armor and are taking bleed damage,the spikes lengthen and grow wicked barbs-this increases theirdamage against foes that strike you to 1d6 + 1/2 your caster level(maximum +5), and the spikes deal 1 point of bleed damage toany foe damaged by them. When your bleeding stops, the spikesimmediately return to their normal size and any bleed effectscaused by the armor end.</t>
  </si>
  <si>
    <t>Harrowing</t>
  </si>
  <si>
    <t>V, S, F (a Harrow deck)</t>
  </si>
  <si>
    <t>1 day/level or until fulfilled</t>
  </si>
  <si>
    <t>You use a Harrow deck to tell a fortune for yourself or someone else. If you cast harrowing on another creature, you must remain adjacent to the target for the duration of the casting time. A harrowing must describe one set of events or course of action (for example, "hunting down the pirate king," or "traveling to Viperwall to search for a magic sword") that the target of the spell intends to undertake at some point during the spell's duration. If you have access to a Harrow deck, draw nine cards when this spell is cast. If you do not have a Harrow deck, you can simulate the draws by rolling a d6 and a d10 for each of the nine cards, as detailed on page 293 of this book. Record the ability score and alignment associated with each card. Each of these cards grants a luck bonus or a penalty on a specific type of d20 check; the magnitude of the penalty or bonus depends upon how closely that particular card's alignment matches the target creature's alignment. If the card and target's alignments are identical, that card provides a +2 luck bonus on the associated suit's check. If the card and target's alignments are of the opposite alignment (see below), the card inflicts a -1 penalty on that associated check. If the card has any other alignment, it provides a +1 luck bonus on the associated suit's check. While penalties persist on all associated checks for as long as the harrowing persists, the bonuses are one-use bonuses that the harrowed character can "spend" at any time to modify that card's associated check. You can spend a bonus to modify an appropriate roll after the die is rolled, but cannot spend the bonus once you know the result of the roll. Since all of the bonuses granted by a harrowing are luck bonuses, they do not stack with each other. Penalties, on the other hand, do stack. Once you spend all of the bonuses granted by a harrowing, or once the spell's duration ends, the spell ends and the penalties are removed. A single creature can only be under the effects of one harrowing at a time. If it is subjected to a second harrowing while a previous harrowing is still in effect, the new harrowing automatically fails. Associated Suit Checks Suit Associated Check Hammer (Str) Attack rolls (ranged and melee) Key (Dex) Reflex saving throws Shield (Con) Fortitude saving throws Book (Int) Skill checks Star (Wis) Will saving throws Crown (Cha) Any d20 roll Opposition Alignments Alignment Opposition LG CE NG NE CG LE LN CN N LG, LE, CG, or CE (pick one when spell is cast) CN LN LE CG NE NG CE LG</t>
  </si>
  <si>
    <t>&lt;p&gt;You use a Harrow deck to tell a fortune for yourself or someone else. If you cast &lt;i&gt;harrowing&lt;/i&gt; on another creature, you must remain adjacent to the target for the duration of the casting time. A &lt;i&gt;harrowing&lt;/i&gt; must describe one set of events or course of action (for example, "hunting down the pirate king," or "traveling to Viperwall to search for a magic sword") that the target of the spell intends to undertake at some point during the spell's duration.&lt;/p&gt;&lt;p&gt;If you have access to a Harrow deck, draw nine cards when this spell is cast. If you do not have a Harrow deck, you can simulate the draws by rolling a d6 and a d10 for each of the nine cards, as detailed on page 293 of this book. Record the ability score and alignment associated with each card. Each of these cards grants a luck bonus or a penalty on a specific type of d20 check; the magnitude of the penalty or bonus depends upon how closely that particular card's alignment matches the target creature's alignment. If the card and target's alignments are identical, that card provides a +2 luck bonus on the associated suit's check. If the card and target's alignments are of the opposite alignment (see below), the card inflicts a -1 penalty on that associated check. If the card has any other alignment, it provides a +1 luck bonus on the associated suit's check.&lt;/p&gt;&lt;p&gt;While penalties persist on all associated checks for as long as the &lt;i&gt;harrowing&lt;/i&gt; persists, the bonuses are one-use bonuses that the harrowed character can "spend" at any time to modify that card's associated check. You can spend a bonus to modify an appropriate roll after the die is rolled, but cannot spend the bonus once you know the result of the roll. Since all of the bonuses granted by a &lt;i&gt;harrowing&lt;/i&gt; are luck bonuses, they do not stack with each other. Penalties, on the other hand, do stack.&lt;/p&gt;&lt;p&gt;Once you spend all of the bonuses granted by a &lt;i&gt;harrowing&lt;/i&gt;, or once the spell's duration ends, the spell ends and the penalties are removed.&lt;/p&gt;&lt;p&gt;A single creature can only be under the effects of one &lt;i&gt;harrowing&lt;/i&gt; at a time. If it is subjected to a second &lt;i&gt;harrowing&lt;/i&gt; while a previous &lt;i&gt;harrowing&lt;/i&gt; is still in effect, the new &lt;i&gt;harrowing&lt;/i&gt; automatically fails.&lt;/p&gt; &lt;table border ='1'&gt;&lt;tr&gt;&lt;th&gt;Associated Suit Checks&lt;/th&gt;&lt;/tr&gt;&lt;tr&gt;&lt;th&gt;Suit&lt;/th&gt;&lt;th&gt;Associated Check&lt;/th&gt;&lt;/tr&gt;&lt;tr&gt;&lt;td&gt;Hammer (Str)&lt;/td&gt;&lt;td&gt;Attack rolls (ranged and melee)&lt;/td&gt;&lt;/tr&gt;&lt;tr&gt;&lt;td&gt;Key (Dex)&lt;/td&gt;&lt;td&gt;Reflex saving throws&lt;/td&gt;&lt;/tr&gt;&lt;tr&gt;&lt;td&gt;Shield (Con)&lt;/td&gt;&lt;td&gt;Fortitude saving throws&lt;/td&gt;&lt;/tr&gt;&lt;tr&gt;&lt;td&gt;Book (Int)&lt;/td&gt;&lt;td&gt;Skill checks&lt;/td&gt;&lt;/tr&gt;&lt;tr&gt;&lt;td&gt;Star (Wis)&lt;/td&gt;&lt;td&gt;Will saving throws&lt;/td&gt;&lt;/tr&gt;&lt;tr&gt;&lt;td&gt;Crown (Cha)&lt;/td&gt;&lt;td&gt;Any d20 roll&lt;/td&gt;&lt;/tr&gt;&lt;/table&gt; &lt;table border ='1'&gt;&lt;tr&gt;&lt;th colspan='2'&gt;Opposition Alignments&lt;/th&gt;&lt;/tr&gt;&lt;tr&gt;&lt;th&gt;Alignment&lt;/th&gt;&lt;th&gt;Opposition&lt;/th&gt;&lt;/tr&gt;&lt;tr&gt;&lt;td&gt;LG&lt;/td&gt;&lt;td&gt;CE&lt;/td&gt;&lt;/tr&gt;&lt;tr&gt;&lt;td&gt;NG&lt;/td&gt;&lt;td&gt;NE&lt;/td&gt;&lt;/tr&gt;&lt;tr&gt;&lt;td&gt;CG&lt;/td&gt;&lt;td&gt;LE&lt;/td&gt;&lt;/tr&gt;&lt;tr&gt;&lt;td&gt;LN&lt;/td&gt;&lt;td&gt;CN&lt;/td&gt;&lt;/tr&gt;&lt;tr&gt;&lt;td&gt;N&lt;/td&gt;&lt;td&gt;LG, LE, CG, or CE (pick one when spell is cast)&lt;/td&gt;&lt;/tr&gt;&lt;tr&gt;&lt;td&gt;CN&lt;/td&gt;&lt;td&gt;LN&lt;/td&gt;&lt;/tr&gt;&lt;tr&gt;&lt;td&gt;LE&lt;/td&gt;&lt;td&gt;CG&lt;/td&gt;&lt;/tr&gt;&lt;tr&gt;&lt;td&gt;NE&lt;/td&gt;&lt;td&gt;NG&lt;/td&gt;&lt;/tr&gt;&lt;tr&gt;&lt;td&gt;CE&lt;/td&gt;&lt;td&gt;LG&lt;/td&gt;&lt;/tr&gt;&lt;/table&gt;</t>
  </si>
  <si>
    <t>&lt;link rel="stylesheet"href="PF.css"&gt;&lt;div class="heading"&gt;&lt;p class="alignleft"&gt;Harrowing&lt;/p&gt;&lt;div style="clear: both;"&gt;&lt;/div&gt;&lt;/div&gt;&lt;div&gt;&lt;h5&gt;&lt;b&gt;School &lt;/b&gt;divination; &lt;b&gt;Level &lt;/b&gt;bard 3, sorcerer/wizard 3, witch 3&lt;/h5&gt;&lt;/div&gt;&lt;hr/&gt;&lt;div&gt;&lt;h5&gt;&lt;b&gt;CASTING&lt;/b&gt;&lt;/h5&gt;&lt;/div&gt;&lt;hr/&gt;&lt;div&gt;&lt;h5&gt;&lt;b&gt;Casting Time &lt;/b&gt;10 minutes&lt;/h5&gt;&lt;h5&gt;&lt;b&gt;Components &lt;/b&gt;V, S, F (a Harrow deck)&lt;/h5&gt;&lt;/div&gt;&lt;hr/&gt;&lt;div&gt;&lt;h5&gt;&lt;b&gt;EFFECT&lt;/b&gt;&lt;/h5&gt;&lt;/div&gt;&lt;hr/&gt;&lt;div&gt;&lt;h5&gt;&lt;b&gt;Range &lt;/b&gt;touch&lt;/h5&gt;&lt;h5&gt;&lt;b&gt;Targets &lt;/b&gt;one creature&lt;/h5&gt;&lt;h5&gt;&lt;b&gt;Duration &lt;/b&gt;1 day/level or until fulfilled&lt;/h5&gt;&lt;/div&gt;&lt;hr/&gt;&lt;div&gt;&lt;h5&gt;&lt;b&gt;DESCRIPTION&lt;/b&gt;&lt;/h5&gt;&lt;/div&gt;&lt;hr/&gt;&lt;div&gt;&lt;h4&gt;&lt;p&gt;You use a Harrow deck to tell a fortune for yourself or someone else. If you cast &lt;i&gt;harrowing&lt;/i&gt; on another creature, you must remain adjacent to the target for the duration of the casting time. A &lt;i&gt;harrowing&lt;/i&gt; must describe one set of events or course of action (for example, "hunting down the pirate king," or "traveling to Viperwall to search for a magic sword") that the target of the spell intends to undertake at some point during the spell's duration.&lt;/p&gt;&lt;p&gt;If you have access to a Harrow deck, draw nine cards when this spell is cast. If you do not have a Harrow deck, you can simulate the draws by rolling a d6 and a d10 for each of the nine cards, as detailed on page 293 of this book. Record the ability score and alignment associated with each card. Each of these cards grants a luck bonus or a penalty on a specific type of d20 check; the magnitude of the penalty or bonus depends upon how closely that particular card's alignment matches the target creature's alignment. If the card and target's alignments are identical, that card provides a +2 luck bonus on the associated suit's check. If the card and target's alignments are of the opposite alignment (see below), the card inflicts a -1 penalty on that associated check. If the card has any other alignment, it provides a +1 luck bonus on the associated suit's check.&lt;/p&gt;&lt;p&gt;While penalties persist on all associated checks for as long as the &lt;i&gt;harrowing&lt;/i&gt; persists, the bonuses are one-use bonuses that the harrowed character can "spend" at any time to modify that card's associated check. You can spend a bonus to modify an appropriate roll after the die is rolled, but cannot spend the bonus once you know the result of the roll. Since all of the bonuses granted by a &lt;i&gt;harrowing&lt;/i&gt; are luck bonuses, they do not stack with each other. Penalties, on the other hand, do stack.&lt;/p&gt;&lt;p&gt;Once you spend all of the bonuses granted by a &lt;i&gt;harrowing&lt;/i&gt;, or once the spell's duration ends, the spell ends and the penalties are removed.&lt;/p&gt;&lt;p&gt;A single creature can only be under the effects of one &lt;i&gt;harrowing&lt;/i&gt; at a time. If it is subjected to a second &lt;i&gt;harrowing&lt;/i&gt; while a previous &lt;i&gt;harrowing&lt;/i&gt; is still in effect, the new &lt;i&gt;harrowing&lt;/i&gt; automatically fails.&lt;/p&gt; &lt;table border ='1'&gt;&lt;tr&gt;&lt;th&gt;Associated Suit Checks&lt;/th&gt;&lt;/tr&gt;&lt;tr&gt;&lt;th&gt;Suit&lt;/th&gt;&lt;th&gt;Associated Check&lt;/th&gt;&lt;/tr&gt;&lt;tr&gt;&lt;td&gt;Hammer (Str)&lt;/td&gt;&lt;td&gt;Attack rolls (ranged and melee)&lt;/td&gt;&lt;/tr&gt;&lt;tr&gt;&lt;td&gt;Key (Dex)&lt;/td&gt;&lt;td&gt;Reflex saving throws&lt;/td&gt;&lt;/tr&gt;&lt;tr&gt;&lt;td&gt;Shield (Con)&lt;/td&gt;&lt;td&gt;Fortitude saving throws&lt;/td&gt;&lt;/tr&gt;&lt;tr&gt;&lt;td&gt;Book (Int)&lt;/td&gt;&lt;td&gt;Skill checks&lt;/td&gt;&lt;/tr&gt;&lt;tr&gt;&lt;td&gt;Star (Wis)&lt;/td&gt;&lt;td&gt;Will saving throws&lt;/td&gt;&lt;/tr&gt;&lt;tr&gt;&lt;td&gt;Crown (Cha)&lt;/td&gt;&lt;td&gt;Any d20 roll&lt;/td&gt;&lt;/tr&gt;&lt;/table&gt; &lt;table border ='1'&gt;&lt;tr&gt;&lt;th colspan='2'&gt;Opposition Alignments&lt;/th&gt;&lt;/tr&gt;&lt;tr&gt;&lt;th&gt;Alignment&lt;/th&gt;&lt;th&gt;Opposition&lt;/th&gt;&lt;/tr&gt;&lt;tr&gt;&lt;td&gt;LG&lt;/td&gt;&lt;td&gt;CE&lt;/td&gt;&lt;/tr&gt;&lt;tr&gt;&lt;td&gt;NG&lt;/td&gt;&lt;td&gt;NE&lt;/td&gt;&lt;/tr&gt;&lt;tr&gt;&lt;td&gt;CG&lt;/td&gt;&lt;td&gt;LE&lt;/td&gt;&lt;/tr&gt;&lt;tr&gt;&lt;td&gt;LN&lt;/td&gt;&lt;td&gt;CN&lt;/td&gt;&lt;/tr&gt;&lt;tr&gt;&lt;td&gt;N&lt;/td&gt;&lt;td&gt;LG, LE, CG, or CE (pick one when spell is cast)&lt;/td&gt;&lt;/tr&gt;&lt;tr&gt;&lt;td&gt;CN&lt;/td&gt;&lt;td&gt;LN&lt;/td&gt;&lt;/tr&gt;&lt;tr&gt;&lt;td&gt;LE&lt;/td&gt;&lt;td&gt;CG&lt;/td&gt;&lt;/tr&gt;&lt;tr&gt;&lt;td&gt;NE&lt;/td&gt;&lt;td&gt;NG&lt;/td&gt;&lt;/tr&gt;&lt;tr&gt;&lt;td&gt;CE&lt;/td&gt;&lt;td&gt;LG&lt;/td&gt;&lt;/tr&gt;&lt;/table&gt; &lt;/h4&gt;&lt;h5&gt;&lt;b&gt;Mythic: &lt;/b&gt;The bonuses and penalties associated with your reading aredoubled, resulting in a +4 luck bonus if the card's and target'salignment are identical, a -2 penalty if the alignments areopposite, and a +2 luck bonus for any other alignment. You canuse each bonus twice-once at this doubled value, the secondtime at the normal value (+2 or +1). You must use a given card'sdoubled bonus before you can use its lower bonus. Once youhave used both bonuses, or when the spell's duration ends, thespell ends and any penalties are removed.A mythic harrowing cast on the target of a non-mythicharrowing supersedes and negates the harrowing effect. Ifa creature is subjected to a second mythic harrowing while aprevious mythic harrowing is still in effect, the new mythicharrowing automatically fails.&lt;/h5&gt;&lt;h5&gt;&lt;b&gt;Augmented (6th)&lt;/b&gt;: If you expend two uses of mythic powerduring the reading, you may discard one card of your choiceand draw one new card in its place, replacing the effects ofthe chosen card with the effects of the newly drawn card. Youmust keep this new card. You can use each bonus twice, bothat the doubled values. Once you have used both bonuses,or when the spell's duration ends, the spell ends and anypenalties are removed.&lt;/h5&gt;&lt;/div&gt;</t>
  </si>
  <si>
    <t>The bonuses and penalties associated with your reading aredoubled, resulting in a +4 luck bonus if the card's and target'salignment are identical, a -2 penalty if the alignments areopposite, and a +2 luck bonus for any other alignment. You canuse each bonus twice-once at this doubled value, the secondtime at the normal value (+2 or +1). You must use a given card'sdoubled bonus before you can use its lower bonus. Once youhave used both bonuses, or when the spell's duration ends, thespell ends and any penalties are removed.A mythic harrowing cast on the target of a non-mythicharrowing supersedes and negates the harrowing effect. Ifa creature is subjected to a second mythic harrowing while aprevious mythic harrowing is still in effect, the new mythicharrowing automatically fails.</t>
  </si>
  <si>
    <t>Augmented (6th): If you expend two uses of mythic powerduring the reading, you may discard one card of your choiceand draw one new card in its place, replacing the effects ofthe chosen card with the effects of the newly drawn card. Youmust keep this new card. You can use each bonus twice, bothat the doubled values. Once you have used both bonuses,or when the spell's duration ends, the spell ends and anypenalties are removed.</t>
  </si>
  <si>
    <t>Infernal Healing</t>
  </si>
  <si>
    <t>cleric 1/oracle 1, magus 1, sorcerer/wizard 1, summoner 1, witch 1</t>
  </si>
  <si>
    <t>V, S, M (1 drop of devil blood or 1 dose of unholy water)</t>
  </si>
  <si>
    <t>You anoint a wounded creature with devil's blood or unholy water, giving it fast healing 1. This ability cannot repair damage caused by silver weapons, good-aligned weapons, or spells or effects with the good descriptor. The target detects as an evil creature for the duration of the spell and can sense the evil of the magic, though this has no long-term effect on the target's alignment.</t>
  </si>
  <si>
    <t>&lt;p&gt;You anoint a wounded creature with devil's blood or unholy water, giving it fast healing 1. This ability cannot repair damage caused by silver weapons, good-aligned weapons, or spells or effects with the good descriptor. The target detects as an evil creature for the duration of the spell and can sense the evil of the magic, though this has no long-term effect on the target's alignment.&lt;/p&gt;</t>
  </si>
  <si>
    <t>&lt;link rel="stylesheet"href="PF.css"&gt;&lt;div class="heading"&gt;&lt;p class="alignleft"&gt;Infernal Healing&lt;/p&gt;&lt;div style="clear: both;"&gt;&lt;/div&gt;&lt;/div&gt;&lt;div&gt;&lt;h5&gt;&lt;b&gt;School &lt;/b&gt;conjuration (healing) [evil]; &lt;b&gt;Level &lt;/b&gt;cleric 1/oracle 1, magus 1, sorcerer/wizard 1, summoner 1, witch 1&lt;/h5&gt;&lt;/div&gt;&lt;hr/&gt;&lt;div&gt;&lt;h5&gt;&lt;b&gt;CASTING&lt;/b&gt;&lt;/h5&gt;&lt;/div&gt;&lt;hr/&gt;&lt;div&gt;&lt;h5&gt;&lt;b&gt;Casting Time &lt;/b&gt;1 round&lt;/h5&gt;&lt;h5&gt;&lt;b&gt;Components &lt;/b&gt;V, S, M (1 drop of devil blood or 1 dose of unholy water)&lt;/h5&gt;&lt;/div&gt;&lt;hr/&gt;&lt;div&gt;&lt;h5&gt;&lt;b&gt;EFFECT&lt;/b&gt;&lt;/h5&gt;&lt;/div&gt;&lt;hr/&gt;&lt;div&gt;&lt;h5&gt;&lt;b&gt;Range &lt;/b&gt;touch&lt;/h5&gt;&lt;h5&gt;&lt;b&gt;Targets &lt;/b&gt;creature touched&lt;/h5&gt;&lt;h5&gt;&lt;b&gt;Duration &lt;/b&gt;1 minute&lt;/h5&gt;&lt;h5&gt;&lt;b&gt;Saving Throw &lt;/b&gt;Will negates (harmless); &lt;b&gt;Spell Resistance &lt;/b&gt;yes (harmless)&lt;/h5&gt;&lt;/div&gt;&lt;hr/&gt;&lt;div&gt;&lt;h5&gt;&lt;b&gt;DESCRIPTION&lt;/b&gt;&lt;/h5&gt;&lt;/div&gt;&lt;hr/&gt;&lt;div&gt;&lt;h4&gt;&lt;p&gt;You anoint a wounded creature with devil's blood or unholy water, giving it fast healing 1. This ability cannot repair damage caused by silver weapons, good-aligned weapons, or spells or effects with the good descriptor. The target detects as an evil creature for the duration of the spell and can sense the evil of the magic, though this has no long-term effect on the target's alignment.&lt;/p&gt;&lt;/h4&gt;&lt;/div&gt;</t>
  </si>
  <si>
    <t>Infernal Healing, Greater</t>
  </si>
  <si>
    <t>cleric 4/oracle 4, magus 4, sorcerer/wizard 4, summoner 4, witch 4</t>
  </si>
  <si>
    <t>As infernal healing, except the target gains fast healing 4 and the target detects as an evil cleric.</t>
  </si>
  <si>
    <t>&lt;p&gt;As &lt;i&gt;infernal healing&lt;/i&gt;, except the target gains fast healing 4 and the target detects as an evil cleric.&lt;/p&gt;</t>
  </si>
  <si>
    <t>&lt;link rel="stylesheet"href="PF.css"&gt;&lt;div class="heading"&gt;&lt;p class="alignleft"&gt;Infernal Healing, Greater&lt;/p&gt;&lt;div style="clear: both;"&gt;&lt;/div&gt;&lt;/div&gt;&lt;div&gt;&lt;h5&gt;&lt;b&gt;School &lt;/b&gt;conjuration (healing) [evil]; &lt;b&gt;Level &lt;/b&gt;cleric 4/oracle 4, magus 4, sorcerer/wizard 4, summoner 4, witch 4&lt;/h5&gt;&lt;/div&gt;&lt;hr/&gt;&lt;div&gt;&lt;h5&gt;&lt;b&gt;CASTING&lt;/b&gt;&lt;/h5&gt;&lt;/div&gt;&lt;hr/&gt;&lt;div&gt;&lt;h5&gt;&lt;b&gt;Casting Time &lt;/b&gt;1 round&lt;/h5&gt;&lt;h5&gt;&lt;b&gt;Components &lt;/b&gt;V, S, M (1 drop of devil blood or 1 dose of unholy water)&lt;/h5&gt;&lt;/div&gt;&lt;hr/&gt;&lt;div&gt;&lt;h5&gt;&lt;b&gt;EFFECT&lt;/b&gt;&lt;/h5&gt;&lt;/div&gt;&lt;hr/&gt;&lt;div&gt;&lt;h5&gt;&lt;b&gt;Range &lt;/b&gt;touch&lt;/h5&gt;&lt;h5&gt;&lt;b&gt;Targets &lt;/b&gt;creature touched&lt;/h5&gt;&lt;h5&gt;&lt;b&gt;Duration &lt;/b&gt;1 minute&lt;/h5&gt;&lt;h5&gt;&lt;b&gt;Saving Throw &lt;/b&gt;Will negates (harmless); &lt;b&gt;Spell Resistance &lt;/b&gt;yes (harmless)&lt;/h5&gt;&lt;/div&gt;&lt;hr/&gt;&lt;div&gt;&lt;h5&gt;&lt;b&gt;DESCRIPTION&lt;/b&gt;&lt;/h5&gt;&lt;/div&gt;&lt;hr/&gt;&lt;div&gt;&lt;h4&gt;&lt;p&gt;As &lt;i&gt;infernal healing&lt;/i&gt;, except the target gains fast healing 4 and the target detects as an evil cleric.&lt;/p&gt;&lt;/h4&gt;&lt;/div&gt;</t>
  </si>
  <si>
    <t>Lover's Vengeance</t>
  </si>
  <si>
    <t>bard 3, cleric/oracle 3, sorcerer/wizard 3, witch 3</t>
  </si>
  <si>
    <t>V, M (a piece of jewelry worth at least 100 gp)</t>
  </si>
  <si>
    <t>up to 1 day/level (D) or until discharged</t>
  </si>
  <si>
    <t>Yes (harmless)</t>
  </si>
  <si>
    <t>You inspire yourself or a lover to a vengeful rage against a chosen enemy, who must be a creature that has wronged you in some way. If cast on you, the next time you are in combat with that enemy, you gain the benefits of a rage spell. If cast on a lover, he or she gains the benefits of a rage spell the next time the lover is in combat against your enemy. This variant of the spell must be cast within 1 hour of an intimate encounter with the target. The rage effect lasts 1 round per level. If the creature that triggers the rage effect is one of your lovers or ex-lovers, the benefits granted by the rage spell double. This spell counts as a contingency spell on the target for the purpose of multiple contingent effects. Worshipers of Calistria are fond of using this spell, and many keep the effect running whenever possible.</t>
  </si>
  <si>
    <t>&lt;p&gt;You inspire yourself or a lover to a vengeful &lt;i&gt;rage&lt;/i&gt; against a chosen enemy, who must be a creature that has wronged you in some way. If cast on you, the next time you are in combat with that enemy, you gain the benefits of a &lt;i&gt;rage&lt;/i&gt; spell. If cast on a lover, he or she gains the benefits of a &lt;i&gt;rage&lt;/i&gt; spell the next time the lover is in combat against your enemy. This variant of the spell must be cast within 1 hour of an intimate encounter with the target. The &lt;i&gt;rage&lt;/i&gt; effect lasts 1 round per level. If the creature that triggers the &lt;i&gt;rage&lt;/i&gt; effect is one of your lovers or ex-lovers, the benefits granted by the &lt;i&gt;rage&lt;/i&gt; spell double. This spell counts as a &lt;i&gt;contingency&lt;/i&gt; spell on the target for the purpose of multiple contingent effects. Worshipers of Calistria are fond of using this spell, and many keep the effect running whenever possible.&lt;/p&gt;</t>
  </si>
  <si>
    <t>&lt;link rel="stylesheet"href="PF.css"&gt;&lt;div class="heading"&gt;&lt;p class="alignleft"&gt;Lover's Vengeance&lt;/p&gt;&lt;div style="clear: both;"&gt;&lt;/div&gt;&lt;/div&gt;&lt;div&gt;&lt;h5&gt;&lt;b&gt;School &lt;/b&gt;enchantment (compulsion) [mind-affecting]; &lt;b&gt;Level &lt;/b&gt;bard 3, cleric/oracle 3, sorcerer/wizard 3, witch 3&lt;/h5&gt;&lt;/div&gt;&lt;hr/&gt;&lt;div&gt;&lt;h5&gt;&lt;b&gt;CASTING&lt;/b&gt;&lt;/h5&gt;&lt;/div&gt;&lt;hr/&gt;&lt;div&gt;&lt;h5&gt;&lt;b&gt;Casting Time &lt;/b&gt;1 minute&lt;/h5&gt;&lt;h5&gt;&lt;b&gt;Components &lt;/b&gt;V, M (a piece of jewelry worth at least 100 gp)&lt;/h5&gt;&lt;/div&gt;&lt;hr/&gt;&lt;div&gt;&lt;h5&gt;&lt;b&gt;EFFECT&lt;/b&gt;&lt;/h5&gt;&lt;/div&gt;&lt;hr/&gt;&lt;div&gt;&lt;h5&gt;&lt;b&gt;Range &lt;/b&gt;touch&lt;/h5&gt;&lt;h5&gt;&lt;b&gt;Targets &lt;/b&gt;creature touched&lt;/h5&gt;&lt;h5&gt;&lt;b&gt;Duration &lt;/b&gt;up to 1 day/level (D) or until discharged&lt;/h5&gt;&lt;h5&gt;&lt;b&gt;Saving Throw &lt;/b&gt;Will negates (harmless); &lt;b&gt;Spell Resistance &lt;/b&gt;Yes (harmless)&lt;/h5&gt;&lt;/div&gt;&lt;hr/&gt;&lt;div&gt;&lt;h5&gt;&lt;b&gt;DESCRIPTION&lt;/b&gt;&lt;/h5&gt;&lt;/div&gt;&lt;hr/&gt;&lt;div&gt;&lt;h4&gt;&lt;p&gt;You inspire yourself or a lover to a vengeful &lt;i&gt;rage&lt;/i&gt; against a chosen enemy, who must be a creature that has wronged you in some way. If cast on you, the next time you are in combat with that enemy, you gain the benefits of a &lt;i&gt;rage&lt;/i&gt; spell. If cast on a lover, he or she gains the benefits of a &lt;i&gt;rage&lt;/i&gt; spell the next time the lover is in combat against your enemy. This variant of the spell must be cast within 1 hour of an intimate encounter with the target. The &lt;i&gt;rage&lt;/i&gt; effect lasts 1 round per level. If the creature that triggers the &lt;i&gt;rage&lt;/i&gt; effect is one of your lovers or ex-lovers, the benefits granted by the &lt;i&gt;rage&lt;/i&gt; spell double. This spell counts as a &lt;i&gt;contingency&lt;/i&gt; spell on the target for the purpose of multiple contingent effects. Worshipers of Calistria are fond of using this spell, and many keep the effect running whenever possible.&lt;/p&gt;&lt;/h4&gt;&lt;/div&gt;</t>
  </si>
  <si>
    <t>Shield Of The Dawnflower</t>
  </si>
  <si>
    <t>fire, good, light</t>
  </si>
  <si>
    <t>bard 4, cleric/oracle 4, magus 4, paladin 4, ranger 4</t>
  </si>
  <si>
    <t>You create a disk of sunlight on one arm. Any creature that strikes you with a melee attack deals normal damage, but also takes 1d6 points of fire damage + 1 point per caster level (maximum +15). Creatures with reach weapons are not subject to this damage if they attack you. The shield provides illumination as if it were a continual flame spell. You can only have one instance of this spell in effect at a time. It does not stack with similar damaging aura spells such as fire shield.</t>
  </si>
  <si>
    <t>&lt;p&gt;You create a disk of sunlight on one arm. Any creature that strikes you with a melee attack deals normal damage, but also takes 1d6 points of fire damage + 1 point per caster level (maximum +15). Creatures with reach weapons are not subject to this damage if they attack you. The shield provides illumination as if it were a &lt;i&gt;continual flame&lt;/i&gt; spell. You can only have one instance of this spell in effect at a time. It does not stack with similar damaging aura spells such as &lt;i&gt;fire shield&lt;/i&gt;.&lt;/p&gt;</t>
  </si>
  <si>
    <t>&lt;link rel="stylesheet"href="PF.css"&gt;&lt;div class="heading"&gt;&lt;p class="alignleft"&gt;Shield Of The Dawnflower&lt;/p&gt;&lt;div style="clear: both;"&gt;&lt;/div&gt;&lt;/div&gt;&lt;div&gt;&lt;h5&gt;&lt;b&gt;School &lt;/b&gt;evocation [fire, good, light]; &lt;b&gt;Level &lt;/b&gt;bard 4, cleric/oracle 4, magus 4, paladin 4, ranger 4&lt;/h5&gt;&lt;/div&gt;&lt;hr/&gt;&lt;div&gt;&lt;h5&gt;&lt;b&gt;CASTING&lt;/b&gt;&lt;/h5&gt;&lt;/div&gt;&lt;hr/&gt;&lt;div&gt;&lt;h5&gt;&lt;b&gt;Casting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&lt;/b&gt;you&lt;/h5&gt;&lt;h5&gt;&lt;b&gt;Duration &lt;/b&gt;1 round/level&lt;/h5&gt;&lt;h5&gt;&lt;b&gt;Saving Throw &lt;/b&gt;see text; &lt;b&gt;Spell Resistance &lt;/b&gt;no&lt;/h5&gt;&lt;/div&gt;&lt;hr/&gt;&lt;div&gt;&lt;h5&gt;&lt;b&gt;DESCRIPTION&lt;/b&gt;&lt;/h5&gt;&lt;/div&gt;&lt;hr/&gt;&lt;div&gt;&lt;h4&gt;&lt;p&gt;You create a disk of sunlight on one arm. Any creature that strikes you with a melee attack deals normal damage, but also takes 1d6 points of fire damage + 1 point per caster level (maximum +15). Creatures with reach weapons are not subject to this damage if they attack you. The shield provides illumination as if it were a &lt;i&gt;continual flame&lt;/i&gt; spell. You can only have one instance of this spell in effect at a time. It does not stack with similar damaging aura spells such as &lt;i&gt;fire shield&lt;/i&gt;.&lt;/p&gt;&lt;/h4&gt;&lt;h5&gt;&lt;b&gt;Mythic: &lt;/b&gt;The disk of sunlight protects you as a buckler with a +1enhancement bonus per 4 caster levels (maximum +5).You can make a melee touch attack with your shield of theDawnflower in place of a normal attack to deal its fire damageto a creature. Creatures taking damage from your shield catch onfire (Reflex negates); the save DC to extinguish the fire is equalto the DC of the spell.&lt;/h5&gt;&lt;/div&gt;</t>
  </si>
  <si>
    <t>The disk of sunlight protects you as a buckler with a +1enhancement bonus per 4 caster levels (maximum +5).You can make a melee touch attack with your shield of theDawnflower in place of a normal attack to deal its fire damageto a creature. Creatures taking damage from your shield catch onfire (Reflex negates); the save DC to extinguish the fire is equalto the DC of the spell.</t>
  </si>
  <si>
    <t>Teleport Trap</t>
  </si>
  <si>
    <t>V, S, M (powdered lodestone and silver worth 100 gp per 40-ft. cube)</t>
  </si>
  <si>
    <t>one 40-ft. cube/level (S)</t>
  </si>
  <si>
    <t>Teleport trap wards an area, redirecting all teleportation into or out of the area to a specific point within the area determined by you at the time of casting. The destination must be an open space on a solid surface. The spell's area overlaps walls and other solid and liquid objects (preventing intruders from bypassing the ward by teleporting into a wall or through similar means). A teleporting creature that is affected by a teleport trap can resist the effect with a Will save-if the save is successful, the creature simply doesn't teleport at all (but the use of the teleport effect is still consumed)-either to the intended location or the teleport trap's actual destination. A DC 27 Knowledge (arcana) allows such a creature to recognize the teleport trap's presence, but does not reveal the trap's linked destination. At your discretion, the teleport trap can exclude a category of creatures, such as an alignment, a type of creature, or creatures that carry a specific item or know a password (though this only works if the creature is teleporting out of the area, not into it). You select this option and the conditions at the time you cast the spell. Overly complicated conditions may cause the spell to fail entirely. Multiple castings of teleport trap can be linked to cover a larger area, allowing teleported creatures to be directed to a single point within the combined area of the spells. Teleport trap can be made permanent at the cost of 7,000 gp. A single permanency spell can be used on all teleport traps that share a linked destination, but the gold piece cost must be paid for each individual spell. The Pathfinders of the Grand Lodge make use of permanent teleport traps in several key locations, trapping would-be intruders in a small wing of jail cells. At least one crypt of the Whispering Tyrant makes use of the spell as well, trapping grave robbers in coffin-sized stone cysts, there to die a slow and agonizing death from thirst and starvation.</t>
  </si>
  <si>
    <t>&lt;p&gt;&lt;i&gt;Teleport trap&lt;/i&gt; wards an area, redirecting all &lt;i&gt;teleport&lt;/i&gt;ation into or out of the area to a specific point within the area determined by you at the time of casting. The destination must be an open space on a solid surface. The spell's area overlaps walls and other solid and liquid objects (preventing intruders from bypassing the ward by &lt;i&gt;teleport&lt;/i&gt;ing into a wall or through similar means). A &lt;i&gt;teleport&lt;/i&gt;ing creature that is affected by a &lt;i&gt;&lt;i&gt;teleport&lt;/i&gt; trap&lt;/i&gt; can resist the effect with a Will save-if the save is successful, the creature simply doesn't &lt;i&gt;teleport&lt;/i&gt; at all (but the use of the &lt;i&gt;teleport&lt;/i&gt; effect is still consumed)-either to the intended location or the &lt;i&gt;&lt;i&gt;teleport&lt;/i&gt; trap&lt;/i&gt;'s actual destination. A DC 27 Knowledge (arcana) allows such a creature to recognize the &lt;i&gt;&lt;i&gt;teleport&lt;/i&gt; trap&lt;/i&gt;'s presence, but does not reveal the trap's linked destination.&lt;/p&gt;&lt;p&gt;At your discretion, the &lt;i&gt;&lt;i&gt;teleport&lt;/i&gt; trap&lt;/i&gt; can exclude a category of creatures, such as an alignment, a type of creature, or creatures that carry a specific item or know a password (though this only works if the creature is &lt;i&gt;teleport&lt;/i&gt;ing out of the area, not into it). You select this option and the conditions at the time you cast the spell. Overly complicated conditions may cause the spell to fail entirely. Multiple castings of &lt;i&gt;&lt;i&gt;teleport&lt;/i&gt; trap&lt;/i&gt; can be linked to cover a larger area, allowing &lt;i&gt;teleport&lt;/i&gt;ed creatures to be directed to a single point within the combined area of the spells.&lt;/p&gt;&lt;p&gt;&lt;i&gt;Teleport trap&lt;/i&gt; can be made permanent at the cost of 7,000 gp. A single &lt;i&gt;permanency&lt;/i&gt; spell can be used on all &lt;i&gt;&lt;i&gt;teleport&lt;/i&gt; trap&lt;/i&gt;s that share a linked destination, but the gold piece cost must be paid for each individual spell.&lt;/p&gt;&lt;p&gt;The Pathfinders of the Grand Lodge make use of permanent &lt;i&gt;&lt;i&gt;teleport&lt;/i&gt; trap&lt;/i&gt;s in several key locations, trapping would-be intruders in a small wing of jail cells. At least one crypt of the Whispering Tyrant makes use of the spell as well, trapping grave robbers in coffin-sized stone cysts, there to die a slow and agonizing death from thirst and starvation.&lt;/p&gt;</t>
  </si>
  <si>
    <t>&lt;link rel="stylesheet"href="PF.css"&gt;&lt;div class="heading"&gt;&lt;p class="alignleft"&gt;Teleport Trap&lt;/p&gt;&lt;div style="clear: both;"&gt;&lt;/div&gt;&lt;/div&gt;&lt;div&gt;&lt;h5&gt;&lt;b&gt;School &lt;/b&gt;abjuration; &lt;b&gt;Level &lt;/b&gt;sorcerer/wizard 7&lt;/h5&gt;&lt;/div&gt;&lt;hr/&gt;&lt;div&gt;&lt;h5&gt;&lt;b&gt;CASTING&lt;/b&gt;&lt;/h5&gt;&lt;/div&gt;&lt;hr/&gt;&lt;div&gt;&lt;h5&gt;&lt;b&gt;Casting Time &lt;/b&gt;10 minutes&lt;/h5&gt;&lt;h5&gt;&lt;b&gt;Components &lt;/b&gt;V, S, M (powdered lodestone and silver worth 100 gp per 40-ft. cube)&lt;/h5&gt;&lt;/div&gt;&lt;hr/&gt;&lt;div&gt;&lt;h5&gt;&lt;b&gt;EFFECT&lt;/b&gt;&lt;/h5&gt;&lt;/div&gt;&lt;hr/&gt;&lt;div&gt;&lt;h5&gt;&lt;b&gt;Range &lt;/b&gt;medium (100 ft. + 10 ft./level)&lt;/h5&gt;&lt;h5&gt;&lt;b&gt;Area &lt;/b&gt;one 40-ft. cube/level (S)&lt;/h5&gt;&lt;h5&gt;&lt;b&gt;Duration &lt;/b&gt;1 day/level&lt;/h5&gt;&lt;h5&gt;&lt;b&gt;Saving Throw &lt;/b&gt;Will negates; &lt;b&gt;Spell Resistance &lt;/b&gt;yes&lt;/h5&gt;&lt;/div&gt;&lt;hr/&gt;&lt;div&gt;&lt;h5&gt;&lt;b&gt;DESCRIPTION&lt;/b&gt;&lt;/h5&gt;&lt;/div&gt;&lt;hr/&gt;&lt;div&gt;&lt;h4&gt;&lt;p&gt;&lt;i&gt;Teleport trap&lt;/i&gt; wards an area, redirecting all &lt;i&gt;teleport&lt;/i&gt;ation into or out of the area to a specific point within the area determined by you at the time of casting. The destination must be an open space on a solid surface. The spell's area overlaps walls and other solid and liquid objects (preventing intruders from bypassing the ward by &lt;i&gt;teleport&lt;/i&gt;ing into a wall or through similar means). A &lt;i&gt;teleport&lt;/i&gt;ing creature that is affected by a &lt;i&gt;&lt;i&gt;teleport&lt;/i&gt; trap&lt;/i&gt; can resist the effect with a Will save-if the save is successful, the creature simply doesn't &lt;i&gt;teleport&lt;/i&gt; at all (but the use of the &lt;i&gt;teleport&lt;/i&gt; effect is still consumed)-either to the intended location or the &lt;i&gt;&lt;i&gt;teleport&lt;/i&gt; trap&lt;/i&gt;'s actual destination. A DC 27 Knowledge (arcana) allows such a creature to recognize the &lt;i&gt;&lt;i&gt;teleport&lt;/i&gt; trap&lt;/i&gt;'s presence, but does not reveal the trap's linked destination.&lt;/p&gt;&lt;p&gt;At your discretion, the &lt;i&gt;&lt;i&gt;teleport&lt;/i&gt; trap&lt;/i&gt; can exclude a category of creatures, such as an alignment, a type of creature, or creatures that carry a specific item or know a password (though this only works if the creature is &lt;i&gt;teleport&lt;/i&gt;ing out of the area, not into it). You select this option and the conditions at the time you cast the spell. Overly complicated conditions may cause the spell to fail entirely. Multiple castings of &lt;i&gt;&lt;i&gt;teleport&lt;/i&gt; trap&lt;/i&gt; can be linked to cover a larger area, allowing &lt;i&gt;teleport&lt;/i&gt;ed creatures to be directed to a single point within the combined area of the spells.&lt;/p&gt;&lt;p&gt;&lt;i&gt;Teleport trap&lt;/i&gt; can be made permanent at the cost of 7,000 gp. A single &lt;i&gt;permanency&lt;/i&gt; spell can be used on all &lt;i&gt;&lt;i&gt;teleport&lt;/i&gt; trap&lt;/i&gt;s that share a linked destination, but the gold piece cost must be paid for each individual spell.&lt;/p&gt;&lt;p&gt;The Pathfinders of the Grand Lodge make use of permanent &lt;i&gt;&lt;i&gt;teleport&lt;/i&gt; trap&lt;/i&gt;s in several key locations, trapping would-be intruders in a small wing of jail cells. At least one crypt of the Whispering Tyrant makes use of the spell as well, trapping grave robbers in coffin-sized stone cysts, there to die a slow and agonizing death from thirst and starvation.&lt;/p&gt;&lt;/h4&gt;&lt;/div&gt;</t>
  </si>
  <si>
    <t>Unbreakable Heart</t>
  </si>
  <si>
    <t>bard 1, cleric/oracle 1, paladin 1, ranger 1, witch 1</t>
  </si>
  <si>
    <t>1 creature</t>
  </si>
  <si>
    <t>The target creature gains a +4 morale bonus on saving throws against mind-affecting effects that rely on negative emotions (such as crushing despair, rage, or fear effects) or that would force him to harm an ally (such as confusion). If the target is already under such an effect when receiving this spell, that effect is suppressed for the duration of this spell. It does not affect mind-affecting effects based on positive emotions (such as good hope or the inspire courage bard ability). A creature can still be charmed or otherwise magically controlled while under this spell's effects, but if such a creature ever receives a new saving throw against that effect as a result of being ordered to attempt to harm or otherwise oppose a true ally, he can roll that saving throw twice and take the better result as his actual roll. Calm emotions counters and dispels unbreakable heart.</t>
  </si>
  <si>
    <t>&lt;p&gt;The target creature gains a +4 morale bonus on saving throws against mind-affecting effects that rely on negative emotions (such as &lt;i&gt;crushing despair&lt;/i&gt;, &lt;i&gt;rage&lt;/i&gt;, or fear effects) or that would force him to harm an ally (such as confusion). If the target is already under such an effect when receiving this spell, that effect is suppressed for the duration of this spell. It does not affect mind-affecting effects based on positive emotions (such as &lt;i&gt;good hope&lt;/i&gt; or the inspire cou&lt;i&gt;rage&lt;/i&gt; bard ability). A creature can still be charmed or otherwise magically controlled while under this spell's effects, but if such a creature ever receives a new saving throw against that effect as a result of being ordered to attempt to harm or otherwise oppose a true ally, he can roll that saving throw twice and take the better result as his actual roll. &lt;i&gt;Calm emotions&lt;/i&gt; counters and dispels &lt;i&gt;unbreakable heart&lt;/i&gt;.&lt;/p&gt;</t>
  </si>
  <si>
    <t>&lt;link rel="stylesheet"href="PF.css"&gt;&lt;div class="heading"&gt;&lt;p class="alignleft"&gt;Unbreakable Heart&lt;/p&gt;&lt;div style="clear: both;"&gt;&lt;/div&gt;&lt;/div&gt;&lt;div&gt;&lt;h5&gt;&lt;b&gt;School &lt;/b&gt;enchantment (compulsion) [mind-affecting]; &lt;b&gt;Level &lt;/b&gt;bard 1, cleric/oracle 1, paladin 1, ranger 1, witch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levels)&lt;/h5&gt;&lt;h5&gt;&lt;b&gt;Effect &lt;/b&gt;1 creature&lt;/h5&gt;&lt;h5&gt;&lt;b&gt;Duration &lt;/b&gt;1 round/level&lt;/h5&gt;&lt;h5&gt;&lt;b&gt;Saving Throw &lt;/b&gt;Will negates (harmless); &lt;b&gt;Spell Resistance &lt;/b&gt;yes (harmless)&lt;/h5&gt;&lt;/div&gt;&lt;hr/&gt;&lt;div&gt;&lt;h5&gt;&lt;b&gt;DESCRIPTION&lt;/b&gt;&lt;/h5&gt;&lt;/div&gt;&lt;hr/&gt;&lt;div&gt;&lt;h4&gt;&lt;p&gt;The target creature gains a +4 morale bonus on saving throws against mind-affecting effects that rely on negative emotions (such as &lt;i&gt;crushing despair&lt;/i&gt;, &lt;i&gt;rage&lt;/i&gt;, or fear effects) or that would force him to harm an ally (such as confusion). If the target is already under such an effect when receiving this spell, that effect is suppressed for the duration of this spell. It does not affect mind-affecting effects based on positive emotions (such as &lt;i&gt;good hope&lt;/i&gt; or the inspire cou&lt;i&gt;rage&lt;/i&gt; bard ability). A creature can still be charmed or otherwise magically controlled while under this spell's effects, but if such a creature ever receives a new saving throw against that effect as a result of being ordered to attempt to harm or otherwise oppose a true ally, he can roll that saving throw twice and take the better result as his actual roll. &lt;i&gt;Calm emotions&lt;/i&gt; counters and dispels &lt;i&gt;unbreakable heart&lt;/i&gt;.&lt;/p&gt;&lt;/h4&gt;&lt;/div&gt;</t>
  </si>
  <si>
    <t>Vision of Lamashtu</t>
  </si>
  <si>
    <t>cleric/oracle 7, inquisitor 6, witch 7</t>
  </si>
  <si>
    <t>10 minutes (see text)</t>
  </si>
  <si>
    <t>This spell functions exactly as the spell nightmare. In addition to the effects of that spell, you can cause a second spell to be delivered when the target wakes at the nightmare's conclusion. You must have this second spell prepared, and it must be cast immediately after vision of Lamashtu (effectively adding the two spells' casting times). This second spell "rides along" with the nightmare, affecting the target as soon as it wakes from its fitful sleep. Any spell can be sent along with the nightmare, so long as it is of 6th level or lower, affects one target (which is always the nightmare's recipient), and does not deal hit point damage. The second spell's range is irrelevant for the purposes of vision of Lamashtu, and even touch attacks can be delivered in this manner (you must still make a successful touch attack in order to affect the target, though, with the act of touching occurring within the context of the victim's nightmare). The target is allowed to save against the second spell if a save is allowed. For example, a cleric of Lamashtu could send bestow curse along as part of a vision of Lamashtu, but not blade barrier (affects an area), destruction (too high level), or inflict moderate wounds (deals hit point damage).</t>
  </si>
  <si>
    <t>&lt;p&gt;This spell functions exactly as the spell &lt;i&gt;nightmare&lt;/i&gt;. In addition to the effects of that spell, you can cause a second spell to be delivered when the target wakes at the &lt;i&gt;nightmare&lt;/i&gt;'s conclusion.&lt;/p&gt;&lt;p&gt;You must have this second spell prepared, and it must be cast immediately after &lt;i&gt;vision of Lamashtu&lt;/i&gt; (effectively adding the two spells' casting times). This second spell "rides along" with the &lt;i&gt;nightmare&lt;/i&gt;, affecting the target as soon as it wakes from its fitful sleep. Any spell can be sent along with the &lt;i&gt;nightmare&lt;/i&gt;, so long as it is of 6th level or lower, affects one target (which is always the &lt;i&gt;nightmare&lt;/i&gt;'s recipient), and does not deal hit point damage. The second spell's range is irrelevant for the purposes of &lt;i&gt;vision of Lamashtu&lt;/i&gt;, and even touch attacks can be delivered in this manner (you must still make a successful touch attack in order to affect the target, though, with the act of touching occurring within the context of the victim's &lt;i&gt;nightmare&lt;/i&gt;). The target is allowed to save against the second spell if a save is allowed. For example, a cleric of Lamashtu could send &lt;i&gt;bestow curse&lt;/i&gt; along as part of a &lt;i&gt;vision of Lamashtu&lt;/i&gt;, but not &lt;i&gt;blade barrier&lt;/i&gt; (affects an area), &lt;i&gt;destruction&lt;/i&gt; (too high level), or &lt;i&gt;inflict moderate wounds&lt;/i&gt; (deals hit point damage).&lt;/p&gt;</t>
  </si>
  <si>
    <t>&lt;link rel="stylesheet"href="PF.css"&gt;&lt;div class="heading"&gt;&lt;p class="alignleft"&gt;Vision of Lamashtu&lt;/p&gt;&lt;div style="clear: both;"&gt;&lt;/div&gt;&lt;/div&gt;&lt;div&gt;&lt;h5&gt;&lt;b&gt;School &lt;/b&gt;illusion (phantasm) [mind-affecting, evil]; &lt;b&gt;Level &lt;/b&gt;cleric/oracle 7, inquisitor 6, witch 7&lt;/h5&gt;&lt;/div&gt;&lt;hr/&gt;&lt;div&gt;&lt;h5&gt;&lt;b&gt;CASTING&lt;/b&gt;&lt;/h5&gt;&lt;/div&gt;&lt;hr/&gt;&lt;div&gt;&lt;h5&gt;&lt;b&gt;Casting Time &lt;/b&gt;10 minutes (see text)&lt;/h5&gt;&lt;h5&gt;&lt;b&gt;Components &lt;/b&gt;V, S&lt;/h5&gt;&lt;/div&gt;&lt;hr/&gt;&lt;div&gt;&lt;h5&gt;&lt;b&gt;EFFECT&lt;/b&gt;&lt;/h5&gt;&lt;/div&gt;&lt;hr/&gt;&lt;div&gt;&lt;h5&gt;&lt;b&gt;Range &lt;/b&gt;unlimited&lt;/h5&gt;&lt;h5&gt;&lt;b&gt;Targets &lt;/b&gt;one living creature&lt;/h5&gt;&lt;h5&gt;&lt;b&gt;Duration &lt;/b&gt;instantaneous&lt;/h5&gt;&lt;h5&gt;&lt;b&gt;Saving Throw &lt;/b&gt;Will negates (see text); &lt;b&gt;Spell Resistance &lt;/b&gt;yes&lt;/h5&gt;&lt;/div&gt;&lt;hr/&gt;&lt;div&gt;&lt;h5&gt;&lt;b&gt;DESCRIPTION&lt;/b&gt;&lt;/h5&gt;&lt;/div&gt;&lt;hr/&gt;&lt;div&gt;&lt;h4&gt;&lt;p&gt;This spell functions exactly as the spell &lt;i&gt;nightmare&lt;/i&gt;. In addition to the effects of that spell, you can cause a second spell to be delivered when the target wakes at the &lt;i&gt;nightmare&lt;/i&gt;'s conclusion.&lt;/p&gt;&lt;p&gt;You must have this second spell prepared, and it must be cast immediately after &lt;i&gt;vision of Lamashtu&lt;/i&gt; (effectively adding the two spells' casting times). This second spell "rides along" with the &lt;i&gt;nightmare&lt;/i&gt;, affecting the target as soon as it wakes from its fitful sleep. Any spell can be sent along with the &lt;i&gt;nightmare&lt;/i&gt;, so long as it is of 6th level or lower, affects one target (which is always the &lt;i&gt;nightmare&lt;/i&gt;'s recipient), and does not deal hit point damage. The second spell's range is irrelevant for the purposes of &lt;i&gt;vision of Lamashtu&lt;/i&gt;, and even touch attacks can be delivered in this manner (you must still make a successful touch attack in order to affect the target, though, with the act of touching occurring within the context of the victim's &lt;i&gt;nightmare&lt;/i&gt;). The target is allowed to save against the second spell if a save is allowed. For example, a cleric of Lamashtu could send &lt;i&gt;bestow curse&lt;/i&gt; along as part of a &lt;i&gt;vision of Lamashtu&lt;/i&gt;, but not &lt;i&gt;blade barrier&lt;/i&gt; (affects an area), &lt;i&gt;destruction&lt;/i&gt; (too high level), or &lt;i&gt;inflict moderate wounds&lt;/i&gt; (deals hit point damage).&lt;/p&gt;&lt;/h4&gt;&lt;/div&gt;</t>
  </si>
  <si>
    <t>Waters Of Lamashtu</t>
  </si>
  <si>
    <t>alchemist 2, cleric/oracle 3, druid 3, witch 3</t>
  </si>
  <si>
    <t>V, S, M (250 gp of powdered amber)</t>
  </si>
  <si>
    <t>up to 1 draft of the waters of Lamashtu per 2 levels</t>
  </si>
  <si>
    <t>This spell generates what appears to be clear, pure water, but is in fact a foul secretion known as the waters of Lamashtu. The liquid functions in all the same ways as unholy water (see curse water). In addition, any creature that is anointed with or drinks this fluid must make a Fortitude save (drinking the waters of Lamashtu is particularly effective-creatures who drink the stuff take a -4 penalty on their save to resist its effects). Success causes the creature to become violently ill, vomit the fluid, and become sickened for 1d4 rounds. Failure indicates the water takes root and drives the victim mad (dealing 1d6 points of Intelligence damage) and twists and deforms the body (dealing 1d6 points of Dexterity damage). The subject's Dexterity and Intelligence cannot drop below 1 as a result of this effect. Casting this spell creates approximately 2 ounces of the waters of Lamashtu, enough for one draft or use (if bottled) as a thrown weapon. The fluid can be created and stored indefinitely, though it cannot be created inside a creature. Extensive exposure to the waters of Lamashtu (such as drinking nothing else for months at a time) can have other long-term effects on the target, including the development of monstrous deformities or even total transformation into a beast, depending on the GM's whim (these mutations are rarely, if ever, beneficial to the victim).</t>
  </si>
  <si>
    <t>&lt;p&gt;This spell generates what appears to be clear, pure water, but is in fact a foul secretion known as the &lt;i&gt;waters of Lamashtu&lt;/i&gt;.&lt;/p&gt;&lt;p&gt;The liquid functions in all the same ways as unholy water (see &lt;i&gt;curse&lt;/i&gt; water). In addition, any creature that is anointed with or drinks this fluid must make a Fortitude save (drinking the &lt;i&gt;waters of Lamashtu&lt;/i&gt; is particularly effective-creatures who drink the stuff take a -4 penalty on their save to resist its effects). Success causes the creature to become violently ill, vomit the fluid, and become sickened for 1d4 rounds. Failure indicates the water takes root and drives the victim mad (dealing 1d6 points of Intelligence damage) and twists and deforms the body (dealing 1d6 points of Dexterity damage).&lt;/p&gt;&lt;p&gt;The subject's Dexterity and Intelligence cannot drop below 1 as a result of this effect. Casting this spell creates approximately 2 ounces of the &lt;i&gt;waters of Lamashtu&lt;/i&gt;, enough for one draft or use (if bottled) as a thrown weapon. The fluid can be created and stored indefinitely, though it cannot be created inside a creature. Extensive exposure to the &lt;i&gt;waters of Lamashtu&lt;/i&gt; (such as drinking nothing else for months at a time) can have other long-term effects on the target, including the development of monstrous deformities or even total transformation into a beast, depending on the GM's whim (these mutations are rarely, if ever, beneficial to the victim).&lt;/p&gt;</t>
  </si>
  <si>
    <t>&lt;link rel="stylesheet"href="PF.css"&gt;&lt;div class="heading"&gt;&lt;p class="alignleft"&gt;Waters Of Lamashtu&lt;/p&gt;&lt;div style="clear: both;"&gt;&lt;/div&gt;&lt;/div&gt;&lt;div&gt;&lt;h5&gt;&lt;b&gt;School &lt;/b&gt;conjuration (creation); &lt;b&gt;Level &lt;/b&gt;alchemist 2, cleric/oracle 3, druid 3, witch 3&lt;/h5&gt;&lt;/div&gt;&lt;hr/&gt;&lt;div&gt;&lt;h5&gt;&lt;b&gt;CASTING&lt;/b&gt;&lt;/h5&gt;&lt;/div&gt;&lt;hr/&gt;&lt;div&gt;&lt;h5&gt;&lt;b&gt;Casting Time &lt;/b&gt;1 standard action&lt;/h5&gt;&lt;h5&gt;&lt;b&gt;Components &lt;/b&gt;V, S, M (250 gp of powdered amber)&lt;/h5&gt;&lt;/div&gt;&lt;hr/&gt;&lt;div&gt;&lt;h5&gt;&lt;b&gt;EFFECT&lt;/b&gt;&lt;/h5&gt;&lt;/div&gt;&lt;hr/&gt;&lt;div&gt;&lt;h5&gt;&lt;b&gt;Range &lt;/b&gt;close (25 ft. + 5 ft./2 levels)&lt;/h5&gt;&lt;h5&gt;&lt;b&gt;Effect &lt;/b&gt;up to 1 draft of the waters of Lamashtu per 2 levels&lt;/h5&gt;&lt;h5&gt;&lt;b&gt;Duration &lt;/b&gt;instantaneous&lt;/h5&gt;&lt;h5&gt;&lt;b&gt;Saving Throw &lt;/b&gt;Fortitude partial; &lt;b&gt;Spell Resistance &lt;/b&gt;no&lt;/h5&gt;&lt;/div&gt;&lt;hr/&gt;&lt;div&gt;&lt;h5&gt;&lt;b&gt;DESCRIPTION&lt;/b&gt;&lt;/h5&gt;&lt;/div&gt;&lt;hr/&gt;&lt;div&gt;&lt;h4&gt;&lt;p&gt;This spell generates what appears to be clear, pure water, but is in fact a foul secretion known as the &lt;i&gt;waters of Lamashtu&lt;/i&gt;.&lt;/p&gt;&lt;p&gt;The liquid functions in all the same ways as unholy water (see &lt;i&gt;curse&lt;/i&gt; water). In addition, any creature that is anointed with or drinks this fluid must make a Fortitude save (drinking the &lt;i&gt;waters of Lamashtu&lt;/i&gt; is particularly effective-creatures who drink the stuff take a -4 penalty on their save to resist its effects). Success causes the creature to become violently ill, vomit the fluid, and become sickened for 1d4 rounds. Failure indicates the water takes root and drives the victim mad (dealing 1d6 points of Intelligence damage) and twists and deforms the body (dealing 1d6 points of Dexterity damage).&lt;/p&gt;&lt;p&gt;The subject's Dexterity and Intelligence cannot drop below 1 as a result of this effect. Casting this spell creates approximately 2 ounces of the &lt;i&gt;waters of Lamashtu&lt;/i&gt;, enough for one draft or use (if bottled) as a thrown weapon. The fluid can be created and stored indefinitely, though it cannot be created inside a creature. Extensive exposure to the &lt;i&gt;waters of Lamashtu&lt;/i&gt; (such as drinking nothing else for months at a time) can have other long-term effects on the target, including the development of monstrous deformities or even total transformation into a beast, depending on the GM's whim (these mutations are rarely, if ever, beneficial to the victim).&lt;/p&gt;&lt;/h4&gt;&lt;h5&gt;&lt;b&gt;Mythic: &lt;/b&gt;When used as unholy water, mythic waters of Lamashtu dealtwice as much damage and prevent the creature from regaininghit points from fast healing or regeneration for 1d4 rounds(meaning the creature can be killed normally). The abilitydamage from the waters increases to 2d4, and a creatureimbibing or anointed by the waters is nauseated for 1d4 roundsif it fails its saving throw. The long-term effects of drinkingmythic waters of Lamashtu happen more quickly, requiring onlyregular exposure over weeks instead of massive quantities formonths, and warp the consuming creature more extensively (atthe GM's discretion). Monstrosities created by mythic waters ofLamashtu can breed with members of their original species andpass on such mutations to their offspring.&lt;/h5&gt;&lt;/div&gt;</t>
  </si>
  <si>
    <t>When used as unholy water, mythic waters of Lamashtu dealtwice as much damage and prevent the creature from regaininghit points from fast healing or regeneration for 1d4 rounds(meaning the creature can be killed normally). The abilitydamage from the waters increases to 2d4, and a creatureimbibing or anointed by the waters is nauseated for 1d4 roundsif it fails its saving throw. The long-term effects of drinkingmythic waters of Lamashtu happen more quickly, requiring onlyregular exposure over weeks instead of massive quantities formonths, and warp the consuming creature more extensively (atthe GM's discretion). Monstrosities created by mythic waters ofLamashtu can breed with members of their original species andpass on such mutations to their offspring.</t>
  </si>
  <si>
    <t>Smite Abomination</t>
  </si>
  <si>
    <t>V, S, F (a holy symbol of Pharasma)/DF</t>
  </si>
  <si>
    <t>Drawing upon positive energy, you emulate some of the powers of a paladin smiting undead. Choose one undead creature. Your melee attacks against that undead add your Wisdom bonus to hit and add your caster level to damage. Your attacks bypass the undead creature's damage reduction. These bonuses do not stack with the bonuses from a paladin's smite.</t>
  </si>
  <si>
    <t>&lt;p&gt;Drawing upon positive energy, you emulate some of the powers of a paladin smiting undead. Choose one undead creature. Your melee attacks against that undead add your Wisdom bonus to hit and add your caster level to damage. Your attacks bypass the undead creature's damage reduction. These bonuses do not stack with the bonuses from a paladin's smite.&lt;/p&gt;</t>
  </si>
  <si>
    <t>AP 44</t>
  </si>
  <si>
    <t>&lt;link rel="stylesheet"href="PF.css"&gt;&lt;div class="heading"&gt;&lt;p class="alignleft"&gt;Smite Abomination&lt;/p&gt;&lt;div style="clear: both;"&gt;&lt;/div&gt;&lt;/div&gt;&lt;div&gt;&lt;h5&gt;&lt;b&gt;School &lt;/b&gt;evocation; &lt;b&gt;Level &lt;/b&gt;cleric 5/oracle 5 (Pharasma)&lt;/h5&gt;&lt;/div&gt;&lt;hr/&gt;&lt;div&gt;&lt;h5&gt;&lt;b&gt;CASTING&lt;/b&gt;&lt;/h5&gt;&lt;/div&gt;&lt;hr/&gt;&lt;div&gt;&lt;h5&gt;&lt;b&gt;Casting Time &lt;/b&gt;1 standard action&lt;/h5&gt;&lt;h5&gt;&lt;b&gt;Components &lt;/b&gt;V, S, F (a holy symbol of Pharasma)/DF&lt;/h5&gt;&lt;/div&gt;&lt;hr/&gt;&lt;div&gt;&lt;h5&gt;&lt;b&gt;EFFECT&lt;/b&gt;&lt;/h5&gt;&lt;/div&gt;&lt;hr/&gt;&lt;div&gt;&lt;h5&gt;&lt;b&gt;Range &lt;/b&gt;personal&lt;/h5&gt;&lt;h5&gt;&lt;b&gt;Targets &lt;/b&gt;you&lt;/h5&gt;&lt;h5&gt;&lt;b&gt;Duration &lt;/b&gt;1 round/level&lt;/h5&gt;&lt;/div&gt;&lt;hr/&gt;&lt;div&gt;&lt;h5&gt;&lt;b&gt;DESCRIPTION&lt;/b&gt;&lt;/h5&gt;&lt;/div&gt;&lt;hr/&gt;&lt;div&gt;&lt;h4&gt;&lt;p&gt;Drawing upon positive energy, you emulate some of the powers of a paladin smiting undead. Choose one undead creature. Your melee attacks against that undead add your Wisdom bonus to hit and add your caster level to damage. Your attacks bypass the undead creature's damage reduction. These bonuses do not stack with the bonuses from a paladin's smite.&lt;/p&gt;&lt;/h4&gt;&lt;/div&gt;</t>
  </si>
  <si>
    <t>Pharasma</t>
  </si>
  <si>
    <t>Enhance Water</t>
  </si>
  <si>
    <t>bard 1, cleric 1/oracle 1, paladin 1</t>
  </si>
  <si>
    <t>1 pint of water/level</t>
  </si>
  <si>
    <t>This spell transforms water into an alcoholic beverage, typically ale, beer, mead, or wine. The alcohol is of middling quality but drinkable. The spell also serves to remove poisons, disease, minerals, and other toxins from the water as it transforms. The more contaminants exist in the water, the darker the ale and the more full-bodied the wine. The alcohol content does not change. This spell does not work on unholy water, potions, or other liquids with magical power.</t>
  </si>
  <si>
    <t>&lt;p&gt;This spell transforms water into an alcoholic beverage, typically ale, beer, mead, or wine. The alcohol is of middling quality but drinkable. The spell also serves to remove poisons, disease, minerals, and other toxins from the water as it transforms. The more contaminants exist in the water, the darker the ale and the more full-bodied the wine. The alcohol content does not change.&lt;/p&gt;&lt;p&gt;This spell does not work on unholy water, potions, or other liquids with magical power.&lt;/p&gt;</t>
  </si>
  <si>
    <t>Faiths Of Purity</t>
  </si>
  <si>
    <t>&lt;link rel="stylesheet"href="PF.css"&gt;&lt;div class="heading"&gt;&lt;p class="alignleft"&gt;Enhance Water&lt;/p&gt;&lt;div style="clear: both;"&gt;&lt;/div&gt;&lt;/div&gt;&lt;div&gt;&lt;h5&gt;&lt;b&gt;School &lt;/b&gt;transmutation; &lt;b&gt;Level &lt;/b&gt;bard 1, cleric 1/oracle 1, paladin 1 (Cayden Cailean)&lt;/h5&gt;&lt;/div&gt;&lt;hr/&gt;&lt;div&gt;&lt;h5&gt;&lt;b&gt;CASTING&lt;/b&gt;&lt;/h5&gt;&lt;/div&gt;&lt;hr/&gt;&lt;div&gt;&lt;h5&gt;&lt;b&gt;Casting Time &lt;/b&gt;1 round&lt;/h5&gt;&lt;h5&gt;&lt;b&gt;Components &lt;/b&gt;V, S&lt;/h5&gt;&lt;/div&gt;&lt;hr/&gt;&lt;div&gt;&lt;h5&gt;&lt;b&gt;EFFECT&lt;/b&gt;&lt;/h5&gt;&lt;/div&gt;&lt;hr/&gt;&lt;div&gt;&lt;h5&gt;&lt;b&gt;Range &lt;/b&gt;touch&lt;/h5&gt;&lt;h5&gt;&lt;b&gt;Targets &lt;/b&gt;1 pint of water/level&lt;/h5&gt;&lt;h5&gt;&lt;b&gt;Duration &lt;/b&gt;instantaneous&lt;/h5&gt;&lt;h5&gt;&lt;b&gt;Saving Throw &lt;/b&gt;Fortitude negates (object); &lt;b&gt;Spell Resistance &lt;/b&gt;yes (object)&lt;/h5&gt;&lt;/div&gt;&lt;hr/&gt;&lt;div&gt;&lt;h5&gt;&lt;b&gt;DESCRIPTION&lt;/b&gt;&lt;/h5&gt;&lt;/div&gt;&lt;hr/&gt;&lt;div&gt;&lt;h4&gt;&lt;p&gt;This spell transforms water into an alcoholic beverage, typically ale, beer, mead, or wine. The alcohol is of middling quality but drinkable. The spell also serves to remove poisons, disease, minerals, and other toxins from the water as it transforms. The more contaminants exist in the water, the darker the ale and the more full-bodied the wine. The alcohol content does not change.&lt;/p&gt;&lt;p&gt;This spell does not work on unholy water, potions, or other liquids with magical power.&lt;/p&gt;&lt;/h4&gt;&lt;/div&gt;</t>
  </si>
  <si>
    <t>Cayden Cailean</t>
  </si>
  <si>
    <t>Hairline Fractures</t>
  </si>
  <si>
    <t>5-foot-square section of stone or a creature with the earth subtype</t>
  </si>
  <si>
    <t>With a single touch, you create momentary hairline fractures in a piece of stone or a creature with the earth subtype. If you cast this spell on a section of stone, you reduce its hardness to 5 and its hit points to 10/inch of thickness. If you cast this spell on a creature with the earth subtype, that creature takes a -2 penalty to AC for the spell's duration. A make whole spell reverses this spell's effect.</t>
  </si>
  <si>
    <t>&lt;p&gt;With a single touch, you create momentary hairline fractures in a piece of stone or a creature with the earth subtype. If you cast this spell on a section of stone, you reduce its hardness to 5 and its hit points to 10/inch of thickness. If you cast this spell on a creature with the earth subtype, that creature takes a -2 penalty to AC for the spell's duration. A &lt;i&gt;make whole&lt;/i&gt; spell reverses this spell's effect.&lt;/p&gt;</t>
  </si>
  <si>
    <t>&lt;link rel="stylesheet"href="PF.css"&gt;&lt;div class="heading"&gt;&lt;p class="alignleft"&gt;Hairline Fractures&lt;/p&gt;&lt;div style="clear: both;"&gt;&lt;/div&gt;&lt;/div&gt;&lt;div&gt;&lt;h5&gt;&lt;b&gt;School &lt;/b&gt;transmutation; &lt;b&gt;Level &lt;/b&gt;cleric 1/oracle 1, druid 1 (Torag)&lt;/h5&gt;&lt;/div&gt;&lt;hr/&gt;&lt;div&gt;&lt;h5&gt;&lt;b&gt;CASTING&lt;/b&gt;&lt;/h5&gt;&lt;/div&gt;&lt;hr/&gt;&lt;div&gt;&lt;h5&gt;&lt;b&gt;Casting Time &lt;/b&gt;1 standard action&lt;/h5&gt;&lt;h5&gt;&lt;b&gt;Components &lt;/b&gt;V, S, M&lt;/h5&gt;&lt;/div&gt;&lt;hr/&gt;&lt;div&gt;&lt;h5&gt;&lt;b&gt;EFFECT&lt;/b&gt;&lt;/h5&gt;&lt;/div&gt;&lt;hr/&gt;&lt;div&gt;&lt;h5&gt;&lt;b&gt;Range &lt;/b&gt;touch&lt;/h5&gt;&lt;h5&gt;&lt;b&gt;Targets &lt;/b&gt;5-foot-square section of stone or a creature with the earth subtype&lt;/h5&gt;&lt;h5&gt;&lt;b&gt;Duration &lt;/b&gt;1 round/level&lt;/h5&gt;&lt;h5&gt;&lt;b&gt;Saving Throw &lt;/b&gt;Fortitude negates (object); &lt;b&gt;Spell Resistance &lt;/b&gt;yes (object)&lt;/h5&gt;&lt;/div&gt;&lt;hr/&gt;&lt;div&gt;&lt;h5&gt;&lt;b&gt;DESCRIPTION&lt;/b&gt;&lt;/h5&gt;&lt;/div&gt;&lt;hr/&gt;&lt;div&gt;&lt;h4&gt;&lt;p&gt;With a single touch, you create momentary hairline fractures in a piece of stone or a creature with the earth subtype. If you cast this spell on a section of stone, you reduce its hardness to 5 and its hit points to 10/inch of thickness. If you cast this spell on a creature with the earth subtype, that creature takes a -2 penalty to AC for the spell's duration. A &lt;i&gt;make whole&lt;/i&gt; spell reverses this spell's effect.&lt;/p&gt;&lt;/h4&gt;&lt;/div&gt;</t>
  </si>
  <si>
    <t>Torag</t>
  </si>
  <si>
    <t>Haze of Dreams</t>
  </si>
  <si>
    <t>bard 1, cleric 1/oracle 1, inquisitor 1, paladin 1</t>
  </si>
  <si>
    <t>V, M (pinch of sand)</t>
  </si>
  <si>
    <t>You fill an enemy's head with waking dreams, a reminder of the pleasures, delights, and terrors to be found in the dream world. While in this strange dream state, the target moves at half its normal speed (round down to the next 5-foot increment), which affects the creature's jumping distance as normal for decreased speed. Multiple haze of dreams effects do not stack, nor does this spell's effect stack with slow.</t>
  </si>
  <si>
    <t>&lt;p&gt;You fill an enemy's head with waking dreams, a reminder of the pleasures, delights, and terrors to be found in the dream world. While in this strange dream state, the target moves at half its normal speed (round down to the next 5-foot increment), which affects the creature's jumping distance as normal for decreased speed.&lt;/p&gt;&lt;p&gt;Multiple &lt;i&gt;haze of dreams&lt;/i&gt; effects do not stack, nor does this spell's effect stack with &lt;i&gt;slow&lt;/i&gt;.&lt;/p&gt;</t>
  </si>
  <si>
    <t>&lt;link rel="stylesheet"href="PF.css"&gt;&lt;div class="heading"&gt;&lt;p class="alignleft"&gt;Haze of Dreams&lt;/p&gt;&lt;div style="clear: both;"&gt;&lt;/div&gt;&lt;/div&gt;&lt;div&gt;&lt;h5&gt;&lt;b&gt;School &lt;/b&gt;enchantment (charm) [mind-affecting]; &lt;b&gt;Level &lt;/b&gt;bard 1, cleric 1/oracle 1, inquisitor 1, paladin 1 (Desna)&lt;/h5&gt;&lt;/div&gt;&lt;hr/&gt;&lt;div&gt;&lt;h5&gt;&lt;b&gt;CASTING&lt;/b&gt;&lt;/h5&gt;&lt;/div&gt;&lt;hr/&gt;&lt;div&gt;&lt;h5&gt;&lt;b&gt;Casting Time &lt;/b&gt;1 standard action&lt;/h5&gt;&lt;h5&gt;&lt;b&gt;Components &lt;/b&gt;V, M (pinch of sand)&lt;/h5&gt;&lt;/div&gt;&lt;hr/&gt;&lt;div&gt;&lt;h5&gt;&lt;b&gt;EFFECT&lt;/b&gt;&lt;/h5&gt;&lt;/div&gt;&lt;hr/&gt;&lt;div&gt;&lt;h5&gt;&lt;b&gt;Range &lt;/b&gt;close (25 ft. + 5 ft./2 levels)&lt;/h5&gt;&lt;h5&gt;&lt;b&gt;Targets &lt;/b&gt;one creature&lt;/h5&gt;&lt;h5&gt;&lt;b&gt;Duration &lt;/b&gt;1 round/level&lt;/h5&gt;&lt;h5&gt;&lt;b&gt;Saving Throw &lt;/b&gt;Will negates; &lt;b&gt;Spell Resistance &lt;/b&gt;yes&lt;/h5&gt;&lt;/div&gt;&lt;hr/&gt;&lt;div&gt;&lt;h5&gt;&lt;b&gt;DESCRIPTION&lt;/b&gt;&lt;/h5&gt;&lt;/div&gt;&lt;hr/&gt;&lt;div&gt;&lt;h4&gt;&lt;p&gt;You fill an enemy's head with waking dreams, a reminder of the pleasures, delights, and terrors to be found in the dream world. While in this strange dream state, the target moves at half its normal speed (round down to the next 5-foot increment), which affects the creature's jumping distance as normal for decreased speed.&lt;/p&gt;&lt;p&gt;Multiple &lt;i&gt;haze of dreams&lt;/i&gt; effects do not stack, nor does this spell's effect stack with &lt;i&gt;slow&lt;/i&gt;.&lt;/p&gt;&lt;/h4&gt;&lt;/div&gt;</t>
  </si>
  <si>
    <t>Desna</t>
  </si>
  <si>
    <t>Tap Inner Beauty</t>
  </si>
  <si>
    <t>V, M (a tiny mirror)</t>
  </si>
  <si>
    <t>This spell allows you to tap into the natural beauty of your soul and let it shine from your eyes and your speech. While the spell is active, you gain a +2 insight bonus on all Charisma ability checks and Charisma-based skill checks.</t>
  </si>
  <si>
    <t>&lt;p&gt;This spell allows you to tap into the natural beauty of your soul and let it shine from your eyes and your speech. While the spell is active, you gain a +2 insight bonus on all Charisma ability checks and Charisma-based skill checks.&lt;/p&gt;</t>
  </si>
  <si>
    <t>&lt;link rel="stylesheet"href="PF.css"&gt;&lt;div class="heading"&gt;&lt;p class="alignleft"&gt;Tap Inner Beauty&lt;/p&gt;&lt;div style="clear: both;"&gt;&lt;/div&gt;&lt;/div&gt;&lt;div&gt;&lt;h5&gt;&lt;b&gt;School &lt;/b&gt;divination; &lt;b&gt;Level &lt;/b&gt;bard 1, cleric 1/oracle 1 (Shelyn)&lt;/h5&gt;&lt;/div&gt;&lt;hr/&gt;&lt;div&gt;&lt;h5&gt;&lt;b&gt;CASTING&lt;/b&gt;&lt;/h5&gt;&lt;/div&gt;&lt;hr/&gt;&lt;div&gt;&lt;h5&gt;&lt;b&gt;Casting Time &lt;/b&gt;1 standard action&lt;/h5&gt;&lt;h5&gt;&lt;b&gt;Components &lt;/b&gt;V, M (a tiny mirror)&lt;/h5&gt;&lt;/div&gt;&lt;hr/&gt;&lt;div&gt;&lt;h5&gt;&lt;b&gt;EFFECT&lt;/b&gt;&lt;/h5&gt;&lt;/div&gt;&lt;hr/&gt;&lt;div&gt;&lt;h5&gt;&lt;b&gt;Range &lt;/b&gt;personal&lt;/h5&gt;&lt;h5&gt;&lt;b&gt;Targets &lt;/b&gt;you&lt;/h5&gt;&lt;h5&gt;&lt;b&gt;Duration &lt;/b&gt;1 minute/level&lt;/h5&gt;&lt;/div&gt;&lt;hr/&gt;&lt;div&gt;&lt;h5&gt;&lt;b&gt;DESCRIPTION&lt;/b&gt;&lt;/h5&gt;&lt;/div&gt;&lt;hr/&gt;&lt;div&gt;&lt;h4&gt;&lt;p&gt;This spell allows you to tap into the natural beauty of your soul and let it shine from your eyes and your speech. While the spell is active, you gain a +2 insight bonus on all Charisma ability checks and Charisma-based skill checks.&lt;/p&gt;&lt;/h4&gt;&lt;/div&gt;</t>
  </si>
  <si>
    <t>Shelyn</t>
  </si>
  <si>
    <t>Trail of the Rose</t>
  </si>
  <si>
    <t>S, V</t>
  </si>
  <si>
    <t>1 rose touched</t>
  </si>
  <si>
    <t>This spell creates an illusory trail in the form of a misty and visible scent coming from the rose used as this spell's material component. When you cast this spell, the scent of the rose leaves a faint pink-tinged illusion that ripples and flows in the area. Only you and up to six creatures you designate upon casting the spell can see the illusion. To designate a creature, you must know it well. It is not enough simply to have met that creature once or heard of the creature. When you move, this illusory scent leaves a trail, though there are no telltale signs of which direction you moved if creatures designated by this spell find a middle section of the trail. This is typically used to create backtracking method for the caster's handpicked allies, useful for navigating in and out of mazes or labyrinthine cave complexes without leaving behind an obvious trail.</t>
  </si>
  <si>
    <t>&lt;p&gt;This spell creates an illusory trail in the form of a misty and visible scent coming from the rose used as this spell's material component. When you cast this spell, the scent of the rose leaves a faint pink-tinged illusion that ripples and flows in the area. Only you and up to six creatures you designate upon casting the spell can see the illusion. To designate a creature, you must know it well. It is not enough simply to have met that creature once or heard of the creature.&lt;/p&gt;&lt;p&gt;When you move, this illusory scent leaves a trail, though there are no telltale signs of which direction you moved if creatures designated by this spell find a middle section of the trail. This is typically used to create backtracking method for the caster's handpicked allies, useful for navigating in and out of mazes or labyrinthine cave complexes without leaving behind an obvious trail.&lt;/p&gt;</t>
  </si>
  <si>
    <t>&lt;link rel="stylesheet"href="PF.css"&gt;&lt;div class="heading"&gt;&lt;p class="alignleft"&gt;Trail of the Rose&lt;/p&gt;&lt;div style="clear: both;"&gt;&lt;/div&gt;&lt;/div&gt;&lt;div&gt;&lt;h5&gt;&lt;b&gt;School &lt;/b&gt;illusion (phantasm); &lt;b&gt;Level &lt;/b&gt;bard 2, cleric 2/oracle 2 (Shelyn)&lt;/h5&gt;&lt;/div&gt;&lt;hr/&gt;&lt;div&gt;&lt;h5&gt;&lt;b&gt;CASTING&lt;/b&gt;&lt;/h5&gt;&lt;/div&gt;&lt;hr/&gt;&lt;div&gt;&lt;h5&gt;&lt;b&gt;Casting Time &lt;/b&gt;1 standard action&lt;/h5&gt;&lt;h5&gt;&lt;b&gt;Components &lt;/b&gt;S, V&lt;/h5&gt;&lt;/div&gt;&lt;hr/&gt;&lt;div&gt;&lt;h5&gt;&lt;b&gt;EFFECT&lt;/b&gt;&lt;/h5&gt;&lt;/div&gt;&lt;hr/&gt;&lt;div&gt;&lt;h5&gt;&lt;b&gt;Range &lt;/b&gt;touch&lt;/h5&gt;&lt;h5&gt;&lt;b&gt;Targets &lt;/b&gt;1 rose touched&lt;/h5&gt;&lt;h5&gt;&lt;b&gt;Duration &lt;/b&gt;1 hour/level (D)&lt;/h5&gt;&lt;h5&gt;&lt;b&gt;Saving Throw &lt;/b&gt;no; &lt;b&gt;Spell Resistance &lt;/b&gt;no&lt;/h5&gt;&lt;/div&gt;&lt;hr/&gt;&lt;div&gt;&lt;h5&gt;&lt;b&gt;DESCRIPTION&lt;/b&gt;&lt;/h5&gt;&lt;/div&gt;&lt;hr/&gt;&lt;div&gt;&lt;h4&gt;&lt;p&gt;This spell creates an illusory trail in the form of a misty and visible scent coming from the rose used as this spell's material component. When you cast this spell, the scent of the rose leaves a faint pink-tinged illusion that ripples and flows in the area. Only you and up to six creatures you designate upon casting the spell can see the illusion. To designate a creature, you must know it well. It is not enough simply to have met that creature once or heard of the creature.&lt;/p&gt;&lt;p&gt;When you move, this illusory scent leaves a trail, though there are no telltale signs of which direction you moved if creatures designated by this spell find a middle section of the trail. This is typically used to create backtracking method for the caster's handpicked allies, useful for navigating in and out of mazes or labyrinthine cave complexes without leaving behind an obvious trail.&lt;/p&gt;&lt;/h4&gt;&lt;/div&gt;</t>
  </si>
  <si>
    <t>Weapons Against Evil</t>
  </si>
  <si>
    <t>cleric 1/oracle 1, inquisitor 1, paladin 1</t>
  </si>
  <si>
    <t>one weapon/level, no two of which can be more than 20 ft. apart</t>
  </si>
  <si>
    <t>The weapons this spell affects each shine with pale light that dimly illuminates a 5-foot square. These weapons also ignore the DR of evil creatures that have DR 5 or lower as long as it is not DR/epic.</t>
  </si>
  <si>
    <t>&lt;p&gt;The weapons this spell affects each shine with pale light that dimly illuminates a 5-foot square. These weapons also ignore the DR of evil creatures that have DR 5 or lower as long as it is not DR/epic.&lt;/p&gt;</t>
  </si>
  <si>
    <t>&lt;link rel="stylesheet"href="PF.css"&gt;&lt;div class="heading"&gt;&lt;p class="alignleft"&gt;Weapons Against Evil&lt;/p&gt;&lt;div style="clear: both;"&gt;&lt;/div&gt;&lt;/div&gt;&lt;div&gt;&lt;h5&gt;&lt;b&gt;School &lt;/b&gt;transmutation; &lt;b&gt;Level &lt;/b&gt;cleric 1/oracle 1, inquisitor 1, paladin 1 (Iomedae)&lt;/h5&gt;&lt;/div&gt;&lt;hr/&gt;&lt;div&gt;&lt;h5&gt;&lt;b&gt;CASTING&lt;/b&gt;&lt;/h5&gt;&lt;/div&gt;&lt;hr/&gt;&lt;div&gt;&lt;h5&gt;&lt;b&gt;Casting Time &lt;/b&gt;1 standard action&lt;/h5&gt;&lt;h5&gt;&lt;b&gt;Components &lt;/b&gt;V, DF&lt;/h5&gt;&lt;/div&gt;&lt;hr/&gt;&lt;div&gt;&lt;h5&gt;&lt;b&gt;EFFECT&lt;/b&gt;&lt;/h5&gt;&lt;/div&gt;&lt;hr/&gt;&lt;div&gt;&lt;h5&gt;&lt;b&gt;Range &lt;/b&gt;close (25 ft. + 5 ft./2 levels)&lt;/h5&gt;&lt;h5&gt;&lt;b&gt;Targets &lt;/b&gt;one weapon/level, no two of which can be more than 20 ft. apart&lt;/h5&gt;&lt;h5&gt;&lt;b&gt;Duration &lt;/b&gt;1 round/level&lt;/h5&gt;&lt;h5&gt;&lt;b&gt;Saving Throw &lt;/b&gt;Fortitude negates (object); &lt;b&gt;Spell Resistance &lt;/b&gt;yes (object)&lt;/h5&gt;&lt;/div&gt;&lt;hr/&gt;&lt;div&gt;&lt;h5&gt;&lt;b&gt;DESCRIPTION&lt;/b&gt;&lt;/h5&gt;&lt;/div&gt;&lt;hr/&gt;&lt;div&gt;&lt;h4&gt;&lt;p&gt;The weapons this spell affects each shine with pale light that dimly illuminates a 5-foot square. These weapons also ignore the DR of evil creatures that have DR 5 or lower as long as it is not DR/epic.&lt;/p&gt;&lt;/h4&gt;&lt;/div&gt;</t>
  </si>
  <si>
    <t>Iomedae</t>
  </si>
  <si>
    <t>Acidic Spray</t>
  </si>
  <si>
    <t>magus 5, sorcerer/wizard 5</t>
  </si>
  <si>
    <t>V, S, M (a vial of acid worth 10 gp)</t>
  </si>
  <si>
    <t>Reflex partial (see text)</t>
  </si>
  <si>
    <t>A spray of acid erupts from your outstretched hand, dealing 1d6 points of acid damage per caster level (maximum 15d6) to each creature within its area (Reflex half ). This acid continues to burn for 1 round, dealing 1d6 points of acid damage per two caster levels (maximum 7d6) to any creature that failed its saving throw against the spell (a second Reflex save on the creature's turn negates this additional damage).</t>
  </si>
  <si>
    <t>&lt;p&gt;A spray of acid erupts from your outstretched hand, dealing 1d6 points of acid damage per caster level (maximum 15d6) to each creature within its area (Reflex half ). This acid continues to burn for 1 round, dealing 1d6 points of acid damage per two caster levels (maximum 7d6) to any creature that failed its saving throw against the spell (a second Reflex save on the creature's turn negates this additional damage).&lt;/p&gt;</t>
  </si>
  <si>
    <t>Ultimate Magic</t>
  </si>
  <si>
    <t>&lt;link rel="stylesheet"href="PF.css"&gt;&lt;div class="heading"&gt;&lt;p class="alignleft"&gt;Acidic Spray&lt;/p&gt;&lt;div style="clear: both;"&gt;&lt;/div&gt;&lt;/div&gt;&lt;div&gt;&lt;h5&gt;&lt;b&gt;School &lt;/b&gt;conjuration (creation) [acid]; &lt;b&gt;Level &lt;/b&gt;magus 5, sorcerer/wizard 5&lt;/h5&gt;&lt;/div&gt;&lt;hr/&gt;&lt;div&gt;&lt;h5&gt;&lt;b&gt;CASTING&lt;/b&gt;&lt;/h5&gt;&lt;/div&gt;&lt;hr/&gt;&lt;div&gt;&lt;h5&gt;&lt;b&gt;Casting Time &lt;/b&gt;1 standard action&lt;/h5&gt;&lt;h5&gt;&lt;b&gt;Components &lt;/b&gt;V, S, M (a vial of acid worth 10 gp)&lt;/h5&gt;&lt;/div&gt;&lt;hr/&gt;&lt;div&gt;&lt;h5&gt;&lt;b&gt;EFFECT&lt;/b&gt;&lt;/h5&gt;&lt;/div&gt;&lt;hr/&gt;&lt;div&gt;&lt;h5&gt;&lt;b&gt;Range &lt;/b&gt;60 ft.&lt;/h5&gt;&lt;h5&gt;&lt;b&gt;Effect &lt;/b&gt;60-ft. line&lt;/h5&gt;&lt;h5&gt;&lt;b&gt;Duration &lt;/b&gt;instantaneous&lt;/h5&gt;&lt;h5&gt;&lt;b&gt;Saving Throw &lt;/b&gt;Reflex partial (see text); &lt;b&gt;Spell Resistance &lt;/b&gt;yes&lt;/h5&gt;&lt;/div&gt;&lt;hr/&gt;&lt;div&gt;&lt;h5&gt;&lt;b&gt;DESCRIPTION&lt;/b&gt;&lt;/h5&gt;&lt;/div&gt;&lt;hr/&gt;&lt;div&gt;&lt;h4&gt;&lt;p&gt;A spray of acid erupts from your outstretched hand, dealing 1d6 points of acid damage per caster level (maximum 15d6) to each creature within its area (Reflex half ). This acid continues to burn for 1 round, dealing 1d6 points of acid damage per two caster levels (maximum 7d6) to any creature that failed its saving throw against the spell (a second Reflex save on the creature's turn negates this additional damage).&lt;/p&gt;&lt;/h4&gt;&lt;/div&gt;</t>
  </si>
  <si>
    <t>1d6/level acid damage plus 1 round of acid.</t>
  </si>
  <si>
    <t>Acute Senses</t>
  </si>
  <si>
    <t>alchemist 2, bard 2, inquisitor 2, ranger 2</t>
  </si>
  <si>
    <t>V, S, M (a glass lens)</t>
  </si>
  <si>
    <t>The target gains a +10 enhancement bonus on Perception checks. The bonus increases to +20 at caster level 8th, and +30 (the maximum) at caster level 16th.</t>
  </si>
  <si>
    <t>&lt;p&gt;The target gains a +10 enhancement bonus on Perception checks. The bonus increases to +20 at caster level 8th, and +30 (the maximum) at caster level 16th.&lt;/p&gt;</t>
  </si>
  <si>
    <t>&lt;link rel="stylesheet"href="PF.css"&gt;&lt;div class="heading"&gt;&lt;p class="alignleft"&gt;Acute Senses&lt;/p&gt;&lt;div style="clear: both;"&gt;&lt;/div&gt;&lt;/div&gt;&lt;div&gt;&lt;h5&gt;&lt;b&gt;School &lt;/b&gt;transmutation; &lt;b&gt;Level &lt;/b&gt;alchemist 2, bard 2, inquisitor 2, ranger 2&lt;/h5&gt;&lt;/div&gt;&lt;hr/&gt;&lt;div&gt;&lt;h5&gt;&lt;b&gt;CASTING&lt;/b&gt;&lt;/h5&gt;&lt;/div&gt;&lt;hr/&gt;&lt;div&gt;&lt;h5&gt;&lt;b&gt;Casting Time &lt;/b&gt;1 standard action&lt;/h5&gt;&lt;h5&gt;&lt;b&gt;Components &lt;/b&gt;V, S, M (a glass lens)&lt;/h5&gt;&lt;/div&gt;&lt;hr/&gt;&lt;div&gt;&lt;h5&gt;&lt;b&gt;EFFECT&lt;/b&gt;&lt;/h5&gt;&lt;/div&gt;&lt;hr/&gt;&lt;div&gt;&lt;h5&gt;&lt;b&gt;Range &lt;/b&gt;touch&lt;/h5&gt;&lt;h5&gt;&lt;b&gt;Targets &lt;/b&gt;creature touched&lt;/h5&gt;&lt;h5&gt;&lt;b&gt;Duration &lt;/b&gt;1 minute/level&lt;/h5&gt;&lt;h5&gt;&lt;b&gt;Saving Throw &lt;/b&gt;Will negates (harmless); &lt;b&gt;Spell Resistance &lt;/b&gt;yes&lt;/h5&gt;&lt;/div&gt;&lt;hr/&gt;&lt;div&gt;&lt;h5&gt;&lt;b&gt;DESCRIPTION&lt;/b&gt;&lt;/h5&gt;&lt;/div&gt;&lt;hr/&gt;&lt;div&gt;&lt;h4&gt;&lt;p&gt;The target gains a +10 enhancement bonus on Perception checks. The bonus increases to +20 at caster level 8th, and +30 (the maximum) at caster level 16th.&lt;/p&gt;&lt;/h4&gt;&lt;/div&gt;</t>
  </si>
  <si>
    <t>Subject gains a bonus on Perception checks.</t>
  </si>
  <si>
    <t>Age Resistance, Lesser</t>
  </si>
  <si>
    <t>alchemist 3, druid 4, sorcerer/wizard 4, witch 4</t>
  </si>
  <si>
    <t>You ignore the physical detriments of being middle-aged. This spell does not cause you to look younger, nor does it prevent you from dying of old age, but as long as the spell is in effect, you ignore the -1 penalties to Strength, Dexterity, and Constitution that accrue once you become middle-aged. You retain the agerelated bonuses to Intelligence, Wisdom, and Charisma while under the effects of this spell. Additional penalties that you accrue upon becoming old or venerable apply in full.</t>
  </si>
  <si>
    <t>&lt;p&gt;You ignore the physical detriments of being middle-aged. This spell does not cause you to look younger, nor does it prevent you from dying of old age, but as long as the spell is in effect, you ignore the -1 penalties to Strength, Dexterity, and Constitution that accrue once you become middle-aged. You retain the agerelated bonuses to Intelligence, Wisdom, and Charisma while under the effects of this spell. Additional penalties that you accrue upon becoming old or venerable apply in full.&lt;/p&gt;</t>
  </si>
  <si>
    <t>&lt;link rel="stylesheet"href="PF.css"&gt;&lt;div class="heading"&gt;&lt;p class="alignleft"&gt;Age Resistance, Lesser&lt;/p&gt;&lt;div style="clear: both;"&gt;&lt;/div&gt;&lt;/div&gt;&lt;div&gt;&lt;h5&gt;&lt;b&gt;School &lt;/b&gt;transmutation; &lt;b&gt;Level &lt;/b&gt;alchemist 3, druid 4, sorcerer/wizard 4, witch 4&lt;/h5&gt;&lt;/div&gt;&lt;hr/&gt;&lt;div&gt;&lt;h5&gt;&lt;b&gt;CASTING&lt;/b&gt;&lt;/h5&gt;&lt;/div&gt;&lt;hr/&gt;&lt;div&gt;&lt;h5&gt;&lt;b&gt;Casting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&lt;/b&gt;24 hours&lt;/h5&gt;&lt;/div&gt;&lt;hr/&gt;&lt;div&gt;&lt;h5&gt;&lt;b&gt;DESCRIPTION&lt;/b&gt;&lt;/h5&gt;&lt;/div&gt;&lt;hr/&gt;&lt;div&gt;&lt;h4&gt;&lt;p&gt;You ignore the physical detriments of being middle-aged. This spell does not cause you to look younger, nor does it prevent you from dying of old age, but as long as the spell is in effect, you ignore the -1 penalties to Strength, Dexterity, and Constitution that accrue once you become middle-aged. You retain the agerelated bonuses to Intelligence, Wisdom, and Charisma while under the effects of this spell. Additional penalties that you accrue upon becoming old or venerable apply in full.&lt;/p&gt;&lt;/h4&gt;&lt;/div&gt;</t>
  </si>
  <si>
    <t>Ignore penalties from middle age.</t>
  </si>
  <si>
    <t>Age Resistance, Greater</t>
  </si>
  <si>
    <t>alchemist 5, druid 7, sorcerer/wizard 7, witch 7</t>
  </si>
  <si>
    <t>This spell functions as lesser age resistance, except you ignore all Strength, Dexterity, and Constitution penalties gained from middle age, old age, and venerable age.</t>
  </si>
  <si>
    <t>&lt;p&gt;This spell functions as &lt;i&gt;lesser age resistance&lt;/i&gt;, except you ignore all Strength, Dexterity, and Constitution penalties gained from middle age, old age, and venerable age.&lt;/p&gt;</t>
  </si>
  <si>
    <t>&lt;link rel="stylesheet"href="PF.css"&gt;&lt;div class="heading"&gt;&lt;p class="alignleft"&gt;Age Resistance, Greater&lt;/p&gt;&lt;div style="clear: both;"&gt;&lt;/div&gt;&lt;/div&gt;&lt;div&gt;&lt;h5&gt;&lt;b&gt;School &lt;/b&gt;transmutation; &lt;b&gt;Level &lt;/b&gt;alchemist 5, druid 7, sorcerer/wizard 7, witch 7&lt;/h5&gt;&lt;/div&gt;&lt;hr/&gt;&lt;div&gt;&lt;h5&gt;&lt;b&gt;CASTING&lt;/b&gt;&lt;/h5&gt;&lt;/div&gt;&lt;hr/&gt;&lt;div&gt;&lt;h5&gt;&lt;b&gt;Casting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&lt;/b&gt;24 hours&lt;/h5&gt;&lt;/div&gt;&lt;hr/&gt;&lt;div&gt;&lt;h5&gt;&lt;b&gt;DESCRIPTION&lt;/b&gt;&lt;/h5&gt;&lt;/div&gt;&lt;hr/&gt;&lt;div&gt;&lt;h4&gt;&lt;p&gt;This spell functions as &lt;i&gt;lesser age resistance&lt;/i&gt;, except you ignore all Strength, Dexterity, and Constitution penalties gained from middle age, old age, and venerable age.&lt;/p&gt;&lt;/h4&gt;&lt;/div&gt;</t>
  </si>
  <si>
    <t>Ignore penalties from venerable age.</t>
  </si>
  <si>
    <t>Age Resistance</t>
  </si>
  <si>
    <t>alchemist 4, druid 6, sorcerer/wizard 6, witch 6</t>
  </si>
  <si>
    <t>This spell functions as lesser age resistance, except you ignore the Strength, Dexterity, and Constitution penalties gained at middle age and old age.</t>
  </si>
  <si>
    <t>&lt;p&gt;This spell functions as &lt;i&gt;lesser age resistance&lt;/i&gt;, except you ignore the Strength, Dexterity, and Constitution penalties gained at middle age and old age.&lt;/p&gt;</t>
  </si>
  <si>
    <t>&lt;link rel="stylesheet"href="PF.css"&gt;&lt;div class="heading"&gt;&lt;p class="alignleft"&gt;Age Resistance&lt;/p&gt;&lt;div style="clear: both;"&gt;&lt;/div&gt;&lt;/div&gt;&lt;div&gt;&lt;h5&gt;&lt;b&gt;School &lt;/b&gt;transmutation; &lt;b&gt;Level &lt;/b&gt;alchemist 4, druid 6, sorcerer/wizard 6, witch 6&lt;/h5&gt;&lt;/div&gt;&lt;hr/&gt;&lt;div&gt;&lt;h5&gt;&lt;b&gt;CASTING&lt;/b&gt;&lt;/h5&gt;&lt;/div&gt;&lt;hr/&gt;&lt;div&gt;&lt;h5&gt;&lt;b&gt;Casting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&lt;/b&gt;24 hours&lt;/h5&gt;&lt;/div&gt;&lt;hr/&gt;&lt;div&gt;&lt;h5&gt;&lt;b&gt;DESCRIPTION&lt;/b&gt;&lt;/h5&gt;&lt;/div&gt;&lt;hr/&gt;&lt;div&gt;&lt;h4&gt;&lt;p&gt;This spell functions as &lt;i&gt;lesser age resistance&lt;/i&gt;, except you ignore the Strength, Dexterity, and Constitution penalties gained at middle age and old age.&lt;/p&gt;&lt;/h4&gt;&lt;/div&gt;</t>
  </si>
  <si>
    <t>Ignore penalties from old age.</t>
  </si>
  <si>
    <t>Allegro</t>
  </si>
  <si>
    <t>1 round/level (D) or until discharged</t>
  </si>
  <si>
    <t>This spell allows you to act more swiftly while maintaining a bardic performance. You must already be maintaining a bardic performance before you can cast allegro. You gain the benefits of the spell haste for as long as you maintain that bardic performance. If you cease maintaining the bardic performance or it is interrupted, this spell's duration ends. As an immediate action while you are maintaining a bardic performance, you can dismiss allegro to reroll a Reflex save or Dexterity-based skill check-you must choose to reroll before the result of the original roll is known. You must take the result of the reroll, even if it's worse than the original roll. Allegro dispels and is dispelled by slow.</t>
  </si>
  <si>
    <t>&lt;p&gt;This spell allows you to act more swiftly while maintaining a bardic performance. You must already be maintaining a bardic performance before you can cast &lt;i&gt;allegro&lt;/i&gt;. You gain the benefits of the spell &lt;i&gt;haste&lt;/i&gt; for as long as you maintain that bardic performance. If you cease maintaining the bardic performance or it is interrupted, this spell's duration ends. As an immediate action while you are maintaining a bardic performance, you can dismiss &lt;i&gt;allegro&lt;/i&gt; to reroll a Reflex save or Dexterity-based skill check-you must choose to reroll before the result of the original roll is known. You must take the result of the reroll, even if it's worse than the original roll. &lt;i&gt;Allegro&lt;/i&gt; dispels and is dispelled by &lt;i&gt;slow&lt;/i&gt;.&lt;/p&gt;</t>
  </si>
  <si>
    <t>&lt;link rel="stylesheet"href="PF.css"&gt;&lt;div class="heading"&gt;&lt;p class="alignleft"&gt;Allegro&lt;/p&gt;&lt;div style="clear: both;"&gt;&lt;/div&gt;&lt;/div&gt;&lt;div&gt;&lt;h5&gt;&lt;b&gt;School &lt;/b&gt;transmutation; &lt;b&gt;Level &lt;/b&gt;bard 2&lt;/h5&gt;&lt;/div&gt;&lt;hr/&gt;&lt;div&gt;&lt;h5&gt;&lt;b&gt;CASTING&lt;/b&gt;&lt;/h5&gt;&lt;/div&gt;&lt;hr/&gt;&lt;div&gt;&lt;h5&gt;&lt;b&gt;Casting Time &lt;/b&gt;1 standard action&lt;/h5&gt;&lt;h5&gt;&lt;b&gt;Components &lt;/b&gt;V&lt;/h5&gt;&lt;/div&gt;&lt;hr/&gt;&lt;div&gt;&lt;h5&gt;&lt;b&gt;EFFECT&lt;/b&gt;&lt;/h5&gt;&lt;/div&gt;&lt;hr/&gt;&lt;div&gt;&lt;h5&gt;&lt;b&gt;Range &lt;/b&gt;personal&lt;/h5&gt;&lt;h5&gt;&lt;b&gt;Targets &lt;/b&gt;you&lt;/h5&gt;&lt;h5&gt;&lt;b&gt;Duration &lt;/b&gt;1 round/level (D) or until discharged&lt;/h5&gt;&lt;/div&gt;&lt;hr/&gt;&lt;div&gt;&lt;h5&gt;&lt;b&gt;DESCRIPTION&lt;/b&gt;&lt;/h5&gt;&lt;/div&gt;&lt;hr/&gt;&lt;div&gt;&lt;h4&gt;&lt;p&gt;This spell allows you to act more swiftly while maintaining a bardic performance. You must already be maintaining a bardic performance before you can cast &lt;i&gt;allegro&lt;/i&gt;. You gain the benefits of the spell &lt;i&gt;haste&lt;/i&gt; for as long as you maintain that bardic performance. If you cease maintaining the bardic performance or it is interrupted, this spell's duration ends. As an immediate action while you are maintaining a bardic performance, you can dismiss &lt;i&gt;allegro&lt;/i&gt; to reroll a Reflex save or Dexterity-based skill check-you must choose to reroll before the result of the original roll is known. You must take the result of the reroll, even if it's worse than the original roll. &lt;i&gt;Allegro&lt;/i&gt; dispels and is dispelled by &lt;i&gt;slow&lt;/i&gt;.&lt;/p&gt;&lt;/h4&gt;&lt;/div&gt;</t>
  </si>
  <si>
    <t>Gain haste while maintaining bardic performance.</t>
  </si>
  <si>
    <t>Animate Dead, Lesser</t>
  </si>
  <si>
    <t>cleric 2/oracle 2, sorcerer/wizard 3</t>
  </si>
  <si>
    <t>This spell functions as animate dead, except you can only create a single Small or Medium skeleton or zombie. You cannot create variant skeletons or zombies with this spell.</t>
  </si>
  <si>
    <t>&lt;p&gt;This spell functions as &lt;i&gt;animate dead&lt;/i&gt;, except you can only create a single Small or Medium skeleton or zombie. You cannot create variant skeletons or zombies with this spell.&lt;/p&gt;</t>
  </si>
  <si>
    <t>&lt;link rel="stylesheet"href="PF.css"&gt;&lt;div class="heading"&gt;&lt;p class="alignleft"&gt;Animate Dead, Lesser&lt;/p&gt;&lt;div style="clear: both;"&gt;&lt;/div&gt;&lt;/div&gt;&lt;div&gt;&lt;h5&gt;&lt;b&gt;School &lt;/b&gt;necromancy [evil]; &lt;b&gt;Level &lt;/b&gt;cleric 2/oracle 2, sorcerer/wizard 3&lt;/h5&gt;&lt;/div&gt;&lt;hr/&gt;&lt;div&gt;&lt;h5&gt;&lt;b&gt;CASTING&lt;/b&gt;&lt;/h5&gt;&lt;/div&gt;&lt;hr/&gt;&lt;div&gt;&lt;h5&gt;&lt;b&gt;Casting Time &lt;/b&gt;1 standard action&lt;/h5&gt;&lt;h5&gt;&lt;b&gt;Components &lt;/b&gt;V, S, M (an onyx gem worth at least 25 gp per Hit Die of the undead)&lt;/h5&gt;&lt;/div&gt;&lt;hr/&gt;&lt;div&gt;&lt;h5&gt;&lt;b&gt;EFFECT&lt;/b&gt;&lt;/h5&gt;&lt;/div&gt;&lt;hr/&gt;&lt;div&gt;&lt;h5&gt;&lt;b&gt;Range &lt;/b&gt;touch&lt;/h5&gt;&lt;h5&gt;&lt;b&gt;Targets &lt;/b&gt;one corpse&lt;/h5&gt;&lt;h5&gt;&lt;b&gt;Duration &lt;/b&gt;instantaneous&lt;/h5&gt;&lt;h5&gt;&lt;b&gt;Saving Throw &lt;/b&gt;none; &lt;b&gt;Spell Resistance &lt;/b&gt;no&lt;/h5&gt;&lt;/div&gt;&lt;hr/&gt;&lt;div&gt;&lt;h5&gt;&lt;b&gt;DESCRIPTION&lt;/b&gt;&lt;/h5&gt;&lt;/div&gt;&lt;hr/&gt;&lt;div&gt;&lt;h4&gt;&lt;p&gt;This spell functions as &lt;i&gt;animate dead&lt;/i&gt;, except you can only create a single Small or Medium skeleton or zombie. You cannot create variant skeletons or zombies with this spell.&lt;/p&gt;&lt;/h4&gt;&lt;/div&gt;</t>
  </si>
  <si>
    <t>Create one skeleton or zombie.</t>
  </si>
  <si>
    <t>Anthropomorphic Animal</t>
  </si>
  <si>
    <t>druid 3, sorcerer/wizard 3, witch 3</t>
  </si>
  <si>
    <t>V, S, M (a humanoid thumb bone)</t>
  </si>
  <si>
    <t>animal touched</t>
  </si>
  <si>
    <t>You transform the touched animal into a bipedal hybrid of its original form with a humanoid form, similar to how a lycanthrope's hybrid form is a mix of a humanoid and animal form. The animal's size, type, and ability scores do not change. It loses its natural attacks except for bite (if it had one as an animal), all types of movement other than its land speed, and special attacks that rely on its natural attacks. One pair of its limbs is able to manipulate objects and weapons as well as human hands do; limbless animals like snakes temporarily grow a pair of arms. The creature's Intelligence increases to 3, and it gains the ability to speak one language you know. It is not considered proficient in any manufactured weapons. It can attack with unarmed strikes, dealing unarmed strike damage for a creature of its size (unless it has a bite attack, which is a natural attack). Anthropomorphic animal can be made permanent with a permanency spell cast by a caster of 11th level or higher at a cost of 7,500 gp.</t>
  </si>
  <si>
    <t>&lt;p&gt;You transform the touched animal into a bipedal hybrid of its original form with a humanoid form, similar to how a lycanthrope's hybrid form is a mix of a humanoid and animal form. The animal's size, type, and ability scores do not change. It loses its natural attacks except for bite (if it had one as an animal), all types of movement other than its land speed, and special attacks that rely on its natural attacks. One pair of its limbs is able to manipulate objects and weapons as well as human hands do; limbless animals like snakes temporarily grow a pair of arms. The creature's Intelligence increases to 3, and it gains the ability to speak one language you know. It is not considered proficient in any manufactured weapons. It can attack with unarmed strikes, dealing unarmed strike damage for a creature of its size (unless it has a bite attack, which is a natural attack).&lt;/p&gt;&lt;p&gt;&lt;i&gt;Anthropomorphic animal&lt;/i&gt; can be made permanent with a &lt;i&gt;permanency&lt;/i&gt; spell cast by a caster of 11th level or higher at a cost of 7,500 gp.&lt;/p&gt;</t>
  </si>
  <si>
    <t>&lt;link rel="stylesheet"href="PF.css"&gt;&lt;div class="heading"&gt;&lt;p class="alignleft"&gt;Anthropomorphic Animal&lt;/p&gt;&lt;div style="clear: both;"&gt;&lt;/div&gt;&lt;/div&gt;&lt;div&gt;&lt;h5&gt;&lt;b&gt;School &lt;/b&gt;transmutation (polymorph); &lt;b&gt;Level &lt;/b&gt;druid 3, sorcerer/wizard 3, witch 3&lt;/h5&gt;&lt;/div&gt;&lt;hr/&gt;&lt;div&gt;&lt;h5&gt;&lt;b&gt;CASTING&lt;/b&gt;&lt;/h5&gt;&lt;/div&gt;&lt;hr/&gt;&lt;div&gt;&lt;h5&gt;&lt;b&gt;Casting Time &lt;/b&gt;1 standard action&lt;/h5&gt;&lt;h5&gt;&lt;b&gt;Components &lt;/b&gt;V, S, M (a humanoid thumb bone)&lt;/h5&gt;&lt;/div&gt;&lt;hr/&gt;&lt;div&gt;&lt;h5&gt;&lt;b&gt;EFFECT&lt;/b&gt;&lt;/h5&gt;&lt;/div&gt;&lt;hr/&gt;&lt;div&gt;&lt;h5&gt;&lt;b&gt;Range &lt;/b&gt;touch&lt;/h5&gt;&lt;h5&gt;&lt;b&gt;Targets &lt;/b&gt;animal touched&lt;/h5&gt;&lt;h5&gt;&lt;b&gt;Duration &lt;/b&gt;1 hour/level&lt;/h5&gt;&lt;h5&gt;&lt;b&gt;Saving Throw &lt;/b&gt;Fortitude negates; &lt;b&gt;Spell Resistance &lt;/b&gt;yes&lt;/h5&gt;&lt;/div&gt;&lt;hr/&gt;&lt;div&gt;&lt;h5&gt;&lt;b&gt;DESCRIPTION&lt;/b&gt;&lt;/h5&gt;&lt;/div&gt;&lt;hr/&gt;&lt;div&gt;&lt;h4&gt;&lt;p&gt;You transform the touched animal into a bipedal hybrid of its original form with a humanoid form, similar to how a lycanthrope's hybrid form is a mix of a humanoid and animal form. The animal's size, type, and ability scores do not change. It loses its natural attacks except for bite (if it had one as an animal), all types of movement other than its land speed, and special attacks that rely on its natural attacks. One pair of its limbs is able to manipulate objects and weapons as well as human hands do; limbless animals like snakes temporarily grow a pair of arms. The creature's Intelligence increases to 3, and it gains the ability to speak one language you know. It is not considered proficient in any manufactured weapons. It can attack with unarmed strikes, dealing unarmed strike damage for a creature of its size (unless it has a bite attack, which is a natural attack).&lt;/p&gt;&lt;p&gt;&lt;i&gt;Anthropomorphic animal&lt;/i&gt; can be made permanent with a &lt;i&gt;permanency&lt;/i&gt; spell cast by a caster of 11th level or higher at a cost of 7,500 gp.&lt;/p&gt;&lt;/h4&gt;&lt;/div&gt;</t>
  </si>
  <si>
    <t>Animal becomes bipedal.</t>
  </si>
  <si>
    <t>Anticipate Peril</t>
  </si>
  <si>
    <t>alchemist 1, bard 1, ranger 1, sorcerer/wizard 1</t>
  </si>
  <si>
    <t>1 minute/level or until activated</t>
  </si>
  <si>
    <t>A creature affected by anticipate peril gains a preternatural sense of danger. The first time during this spell's duration that the target has to make an initiative check, the creature adds an insight bonus on that initiative check equal to the spell's caster level (maximum +5). Once this bonus applies, the effects of the spell end.</t>
  </si>
  <si>
    <t>&lt;p&gt;A creature affected by &lt;i&gt;anticipate peril&lt;/i&gt; gains a preternatural sense of danger. The first time during this spell's duration that the target has to make an initiative check, the creature adds an insight bonus on that initiative check equal to the spell's caster level (maximum +5). Once this bonus applies, the effects of the spell end.&lt;/p&gt;</t>
  </si>
  <si>
    <t>&lt;link rel="stylesheet"href="PF.css"&gt;&lt;div class="heading"&gt;&lt;p class="alignleft"&gt;Anticipate Peril&lt;/p&gt;&lt;div style="clear: both;"&gt;&lt;/div&gt;&lt;/div&gt;&lt;div&gt;&lt;h5&gt;&lt;b&gt;School &lt;/b&gt;divination; &lt;b&gt;Level &lt;/b&gt;alchemist 1, bard 1, ranger 1, sorcerer/wizard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minute/level or until activated&lt;/h5&gt;&lt;h5&gt;&lt;b&gt;Saving Throw &lt;/b&gt;Will negates; &lt;b&gt;Spell Resistance &lt;/b&gt;yes&lt;/h5&gt;&lt;/div&gt;&lt;hr/&gt;&lt;div&gt;&lt;h5&gt;&lt;b&gt;DESCRIPTION&lt;/b&gt;&lt;/h5&gt;&lt;/div&gt;&lt;hr/&gt;&lt;div&gt;&lt;h4&gt;&lt;p&gt;A creature affected by &lt;i&gt;anticipate peril&lt;/i&gt; gains a preternatural sense of danger. The first time during this spell's duration that the target has to make an initiative check, the creature adds an insight bonus on that initiative check equal to the spell's caster level (maximum +5). Once this bonus applies, the effects of the spell end.&lt;/p&gt;&lt;/h4&gt;&lt;h5&gt;&lt;b&gt;Mythic: &lt;/b&gt;Add your tier to the spell's initiative bonus and the maximum initiative bonus the spell can grant.&lt;/h5&gt;&lt;/div&gt;</t>
  </si>
  <si>
    <t>Target gains a bonus on one initiative check.</t>
  </si>
  <si>
    <t>Add your tier to the spell's initiative bonus and the maximum initiative bonus the spell can grant.</t>
  </si>
  <si>
    <t>Arboreal Hammer</t>
  </si>
  <si>
    <t>one Huge or larger tree</t>
  </si>
  <si>
    <t>This spell animates a tree's branch and directs it against your foes. At caster level 10th or lower, you can target a Huge tree. At caster level 11th-15th, you can target a Gargantuan tree, and at caster level 16th or higher you can target a Colossal tree. The animated branch makes slam attacks with a Strength score equal to 10 + your caster level. The branch strikes once per round with an attack bonus equal to your caster level + the branch's Strength modifier, adjusted by the appropriate size modifier (-2 for Huge, -4 for Gargantuan, -8 for Colossal). A Huge tree's slam deals 2d6 points of damage, a Gargantuan tree's slam deals 3d6 points of damage, and a Colossal tree's slam deals 4d6 points of damage; the tree adds 1-1/2 times its Strength modifier to this damage. A Huge tree has reach 15 feet, a Gargantuan has reach 20 feet, and a Colossal has reach 30 feet. The tree attacks the creature you designate when you cast the spell, and is unable to move. You can direct the tree against a new target as a move action. The tree does not gain a bonus for flanking, nor can it help another combatant flank. It cannot attack a foe you cannot see.</t>
  </si>
  <si>
    <t>&lt;p&gt;This spell animates a tree's branch and directs it against your foes. At caster level 10th or lower, you can target a Huge tree. At caster level 11th-15th, you can target a Gargantuan tree, and at caster level 16th or higher you can target a Colossal tree. The animated branch makes slam attacks with a Strength score equal to 10 + your caster level. The branch strikes once per round with an attack bonus equal to your caster level + the branch's Strength modifier, adjusted by the appropriate size modifier (-2 for Huge, -4 for Gargantuan, -8 for Colossal). A Huge tree's slam deals 2d6 points of damage, a Gargantuan tree's slam deals 3d6 points of damage, and a Colossal tree's slam deals 4d6 points of damage; the tree adds 1-1/2 times its Strength modifier to this damage. A Huge tree has reach 15 feet, a Gargantuan has reach 20 feet, and a Colossal has reach 30 feet. The tree attacks the creature you designate when you cast the spell, and is unable to move. You can direct the tree against a new target as a move action. The tree does not gain a bonus for flanking, nor can it help another combatant flank. It cannot attack a foe you cannot see.&lt;/p&gt;</t>
  </si>
  <si>
    <t>&lt;link rel="stylesheet"href="PF.css"&gt;&lt;div class="heading"&gt;&lt;p class="alignleft"&gt;Arboreal Hammer&lt;/p&gt;&lt;div style="clear: both;"&gt;&lt;/div&gt;&lt;/div&gt;&lt;div&gt;&lt;h5&gt;&lt;b&gt;School &lt;/b&gt;transmutation; &lt;b&gt;Level &lt;/b&gt;druid 4&lt;/h5&gt;&lt;/div&gt;&lt;hr/&gt;&lt;div&gt;&lt;h5&gt;&lt;b&gt;CASTING&lt;/b&gt;&lt;/h5&gt;&lt;/div&gt;&lt;hr/&gt;&lt;div&gt;&lt;h5&gt;&lt;b&gt;Casting Time &lt;/b&gt;1 standard action&lt;/h5&gt;&lt;h5&gt;&lt;b&gt;Components &lt;/b&gt;V, S, DF&lt;/h5&gt;&lt;/div&gt;&lt;hr/&gt;&lt;div&gt;&lt;h5&gt;&lt;b&gt;EFFECT&lt;/b&gt;&lt;/h5&gt;&lt;/div&gt;&lt;hr/&gt;&lt;div&gt;&lt;h5&gt;&lt;b&gt;Range &lt;/b&gt;medium (100 ft. + 10 ft./level)&lt;/h5&gt;&lt;h5&gt;&lt;b&gt;Targets &lt;/b&gt;one Huge or larger tree&lt;/h5&gt;&lt;h5&gt;&lt;b&gt;Duration &lt;/b&gt;1 round/level (D)&lt;/h5&gt;&lt;h5&gt;&lt;b&gt;Saving Throw &lt;/b&gt;none; &lt;b&gt;Spell Resistance &lt;/b&gt;no&lt;/h5&gt;&lt;/div&gt;&lt;hr/&gt;&lt;div&gt;&lt;h5&gt;&lt;b&gt;DESCRIPTION&lt;/b&gt;&lt;/h5&gt;&lt;/div&gt;&lt;hr/&gt;&lt;div&gt;&lt;h4&gt;&lt;p&gt;This spell animates a tree's branch and directs it against your foes. At caster level 10th or lower, you can target a Huge tree. At caster level 11th-15th, you can target a Gargantuan tree, and at caster level 16th or higher you can target a Colossal tree. The animated branch makes slam attacks with a Strength score equal to 10 + your caster level. The branch strikes once per round with an attack bonus equal to your caster level + the branch's Strength modifier, adjusted by the appropriate size modifier (-2 for Huge, -4 for Gargantuan, -8 for Colossal). A Huge tree's slam deals 2d6 points of damage, a Gargantuan tree's slam deals 3d6 points of damage, and a Colossal tree's slam deals 4d6 points of damage; the tree adds 1-1/2 times its Strength modifier to this damage. A Huge tree has reach 15 feet, a Gargantuan has reach 20 feet, and a Colossal has reach 30 feet. The tree attacks the creature you designate when you cast the spell, and is unable to move. You can direct the tree against a new target as a move action. The tree does not gain a bonus for flanking, nor can it help another combatant flank. It cannot attack a foe you cannot see.&lt;/p&gt;&lt;/h4&gt;&lt;h5&gt;&lt;b&gt;Mythic: &lt;/b&gt;You animate two branches instead of one, allowing the tree to attack twice per round. Add your tier to your caster level when determining the tree's Strength score. A creature struck by both slam attacks in the same round must succeed at a Fortitude save against the spell's DC or be staggered for 1 round.&lt;/h5&gt;&lt;h5&gt;&lt;b&gt;Augmented (7th)&lt;/b&gt;: If you expend two uses of mythic power, the tree attempts three slam attacks per round and its slams bypass all damage reduction. A creature struck by all three slam attacks in the same round is stunned for 1 round and staggered for 1d4 rounds after the stun ends. A successful Fortitude save negates the stun and reduces the duration of being staggered by half.&lt;/h5&gt;&lt;/div&gt;</t>
  </si>
  <si>
    <t>Tree branches attack opponents.</t>
  </si>
  <si>
    <t>You animate two branches instead of one, allowing the tree to attack twice per round. Add your tier to your caster level when determining the tree's Strength score. A creature struck by both slam attacks in the same round must succeed at a Fortitude save against the spell's DC or be staggered for 1 round.</t>
  </si>
  <si>
    <t>Augmented (7th): If you expend two uses of mythic power, the tree attempts three slam attacks per round and its slams bypass all damage reduction. A creature struck by all three slam attacks in the same round is stunned for 1 round and staggered for 1d4 rounds after the stun ends. A successful Fortitude save negates the stun and reduces the duration of being staggered by half.</t>
  </si>
  <si>
    <t>Arcana Theft</t>
  </si>
  <si>
    <t>magus 4</t>
  </si>
  <si>
    <t>This spell functions as a targeted dispel magic spell, except it only affects creatures and it requires a melee touch attack. If the melee touch attack is successful and the spell successfully dispels one spell affecting the target, that spell is instead transferred to you, treating you as the original target. You do not receive a new saving throw or spell resistance check against this spell and must accept its affects even if they are not beneficial. This does not alter the spell's duration; for example, if the spell only has 4 rounds of duration remaining when it is stolen, it only affects you for 4 rounds. If the spell or effect has a duration of permanent, its duration continues for 1 hour per caster level of the original caster, after which it ends. The stolen spell does not revert to the original target.</t>
  </si>
  <si>
    <t>&lt;p&gt;This spell functions as a targeted &lt;i&gt;dispel magic&lt;/i&gt; spell, except it only affects creatures and it requires a melee touch attack. If the melee touch attack is successful and the spell successfully dispels one spell affecting the target, that spell is instead transferred to you, treating you as the original target. You do not receive a new saving throw or spell resistance check against this spell and must accept its affects even if they are not beneficial. This does not alter the spell's duration; for example, if the spell only has 4 rounds of duration remaining when it is stolen, it only affects you for 4 rounds. If the spell or effect has a duration of permanent, its duration continues for 1 hour per caster level of the original caster, after which it ends. The stolen spell does not revert to the original target.&lt;/p&gt;</t>
  </si>
  <si>
    <t>&lt;link rel="stylesheet"href="PF.css"&gt;&lt;div class="heading"&gt;&lt;p class="alignleft"&gt;Arcana Theft&lt;/p&gt;&lt;div style="clear: both;"&gt;&lt;/div&gt;&lt;/div&gt;&lt;div&gt;&lt;h5&gt;&lt;b&gt;School &lt;/b&gt;abjuration; &lt;b&gt;Level &lt;/b&gt;magus 4&lt;/h5&gt;&lt;/div&gt;&lt;hr/&gt;&lt;div&gt;&lt;h5&gt;&lt;b&gt;CASTING&lt;/b&gt;&lt;/h5&gt;&lt;/div&gt;&lt;hr/&gt;&lt;div&gt;&lt;h5&gt;&lt;b&gt;Casting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&lt;/b&gt;instantaneous&lt;/h5&gt;&lt;h5&gt;&lt;b&gt;Saving Throw &lt;/b&gt;none; &lt;b&gt;Spell Resistance &lt;/b&gt;yes&lt;/h5&gt;&lt;/div&gt;&lt;hr/&gt;&lt;div&gt;&lt;h5&gt;&lt;b&gt;DESCRIPTION&lt;/b&gt;&lt;/h5&gt;&lt;/div&gt;&lt;hr/&gt;&lt;div&gt;&lt;h4&gt;&lt;p&gt;This spell functions as a targeted &lt;i&gt;dispel magic&lt;/i&gt; spell, except it only affects creatures and it requires a melee touch attack. If the melee touch attack is successful and the spell successfully dispels one spell affecting the target, that spell is instead transferred to you, treating you as the original target. You do not receive a new saving throw or spell resistance check against this spell and must accept its affects even if they are not beneficial. This does not alter the spell's duration; for example, if the spell only has 4 rounds of duration remaining when it is stolen, it only affects you for 4 rounds. If the spell or effect has a duration of permanent, its duration continues for 1 hour per caster level of the original caster, after which it ends. The stolen spell does not revert to the original target.&lt;/p&gt;&lt;/h4&gt;&lt;/div&gt;</t>
  </si>
  <si>
    <t>Targeted dispel transfers an effect to you.</t>
  </si>
  <si>
    <t>Archon's Aura</t>
  </si>
  <si>
    <t>good, lawful</t>
  </si>
  <si>
    <t>20-ft. radius centered on you</t>
  </si>
  <si>
    <t>You gain a powerful aura, similar to an archon's aura of menace. Any hostile creature within a 20-foot radius of you must make a Will save to resist the effects of this aura. If the creature fails, it takes a -2 penalty on attack rolls and saving throws and to Armor Class for the duration of this spell, or until it successfully hits you with an attack. A creature that has resisted or broken the cannot be affected again by this particular casting of archon's aura.</t>
  </si>
  <si>
    <t>&lt;p&gt;You gain a powerful aura, similar to an archon's aura of menace.&lt;/p&gt;&lt;p&gt;Any hostile creature within a 20-foot radius of you must make a Will save to resist the effects of this aura. If the creature fails, it takes a -2 penalty on attack rolls and saving throws and to Armor Class for the duration of this spell, or until it successfully hits you with an attack. A creature that has resisted or broken the cannot be affected again by this particular casting of archon's aura.&lt;/p&gt;</t>
  </si>
  <si>
    <t>&lt;link rel="stylesheet"href="PF.css"&gt;&lt;div class="heading"&gt;&lt;p class="alignleft"&gt;Archon's Aura&lt;/p&gt;&lt;div style="clear: both;"&gt;&lt;/div&gt;&lt;/div&gt;&lt;div&gt;&lt;h5&gt;&lt;b&gt;School &lt;/b&gt;evocation [good, lawful]; &lt;b&gt;Level &lt;/b&gt;cleric 3/oracle 3, paladin 3&lt;/h5&gt;&lt;/div&gt;&lt;hr/&gt;&lt;div&gt;&lt;h5&gt;&lt;b&gt;CASTING&lt;/b&gt;&lt;/h5&gt;&lt;/div&gt;&lt;hr/&gt;&lt;div&gt;&lt;h5&gt;&lt;b&gt;Casting Time &lt;/b&gt;1 standard action&lt;/h5&gt;&lt;h5&gt;&lt;b&gt;Components &lt;/b&gt;V, S&lt;/h5&gt;&lt;/div&gt;&lt;hr/&gt;&lt;div&gt;&lt;h5&gt;&lt;b&gt;EFFECT&lt;/b&gt;&lt;/h5&gt;&lt;/div&gt;&lt;hr/&gt;&lt;div&gt;&lt;h5&gt;&lt;b&gt;Range &lt;/b&gt;20 ft.&lt;/h5&gt;&lt;h5&gt;&lt;b&gt;Area &lt;/b&gt;20-ft. radius centered on you&lt;/h5&gt;&lt;h5&gt;&lt;b&gt;Duration &lt;/b&gt;1 minute/level&lt;/h5&gt;&lt;h5&gt;&lt;b&gt;Saving Throw &lt;/b&gt;Will negates; &lt;b&gt;Spell Resistance &lt;/b&gt;yes&lt;/h5&gt;&lt;/div&gt;&lt;hr/&gt;&lt;div&gt;&lt;h5&gt;&lt;b&gt;DESCRIPTION&lt;/b&gt;&lt;/h5&gt;&lt;/div&gt;&lt;hr/&gt;&lt;div&gt;&lt;h4&gt;&lt;p&gt;You gain a powerful aura, similar to an archon's aura of menace.&lt;/p&gt;&lt;p&gt;Any hostile creature within a 20-foot radius of you must make a Will save to resist the effects of this aura. If the creature fails, it takes a -2 penalty on attack rolls and saving throws and to Armor Class for the duration of this spell, or until it successfully hits you with an attack. A creature that has resisted or broken the cannot be affected again by this particular casting of archon's aura.&lt;/p&gt;&lt;/h4&gt;&lt;/div&gt;</t>
  </si>
  <si>
    <t>Aura penalizes enemy attacks and AC.</t>
  </si>
  <si>
    <t>Arrow of Law</t>
  </si>
  <si>
    <t>V, S, DF (a holy symbol)</t>
  </si>
  <si>
    <t>arrow-shaped projectile of lawful energy</t>
  </si>
  <si>
    <t>Will partial (see text)</t>
  </si>
  <si>
    <t>You fire a shimmering arrow of pure order from your holy symbol at any one target in range as a ranged touch attack. A chaotic creature struck by an arrow of law takes 1d8 points of damage per two caster levels (maximum 5d8). A chaotic outsider instead takes 1d6 points of damage per caster level (maximum 10d6) and is dazed for 1 round. A successful Will save reduces the damage to half and negates the daze effect. This spell deals only half damage to creatures that are neither chaotic nor lawful, and they are not dazed. The arrow has no effect on lawful creatures.</t>
  </si>
  <si>
    <t>&lt;p&gt;You fire a shimmering arrow of pure order from your holy symbol at any one target in range as a ranged touch attack.&lt;/p&gt;&lt;p&gt;A chaotic creature struck by an &lt;i&gt;arrow of law&lt;/i&gt; takes 1d8 points of damage per two caster levels (maximum 5d8). A chaotic outsider instead takes 1d6 points of damage per caster level (maximum 10d6) and is dazed for 1 round. A successful Will save reduces the damage to half and negates the daze effect.&lt;/p&gt;&lt;p&gt;This spell deals only half damage to creatures that are neither chaotic nor lawful, and they are not dazed. The arrow has no effect on lawful creatures.&lt;/p&gt;</t>
  </si>
  <si>
    <t>&lt;link rel="stylesheet"href="PF.css"&gt;&lt;div class="heading"&gt;&lt;p class="alignleft"&gt;Arrow of Law&lt;/p&gt;&lt;div style="clear: both;"&gt;&lt;/div&gt;&lt;/div&gt;&lt;div&gt;&lt;h5&gt;&lt;b&gt;School &lt;/b&gt;evocation [lawful]; &lt;b&gt;Level &lt;/b&gt;cleric 2/oracle 2, paladin 2&lt;/h5&gt;&lt;/div&gt;&lt;hr/&gt;&lt;div&gt;&lt;h5&gt;&lt;b&gt;CASTING&lt;/b&gt;&lt;/h5&gt;&lt;/div&gt;&lt;hr/&gt;&lt;div&gt;&lt;h5&gt;&lt;b&gt;Casting Time &lt;/b&gt;1 standard action&lt;/h5&gt;&lt;h5&gt;&lt;b&gt;Components &lt;/b&gt;V, S, DF (a holy symbol)&lt;/h5&gt;&lt;/div&gt;&lt;hr/&gt;&lt;div&gt;&lt;h5&gt;&lt;b&gt;EFFECT&lt;/b&gt;&lt;/h5&gt;&lt;/div&gt;&lt;hr/&gt;&lt;div&gt;&lt;h5&gt;&lt;b&gt;Range &lt;/b&gt;close (25 ft. + 5 ft./2 levels)&lt;/h5&gt;&lt;h5&gt;&lt;b&gt;Effect &lt;/b&gt;arrow-shaped projectile of lawful energy&lt;/h5&gt;&lt;h5&gt;&lt;b&gt;Duration &lt;/b&gt;instantaneous (1 round); see text&lt;/h5&gt;&lt;h5&gt;&lt;b&gt;Saving Throw &lt;/b&gt;Will partial (see text); &lt;b&gt;Spell Resistance &lt;/b&gt;yes&lt;/h5&gt;&lt;/div&gt;&lt;hr/&gt;&lt;div&gt;&lt;h5&gt;&lt;b&gt;DESCRIPTION&lt;/b&gt;&lt;/h5&gt;&lt;/div&gt;&lt;hr/&gt;&lt;div&gt;&lt;h4&gt;&lt;p&gt;You fire a shimmering arrow of pure order from your holy symbol at any one target in range as a ranged touch attack.&lt;/p&gt;&lt;p&gt;A chaotic creature struck by an &lt;i&gt;arrow of law&lt;/i&gt; takes 1d8 points of damage per two caster levels (maximum 5d8). A chaotic outsider instead takes 1d6 points of damage per caster level (maximum 10d6) and is dazed for 1 round. A successful Will save reduces the damage to half and negates the daze effect.&lt;/p&gt;&lt;p&gt;This spell deals only half damage to creatures that are neither chaotic nor lawful, and they are not dazed. The arrow has no effect on lawful creatures.&lt;/p&gt;&lt;/h4&gt;&lt;/div&gt;</t>
  </si>
  <si>
    <t>Harm and possibly daze chaotic creatures.</t>
  </si>
  <si>
    <t>Ash Storm</t>
  </si>
  <si>
    <t>V, S, M/DF (a pinch of ash)</t>
  </si>
  <si>
    <t>Driving ash blocks all sight (even darkvision) within the spell's area of effect, and falling cinders cause the ground in the area to become difficult terrain.</t>
  </si>
  <si>
    <t>&lt;p&gt;Driving ash blocks all sight (even darkvision) within the spell's area of effect, and falling cinders cause the ground in the area to become difficult terrain.&lt;/p&gt;</t>
  </si>
  <si>
    <t>&lt;link rel="stylesheet"href="PF.css"&gt;&lt;div class="heading"&gt;&lt;p class="alignleft"&gt;Ash Storm&lt;/p&gt;&lt;div style="clear: both;"&gt;&lt;/div&gt;&lt;/div&gt;&lt;div&gt;&lt;h5&gt;&lt;b&gt;School &lt;/b&gt;conjuration (creation) [fire]; &lt;b&gt;Level &lt;/b&gt;druid 3, sorcerer/wizard 3, witch 3&lt;/h5&gt;&lt;/div&gt;&lt;hr/&gt;&lt;div&gt;&lt;h5&gt;&lt;b&gt;CASTING&lt;/b&gt;&lt;/h5&gt;&lt;/div&gt;&lt;hr/&gt;&lt;div&gt;&lt;h5&gt;&lt;b&gt;Casting Time &lt;/b&gt;1 standard action&lt;/h5&gt;&lt;h5&gt;&lt;b&gt;Components &lt;/b&gt;V, S, M/DF (a pinch of ash)&lt;/h5&gt;&lt;/div&gt;&lt;hr/&gt;&lt;div&gt;&lt;h5&gt;&lt;b&gt;EFFECT&lt;/b&gt;&lt;/h5&gt;&lt;/div&gt;&lt;hr/&gt;&lt;div&gt;&lt;h5&gt;&lt;b&gt;Range &lt;/b&gt;long (400 ft. + 40 ft./level)&lt;/h5&gt;&lt;h5&gt;&lt;b&gt;Area &lt;/b&gt;cylinder (40-ft. radius, 20 ft. high)&lt;/h5&gt;&lt;h5&gt;&lt;b&gt;Duration &lt;/b&gt;1 round/level&lt;/h5&gt;&lt;h5&gt;&lt;b&gt;Saving Throw &lt;/b&gt;none; &lt;b&gt;Spell Resistance &lt;/b&gt;no&lt;/h5&gt;&lt;/div&gt;&lt;hr/&gt;&lt;div&gt;&lt;h5&gt;&lt;b&gt;DESCRIPTION&lt;/b&gt;&lt;/h5&gt;&lt;/div&gt;&lt;hr/&gt;&lt;div&gt;&lt;h4&gt;&lt;p&gt;Driving ash blocks all sight (even darkvision) within the spell's area of effect, and falling cinders cause the ground in the area to become difficult terrain.&lt;/p&gt;&lt;/h4&gt;&lt;/div&gt;</t>
  </si>
  <si>
    <t>Hamper vision and movement.</t>
  </si>
  <si>
    <t>Astral Projection, Lesser</t>
  </si>
  <si>
    <t>This spell functions as astral projection, except you cannot leave the Astral Plane and explore other planes (though you can still return to the plane you were on when you cast this spell).</t>
  </si>
  <si>
    <t>&lt;p&gt;This spell functions as &lt;i&gt;astral projection&lt;/i&gt;, except you cannot leave the Astral Plane and explore other planes (though you can still return to the plane you were on when you cast this spell).&lt;/p&gt;</t>
  </si>
  <si>
    <t>&lt;link rel="stylesheet"href="PF.css"&gt;&lt;div class="heading"&gt;&lt;p class="alignleft"&gt;Astral Projection, Lesser&lt;/p&gt;&lt;div style="clear: both;"&gt;&lt;/div&gt;&lt;/div&gt;&lt;div&gt;&lt;h5&gt;&lt;b&gt;School &lt;/b&gt;necromancy; &lt;b&gt;Level &lt;/b&gt;cleric 5/oracle 5, sorcerer/wizard 5&lt;/h5&gt;&lt;/div&gt;&lt;hr/&gt;&lt;div&gt;&lt;h5&gt;&lt;b&gt;CASTING&lt;/b&gt;&lt;/h5&gt;&lt;/div&gt;&lt;hr/&gt;&lt;div&gt;&lt;h5&gt;&lt;b&gt;Casting Time &lt;/b&gt;30 minutes&lt;/h5&gt;&lt;h5&gt;&lt;b&gt;Components &lt;/b&gt;V, S, M (1,000 gp jacinth)&lt;/h5&gt;&lt;/div&gt;&lt;hr/&gt;&lt;div&gt;&lt;h5&gt;&lt;b&gt;EFFECT&lt;/b&gt;&lt;/h5&gt;&lt;/div&gt;&lt;hr/&gt;&lt;div&gt;&lt;h5&gt;&lt;b&gt;Range &lt;/b&gt;touch&lt;/h5&gt;&lt;h5&gt;&lt;b&gt;Targets &lt;/b&gt;you plus one additional willing creature touched per two caster levels&lt;/h5&gt;&lt;h5&gt;&lt;b&gt;Duration &lt;/b&gt;see text&lt;/h5&gt;&lt;h5&gt;&lt;b&gt;Saving Throw &lt;/b&gt;none; &lt;b&gt;Spell Resistance &lt;/b&gt;yes&lt;/h5&gt;&lt;/div&gt;&lt;hr/&gt;&lt;div&gt;&lt;h5&gt;&lt;b&gt;DESCRIPTION&lt;/b&gt;&lt;/h5&gt;&lt;/div&gt;&lt;hr/&gt;&lt;div&gt;&lt;h4&gt;&lt;p&gt;This spell functions as &lt;i&gt;astral projection&lt;/i&gt;, except you cannot leave the Astral Plane and explore other planes (though you can still return to the plane you were on when you cast this spell).&lt;/p&gt;&lt;/h4&gt;&lt;/div&gt;</t>
  </si>
  <si>
    <t>Limited astral travel.</t>
  </si>
  <si>
    <t>Atavism</t>
  </si>
  <si>
    <t>By bringing forth the primeval ancestry of the target animal, you awaken a savage engine of destruction. The animal immediately gains the advanced creature simple template. It gains a +2 bonus on all rolls, including damage rolls and special ability DCs, a +4 bonus to AC and CMD, and +2 hit points per HD. The animal's primal instincts take hold for the duration of this spell-if the animal knows tricks granted by the Handle Animal skill, it loses access to all of those tricks save for "attack." This spell has no effect on animals that already have the advanced creature template.</t>
  </si>
  <si>
    <t>&lt;p&gt;By bringing forth the primeval ancestry of the target animal, you awaken a savage engine of destruction. The animal immediately gains the advanced creature simple template.&lt;/p&gt;&lt;p&gt;It gains a +2 bonus on all rolls, including damage rolls and special ability DCs, a +4 bonus to AC and CMD, and +2 hit points per HD. The animal's primal instincts take hold for the duration of this spell-if the animal knows tricks granted by the Handle Animal skill, it loses access to all of those tricks save for "attack." This spell has no effect on animals that already have the advanced creature template.&lt;/p&gt;</t>
  </si>
  <si>
    <t>&lt;link rel="stylesheet"href="PF.css"&gt;&lt;div class="heading"&gt;&lt;p class="alignleft"&gt;Atavism&lt;/p&gt;&lt;div style="clear: both;"&gt;&lt;/div&gt;&lt;/div&gt;&lt;div&gt;&lt;h5&gt;&lt;b&gt;School &lt;/b&gt;transmutation; &lt;b&gt;Level &lt;/b&gt;druid 4&lt;/h5&gt;&lt;/div&gt;&lt;hr/&gt;&lt;div&gt;&lt;h5&gt;&lt;b&gt;CASTING&lt;/b&gt;&lt;/h5&gt;&lt;/div&gt;&lt;hr/&gt;&lt;div&gt;&lt;h5&gt;&lt;b&gt;Casting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animal&lt;/h5&gt;&lt;h5&gt;&lt;b&gt;Duration &lt;/b&gt;1 minute/level&lt;/h5&gt;&lt;h5&gt;&lt;b&gt;Saving Throw &lt;/b&gt;Fortitude negates; &lt;b&gt;Spell Resistance &lt;/b&gt;yes&lt;/h5&gt;&lt;/div&gt;&lt;hr/&gt;&lt;div&gt;&lt;h5&gt;&lt;b&gt;DESCRIPTION&lt;/b&gt;&lt;/h5&gt;&lt;/div&gt;&lt;hr/&gt;&lt;div&gt;&lt;h4&gt;&lt;p&gt;By bringing forth the primeval ancestry of the target animal, you awaken a savage engine of destruction. The animal immediately gains the advanced creature simple template.&lt;/p&gt;&lt;p&gt;It gains a +2 bonus on all rolls, including damage rolls and special ability DCs, a +4 bonus to AC and CMD, and +2 hit points per HD. The animal's primal instincts take hold for the duration of this spell-if the animal knows tricks granted by the Handle Animal skill, it loses access to all of those tricks save for "attack." This spell has no effect on animals that already have the advanced creature template.&lt;/p&gt;&lt;/h4&gt;&lt;/div&gt;</t>
  </si>
  <si>
    <t>Animal gains advanced creature simple template.</t>
  </si>
  <si>
    <t>Atavism, Mass</t>
  </si>
  <si>
    <t>one animal/level, no two of which can be more than 30 ft. apart</t>
  </si>
  <si>
    <t>This spell functions as atavism, except it affects multiple creatures.</t>
  </si>
  <si>
    <t>&lt;p&gt;This spell functions as &lt;i&gt;atavism&lt;/i&gt;, except it affects multiple creatures.&lt;/p&gt;</t>
  </si>
  <si>
    <t>&lt;link rel="stylesheet"href="PF.css"&gt;&lt;div class="heading"&gt;&lt;p class="alignleft"&gt;Atavism, Mass&lt;/p&gt;&lt;div style="clear: both;"&gt;&lt;/div&gt;&lt;/div&gt;&lt;div&gt;&lt;h5&gt;&lt;b&gt;School &lt;/b&gt;transmutation; &lt;b&gt;Level &lt;/b&gt;druid 8&lt;/h5&gt;&lt;/div&gt;&lt;hr/&gt;&lt;div&gt;&lt;h5&gt;&lt;b&gt;CASTING&lt;/b&gt;&lt;/h5&gt;&lt;/div&gt;&lt;hr/&gt;&lt;div&gt;&lt;h5&gt;&lt;b&gt;Casting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animal/level, no two of which can be more than 30 ft. apart&lt;/h5&gt;&lt;h5&gt;&lt;b&gt;Duration &lt;/b&gt;1 minute/level&lt;/h5&gt;&lt;h5&gt;&lt;b&gt;Saving Throw &lt;/b&gt;Fortitude negates; &lt;b&gt;Spell Resistance &lt;/b&gt;yes&lt;/h5&gt;&lt;/div&gt;&lt;hr/&gt;&lt;div&gt;&lt;h5&gt;&lt;b&gt;DESCRIPTION&lt;/b&gt;&lt;/h5&gt;&lt;/div&gt;&lt;hr/&gt;&lt;div&gt;&lt;h4&gt;&lt;p&gt;This spell functions as &lt;i&gt;atavism&lt;/i&gt;, except it affects multiple creatures.&lt;/p&gt;&lt;/h4&gt;&lt;/div&gt;</t>
  </si>
  <si>
    <t>One animal/level gains advanced template.</t>
  </si>
  <si>
    <t>Aura of Doom</t>
  </si>
  <si>
    <t>V, S, M/DF (powdered bone)</t>
  </si>
  <si>
    <t>20-ft.-radius emanation centered on you</t>
  </si>
  <si>
    <t>10 minute/level</t>
  </si>
  <si>
    <t>You emanate an almost palpable aura of horror. All non-allies within this spell's area, or that later enter the area, must make a Will save to avoid becoming shaken. A successful save suppresses the effect. Creatures that leave the area and come back must save again to avoid being affected by the effect.</t>
  </si>
  <si>
    <t>&lt;p&gt;You emanate an almost palpable aura of horror. All non-allies within this spell's area, or that later enter the area, must make a Will save to avoid becoming shaken. A successful save suppresses the effect. Creatures that leave the area and come back must save again to avoid being affected by the effect.&lt;/p&gt;</t>
  </si>
  <si>
    <t>&lt;link rel="stylesheet"href="PF.css"&gt;&lt;div class="heading"&gt;&lt;p class="alignleft"&gt;Aura of Doom&lt;/p&gt;&lt;div style="clear: both;"&gt;&lt;/div&gt;&lt;/div&gt;&lt;div&gt;&lt;h5&gt;&lt;b&gt;School &lt;/b&gt;necromancy [emotion, fear, mind-affecting]; &lt;b&gt;Level &lt;/b&gt;cleric 4/oracle 4&lt;/h5&gt;&lt;/div&gt;&lt;hr/&gt;&lt;div&gt;&lt;h5&gt;&lt;b&gt;CASTING&lt;/b&gt;&lt;/h5&gt;&lt;/div&gt;&lt;hr/&gt;&lt;div&gt;&lt;h5&gt;&lt;b&gt;Casting Time &lt;/b&gt;1 standard action&lt;/h5&gt;&lt;h5&gt;&lt;b&gt;Components &lt;/b&gt;V, S, M/DF (powdered bone)&lt;/h5&gt;&lt;/div&gt;&lt;hr/&gt;&lt;div&gt;&lt;h5&gt;&lt;b&gt;EFFECT&lt;/b&gt;&lt;/h5&gt;&lt;/div&gt;&lt;hr/&gt;&lt;div&gt;&lt;h5&gt;&lt;b&gt;Range &lt;/b&gt;personal&lt;/h5&gt;&lt;h5&gt;&lt;b&gt;Area &lt;/b&gt;20-ft.-radius emanation centered on you&lt;/h5&gt;&lt;h5&gt;&lt;b&gt;Duration &lt;/b&gt;10 minute/level&lt;/h5&gt;&lt;h5&gt;&lt;b&gt;Saving Throw &lt;/b&gt;Will negates; &lt;b&gt;Spell Resistance &lt;/b&gt;yes&lt;/h5&gt;&lt;/div&gt;&lt;hr/&gt;&lt;div&gt;&lt;h5&gt;&lt;b&gt;DESCRIPTION&lt;/b&gt;&lt;/h5&gt;&lt;/div&gt;&lt;hr/&gt;&lt;div&gt;&lt;h4&gt;&lt;p&gt;You emanate an almost palpable aura of horror. All non-allies within this spell's area, or that later enter the area, must make a Will save to avoid becoming shaken. A successful save suppresses the effect. Creatures that leave the area and come back must save again to avoid being affected by the effect.&lt;/p&gt;&lt;/h4&gt;&lt;/div&gt;</t>
  </si>
  <si>
    <t>Creatures in your aura become shaken.</t>
  </si>
  <si>
    <t>Badger's Ferocity</t>
  </si>
  <si>
    <t>cleric 3/oracle 3, druid 3, ranger 2, sorcerer/wizard 2</t>
  </si>
  <si>
    <t>one weapon/3 levels</t>
  </si>
  <si>
    <t>This functions like keen edge, except it affects multiple weapons and requires your concentration. You select the weapons to be affected, and can only affect one weapon per creature. If a creature's weapon exceeds the spell's range, the spell ends for that weapon.</t>
  </si>
  <si>
    <t>&lt;p&gt;This functions like &lt;i&gt;keen edge&lt;/i&gt;, except it affects multiple weapons and requires your concentration. You select the weapons to be affected, and can only affect one weapon per creature. If a creature's weapon exceeds the spell's range, the spell ends for that weapon.&lt;/p&gt;</t>
  </si>
  <si>
    <t>&lt;link rel="stylesheet"href="PF.css"&gt;&lt;div class="heading"&gt;&lt;p class="alignleft"&gt;Badger's Ferocity&lt;/p&gt;&lt;div style="clear: both;"&gt;&lt;/div&gt;&lt;/div&gt;&lt;div&gt;&lt;h5&gt;&lt;b&gt;School &lt;/b&gt;transmutation; &lt;b&gt;Level &lt;/b&gt;cleric 3/oracle 3, druid 3, ranger 2, sorcerer/wizard 2&lt;/h5&gt;&lt;/div&gt;&lt;hr/&gt;&lt;div&gt;&lt;h5&gt;&lt;b&gt;CASTING&lt;/b&gt;&lt;/h5&gt;&lt;/div&gt;&lt;hr/&gt;&lt;div&gt;&lt;h5&gt;&lt;b&gt;Casting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weapon/3 levels&lt;/h5&gt;&lt;h5&gt;&lt;b&gt;Duration &lt;/b&gt;concentration&lt;/h5&gt;&lt;h5&gt;&lt;b&gt;Saving Throw &lt;/b&gt;Will negates (harmless); &lt;b&gt;Spell Resistance &lt;/b&gt;yes (harmless)&lt;/h5&gt;&lt;/div&gt;&lt;hr/&gt;&lt;div&gt;&lt;h5&gt;&lt;b&gt;DESCRIPTION&lt;/b&gt;&lt;/h5&gt;&lt;/div&gt;&lt;hr/&gt;&lt;div&gt;&lt;h4&gt;&lt;p&gt;This functions like &lt;i&gt;keen edge&lt;/i&gt;, except it affects multiple weapons and requires your concentration. You select the weapons to be affected, and can only affect one weapon per creature. If a creature's weapon exceeds the spell's range, the spell ends for that weapon.&lt;/p&gt;&lt;/h4&gt;&lt;/div&gt;</t>
  </si>
  <si>
    <t>Weapons are keen while you concentrate.</t>
  </si>
  <si>
    <t>Battlemind Link</t>
  </si>
  <si>
    <t>inquisitor 4, sorcerer/wizard 6</t>
  </si>
  <si>
    <t>personal and close (25 ft. + 5 ft./2 levels)</t>
  </si>
  <si>
    <t>you and 1 ally</t>
  </si>
  <si>
    <t>You fuse your thoughts with an ally's, allowing the two of you to fight in tandem, perfectly coordinated. You and the ally each roll initiative in combat and use the higher die result before adding modifiers. This has three effects. Melee: If you both make melee attacks against the same creature, you both make attack rolls and both use the higher of the two dice for your attack rolls (plus bonuses). Ranged: If you both make ranged attacks against the same creature, you both make attack rolls and both use the higher of the two dice for your attack roll (plus bonuses). Spell: If you both cast spells and target the same area or same creature, affected creatures take a -2 penalty on their saving throw against the spells. You and the target lose these benefits if you cannot see each other or if you or the target is unconscious or helpless.</t>
  </si>
  <si>
    <t>&lt;p&gt;You fuse your thoughts with an ally's, allowing the two of you to fight in tandem, perfectly coordinated. You and the ally each roll initiative in combat and use the higher die result before adding modifiers. This has three effects.&lt;/p&gt;&lt;p&gt; Melee: If you both make melee attacks against the same creature, you both make attack rolls and both use the higher of the two dice for your attack rolls (plus bonuses).&lt;/p&gt;&lt;p&gt; Ranged: If you both make ranged attacks against the same creature, you both make attack rolls and both use the higher of the two dice for your attack roll (plus bonuses).&lt;/p&gt;&lt;p&gt; Spell: If you both cast spells and target the same area or same creature, affected creatures take a -2 penalty on their saving throw against the spells.&lt;/p&gt;&lt;p&gt; You and the target lose these benefits if you cannot see each other or if you or the target is unconscious or helpless.&lt;/p&gt;</t>
  </si>
  <si>
    <t>&lt;link rel="stylesheet"href="PF.css"&gt;&lt;div class="heading"&gt;&lt;p class="alignleft"&gt;Battlemind Link&lt;/p&gt;&lt;div style="clear: both;"&gt;&lt;/div&gt;&lt;/div&gt;&lt;div&gt;&lt;h5&gt;&lt;b&gt;School &lt;/b&gt;divination [mind-affecting]; &lt;b&gt;Level &lt;/b&gt;inquisitor 4, sorcerer/wizard 6&lt;/h5&gt;&lt;/div&gt;&lt;hr/&gt;&lt;div&gt;&lt;h5&gt;&lt;b&gt;CASTING&lt;/b&gt;&lt;/h5&gt;&lt;/div&gt;&lt;hr/&gt;&lt;div&gt;&lt;h5&gt;&lt;b&gt;Casting Time &lt;/b&gt;1 standard action&lt;/h5&gt;&lt;h5&gt;&lt;b&gt;Components &lt;/b&gt;V, S&lt;/h5&gt;&lt;/div&gt;&lt;hr/&gt;&lt;div&gt;&lt;h5&gt;&lt;b&gt;EFFECT&lt;/b&gt;&lt;/h5&gt;&lt;/div&gt;&lt;hr/&gt;&lt;div&gt;&lt;h5&gt;&lt;b&gt;Range &lt;/b&gt;personal and close (25 ft. + 5 ft./2 levels)&lt;/h5&gt;&lt;h5&gt;&lt;b&gt;Targets &lt;/b&gt;you and 1 ally&lt;/h5&gt;&lt;h5&gt;&lt;b&gt;Duration &lt;/b&gt;1 minute/level&lt;/h5&gt;&lt;h5&gt;&lt;b&gt;Saving Throw &lt;/b&gt;Will negates (harmless); &lt;b&gt;Spell Resistance &lt;/b&gt;yes (harmless)&lt;/h5&gt;&lt;/div&gt;&lt;hr/&gt;&lt;div&gt;&lt;h5&gt;&lt;b&gt;DESCRIPTION&lt;/b&gt;&lt;/h5&gt;&lt;/div&gt;&lt;hr/&gt;&lt;div&gt;&lt;h4&gt;&lt;p&gt;You fuse your thoughts with an ally's, allowing the two of you to fight in tandem, perfectly coordinated. You and the ally each roll initiative in combat and use the higher die result before adding modifiers. This has three effects.&lt;/p&gt;&lt;p&gt; Melee: If you both make melee attacks against the same creature, you both make attack rolls and both use the higher of the two dice for your attack rolls (plus bonuses).&lt;/p&gt;&lt;p&gt; Ranged: If you both make ranged attacks against the same creature, you both make attack rolls and both use the higher of the two dice for your attack roll (plus bonuses).&lt;/p&gt;&lt;p&gt; Spell: If you both cast spells and target the same area or same creature, affected creatures take a -2 penalty on their saving throw against the spells.&lt;/p&gt;&lt;p&gt; You and the target lose these benefits if you cannot see each other or if you or the target is unconscious or helpless.&lt;/p&gt;&lt;/h4&gt;&lt;/div&gt;</t>
  </si>
  <si>
    <t>You and an ally gain attack and AC bonuses.</t>
  </si>
  <si>
    <t>Bestow Grace of the Champion</t>
  </si>
  <si>
    <t>good, law</t>
  </si>
  <si>
    <t>cleric 7/oracle 7, paladin 4</t>
  </si>
  <si>
    <t>lawful good creature touched</t>
  </si>
  <si>
    <t>You channel the power of good and law into the target, temporarily giving it powers similar to those of a paladin. The target gains the ability to use detect evil at will as a spell-like ability, immunity to disease (suppressing any diseases currently affecting it), and immunity to fear (ending any fear effects currently affecting it); can lay on hands (on itself only) once as a paladin of 1/2 your caster level; and can smite evil once as a paladin of 1/2 your caster level. It adds its Charisma bonus to all its saving throws. It can use spell completion, spell trigger, or other magic items that require the ability to cast spells as a paladin. Any abilities not used by the time the spell expires are lost. This spell has no if cast on a paladin.</t>
  </si>
  <si>
    <t>&lt;p&gt;You channel the power of good and law into the target, temporarily giving it powers similar to those of a paladin.&lt;/p&gt;&lt;p&gt;The target gains the ability to use &lt;i&gt;detect evil&lt;/i&gt; at will as a spell-like ability, immunity to disease (suppressing any diseases currently affecting it), and immunity to fear (ending any fear effects currently affecting it); can lay on hands (on itself only) once as a paladin of 1/2 your caster level; and can smite evil once as a paladin of 1/2 your caster level. It adds its Charisma bonus to all its saving throws. It can use spell completion, spell trigger, or other magic items that require the ability to cast spells as a paladin. Any abilities not used by the time the spell expires are lost. This spell has no if cast on a paladin.&lt;/p&gt;</t>
  </si>
  <si>
    <t>&lt;link rel="stylesheet"href="PF.css"&gt;&lt;div class="heading"&gt;&lt;p class="alignleft"&gt;Bestow Grace of the Champion&lt;/p&gt;&lt;div style="clear: both;"&gt;&lt;/div&gt;&lt;/div&gt;&lt;div&gt;&lt;h5&gt;&lt;b&gt;School &lt;/b&gt;transmutation [good, law]; &lt;b&gt;Level &lt;/b&gt;cleric 7/oracle 7, paladin 4&lt;/h5&gt;&lt;/div&gt;&lt;hr/&gt;&lt;div&gt;&lt;h5&gt;&lt;b&gt;CASTING&lt;/b&gt;&lt;/h5&gt;&lt;/div&gt;&lt;hr/&gt;&lt;div&gt;&lt;h5&gt;&lt;b&gt;Casting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&lt;/b&gt;lawful good creature touched&lt;/h5&gt;&lt;h5&gt;&lt;b&gt;Duration &lt;/b&gt;1 round/level (see text)&lt;/h5&gt;&lt;h5&gt;&lt;b&gt;Saving Throw &lt;/b&gt;yes (harmless); &lt;b&gt;Spell Resistance &lt;/b&gt;yes (harmless)&lt;/h5&gt;&lt;/div&gt;&lt;hr/&gt;&lt;div&gt;&lt;h5&gt;&lt;b&gt;DESCRIPTION&lt;/b&gt;&lt;/h5&gt;&lt;/div&gt;&lt;hr/&gt;&lt;div&gt;&lt;h4&gt;&lt;p&gt;You channel the power of good and law into the target, temporarily giving it powers similar to those of a paladin.&lt;/p&gt;&lt;p&gt;The target gains the ability to use &lt;i&gt;detect evil&lt;/i&gt; at will as a spell-like ability, immunity to disease (suppressing any diseases currently affecting it), and immunity to fear (ending any fear effects currently affecting it); can lay on hands (on itself only) once as a paladin of 1/2 your caster level; and can smite evil once as a paladin of 1/2 your caster level. It adds its Charisma bonus to all its saving throws. It can use spell completion, spell trigger, or other magic items that require the ability to cast spells as a paladin. Any abilities not used by the time the spell expires are lost. This spell has no if cast on a paladin.&lt;/p&gt;&lt;/h4&gt;&lt;/div&gt;</t>
  </si>
  <si>
    <t>Target gains paladin abilities for 1 round/level.</t>
  </si>
  <si>
    <t>Blade of Bright Victory</t>
  </si>
  <si>
    <t>your paladin bonded weapon</t>
  </si>
  <si>
    <t>You strengthen the bond between your divine bond weapon and its celestial spirit. The weapon gains the ghost touch property. You may change your weapon's damage type (bludgeoning, piercing, slashing) as a swift action. You gain a sacred bonus to your CMD against disarm and sunder attacks directed at your bonded weapon; this bonus is equal to half your caster level.</t>
  </si>
  <si>
    <t>&lt;p&gt;You strengthen the bond between your divine bond weapon and its celestial spirit. The weapon gains the &lt;i&gt;ghost touch&lt;/i&gt; property. You may change your weapon's damage type (bludgeoning, piercing, slashing) as a swift action. You gain a sacred bonus to your CMD against disarm and sunder attacks directed at your bonded weapon; this bonus is equal to half your caster level.&lt;/p&gt;</t>
  </si>
  <si>
    <t>&lt;link rel="stylesheet"href="PF.css"&gt;&lt;div class="heading"&gt;&lt;p class="alignleft"&gt;Blade of Bright Victory&lt;/p&gt;&lt;div style="clear: both;"&gt;&lt;/div&gt;&lt;/div&gt;&lt;div&gt;&lt;h5&gt;&lt;b&gt;School &lt;/b&gt;transmutation [good]; &lt;b&gt;Level &lt;/b&gt;paladin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&lt;/b&gt;your paladin bonded weapon&lt;/h5&gt;&lt;h5&gt;&lt;b&gt;Duration &lt;/b&gt;1 minute/level&lt;/h5&gt;&lt;h5&gt;&lt;b&gt;Saving Throw &lt;/b&gt;Will negates (harmless); &lt;b&gt;Spell Resistance &lt;/b&gt;no&lt;/h5&gt;&lt;/div&gt;&lt;hr/&gt;&lt;div&gt;&lt;h5&gt;&lt;b&gt;DESCRIPTION&lt;/b&gt;&lt;/h5&gt;&lt;/div&gt;&lt;hr/&gt;&lt;div&gt;&lt;h4&gt;&lt;p&gt;You strengthen the bond between your divine bond weapon and its celestial spirit. The weapon gains the &lt;i&gt;ghost touch&lt;/i&gt; property. You may change your weapon's damage type (bludgeoning, piercing, slashing) as a swift action. You gain a sacred bonus to your CMD against disarm and sunder attacks directed at your bonded weapon; this bonus is equal to half your caster level.&lt;/p&gt;&lt;/h4&gt;&lt;/div&gt;</t>
  </si>
  <si>
    <t>Bonded weapon gains ghost touch.</t>
  </si>
  <si>
    <t>Blade of Dark Triumph</t>
  </si>
  <si>
    <t>antipaladin 3</t>
  </si>
  <si>
    <t>your fiendish boon weapon</t>
  </si>
  <si>
    <t>You strengthen the bond between your fiendish boon weapon and its unholy spirit. The weapon gains the ghost touch property. You may change your weapon's damage type (bludgeoning, piercing, slashing) as a swift action. You gain a profane bonus to your CMD against disarm and sunder attacks directed at your boon weapon; this bonus is equal to half your caster level.</t>
  </si>
  <si>
    <t>&lt;p&gt;You strengthen the bond between your fiendish boon weapon and its unholy spirit. The weapon gains the &lt;i&gt;ghost touch&lt;/i&gt; property.&lt;/p&gt;&lt;p&gt;You may change your weapon's damage type (bludgeoning, piercing, slashing) as a swift action. You gain a profane bonus to your CMD against disarm and sunder attacks directed at your boon weapon; this bonus is equal to half your caster level.&lt;/p&gt;</t>
  </si>
  <si>
    <t>&lt;link rel="stylesheet"href="PF.css"&gt;&lt;div class="heading"&gt;&lt;p class="alignleft"&gt;Blade of Dark Triumph&lt;/p&gt;&lt;div style="clear: both;"&gt;&lt;/div&gt;&lt;/div&gt;&lt;div&gt;&lt;h5&gt;&lt;b&gt;School &lt;/b&gt;transmutation [evil]; &lt;b&gt;Level &lt;/b&gt;antipaladin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&lt;/b&gt;your fiendish boon weapon&lt;/h5&gt;&lt;h5&gt;&lt;b&gt;Duration &lt;/b&gt;1 minute/level&lt;/h5&gt;&lt;h5&gt;&lt;b&gt;Saving Throw &lt;/b&gt;Will negates (harmless); &lt;b&gt;Spell Resistance &lt;/b&gt;no&lt;/h5&gt;&lt;/div&gt;&lt;hr/&gt;&lt;div&gt;&lt;h5&gt;&lt;b&gt;DESCRIPTION&lt;/b&gt;&lt;/h5&gt;&lt;/div&gt;&lt;hr/&gt;&lt;div&gt;&lt;h4&gt;&lt;p&gt;You strengthen the bond between your fiendish boon weapon and its unholy spirit. The weapon gains the &lt;i&gt;ghost touch&lt;/i&gt; property.&lt;/p&gt;&lt;p&gt;You may change your weapon's damage type (bludgeoning, piercing, slashing) as a swift action. You gain a profane bonus to your CMD against disarm and sunder attacks directed at your boon weapon; this bonus is equal to half your caster level.&lt;/p&gt;&lt;/h4&gt;&lt;/div&gt;</t>
  </si>
  <si>
    <t>Blessing of the Mole</t>
  </si>
  <si>
    <t>cleric 3/oracle 3, inquisitor 3, paladin 3, ranger 3</t>
  </si>
  <si>
    <t>1 creature/level</t>
  </si>
  <si>
    <t>none (harmless)</t>
  </si>
  <si>
    <t>The targets gain darkvision 30 feet and a +2 competence bonus on Stealth checks.</t>
  </si>
  <si>
    <t>&lt;p&gt;The targets gain darkvision 30 feet and a +2 competence bonus on Stealth checks.&lt;/p&gt;</t>
  </si>
  <si>
    <t>&lt;link rel="stylesheet"href="PF.css"&gt;&lt;div class="heading"&gt;&lt;p class="alignleft"&gt;Blessing of the Mole&lt;/p&gt;&lt;div style="clear: both;"&gt;&lt;/div&gt;&lt;/div&gt;&lt;div&gt;&lt;h5&gt;&lt;b&gt;School &lt;/b&gt;transmutation; &lt;b&gt;Level &lt;/b&gt;cleric 3/oracle 3, inquisitor 3, paladin 3, ranger 3&lt;/h5&gt;&lt;/div&gt;&lt;hr/&gt;&lt;div&gt;&lt;h5&gt;&lt;b&gt;CASTING&lt;/b&gt;&lt;/h5&gt;&lt;/div&gt;&lt;hr/&gt;&lt;div&gt;&lt;h5&gt;&lt;b&gt;Casting Time &lt;/b&gt;1 round&lt;/h5&gt;&lt;h5&gt;&lt;b&gt;Components &lt;/b&gt;V, S&lt;/h5&gt;&lt;/div&gt;&lt;hr/&gt;&lt;div&gt;&lt;h5&gt;&lt;b&gt;EFFECT&lt;/b&gt;&lt;/h5&gt;&lt;/div&gt;&lt;hr/&gt;&lt;div&gt;&lt;h5&gt;&lt;b&gt;Range &lt;/b&gt;close (25 ft. + 5 ft./2 levels)&lt;/h5&gt;&lt;h5&gt;&lt;b&gt;Area &lt;/b&gt;1 creature/level&lt;/h5&gt;&lt;h5&gt;&lt;b&gt;Duration &lt;/b&gt;1 minute/level&lt;/h5&gt;&lt;h5&gt;&lt;b&gt;Saving Throw &lt;/b&gt;none (harmless); &lt;b&gt;Spell Resistance &lt;/b&gt;yes (harmless)&lt;/h5&gt;&lt;/div&gt;&lt;hr/&gt;&lt;div&gt;&lt;h5&gt;&lt;b&gt;DESCRIPTION&lt;/b&gt;&lt;/h5&gt;&lt;/div&gt;&lt;hr/&gt;&lt;div&gt;&lt;h4&gt;&lt;p&gt;The targets gain darkvision 30 feet and a +2 competence bonus on Stealth checks.&lt;/p&gt;&lt;/h4&gt;&lt;/div&gt;</t>
  </si>
  <si>
    <t>1 ally/level gains darkvision and a +2 Stealth bonus.</t>
  </si>
  <si>
    <t>Blood Crow Strike</t>
  </si>
  <si>
    <t>Your unarmed strikes release blasts of energy in the form of bolts of fire or glowing red crows, which fly instantaneously to strike your target. You can make unarmed strike or flurry of blows attacks against the target as if it were in your threatened area; each successful attack deals damage as if you had hit it with your unarmed strike, except half the damage is fire and half is negative energy (this negative energy does not heal undead). For example, if you are a 14th-level monk, you can use a flurry of blows to attack five times, creating one energy crow for each successful attack against the target, and dealing 2d6 points of damage (plus appropriate unarmed strike modifiers) with each crow.</t>
  </si>
  <si>
    <t>&lt;p&gt;Your unarmed strikes release blasts of energy in the form of bolts of fire or glowing red crows, which fly instantaneously to strike your target. You can make unarmed strike or flurry of blows attacks against the target as if it were in your threatened area; each successful attack deals damage as if you had hit it with your unarmed strike, except half the damage is fire and half is negative energy (this negative energy does not heal undead). For example, if you are a 14th-level monk, you can use a flurry of blows to attack five times, creating one energy crow for each successful attack against the target, and dealing 2d6 points of damage (plus appropriate unarmed strike modifiers) with each crow.&lt;/p&gt;</t>
  </si>
  <si>
    <t>&lt;link rel="stylesheet"href="PF.css"&gt;&lt;div class="heading"&gt;&lt;p class="alignleft"&gt;Blood Crow Strike&lt;/p&gt;&lt;div style="clear: both;"&gt;&lt;/div&gt;&lt;/div&gt;&lt;div&gt;&lt;h5&gt;&lt;b&gt;School &lt;/b&gt;evocation [fire]; &lt;b&gt;Level &lt;/b&gt;cleric/oracle 4&lt;/h5&gt;&lt;/div&gt;&lt;hr/&gt;&lt;div&gt;&lt;h5&gt;&lt;b&gt;CASTING&lt;/b&gt;&lt;/h5&gt;&lt;/div&gt;&lt;hr/&gt;&lt;div&gt;&lt;h5&gt;&lt;b&gt;Casting Time &lt;/b&gt;1 round&lt;/h5&gt;&lt;h5&gt;&lt;b&gt;Components &lt;/b&gt;V, S&lt;/h5&gt;&lt;/div&gt;&lt;hr/&gt;&lt;div&gt;&lt;h5&gt;&lt;b&gt;EFFECT&lt;/b&gt;&lt;/h5&gt;&lt;/div&gt;&lt;hr/&gt;&lt;div&gt;&lt;h5&gt;&lt;b&gt;Range &lt;/b&gt;medium (100 ft. + 10 ft./level)&lt;/h5&gt;&lt;h5&gt;&lt;b&gt;Targets &lt;/b&gt;one creature&lt;/h5&gt;&lt;h5&gt;&lt;b&gt;Duration &lt;/b&gt;instantaneous&lt;/h5&gt;&lt;h5&gt;&lt;b&gt;Saving Throw &lt;/b&gt;none; &lt;b&gt;Spell Resistance &lt;/b&gt;yes&lt;/h5&gt;&lt;/div&gt;&lt;hr/&gt;&lt;div&gt;&lt;h5&gt;&lt;b&gt;DESCRIPTION&lt;/b&gt;&lt;/h5&gt;&lt;/div&gt;&lt;hr/&gt;&lt;div&gt;&lt;h4&gt;&lt;p&gt;Your unarmed strikes release blasts of energy in the form of bolts of fire or glowing red crows, which fly instantaneously to strike your target. You can make unarmed strike or flurry of blows attacks against the target as if it were in your threatened area; each successful attack deals damage as if you had hit it with your unarmed strike, except half the damage is fire and half is negative energy (this negative energy does not heal undead). For example, if you are a 14th-level monk, you can use a flurry of blows to attack five times, creating one energy crow for each successful attack against the target, and dealing 2d6 points of damage (plus appropriate unarmed strike modifiers) with each crow.&lt;/p&gt;&lt;/h4&gt;&lt;h5&gt;&lt;b&gt;Mythic: &lt;/b&gt;Unarmed strikes attempted with this spell are treated as if you had the Improved Critical (unarmed strike) feat. Use your tier plus your monk level (if any) when determining your unarmed strike damage for this spell. Fire damage from this spell bypasses fire resistance.&lt;/h5&gt;&lt;/div&gt;</t>
  </si>
  <si>
    <t>Unarmed strikes create crows that deal fire and negative energy damage.</t>
  </si>
  <si>
    <t>Unarmed strikes attempted with this spell are treated as if you had the Improved Critical (unarmed strike) feat. Use your tier plus your monk level (if any) when determining your unarmed strike damage for this spell. Fire damage from this spell bypasses fire resistance.</t>
  </si>
  <si>
    <t>Blood Mist</t>
  </si>
  <si>
    <t>V, S, M (a pinch of dried red algae)</t>
  </si>
  <si>
    <t>medium (100ft. +10ft./level)</t>
  </si>
  <si>
    <t>60-ft. radius</t>
  </si>
  <si>
    <t>This spell summons forth a misty cloud of rust-red toxic algae. Any creature within the mist is coated by it, turning the creature the same reddish color. All targets within the mist gain concealment. Any creature within the mist must save or take 1d4 points of Wisdom damage and become enraged, attacking any creatures it detects nearby (as the "attack nearest creature" result of the confused condition). An enraged creature remains so as long as the spell is in effect. A creature only needs to save once each time it is within the mist (though leaving and returning requires another save).</t>
  </si>
  <si>
    <t>&lt;p&gt;This spell summons forth a misty cloud of rust-red toxic algae. Any creature within the mist is coated by it, turning the creature the same reddish color. All targets within the mist gain concealment. Any creature within the mist must save or take 1d4 points of Wisdom damage and become enraged, attacking any creatures it detects nearby (as the "attack nearest creature" result of the confused condition). An enraged creature remains so as long as the spell is in effect. A creature only needs to save once each time it is within the mist (though leaving and returning requires another save).&lt;/p&gt;</t>
  </si>
  <si>
    <t>&lt;link rel="stylesheet"href="PF.css"&gt;&lt;div class="heading"&gt;&lt;p class="alignleft"&gt;Blood Mist&lt;/p&gt;&lt;div style="clear: both;"&gt;&lt;/div&gt;&lt;/div&gt;&lt;div&gt;&lt;h5&gt;&lt;b&gt;School &lt;/b&gt;conjuration (creation) [poison]; &lt;b&gt;Level &lt;/b&gt;druid 8&lt;/h5&gt;&lt;/div&gt;&lt;hr/&gt;&lt;div&gt;&lt;h5&gt;&lt;b&gt;CASTING&lt;/b&gt;&lt;/h5&gt;&lt;/div&gt;&lt;hr/&gt;&lt;div&gt;&lt;h5&gt;&lt;b&gt;Casting Time &lt;/b&gt;1 standard action&lt;/h5&gt;&lt;h5&gt;&lt;b&gt;Components &lt;/b&gt;V, S, M (a pinch of dried red algae)&lt;/h5&gt;&lt;/div&gt;&lt;hr/&gt;&lt;div&gt;&lt;h5&gt;&lt;b&gt;EFFECT&lt;/b&gt;&lt;/h5&gt;&lt;/div&gt;&lt;hr/&gt;&lt;div&gt;&lt;h5&gt;&lt;b&gt;Range &lt;/b&gt;medium (100ft. +10ft./level)&lt;/h5&gt;&lt;h5&gt;&lt;b&gt;Area &lt;/b&gt;60-ft. radius&lt;/h5&gt;&lt;h5&gt;&lt;b&gt;Duration &lt;/b&gt;1 minute/level&lt;/h5&gt;&lt;h5&gt;&lt;b&gt;Saving Throw &lt;/b&gt;Fortitude negates (see text); &lt;b&gt;Spell Resistance &lt;/b&gt;yes&lt;/h5&gt;&lt;/div&gt;&lt;hr/&gt;&lt;div&gt;&lt;h5&gt;&lt;b&gt;DESCRIPTION&lt;/b&gt;&lt;/h5&gt;&lt;/div&gt;&lt;hr/&gt;&lt;div&gt;&lt;h4&gt;&lt;p&gt;This spell summons forth a misty cloud of rust-red toxic algae. Any creature within the mist is coated by it, turning the creature the same reddish color. All targets within the mist gain concealment. Any creature within the mist must save or take 1d4 points of Wisdom damage and become enraged, attacking any creatures it detects nearby (as the "attack nearest creature" result of the confused condition). An enraged creature remains so as long as the spell is in effect. A creature only needs to save once each time it is within the mist (though leaving and returning requires another save).&lt;/p&gt;&lt;/h4&gt;&lt;/div&gt;</t>
  </si>
  <si>
    <t>Mist causes Wisdom damage and rage.</t>
  </si>
  <si>
    <t>Blood Transcription</t>
  </si>
  <si>
    <t>alchemist 2, magus 2, wizard 2, witch 2</t>
  </si>
  <si>
    <t>one dead spellcaster</t>
  </si>
  <si>
    <t>By consuming 1 pint of blood from a spellcaster killed within the last 24 hours, you can attempt to learn a spell that spellcaster knew. Select one spell available to the dead spellcaster (this must be a spell on your spell list); you gain the knowledge of this spell for 24 hours. During this time, you may write it down (or teach it to your familiar, if you are a witch) using the normal rules for copying a spell from another source. Once you have learned it, you may prepare the spell normally.</t>
  </si>
  <si>
    <t>&lt;p&gt;By consuming 1 pint of blood from a spellcaster killed within the last 24 hours, you can attempt to learn a spell that spellcaster knew. Select one spell available to the dead spellcaster (this must be a spell on your spell list); you gain the knowledge of this spell for 24 hours. During this time, you may write it down (or teach it to your familiar, if you are a witch) using the normal rules for copying a spell from another source. Once you have learned it, you may prepare the spell normally.&lt;/p&gt;</t>
  </si>
  <si>
    <t>&lt;link rel="stylesheet"href="PF.css"&gt;&lt;div class="heading"&gt;&lt;p class="alignleft"&gt;Blood Transcription&lt;/p&gt;&lt;div style="clear: both;"&gt;&lt;/div&gt;&lt;/div&gt;&lt;div&gt;&lt;h5&gt;&lt;b&gt;School &lt;/b&gt;divination [evil]; &lt;b&gt;Level &lt;/b&gt;alchemist 2, magus 2, wizard 2, witch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&lt;/b&gt;one dead spellcaster&lt;/h5&gt;&lt;h5&gt;&lt;b&gt;Duration &lt;/b&gt;24 hours&lt;/h5&gt;&lt;h5&gt;&lt;b&gt;Saving Throw &lt;/b&gt;none; &lt;b&gt;Spell Resistance &lt;/b&gt;no&lt;/h5&gt;&lt;/div&gt;&lt;hr/&gt;&lt;div&gt;&lt;h5&gt;&lt;b&gt;DESCRIPTION&lt;/b&gt;&lt;/h5&gt;&lt;/div&gt;&lt;hr/&gt;&lt;div&gt;&lt;h4&gt;&lt;p&gt;By consuming 1 pint of blood from a spellcaster killed within the last 24 hours, you can attempt to learn a spell that spellcaster knew. Select one spell available to the dead spellcaster (this must be a spell on your spell list); you gain the knowledge of this spell for 24 hours. During this time, you may write it down (or teach it to your familiar, if you are a witch) using the normal rules for copying a spell from another source. Once you have learned it, you may prepare the spell normally.&lt;/p&gt;&lt;/h4&gt;&lt;/div&gt;</t>
  </si>
  <si>
    <t>Learn a spell from the target's blood.</t>
  </si>
  <si>
    <t>Boiling Blood</t>
  </si>
  <si>
    <t>bard 2, cleric/oracle 2, sorcerer/wizard 2, witch 2</t>
  </si>
  <si>
    <t>one creature per three levels, no two of which may be more than 30 ft. apart</t>
  </si>
  <si>
    <t>concentration + 1 round/level (D)</t>
  </si>
  <si>
    <t>The blood of the targeted creatures begins to boil. If a target fails its save, it takes 1 point of fire damage per round. This spell has no effect on creatures that don't have blood. If a target has the orc subtype, it doesn't take fire damage and instead gains a +2 morale bonus to Strength.</t>
  </si>
  <si>
    <t>&lt;p&gt;The blood of the targeted creatures begins to boil. If a target fails its save, it takes 1 point of fire damage per round. This spell has no effect on creatures that don't have blood. If a target has the orc subtype, it doesn't take fire damage and instead gains a +2 morale bonus to Strength.&lt;/p&gt;</t>
  </si>
  <si>
    <t>&lt;link rel="stylesheet"href="PF.css"&gt;&lt;div class="heading"&gt;&lt;p class="alignleft"&gt;Boiling Blood&lt;/p&gt;&lt;div style="clear: both;"&gt;&lt;/div&gt;&lt;/div&gt;&lt;div&gt;&lt;h5&gt;&lt;b&gt;School &lt;/b&gt;transmutation; &lt;b&gt;Level &lt;/b&gt;bard 2, cleric/oracle 2, sorcerer/wizard 2, witch 2&lt;/h5&gt;&lt;/div&gt;&lt;hr/&gt;&lt;div&gt;&lt;h5&gt;&lt;b&gt;CASTING&lt;/b&gt;&lt;/h5&gt;&lt;/div&gt;&lt;hr/&gt;&lt;div&gt;&lt;h5&gt;&lt;b&gt;Casting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ft./level)&lt;/h5&gt;&lt;h5&gt;&lt;b&gt;Targets &lt;/b&gt;one creature per three levels, no two of which may be more than 30 ft. apart&lt;/h5&gt;&lt;h5&gt;&lt;b&gt;Duration &lt;/b&gt;concentration + 1 round/level (D)&lt;/h5&gt;&lt;h5&gt;&lt;b&gt;Saving Throw &lt;/b&gt;Fortitude negates (see text); &lt;b&gt;Spell Resistance &lt;/b&gt;yes&lt;/h5&gt;&lt;/div&gt;&lt;hr/&gt;&lt;div&gt;&lt;h5&gt;&lt;b&gt;DESCRIPTION&lt;/b&gt;&lt;/h5&gt;&lt;/div&gt;&lt;hr/&gt;&lt;div&gt;&lt;h4&gt;&lt;p&gt;The blood of the targeted creatures begins to boil. If a target fails its save, it takes 1 point of fire damage per round. This spell has no effect on creatures that don't have blood. If a target has the orc subtype, it doesn't take fire damage and instead gains a +2 morale bonus to Strength.&lt;/p&gt;&lt;/h4&gt;&lt;h5&gt;&lt;b&gt;Mythic: &lt;/b&gt;A target that fails its save takes 1d3 points of fire damage per round. If a target has the orc subtype, it also gains fire resistance 5. Augmented: If you expend two uses of mythic power, you can affect allies as though they had the orc subtype.&lt;/h5&gt;&lt;/div&gt;</t>
  </si>
  <si>
    <t>Targets take fire damage; orcs get +2 Strength.</t>
  </si>
  <si>
    <t>A target that fails its save takes 1d3 points of fire damage per round. If a target has the orc subtype, it also gains fire resistance 5. Augmented: If you expend two uses of mythic power, you can affect allies as though they had the orc subtype.</t>
  </si>
  <si>
    <t>Bungle</t>
  </si>
  <si>
    <t>sorcerer/wizard 1, witch 1</t>
  </si>
  <si>
    <t>concentration + 2 rounds or until triggered</t>
  </si>
  <si>
    <t>The target takes a -20 penalty on its next attack roll or check that requires a d20 roll. The action must be one deliberately taken by the target on its turn. Creatures with more than 10 HD are unaffected by this spell.</t>
  </si>
  <si>
    <t>&lt;p&gt;The target takes a -20 penalty on its next attack roll or check that requires a d20 roll. The action must be one deliberately taken by the target on its turn. Creatures with more than 10 HD are unaffected by this spell.&lt;/p&gt;</t>
  </si>
  <si>
    <t>&lt;link rel="stylesheet"href="PF.css"&gt;&lt;div class="heading"&gt;&lt;p class="alignleft"&gt;Bungle&lt;/p&gt;&lt;div style="clear: both;"&gt;&lt;/div&gt;&lt;/div&gt;&lt;div&gt;&lt;h5&gt;&lt;b&gt;School &lt;/b&gt;enchantment (compulsion); &lt;b&gt;Level &lt;/b&gt;sorcerer/wizard 1, witch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humanoid&lt;/h5&gt;&lt;h5&gt;&lt;b&gt;Duration &lt;/b&gt;concentration + 2 rounds or until triggered&lt;/h5&gt;&lt;h5&gt;&lt;b&gt;Saving Throw &lt;/b&gt;Will negates; &lt;b&gt;Spell Resistance &lt;/b&gt;yes&lt;/h5&gt;&lt;/div&gt;&lt;hr/&gt;&lt;div&gt;&lt;h5&gt;&lt;b&gt;DESCRIPTION&lt;/b&gt;&lt;/h5&gt;&lt;/div&gt;&lt;hr/&gt;&lt;div&gt;&lt;h4&gt;&lt;p&gt;The target takes a -20 penalty on its next attack roll or check that requires a d20 roll. The action must be one deliberately taken by the target on its turn. Creatures with more than 10 HD are unaffected by this spell.&lt;/p&gt;&lt;/h4&gt;&lt;/div&gt;</t>
  </si>
  <si>
    <t>Target takes a –20 penalty on its next attack roll or check.</t>
  </si>
  <si>
    <t>Burrow</t>
  </si>
  <si>
    <t>alchemist 3, druid 3, ranger 3, sorcerer/wizard 3</t>
  </si>
  <si>
    <t>The subject can burrow at a speed of 15 feet (or 10 feet if it wears medium or heavy armor, or if it carries a medium or heavy load) through sand, loose soil, or gravel, or at a speed of 5 feet through stone. Using burrow requires only as much concentration as walking, so the subject can attack or cast spells normally. The burrowing creature cannot charge or run. Loose material collapses behind the target 1 round after it leaves the area. This spell does not give the target the ability to breathe underground, so when passing through loose material, the creature must hold its breath and take only short trips, or else it may suffocate.</t>
  </si>
  <si>
    <t>&lt;p&gt;The subject can &lt;i&gt;burrow&lt;/i&gt; at a speed of 15 feet (or 10 feet if it wears medium or heavy armor, or if it carries a medium or heavy load) through sand, loose soil, or gravel, or at a speed of 5 feet through stone. Using &lt;i&gt;burrow&lt;/i&gt; requires only as much concentration as walking, so the subject can attack or cast spells normally. The &lt;i&gt;burrow&lt;/i&gt;ing creature cannot charge or run. Loose material collapses behind the target 1 round after it leaves the area. This spell does not give the target the ability to breathe underground, so when passing through loose material, the creature must hold its breath and take only short trips, or else it may suffocate.&lt;/p&gt;</t>
  </si>
  <si>
    <t>&lt;link rel="stylesheet"href="PF.css"&gt;&lt;div class="heading"&gt;&lt;p class="alignleft"&gt;Burrow&lt;/p&gt;&lt;div style="clear: both;"&gt;&lt;/div&gt;&lt;/div&gt;&lt;div&gt;&lt;h5&gt;&lt;b&gt;School &lt;/b&gt;transmutation; &lt;b&gt;Level &lt;/b&gt;alchemist 3, druid 3, ranger 3, sorcerer/wizard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minute/level&lt;/h5&gt;&lt;h5&gt;&lt;b&gt;Saving Throw &lt;/b&gt;Will negates (harmless); &lt;b&gt;Spell Resistance &lt;/b&gt;yes (harmless)&lt;/h5&gt;&lt;/div&gt;&lt;hr/&gt;&lt;div&gt;&lt;h5&gt;&lt;b&gt;DESCRIPTION&lt;/b&gt;&lt;/h5&gt;&lt;/div&gt;&lt;hr/&gt;&lt;div&gt;&lt;h4&gt;&lt;p&gt;The subject can &lt;i&gt;burrow&lt;/i&gt; at a speed of 15 feet (or 10 feet if it wears medium or heavy armor, or if it carries a medium or heavy load) through sand, loose soil, or gravel, or at a speed of 5 feet through stone. Using &lt;i&gt;burrow&lt;/i&gt; requires only as much concentration as walking, so the subject can attack or cast spells normally. The &lt;i&gt;burrow&lt;/i&gt;ing creature cannot charge or run. Loose material collapses behind the target 1 round after it leaves the area. This spell does not give the target the ability to breathe underground, so when passing through loose material, the creature must hold its breath and take only short trips, or else it may suffocate.&lt;/p&gt;&lt;/h4&gt;&lt;h5&gt;&lt;b&gt;Mythic: &lt;/b&gt;The target can breathe underground while burrowing. If you're 3rd tier, the burrow speed increases to 20 feet through sand, soil, or gravel, and to 10 feet through stone. At 6th tier, these speeds increase to 30 feet and 15 feet respectively. At 9th tier, these speeds increase to 40 feet and 20 feet.&lt;/h5&gt;&lt;h5&gt;&lt;b&gt;Augmented (3rd)&lt;/b&gt;: If you expend two uses of mythic power, the burrowing creature may leave behind an open tunnel with a diameter equal to half its space. When the spell's effect ends, this tunnel closes up immediately.&lt;/h5&gt;&lt;/div&gt;</t>
  </si>
  <si>
    <t>Target gains a burrow speed of 15.</t>
  </si>
  <si>
    <t>The target can breathe underground while burrowing. If you're 3rd tier, the burrow speed increases to 20 feet through sand, soil, or gravel, and to 10 feet through stone. At 6th tier, these speeds increase to 30 feet and 15 feet respectively. At 9th tier, these speeds increase to 40 feet and 20 feet.</t>
  </si>
  <si>
    <t>Augmented (3rd): If you expend two uses of mythic power, the burrowing creature may leave behind an open tunnel with a diameter equal to half its space. When the spell's effect ends, this tunnel closes up immediately.</t>
  </si>
  <si>
    <t>Burst of Nettles</t>
  </si>
  <si>
    <t>10-ft.-radius burst</t>
  </si>
  <si>
    <t>You release a burst of barbed, acid-filled nettles. Creatures caught in the burst take 3d6 points of damage plus 1d6 points of acid damage on the next round. Those that save take half damage from the initial burst and no damage on the next round.</t>
  </si>
  <si>
    <t>&lt;p&gt;You release a burst of barbed, acid-filled nettles. Creatures caught in the burst take 3d6 points of damage plus 1d6 points of acid damage on the next round. Those that save take half damage from the initial burst and no damage on the next round.&lt;/p&gt;</t>
  </si>
  <si>
    <t>&lt;link rel="stylesheet"href="PF.css"&gt;&lt;div class="heading"&gt;&lt;p class="alignleft"&gt;Burst of Nettles&lt;/p&gt;&lt;div style="clear: both;"&gt;&lt;/div&gt;&lt;/div&gt;&lt;div&gt;&lt;h5&gt;&lt;b&gt;School &lt;/b&gt;conjuration [acid]; &lt;b&gt;Level &lt;/b&gt;druid 3&lt;/h5&gt;&lt;/div&gt;&lt;hr/&gt;&lt;div&gt;&lt;h5&gt;&lt;b&gt;CASTING&lt;/b&gt;&lt;/h5&gt;&lt;/div&gt;&lt;hr/&gt;&lt;div&gt;&lt;h5&gt;&lt;b&gt;Casting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levels)&lt;/h5&gt;&lt;h5&gt;&lt;b&gt;Area &lt;/b&gt;10-ft.-radius burst&lt;/h5&gt;&lt;h5&gt;&lt;b&gt;Duration &lt;/b&gt;instantaneous&lt;/h5&gt;&lt;h5&gt;&lt;b&gt;Saving Throw &lt;/b&gt;Reflex half; &lt;b&gt;Spell Resistance &lt;/b&gt;yes&lt;/h5&gt;&lt;/div&gt;&lt;hr/&gt;&lt;div&gt;&lt;h5&gt;&lt;b&gt;DESCRIPTION&lt;/b&gt;&lt;/h5&gt;&lt;/div&gt;&lt;hr/&gt;&lt;div&gt;&lt;h4&gt;&lt;p&gt;You release a burst of barbed, acid-filled nettles. Creatures caught in the burst take 3d6 points of damage plus 1d6 points of acid damage on the next round. Those that save take half damage from the initial burst and no damage on the next round.&lt;/p&gt;&lt;/h4&gt;&lt;/div&gt;</t>
  </si>
  <si>
    <t>Burst deals 3d6 damage and 1d6 acid.</t>
  </si>
  <si>
    <t>Cackling Skull</t>
  </si>
  <si>
    <t>one skull</t>
  </si>
  <si>
    <t>This spell functions as magic mouth, except rather than creating an illusory mouth on any surface, it affects a skull. In addition, when the skull's magic is triggered, it releases wild and unnerving cackles before speaking its message. All creatures that can hear the cackles must save or become shaken for 1d4 rounds.</t>
  </si>
  <si>
    <t>&lt;p&gt;This spell functions as &lt;i&gt;magic mouth&lt;/i&gt;, except rather than creating an illusory mouth on any surface, it affects a skull.&lt;/p&gt;&lt;p&gt;In addition, when the skull's magic is triggered, it releases wild and unnerving cackles before speaking its message.&lt;/p&gt;&lt;p&gt;All creatures that can hear the cackles must save or become shaken for 1d4 rounds.&lt;/p&gt;</t>
  </si>
  <si>
    <t>&lt;link rel="stylesheet"href="PF.css"&gt;&lt;div class="heading"&gt;&lt;p class="alignleft"&gt;Cackling Skull&lt;/p&gt;&lt;div style="clear: both;"&gt;&lt;/div&gt;&lt;/div&gt;&lt;div&gt;&lt;h5&gt;&lt;b&gt;School &lt;/b&gt;illusion (glamer); &lt;b&gt;Level &lt;/b&gt;witch 3&lt;/h5&gt;&lt;/div&gt;&lt;hr/&gt;&lt;div&gt;&lt;h5&gt;&lt;b&gt;CASTING&lt;/b&gt;&lt;/h5&gt;&lt;/div&gt;&lt;hr/&gt;&lt;div&gt;&lt;h5&gt;&lt;b&gt;Casting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skull&lt;/h5&gt;&lt;h5&gt;&lt;b&gt;Duration &lt;/b&gt;permanent until discharged&lt;/h5&gt;&lt;h5&gt;&lt;b&gt;Saving Throw &lt;/b&gt;Will negates; &lt;b&gt;Spell Resistance &lt;/b&gt;yes&lt;/h5&gt;&lt;/div&gt;&lt;hr/&gt;&lt;div&gt;&lt;h5&gt;&lt;b&gt;DESCRIPTION&lt;/b&gt;&lt;/h5&gt;&lt;/div&gt;&lt;hr/&gt;&lt;div&gt;&lt;h4&gt;&lt;p&gt;This spell functions as &lt;i&gt;magic mouth&lt;/i&gt;, except rather than creating an illusory mouth on any surface, it affects a skull.&lt;/p&gt;&lt;p&gt;In addition, when the skull's magic is triggered, it releases wild and unnerving cackles before speaking its message.&lt;/p&gt;&lt;p&gt;All creatures that can hear the cackles must save or become shaken for 1d4 rounds.&lt;/p&gt;&lt;/h4&gt;&lt;/div&gt;</t>
  </si>
  <si>
    <t>Skull acts as magic mouth, listeners are shaken.</t>
  </si>
  <si>
    <t>Call Construct</t>
  </si>
  <si>
    <t>V, S, M (a sapphire worth 1,000 or 5,000 gp; see text)</t>
  </si>
  <si>
    <t>construct touched</t>
  </si>
  <si>
    <t>This spell functions as instant summons, except it can only summon a construct you control. For constructs such as golems that are immune to magic, the value of the specially inscribed sapphire must be at least 5,000 gp. For other constructs, a 1,000 gp sapphire suffices. If the construct is no longer under your control or destroyed, the spell fails, but you know roughly where the construct or its remains are located.</t>
  </si>
  <si>
    <t>&lt;p&gt;This spell functions as &lt;i&gt;instant summons&lt;/i&gt;, except it can only summon a construct you control. For constructs such as golems that are immune to magic, the value of the specially inscribed sapphire must be at least 5,000 gp. For other constructs, a 1,000 gp sapphire suffices.&lt;/p&gt;&lt;p&gt;If the construct is no longer under your control or destroyed, the spell fails, but you know roughly where the construct or its remains are located.&lt;/p&gt;</t>
  </si>
  <si>
    <t>&lt;link rel="stylesheet"href="PF.css"&gt;&lt;div class="heading"&gt;&lt;p class="alignleft"&gt;Call Construct&lt;/p&gt;&lt;div style="clear: both;"&gt;&lt;/div&gt;&lt;/div&gt;&lt;div&gt;&lt;h5&gt;&lt;b&gt;School &lt;/b&gt;conjuration (teleportation); &lt;b&gt;Level &lt;/b&gt;cleric 8/oracle 8, sorcerer/wizard 8&lt;/h5&gt;&lt;/div&gt;&lt;hr/&gt;&lt;div&gt;&lt;h5&gt;&lt;b&gt;CASTING&lt;/b&gt;&lt;/h5&gt;&lt;/div&gt;&lt;hr/&gt;&lt;div&gt;&lt;h5&gt;&lt;b&gt;Casting Time &lt;/b&gt;10 minutes&lt;/h5&gt;&lt;h5&gt;&lt;b&gt;Components &lt;/b&gt;V, S, M (a sapphire worth 1,000 or 5,000 gp; see text)&lt;/h5&gt;&lt;/div&gt;&lt;hr/&gt;&lt;div&gt;&lt;h5&gt;&lt;b&gt;EFFECT&lt;/b&gt;&lt;/h5&gt;&lt;/div&gt;&lt;hr/&gt;&lt;div&gt;&lt;h5&gt;&lt;b&gt;Range &lt;/b&gt;touch&lt;/h5&gt;&lt;h5&gt;&lt;b&gt;Targets &lt;/b&gt;construct touched&lt;/h5&gt;&lt;h5&gt;&lt;b&gt;Duration &lt;/b&gt;permanent until discharged&lt;/h5&gt;&lt;h5&gt;&lt;b&gt;Saving Throw &lt;/b&gt;none; &lt;b&gt;Spell Resistance &lt;/b&gt;no&lt;/h5&gt;&lt;/div&gt;&lt;hr/&gt;&lt;div&gt;&lt;h5&gt;&lt;b&gt;DESCRIPTION&lt;/b&gt;&lt;/h5&gt;&lt;/div&gt;&lt;hr/&gt;&lt;div&gt;&lt;h4&gt;&lt;p&gt;This spell functions as &lt;i&gt;instant summons&lt;/i&gt;, except it can only summon a construct you control. For constructs such as golems that are immune to magic, the value of the specially inscribed sapphire must be at least 5,000 gp. For other constructs, a 1,000 gp sapphire suffices.&lt;/p&gt;&lt;p&gt;If the construct is no longer under your control or destroyed, the spell fails, but you know roughly where the construct or its remains are located.&lt;/p&gt;&lt;/h4&gt;&lt;/div&gt;</t>
  </si>
  <si>
    <t>Summon your construct to you.</t>
  </si>
  <si>
    <t>Cape Of Wasps</t>
  </si>
  <si>
    <t>druid 4, witch 4</t>
  </si>
  <si>
    <t>You summon a wasp swarm (Bestiary 275), which fills your space (up to 5 feet by 5 feet) but does not attack you. The dense cloud of vermin gives you partial concealment against ranged attacks. Any creature that makes a successful melee attack against you takes 2d6 points of swarm damage and poison from the wasp swarm, but is not affected by the swarm's distraction ability. As a free action on your turn, you may have the swarm cling to you tightly, giving you a fly speed of 20 feet (poor maneuverability); when using the swarm to fly, it does not provide concealment or harm creatures that strike you. You can return the swarm to its protective shape as a free action on your turn.</t>
  </si>
  <si>
    <t>&lt;p&gt;You summon a wasp swarm (&lt;i&gt;Bestiary&lt;/i&gt; 275), which fills your space (up to 5 feet by 5 feet) but does not attack you. The dense cloud of vermin gives you partial concealment against ranged attacks. Any creature that makes a successful melee attack against you takes 2d6 points of swarm damage and poison from the wasp swarm, but is not affected by the swarm's distraction ability. As a free action on your turn, you may have the swarm cling to you tightly, giving you a fly speed of 20 feet (poor maneuverability); when using the swarm to fly, it does not provide concealment or harm creatures that strike you. You can return the swarm to its protective shape as a free action on your turn.&lt;/p&gt;</t>
  </si>
  <si>
    <t>&lt;link rel="stylesheet"href="PF.css"&gt;&lt;div class="heading"&gt;&lt;p class="alignleft"&gt;Cape Of Wasps&lt;/p&gt;&lt;div style="clear: both;"&gt;&lt;/div&gt;&lt;/div&gt;&lt;div&gt;&lt;h5&gt;&lt;b&gt;School &lt;/b&gt;conjuration (summoning); &lt;b&gt;Level &lt;/b&gt;druid 4, witch 4&lt;/h5&gt;&lt;/div&gt;&lt;hr/&gt;&lt;div&gt;&lt;h5&gt;&lt;b&gt;CASTING&lt;/b&gt;&lt;/h5&gt;&lt;/div&gt;&lt;hr/&gt;&lt;div&gt;&lt;h5&gt;&lt;b&gt;Casting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 (D)&lt;/h5&gt;&lt;/div&gt;&lt;hr/&gt;&lt;div&gt;&lt;h5&gt;&lt;b&gt;DESCRIPTION&lt;/b&gt;&lt;/h5&gt;&lt;/div&gt;&lt;hr/&gt;&lt;div&gt;&lt;h4&gt;&lt;p&gt;You summon a wasp swarm (&lt;i&gt;Bestiary&lt;/i&gt; 275), which fills your space (up to 5 feet by 5 feet) but does not attack you. The dense cloud of vermin gives you partial concealment against ranged attacks. Any creature that makes a successful melee attack against you takes 2d6 points of swarm damage and poison from the wasp swarm, but is not affected by the swarm's distraction ability. As a free action on your turn, you may have the swarm cling to you tightly, giving you a fly speed of 20 feet (poor maneuverability); when using the swarm to fly, it does not provide concealment or harm creatures that strike you. You can return the swarm to its protective shape as a free action on your turn.&lt;/p&gt;&lt;/h4&gt;&lt;h5&gt;&lt;b&gt;Mythic: &lt;/b&gt;The wasp swarm fills a 15-foot-by-15-foot space centered on you (or on 1 of your squares, if your space is larger than 1 square). Creatures in the area of the swarm are affected by it normally (including the swarm's distraction ability). Add your tier to the swarm's distraction DC. When you use the swarm to fly, it fills only your space, your fly speed is 30 feet (average maneuverability), and the swarm still provides partial concealment against ranged attacks.&lt;/h5&gt;&lt;/div&gt;</t>
  </si>
  <si>
    <t>Wasp swarm defends or carries you.</t>
  </si>
  <si>
    <t>The wasp swarm fills a 15-foot-by-15-foot space centered on you (or on 1 of your squares, if your space is larger than 1 square). Creatures in the area of the swarm are affected by it normally (including the swarm's distraction ability). Add your tier to the swarm's distraction DC. When you use the swarm to fly, it fills only your space, your fly speed is 30 feet (average maneuverability), and the swarm still provides partial concealment against ranged attacks.</t>
  </si>
  <si>
    <t>Caustic Eruption</t>
  </si>
  <si>
    <t>instantaneous and 2 rounds; see text</t>
  </si>
  <si>
    <t>Reflex half (see text)</t>
  </si>
  <si>
    <t>Acid erupts from your space in all directions, causing 1d6 points of damage per caster level (maximum 20d6) to creatures and unattended objects in the area. On your turn in each of the next 2 rounds, creatures and objects that failed their saves against the initial burst take an additional 1d6 points of acid damage per 2 caster levels (maximum 10d6) unless the acid is neutralized, dispelled, or washed away.</t>
  </si>
  <si>
    <t>&lt;p&gt;Acid erupts from your space in all directions, causing 1d6 points of damage per caster level (maximum 20d6) to creatures and unattended objects in the area. On your turn in each of the next 2 rounds, creatures and objects that failed their saves against the initial burst take an additional 1d6 points of acid damage per 2 caster levels (maximum 10d6) unless the acid is neutralized, dispelled, or washed away.&lt;/p&gt;</t>
  </si>
  <si>
    <t>&lt;link rel="stylesheet"href="PF.css"&gt;&lt;div class="heading"&gt;&lt;p class="alignleft"&gt;Caustic Eruption&lt;/p&gt;&lt;div style="clear: both;"&gt;&lt;/div&gt;&lt;/div&gt;&lt;div&gt;&lt;h5&gt;&lt;b&gt;School &lt;/b&gt;conjuration (creation) [acid]; &lt;b&gt;Level &lt;/b&gt;sorcerer/wizard 7&lt;/h5&gt;&lt;/div&gt;&lt;hr/&gt;&lt;div&gt;&lt;h5&gt;&lt;b&gt;CASTING&lt;/b&gt;&lt;/h5&gt;&lt;/div&gt;&lt;hr/&gt;&lt;div&gt;&lt;h5&gt;&lt;b&gt;Casting Time &lt;/b&gt;1 standard action&lt;/h5&gt;&lt;h5&gt;&lt;b&gt;Components &lt;/b&gt;V, S&lt;/h5&gt;&lt;/div&gt;&lt;hr/&gt;&lt;div&gt;&lt;h5&gt;&lt;b&gt;EFFECT&lt;/b&gt;&lt;/h5&gt;&lt;/div&gt;&lt;hr/&gt;&lt;div&gt;&lt;h5&gt;&lt;b&gt;Range &lt;/b&gt;30 ft.&lt;/h5&gt;&lt;h5&gt;&lt;b&gt;Area &lt;/b&gt;30-ft.-radius burst&lt;/h5&gt;&lt;h5&gt;&lt;b&gt;Duration &lt;/b&gt;instantaneous and 2 rounds; see text&lt;/h5&gt;&lt;h5&gt;&lt;b&gt;Saving Throw &lt;/b&gt;Reflex half (see text); &lt;b&gt;Spell Resistance &lt;/b&gt;no&lt;/h5&gt;&lt;/div&gt;&lt;hr/&gt;&lt;div&gt;&lt;h5&gt;&lt;b&gt;DESCRIPTION&lt;/b&gt;&lt;/h5&gt;&lt;/div&gt;&lt;hr/&gt;&lt;div&gt;&lt;h4&gt;&lt;p&gt;Acid erupts from your space in all directions, causing 1d6 points of damage per caster level (maximum 20d6) to creatures and unattended objects in the area. On your turn in each of the next 2 rounds, creatures and objects that failed their saves against the initial burst take an additional 1d6 points of acid damage per 2 caster levels (maximum 10d6) unless the acid is neutralized, dispelled, or washed away.&lt;/p&gt;&lt;/h4&gt;&lt;/div&gt;</t>
  </si>
  <si>
    <t>Burst deals 1d6 acid/level and lingers.</t>
  </si>
  <si>
    <t>Chord Of Shards</t>
  </si>
  <si>
    <t>During your bardic performance, you can strike a chord whose notes transform into a shower of razor sharp, crystalline shards. The shards deal 2d6 points of piercing damage to all creatures caught in the area of effect.</t>
  </si>
  <si>
    <t>&lt;p&gt;During your bardic performance, you can strike a chord whose notes transform into a shower of razor sharp, crystalline shards. The shards deal 2d6 points of piercing damage to all creatures caught in the area of effect.&lt;/p&gt;</t>
  </si>
  <si>
    <t>&lt;link rel="stylesheet"href="PF.css"&gt;&lt;div class="heading"&gt;&lt;p class="alignleft"&gt;Chord Of Shards&lt;/p&gt;&lt;div style="clear: both;"&gt;&lt;/div&gt;&lt;/div&gt;&lt;div&gt;&lt;h5&gt;&lt;b&gt;School &lt;/b&gt;evocation; &lt;b&gt;Level &lt;/b&gt;bard 1&lt;/h5&gt;&lt;/div&gt;&lt;hr/&gt;&lt;div&gt;&lt;h5&gt;&lt;b&gt;CASTING&lt;/b&gt;&lt;/h5&gt;&lt;/div&gt;&lt;hr/&gt;&lt;div&gt;&lt;h5&gt;&lt;b&gt;Casting Time &lt;/b&gt;1 standard action&lt;/h5&gt;&lt;h5&gt;&lt;b&gt;Components &lt;/b&gt;V, S&lt;/h5&gt;&lt;/div&gt;&lt;hr/&gt;&lt;div&gt;&lt;h5&gt;&lt;b&gt;EFFECT&lt;/b&gt;&lt;/h5&gt;&lt;/div&gt;&lt;hr/&gt;&lt;div&gt;&lt;h5&gt;&lt;b&gt;Range &lt;/b&gt;15 ft.&lt;/h5&gt;&lt;h5&gt;&lt;b&gt;Area &lt;/b&gt;cone-shaped burst&lt;/h5&gt;&lt;h5&gt;&lt;b&gt;Duration &lt;/b&gt;instantaneous&lt;/h5&gt;&lt;h5&gt;&lt;b&gt;Saving Throw &lt;/b&gt;Reflex negates; &lt;b&gt;Spell Resistance &lt;/b&gt;no&lt;/h5&gt;&lt;/div&gt;&lt;hr/&gt;&lt;div&gt;&lt;h5&gt;&lt;b&gt;DESCRIPTION&lt;/b&gt;&lt;/h5&gt;&lt;/div&gt;&lt;hr/&gt;&lt;div&gt;&lt;h4&gt;&lt;p&gt;During your bardic performance, you can strike a chord whose notes transform into a shower of razor sharp, crystalline shards. The shards deal 2d6 points of piercing damage to all creatures caught in the area of effect.&lt;/p&gt;&lt;/h4&gt;&lt;h5&gt;&lt;b&gt;Mythic: &lt;/b&gt;The damage dealt increases to 2d8 points of piercing damage and bypasses all damage reduction. Any creature damaged by the shards takes 1d8 points of sonic damage.&lt;/h5&gt;&lt;/div&gt;</t>
  </si>
  <si>
    <t>Performance deals 2d6 piercing damage.</t>
  </si>
  <si>
    <t>The damage dealt increases to 2d8 points of piercing damage and bypasses all damage reduction. Any creature damaged by the shards takes 1d8 points of sonic damage.</t>
  </si>
  <si>
    <t>Circle Of Clarity</t>
  </si>
  <si>
    <t>cleric/oracle 7, sorcerer/wizard 7</t>
  </si>
  <si>
    <t>V, S, F (a crystal lens worth 100 gp)</t>
  </si>
  <si>
    <t>You create a magical emanation that interferes with all figments and glamers within it, giving creatures a +4 bonus on saving throws to recognize them as illusions. The emanation negates concealment less than total concealment within the area. Perception checks to notice creatures or objects within the area gain a bonus equal to half your caster level (maximum +10). The spell is stationary if cast on a point in space. It is mobile if centered on a creature or object, though creatures or attended objects can negate the spell with a saving throw or spell resistance.</t>
  </si>
  <si>
    <t>&lt;p&gt;You create a magical emanation that interferes with all figments and glamers within it, giving creatures a +4 bonus on saving throws to recognize them as illusions. The emanation negates concealment less than total concealment within the area. Perception checks to notice creatures or objects within the area gain a bonus equal to half your caster level (maximum +10). The spell is stationary if cast on a point in space. It is mobile if centered on a creature or object, though creatures or attended objects can negate the spell with a saving throw or spell resistance.&lt;/p&gt;</t>
  </si>
  <si>
    <t>&lt;link rel="stylesheet"href="PF.css"&gt;&lt;div class="heading"&gt;&lt;p class="alignleft"&gt;Circle Of Clarity&lt;/p&gt;&lt;div style="clear: both;"&gt;&lt;/div&gt;&lt;/div&gt;&lt;div&gt;&lt;h5&gt;&lt;b&gt;School &lt;/b&gt;abjuration; &lt;b&gt;Level &lt;/b&gt;cleric/oracle 7, sorcerer/wizard 7&lt;/h5&gt;&lt;/div&gt;&lt;hr/&gt;&lt;div&gt;&lt;h5&gt;&lt;b&gt;CASTING&lt;/b&gt;&lt;/h5&gt;&lt;/div&gt;&lt;hr/&gt;&lt;div&gt;&lt;h5&gt;&lt;b&gt;Casting Time &lt;/b&gt;1 standard action&lt;/h5&gt;&lt;h5&gt;&lt;b&gt;Components &lt;/b&gt;V, S, F (a crystal lens worth 100 gp)&lt;/h5&gt;&lt;/div&gt;&lt;hr/&gt;&lt;div&gt;&lt;h5&gt;&lt;b&gt;EFFECT&lt;/b&gt;&lt;/h5&gt;&lt;/div&gt;&lt;hr/&gt;&lt;div&gt;&lt;h5&gt;&lt;b&gt;Range &lt;/b&gt;medium (100 ft. + 10 ft./level)&lt;/h5&gt;&lt;h5&gt;&lt;b&gt;Effect &lt;/b&gt;20-ft.-radius emanation centered on a creature, object, or point in space&lt;/h5&gt;&lt;h5&gt;&lt;b&gt;Duration &lt;/b&gt;1 round/level (D)&lt;/h5&gt;&lt;h5&gt;&lt;b&gt;Saving Throw &lt;/b&gt;Will negates (harmless); &lt;b&gt;Spell Resistance &lt;/b&gt;yes (harmless)&lt;/h5&gt;&lt;/div&gt;&lt;hr/&gt;&lt;div&gt;&lt;h5&gt;&lt;b&gt;DESCRIPTION&lt;/b&gt;&lt;/h5&gt;&lt;/div&gt;&lt;hr/&gt;&lt;div&gt;&lt;h4&gt;&lt;p&gt;You create a magical emanation that interferes with all figments and glamers within it, giving creatures a +4 bonus on saving throws to recognize them as illusions. The emanation negates concealment less than total concealment within the area. Perception checks to notice creatures or objects within the area gain a bonus equal to half your caster level (maximum +10). The spell is stationary if cast on a point in space. It is mobile if centered on a creature or object, though creatures or attended objects can negate the spell with a saving throw or spell resistance.&lt;/p&gt;&lt;/h4&gt;&lt;/div&gt;</t>
  </si>
  <si>
    <t>Emanation hampers illusions and stealth.</t>
  </si>
  <si>
    <t>Cold Ice Strike</t>
  </si>
  <si>
    <t>cleric/oracle 6, sorcerer/wizard 6</t>
  </si>
  <si>
    <t>30-ft. line</t>
  </si>
  <si>
    <t>You create a shredding flurry of ice slivers, which blast from your hand in a line. The line deals 1d6 points of cold damage per caster level (maximum 15d6).</t>
  </si>
  <si>
    <t>&lt;p&gt;You create a shredding flurry of ice slivers, which blast from your hand in a line. The line deals 1d6 points of cold damage per caster level (maximum 15d6).&lt;/p&gt;</t>
  </si>
  <si>
    <t>&lt;link rel="stylesheet"href="PF.css"&gt;&lt;div class="heading"&gt;&lt;p class="alignleft"&gt;Cold Ice Strike&lt;/p&gt;&lt;div style="clear: both;"&gt;&lt;/div&gt;&lt;/div&gt;&lt;div&gt;&lt;h5&gt;&lt;b&gt;School &lt;/b&gt;evocation [cold]; &lt;b&gt;Level &lt;/b&gt;cleric/oracle 6, sorcerer/wizard 6&lt;/h5&gt;&lt;/div&gt;&lt;hr/&gt;&lt;div&gt;&lt;h5&gt;&lt;b&gt;CASTING&lt;/b&gt;&lt;/h5&gt;&lt;/div&gt;&lt;hr/&gt;&lt;div&gt;&lt;h5&gt;&lt;b&gt;Casting Time &lt;/b&gt;1 swift action&lt;/h5&gt;&lt;h5&gt;&lt;b&gt;Components &lt;/b&gt;V, S&lt;/h5&gt;&lt;/div&gt;&lt;hr/&gt;&lt;div&gt;&lt;h5&gt;&lt;b&gt;EFFECT&lt;/b&gt;&lt;/h5&gt;&lt;/div&gt;&lt;hr/&gt;&lt;div&gt;&lt;h5&gt;&lt;b&gt;Range &lt;/b&gt;30 ft.&lt;/h5&gt;&lt;h5&gt;&lt;b&gt;Area &lt;/b&gt;30-ft. line&lt;/h5&gt;&lt;h5&gt;&lt;b&gt;Duration &lt;/b&gt;instantaneous&lt;/h5&gt;&lt;h5&gt;&lt;b&gt;Saving Throw &lt;/b&gt;Reflex half; &lt;b&gt;Spell Resistance &lt;/b&gt;yes&lt;/h5&gt;&lt;/div&gt;&lt;hr/&gt;&lt;div&gt;&lt;h5&gt;&lt;b&gt;DESCRIPTION&lt;/b&gt;&lt;/h5&gt;&lt;/div&gt;&lt;hr/&gt;&lt;div&gt;&lt;h4&gt;&lt;p&gt;You create a shredding flurry of ice slivers, which blast from your hand in a line. The line deals 1d6 points of cold damage per caster level (maximum 15d6).&lt;/p&gt;&lt;/h4&gt;&lt;/div&gt;</t>
  </si>
  <si>
    <t>Cone of ice slivers deals 1d6 cold/level.</t>
  </si>
  <si>
    <t>Compassionate Ally</t>
  </si>
  <si>
    <t>emotion, mind-affecting</t>
  </si>
  <si>
    <t>bard 2, cleric 2/oracle 2, sorcerer/wizard 2</t>
  </si>
  <si>
    <t>At the sight of an injured ally, the target immediately disengages from its current course of action and rushes to provide aid. If the target possesses curative spells or magic items, it utilizes them to help the injured ally. If not, the target provides aid by performing a Heal check. The target remains with the injured ally to assure her safety and refuses to leave the ally's side until her wounds are fully treated or the spell ends, but can otherwise defend itself and make attacks.</t>
  </si>
  <si>
    <t>&lt;p&gt;At the sight of an injured ally, the target immediately disengages from its current course of action and rushes to provide aid. If the target possesses curative spells or magic items, it utilizes them to help the injured ally. If not, the target provides aid by performing a Heal check. The target remains with the injured ally to assure her safety and refuses to leave the ally's side until her wounds are fully treated or the spell ends, but can otherwise defend itself and make attacks.&lt;/p&gt;</t>
  </si>
  <si>
    <t>&lt;link rel="stylesheet"href="PF.css"&gt;&lt;div class="heading"&gt;&lt;p class="alignleft"&gt;Compassionate Ally&lt;/p&gt;&lt;div style="clear: both;"&gt;&lt;/div&gt;&lt;/div&gt;&lt;div&gt;&lt;h5&gt;&lt;b&gt;School &lt;/b&gt;enchantment (compulsion) [emotion, mind-affecting]; &lt;b&gt;Level &lt;/b&gt;bard 2, cleric 2/oracle 2, sorcerer/wizard 2&lt;/h5&gt;&lt;/div&gt;&lt;hr/&gt;&lt;div&gt;&lt;h5&gt;&lt;b&gt;CASTING&lt;/b&gt;&lt;/h5&gt;&lt;/div&gt;&lt;hr/&gt;&lt;div&gt;&lt;h5&gt;&lt;b&gt;Casting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&lt;/b&gt;1 round/level&lt;/h5&gt;&lt;h5&gt;&lt;b&gt;Saving Throw &lt;/b&gt;Will negates; &lt;b&gt;Spell Resistance &lt;/b&gt;yes&lt;/h5&gt;&lt;/div&gt;&lt;hr/&gt;&lt;div&gt;&lt;h5&gt;&lt;b&gt;DESCRIPTION&lt;/b&gt;&lt;/h5&gt;&lt;/div&gt;&lt;hr/&gt;&lt;div&gt;&lt;h4&gt;&lt;p&gt;At the sight of an injured ally, the target immediately disengages from its current course of action and rushes to provide aid. If the target possesses curative spells or magic items, it utilizes them to help the injured ally. If not, the target provides aid by performing a Heal check. The target remains with the injured ally to assure her safety and refuses to leave the ally's side until her wounds are fully treated or the spell ends, but can otherwise defend itself and make attacks.&lt;/p&gt;&lt;/h4&gt;&lt;/div&gt;</t>
  </si>
  <si>
    <t>Target is compelled to help injured ally.</t>
  </si>
  <si>
    <t>Conjure Black Pudding</t>
  </si>
  <si>
    <t>V, S, M (a flask of acid worth 10 gp)</t>
  </si>
  <si>
    <t>close (25 ft. + 5 ft./2 level)</t>
  </si>
  <si>
    <t>one summoned black pudding</t>
  </si>
  <si>
    <t>You summon a black pudding (Bestiary 35) that immediately attacks creatures near it. You have no control over the creature, and it may attack you if there are no more obvious opponents. The black pudding is treated as a summoned creature and has the extraplanar subtype. The black pudding's split ability works normally, but all puddings derived from the summoned one disappear when the spell ends.</t>
  </si>
  <si>
    <t>&lt;p&gt;You summon a black pudding (&lt;i&gt;Bestiary&lt;/i&gt; 35) that immediately attacks creatures near it. You have no control over the creature, and it may attack you if there are no more obvious opponents. The black pudding is treated as a summoned creature and has the extraplanar subtype. The black pudding's split ability works normally, but all puddings derived from the summoned one disappear when the spell ends.&lt;/p&gt;</t>
  </si>
  <si>
    <t>&lt;link rel="stylesheet"href="PF.css"&gt;&lt;div class="heading"&gt;&lt;p class="alignleft"&gt;Conjure Black Pudding&lt;/p&gt;&lt;div style="clear: both;"&gt;&lt;/div&gt;&lt;/div&gt;&lt;div&gt;&lt;h5&gt;&lt;b&gt;School &lt;/b&gt;conjuration (summoning) [acid]; &lt;b&gt;Level &lt;/b&gt;sorcerer/wizard 6, summoner 5&lt;/h5&gt;&lt;/div&gt;&lt;hr/&gt;&lt;div&gt;&lt;h5&gt;&lt;b&gt;CASTING&lt;/b&gt;&lt;/h5&gt;&lt;/div&gt;&lt;hr/&gt;&lt;div&gt;&lt;h5&gt;&lt;b&gt;Casting Time &lt;/b&gt;1 round&lt;/h5&gt;&lt;h5&gt;&lt;b&gt;Components &lt;/b&gt;V, S, M (a flask of acid worth 10 gp)&lt;/h5&gt;&lt;/div&gt;&lt;hr/&gt;&lt;div&gt;&lt;h5&gt;&lt;b&gt;EFFECT&lt;/b&gt;&lt;/h5&gt;&lt;/div&gt;&lt;hr/&gt;&lt;div&gt;&lt;h5&gt;&lt;b&gt;Range &lt;/b&gt;close (25 ft. + 5 ft./2 level)&lt;/h5&gt;&lt;h5&gt;&lt;b&gt;Effect &lt;/b&gt;one summoned black pudding&lt;/h5&gt;&lt;h5&gt;&lt;b&gt;Duration &lt;/b&gt;1 round/level (D)&lt;/h5&gt;&lt;h5&gt;&lt;b&gt;Saving Throw &lt;/b&gt;none; &lt;b&gt;Spell Resistance &lt;/b&gt;no&lt;/h5&gt;&lt;/div&gt;&lt;hr/&gt;&lt;div&gt;&lt;h5&gt;&lt;b&gt;DESCRIPTION&lt;/b&gt;&lt;/h5&gt;&lt;/div&gt;&lt;hr/&gt;&lt;div&gt;&lt;h4&gt;&lt;p&gt;You summon a black pudding (&lt;i&gt;Bestiary&lt;/i&gt; 35) that immediately attacks creatures near it. You have no control over the creature, and it may attack you if there are no more obvious opponents. The black pudding is treated as a summoned creature and has the extraplanar subtype. The black pudding's split ability works normally, but all puddings derived from the summoned one disappear when the spell ends.&lt;/p&gt;&lt;/h4&gt;&lt;h5&gt;&lt;b&gt;Mythic: &lt;/b&gt;The black pudding has fast healing equal to your tier, as do any puddings that split off from it. The black puddings from this spell never attack you, though they're otherwise uncontrolled and might attack your allies if there are no other obvious opponents.&lt;/h5&gt;&lt;h5&gt;&lt;b&gt;Augmented (6th)&lt;/b&gt;: If you expend two uses of mythic power, the pudding gains the savage mythic template (see page 224). Puddings that split off from the giant pudding don't gain the template.&lt;/h5&gt;&lt;/div&gt;</t>
  </si>
  <si>
    <t>Summon a black pudding.</t>
  </si>
  <si>
    <t>Contagion, Greater</t>
  </si>
  <si>
    <t>disease, evil</t>
  </si>
  <si>
    <t>cleric 5/oracle 5, druid 5, sorcerer/wizard 6, witch 5</t>
  </si>
  <si>
    <t>This spell functions as contagion, except the victim cannot overcome the disease without magic-making the required number of saves does not cure it. The DC to remove the disease with magic is equal to the save DC + 5.</t>
  </si>
  <si>
    <t>&lt;p&gt;This spell functions as &lt;i&gt;contagion&lt;/i&gt;, except the victim cannot overcome the disease without magic-making the required number of saves does not cure it. The DC to remove the disease with magic is equal to the save DC + 5.&lt;/p&gt;</t>
  </si>
  <si>
    <t>&lt;link rel="stylesheet"href="PF.css"&gt;&lt;div class="heading"&gt;&lt;p class="alignleft"&gt;Contagion, Greater&lt;/p&gt;&lt;div style="clear: both;"&gt;&lt;/div&gt;&lt;/div&gt;&lt;div&gt;&lt;h5&gt;&lt;b&gt;School &lt;/b&gt;necromancy [disease, evil]; &lt;b&gt;Level &lt;/b&gt;cleric 5/oracle 5, druid 5, sorcerer/wizard 6, witch 5&lt;/h5&gt;&lt;/div&gt;&lt;hr/&gt;&lt;div&gt;&lt;h5&gt;&lt;b&gt;CASTING&lt;/b&gt;&lt;/h5&gt;&lt;/div&gt;&lt;hr/&gt;&lt;div&gt;&lt;h5&gt;&lt;b&gt;Casting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living creature&lt;/h5&gt;&lt;h5&gt;&lt;b&gt;Duration &lt;/b&gt;instantaneous&lt;/h5&gt;&lt;h5&gt;&lt;b&gt;Saving Throw &lt;/b&gt;Fortitude negates; &lt;b&gt;Spell Resistance &lt;/b&gt;yes&lt;/h5&gt;&lt;/div&gt;&lt;hr/&gt;&lt;div&gt;&lt;h5&gt;&lt;b&gt;DESCRIPTION&lt;/b&gt;&lt;/h5&gt;&lt;/div&gt;&lt;hr/&gt;&lt;div&gt;&lt;h4&gt;&lt;p&gt;This spell functions as &lt;i&gt;contagion&lt;/i&gt;, except the victim cannot overcome the disease without magic-making the required number of saves does not cure it. The DC to remove the disease with magic is equal to the save DC + 5.&lt;/p&gt;&lt;/h4&gt;&lt;/div&gt;</t>
  </si>
  <si>
    <t>Infect a subject with a magical disease.</t>
  </si>
  <si>
    <t>Control Construct</t>
  </si>
  <si>
    <t>one construct</t>
  </si>
  <si>
    <t>none (see text)</t>
  </si>
  <si>
    <t>You wrest the control of a construct from its master. For as long as you concentrate, you can control the construct as if you were its master. You must make a Spellcraft check each round to maintain control. The DC of the Spellcraft check is (10 + the construct's HD). If the construct's creator or master is present and trying to control the construct, you both must make opposed Spellcraft checks each round to control the construct.</t>
  </si>
  <si>
    <t>&lt;p&gt;You wrest the control of a construct from its master. For as long as you concentrate, you can control the construct as if you were its master. You must make a Spellcraft check each round to maintain control. The DC of the Spellcraft check is (10 + the construct's HD). If the construct's creator or master is present and trying to control the construct, you both must make opposed Spellcraft checks each round to control the construct.&lt;/p&gt;</t>
  </si>
  <si>
    <t>&lt;link rel="stylesheet"href="PF.css"&gt;&lt;div class="heading"&gt;&lt;p class="alignleft"&gt;Control Construct&lt;/p&gt;&lt;div style="clear: both;"&gt;&lt;/div&gt;&lt;/div&gt;&lt;div&gt;&lt;h5&gt;&lt;b&gt;School &lt;/b&gt;transmutation; &lt;b&gt;Level &lt;/b&gt;sorcerer/wizard 7&lt;/h5&gt;&lt;/div&gt;&lt;hr/&gt;&lt;div&gt;&lt;h5&gt;&lt;b&gt;CASTING&lt;/b&gt;&lt;/h5&gt;&lt;/div&gt;&lt;hr/&gt;&lt;div&gt;&lt;h5&gt;&lt;b&gt;Casting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construct&lt;/h5&gt;&lt;h5&gt;&lt;b&gt;Duration &lt;/b&gt;concentration&lt;/h5&gt;&lt;h5&gt;&lt;b&gt;Saving Throw &lt;/b&gt;none (see text); &lt;b&gt;Spell Resistance &lt;/b&gt;no&lt;/h5&gt;&lt;/div&gt;&lt;hr/&gt;&lt;div&gt;&lt;h5&gt;&lt;b&gt;DESCRIPTION&lt;/b&gt;&lt;/h5&gt;&lt;/div&gt;&lt;hr/&gt;&lt;div&gt;&lt;h4&gt;&lt;p&gt;You wrest the control of a construct from its master. For as long as you concentrate, you can control the construct as if you were its master. You must make a Spellcraft check each round to maintain control. The DC of the Spellcraft check is (10 + the construct's HD). If the construct's creator or master is present and trying to control the construct, you both must make opposed Spellcraft checks each round to control the construct.&lt;/p&gt;&lt;/h4&gt;&lt;/div&gt;</t>
  </si>
  <si>
    <t>Take control of a construct.</t>
  </si>
  <si>
    <t>Control Summoned Creature</t>
  </si>
  <si>
    <t>bard 3, cleric 4/oracle 4, sorcerer/wizard 4, summoner 3</t>
  </si>
  <si>
    <t>You seize control of a summoned creature by disrupting the bond between it and the caster who summoned it. If the creature fails its save, you may command it as if you had summoned it. The original caster can attempt to regain control of the creature as a standard action by making an opposed Spellcraft check against you. When your spell ends, control reverts to the original summoner. If the summoning spell ends before this spell ends, the remaining duration of this spell is lost.</t>
  </si>
  <si>
    <t>&lt;p&gt;You seize control of a summoned creature by disrupting the bond between it and the caster who summoned it. If the creature fails its save, you may command it as if you had summoned it. The original caster can attempt to regain control of the creature as a standard action by making an opposed Spellcraft check against you. When your spell ends, control reverts to the original summoner. If the summoning spell ends before this spell ends, the remaining duration of this spell is lost.&lt;/p&gt;</t>
  </si>
  <si>
    <t>&lt;link rel="stylesheet"href="PF.css"&gt;&lt;div class="heading"&gt;&lt;p class="alignleft"&gt;Control Summoned Creature&lt;/p&gt;&lt;div style="clear: both;"&gt;&lt;/div&gt;&lt;/div&gt;&lt;div&gt;&lt;h5&gt;&lt;b&gt;School &lt;/b&gt;enchantment (compulsion) [mind-affecting]; &lt;b&gt;Level &lt;/b&gt;bard 3, cleric 4/oracle 4, sorcerer/wizard 4, summoner 3&lt;/h5&gt;&lt;/div&gt;&lt;hr/&gt;&lt;div&gt;&lt;h5&gt;&lt;b&gt;CASTING&lt;/b&gt;&lt;/h5&gt;&lt;/div&gt;&lt;hr/&gt;&lt;div&gt;&lt;h5&gt;&lt;b&gt;Casting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summoned creature&lt;/h5&gt;&lt;h5&gt;&lt;b&gt;Duration &lt;/b&gt;1 round/level&lt;/h5&gt;&lt;h5&gt;&lt;b&gt;Saving Throw &lt;/b&gt;Will negates; &lt;b&gt;Spell Resistance &lt;/b&gt;yes&lt;/h5&gt;&lt;/div&gt;&lt;hr/&gt;&lt;div&gt;&lt;h5&gt;&lt;b&gt;DESCRIPTION&lt;/b&gt;&lt;/h5&gt;&lt;/div&gt;&lt;hr/&gt;&lt;div&gt;&lt;h4&gt;&lt;p&gt;You seize control of a summoned creature by disrupting the bond between it and the caster who summoned it. If the creature fails its save, you may command it as if you had summoned it. The original caster can attempt to regain control of the creature as a standard action by making an opposed Spellcraft check against you. When your spell ends, control reverts to the original summoner. If the summoning spell ends before this spell ends, the remaining duration of this spell is lost.&lt;/p&gt;&lt;/h4&gt;&lt;/div&gt;</t>
  </si>
  <si>
    <t>Direct a summoned monster as if you had summoned it.</t>
  </si>
  <si>
    <t>Corrosive Consumption</t>
  </si>
  <si>
    <t>With a touch, this spell causes a small, rapidly growing patch of corrosive acid to appear on the target. On the first round, the acid deals 1 point of acid damage per caster level (maximum 15). On the second round, the acid patch grows and deals 1d4 points of acid damage per caster level (maximum 15d4). On the third and final round, the acid patch covers the entire creature and deals 1d6 points of acid damage per caster level (maximum 15d6). The target can spend a full-round action to scrape off the acid, or can wash it off with at least 1 gallon of liquid to halve the damage for that round and negate the remaining rounds of the spell.</t>
  </si>
  <si>
    <t>&lt;p&gt;With a touch, this spell causes a small, rapidly growing patch of corrosive acid to appear on the target. On the first round, the acid deals 1 point of acid damage per caster level (maximum 15). On the second round, the acid patch grows and deals 1d4 points of acid damage per caster level (maximum 15d4). On the third and final round, the acid patch covers the entire creature and deals 1d6 points of acid damage per caster level (maximum 15d6). The target can spend a full-round action to scrape off the acid, or can wash it off with at least 1 gallon of liquid to halve the damage for that round and negate the remaining rounds of the spell.&lt;/p&gt;</t>
  </si>
  <si>
    <t>&lt;link rel="stylesheet"href="PF.css"&gt;&lt;div class="heading"&gt;&lt;p class="alignleft"&gt;Corrosive Consumption&lt;/p&gt;&lt;div style="clear: both;"&gt;&lt;/div&gt;&lt;/div&gt;&lt;div&gt;&lt;h5&gt;&lt;b&gt;School &lt;/b&gt;conjuration (creation) [acid]; &lt;b&gt;Level &lt;/b&gt;magus 5, sorcerer/wizard 5&lt;/h5&gt;&lt;/div&gt;&lt;hr/&gt;&lt;div&gt;&lt;h5&gt;&lt;b&gt;CASTING&lt;/b&gt;&lt;/h5&gt;&lt;/div&gt;&lt;hr/&gt;&lt;div&gt;&lt;h5&gt;&lt;b&gt;Casting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&lt;/b&gt;3 rounds&lt;/h5&gt;&lt;h5&gt;&lt;b&gt;Saving Throw &lt;/b&gt;none; &lt;b&gt;Spell Resistance &lt;/b&gt;yes&lt;/h5&gt;&lt;/div&gt;&lt;hr/&gt;&lt;div&gt;&lt;h5&gt;&lt;b&gt;DESCRIPTION&lt;/b&gt;&lt;/h5&gt;&lt;/div&gt;&lt;hr/&gt;&lt;div&gt;&lt;h4&gt;&lt;p&gt;With a touch, this spell causes a small, rapidly growing patch of corrosive acid to appear on the target. On the first round, the acid deals 1 point of acid damage per caster level (maximum 15). On the second round, the acid patch grows and deals 1d4 points of acid damage per caster level (maximum 15d4). On the third and final round, the acid patch covers the entire creature and deals 1d6 points of acid damage per caster level (maximum 15d6). The target can spend a full-round action to scrape off the acid, or can wash it off with at least 1 gallon of liquid to halve the damage for that round and negate the remaining rounds of the spell.&lt;/p&gt;&lt;/h4&gt;&lt;/div&gt;</t>
  </si>
  <si>
    <t>Acidic patch damages an opponent.</t>
  </si>
  <si>
    <t>Corrosive Touch</t>
  </si>
  <si>
    <t>magus 1, sorcerer/wizard 1, summoner 1</t>
  </si>
  <si>
    <t>Your successful melee touch attack deals 1d4 points of acid damage per caster level (maximum 5d4).</t>
  </si>
  <si>
    <t>&lt;p&gt;Your successful melee touch attack deals 1d4 points of acid damage per caster level (maximum 5d4).&lt;/p&gt;</t>
  </si>
  <si>
    <t>&lt;link rel="stylesheet"href="PF.css"&gt;&lt;div class="heading"&gt;&lt;p class="alignleft"&gt;Corrosive Touch&lt;/p&gt;&lt;div style="clear: both;"&gt;&lt;/div&gt;&lt;/div&gt;&lt;div&gt;&lt;h5&gt;&lt;b&gt;School &lt;/b&gt;conjuration (creation) [acid]; &lt;b&gt;Level &lt;/b&gt;magus 1, sorcerer/wizard 1, summoner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or object touched&lt;/h5&gt;&lt;h5&gt;&lt;b&gt;Duration &lt;/b&gt;instantaneous&lt;/h5&gt;&lt;h5&gt;&lt;b&gt;Saving Throw &lt;/b&gt;none; &lt;b&gt;Spell Resistance &lt;/b&gt;yes&lt;/h5&gt;&lt;/div&gt;&lt;hr/&gt;&lt;div&gt;&lt;h5&gt;&lt;b&gt;DESCRIPTION&lt;/b&gt;&lt;/h5&gt;&lt;/div&gt;&lt;hr/&gt;&lt;div&gt;&lt;h4&gt;&lt;p&gt;Your successful melee touch attack deals 1d4 points of acid damage per caster level (maximum 5d4).&lt;/p&gt;&lt;/h4&gt;&lt;/div&gt;</t>
  </si>
  <si>
    <t>Touch attack deals 1d4 acid/level.</t>
  </si>
  <si>
    <t>Countless Eyes</t>
  </si>
  <si>
    <t>alchemist 3, inquisitor 3, sorcerer/wizard 3, witch 3</t>
  </si>
  <si>
    <t>The target sprouts extra eyes all over its body, including on the back of its head. It gains all-around vision (Bestiary 2 294) and cannot be flanked.</t>
  </si>
  <si>
    <t>&lt;p&gt;The target sprouts extra eyes all over its body, including on the back of its head. It gains all-around vision (&lt;i&gt;Bestiary 2&lt;/i&gt; 294) and cannot be flanked.&lt;/p&gt;</t>
  </si>
  <si>
    <t>&lt;link rel="stylesheet"href="PF.css"&gt;&lt;div class="heading"&gt;&lt;p class="alignleft"&gt;Countless Eyes&lt;/p&gt;&lt;div style="clear: both;"&gt;&lt;/div&gt;&lt;/div&gt;&lt;div&gt;&lt;h5&gt;&lt;b&gt;School &lt;/b&gt;transmutation; &lt;b&gt;Level &lt;/b&gt;alchemist 3, inquisitor 3, sorcerer/wizard 3, witch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hour/level&lt;/h5&gt;&lt;h5&gt;&lt;b&gt;Saving Throw &lt;/b&gt;Will negates (harmless); &lt;b&gt;Spell Resistance &lt;/b&gt;yes (harmless)&lt;/h5&gt;&lt;/div&gt;&lt;hr/&gt;&lt;div&gt;&lt;h5&gt;&lt;b&gt;DESCRIPTION&lt;/b&gt;&lt;/h5&gt;&lt;/div&gt;&lt;hr/&gt;&lt;div&gt;&lt;h4&gt;&lt;p&gt;The target sprouts extra eyes all over its body, including on the back of its head. It gains all-around vision (&lt;i&gt;Bestiary 2&lt;/i&gt; 294) and cannot be flanked.&lt;/p&gt;&lt;/h4&gt;&lt;/div&gt;</t>
  </si>
  <si>
    <t>Extra eyes give all-around vision.</t>
  </si>
  <si>
    <t>Create Demiplane</t>
  </si>
  <si>
    <t>4 hours</t>
  </si>
  <si>
    <t>V, S, F (a forked metal rod worth at least 500 gp)</t>
  </si>
  <si>
    <t>extradimensional demiplane, up to 10 10-ft. cubes/level (S)</t>
  </si>
  <si>
    <t>1 day/level or instantaneous (see text)</t>
  </si>
  <si>
    <t>This spell functions as create lesser demiplane, except the area is larger and you can add more features to the plane. You can use this spell to expand a demiplane you created with create lesser demiplane (you do not need to create an entirely new plane using this spell), in which case it has a duration of 1 day/level. Alternatively, when cast within your demiplane, you may add (or remove) one of the following features to your demiplane with each casting of the spell, in which case it has an instantaneous duration. Alignment: Your plane gains the (mildly) chaos-, good-, evil-, law-, or neutral-aligned alignment trait (see Alignment Traits, GameMastery Guide 187). You cannot give your demiplane an alignment trait for an alignment you do not have. Bountiful: Your demiplane gains a thriving natural ecology, with streams, ponds, waterfalls, and plants. The demiplane provides enough plant-based food (nuts, grains, fruit, fungi, and so on) to support one Medium creature for every 10-foot cube of the demiplane. The demiplane does not have any animals unless you transport them there, but the ecology can sustain itself for as long as the demiplane exists without requiring watering, gardening, pollination, and so on, and dead organic material decays and returns to the soil in the normal manner. If your demiplane has ambient light, these plants are normal, familiar surface plants; if it is a realm of twilight or darkness, these plants are fungi and other plants adapted to near-darkness or underground locations. Elemental: Your plane gains the air-, earth-, fire-, or water-elemental dominant trait (see Elemental and Energy Traits, GameMastery Guide 186). Gravity: By default a demiplane's gravity is normal and oriented in one direction, like what most creatures are used to on the Material Plane. By selecting this feature, the plane's gravity is heavy, light, none, objectively directional, or subjectively directional (see Gravity, GameMastery Guide 184). Seasonal: The demiplane has a seasonal cycle and a light cycle, usually similar to those of a land on the Material Plane, but customizable as you see fit (for example, your demiplane could always be winter, day and night could alternate every 4 hours, and so on). Shape: By default, the demiplane has a fixed shape and borders. By selecting this feature, you may make your plane self-contained so it loops upon itself when a creature reaches one edge (see Shape and Size, GameMastery Guide 185). You may designate areas or locations on the edges of your plane where this occurs (such as a pair of secret doors or a path in the woods) or apply it to the entire plane. Structure: Your demiplane has a specific, linked physical structure, such as a giant tree, floating castle, labyrinth, mountain, and so on. (This option exists so you can pick a theme for your plane without having to worry about the small details of determining what spells you need for every hill, hole, wall, floor, and corner). You can make this spell permanent with the permanency spell, at a cost of 20,000 gp. If you have cast create demiplane multiple times to enlarge the demiplane, each casting's area requires its own permanency spell.</t>
  </si>
  <si>
    <t>&lt;p&gt;This spell functions as &lt;i&gt;create lesser demiplane&lt;/i&gt;, except the area is larger and you can add more features to the plane. You can use this spell to expand a demiplane you created with &lt;i&gt;create lesser demiplane&lt;/i&gt; (you do not need to create an entirely new plane using this spell), in which case it has a duration of 1 day/level. Alternatively, when cast within your demiplane, you may add (or remove) one of the following features to your demiplane with each casting of the spell, in which case it has an instantaneous duration.&lt;/p&gt;&lt;p&gt;Alignment: Your plane gains the (mildly) chaos-, good-, evil-, law-, or neutral-aligned alignment trait (see Alignment Traits, &lt;i&gt;GameMastery Guide&lt;/i&gt; 187). You cannot give your demiplane an alignment trait for an alignment you do not have.&lt;/p&gt;&lt;p&gt;Bountiful: Your demiplane gains a thriving natural ecology, with streams, ponds, waterfalls, and plants. The demiplane provides enough plant-based food (nuts, grains, fruit, fungi, and so on) to support one Medium creature for every 10-foot cube of the demiplane. The demiplane does not have any animals unless you transport them there, but the ecology can sustain itself for as long as the demiplane exists without requiring watering, gardening, pollination, and so on, and dead organic material decays and returns to the soil in the normal manner. If your demiplane has ambient light, these plants are normal, familiar surface plants; if it is a realm of twilight or darkness, these plants are fungi and other plants adapted to near-darkness or underground locations.&lt;/p&gt;&lt;p&gt;Elemental: Your plane gains the air-, earth-, fire-, or water-elemental dominant trait (see Elemental and Energy Traits, &lt;i&gt;GameMastery Guide&lt;/i&gt; 186).&lt;/p&gt;&lt;p&gt;Gravity: By default a demiplane's gravity is normal and oriented in one direction, like what most creatures are used to on the Material Plane. By selecting this feature, the plane's gravity is heavy, light, none, objectively directional, or subjectively directional (see Gravity, &lt;i&gt;GameMastery Guide&lt;/i&gt; 184).&lt;/p&gt;&lt;p&gt;Seasonal: The demiplane has a seasonal cycle and a light cycle, usually similar to those of a land on the Material Plane, but customizable as you see fit (for example, your demiplane could always be winter, day and night could alternate every 4 hours, and so on).&lt;/p&gt;&lt;p&gt;Shape: By default, the demiplane has a fixed shape and borders. By selecting this feature, you may make your plane self-contained so it loops upon itself when a creature reaches one edge (see Shape and Size, &lt;i&gt;GameMastery Guide&lt;/i&gt; 185). You may designate areas or locations on the edges of your plane where this occurs (such as a pair of secret doors or a path in the woods) or apply it to the entire plane.&lt;/p&gt;&lt;p&gt;Structure: Your demiplane has a specific, linked physical structure, such as a giant tree, floating castle, labyrinth, mountain, and so on. (This option exists so you can pick a theme for your plane without having to worry about the small details of determining what spells you need for every hill, hole, wall, floor, and corner).&lt;/p&gt;&lt;p&gt;You can make this spell permanent with the &lt;i&gt;permanency&lt;/i&gt; spell, at a cost of 20,000 gp. If you have cast &lt;i&gt;create demiplane&lt;/i&gt; multiple times to enlarge the demiplane, each casting's area requires its own &lt;i&gt;permanency&lt;/i&gt; spell.&lt;/p&gt;</t>
  </si>
  <si>
    <t>&lt;link rel="stylesheet"href="PF.css"&gt;&lt;div class="heading"&gt;&lt;p class="alignleft"&gt;Create Demiplane&lt;/p&gt;&lt;div style="clear: both;"&gt;&lt;/div&gt;&lt;/div&gt;&lt;div&gt;&lt;h5&gt;&lt;b&gt;School &lt;/b&gt;conjuration (creation); &lt;b&gt;Level &lt;/b&gt;cleric 8/oracle 8, sorcerer/wizard 8, summoner 6, witch 8&lt;/h5&gt;&lt;/div&gt;&lt;hr/&gt;&lt;div&gt;&lt;h5&gt;&lt;b&gt;CASTING&lt;/b&gt;&lt;/h5&gt;&lt;/div&gt;&lt;hr/&gt;&lt;div&gt;&lt;h5&gt;&lt;b&gt;Casting Time &lt;/b&gt;4 hours&lt;/h5&gt;&lt;h5&gt;&lt;b&gt;Components &lt;/b&gt;V, S, F (a forked metal rod worth at least 500 gp)&lt;/h5&gt;&lt;/div&gt;&lt;hr/&gt;&lt;div&gt;&lt;h5&gt;&lt;b&gt;EFFECT&lt;/b&gt;&lt;/h5&gt;&lt;/div&gt;&lt;hr/&gt;&lt;div&gt;&lt;h5&gt;&lt;b&gt;Range &lt;/b&gt;0 ft.&lt;/h5&gt;&lt;h5&gt;&lt;b&gt;Effect &lt;/b&gt;extradimensional demiplane, up to 10 10-ft. cubes/level (S)&lt;/h5&gt;&lt;h5&gt;&lt;b&gt;Duration &lt;/b&gt;1 day/level or instantaneous (see text)&lt;/h5&gt;&lt;h5&gt;&lt;b&gt;Saving Throw &lt;/b&gt;none; &lt;b&gt;Spell Resistance &lt;/b&gt;no&lt;/h5&gt;&lt;/div&gt;&lt;hr/&gt;&lt;div&gt;&lt;h5&gt;&lt;b&gt;DESCRIPTION&lt;/b&gt;&lt;/h5&gt;&lt;/div&gt;&lt;hr/&gt;&lt;div&gt;&lt;h4&gt;&lt;p&gt;This spell functions as &lt;i&gt;create lesser demiplane&lt;/i&gt;, except the area is larger and you can add more features to the plane. You can use this spell to expand a demiplane you created with &lt;i&gt;create lesser demiplane&lt;/i&gt; (you do not need to create an entirely new plane using this spell), in which case it has a duration of 1 day/level. Alternatively, when cast within your demiplane, you may add (or remove) one of the following features to your demiplane with each casting of the spell, in which case it has an instantaneous duration.&lt;/p&gt;&lt;p&gt;Alignment: Your plane gains the (mildly) chaos-, good-, evil-, law-, or neutral-aligned alignment trait (see Alignment Traits, &lt;i&gt;GameMastery Guide&lt;/i&gt; 187). You cannot give your demiplane an alignment trait for an alignment you do not have.&lt;/p&gt;&lt;p&gt;Bountiful: Your demiplane gains a thriving natural ecology, with streams, ponds, waterfalls, and plants. The demiplane provides enough plant-based food (nuts, grains, fruit, fungi, and so on) to support one Medium creature for every 10-foot cube of the demiplane. The demiplane does not have any animals unless you transport them there, but the ecology can sustain itself for as long as the demiplane exists without requiring watering, gardening, pollination, and so on, and dead organic material decays and returns to the soil in the normal manner. If your demiplane has ambient light, these plants are normal, familiar surface plants; if it is a realm of twilight or darkness, these plants are fungi and other plants adapted to near-darkness or underground locations.&lt;/p&gt;&lt;p&gt;Elemental: Your plane gains the air-, earth-, fire-, or water-elemental dominant trait (see Elemental and Energy Traits, &lt;i&gt;GameMastery Guide&lt;/i&gt; 186).&lt;/p&gt;&lt;p&gt;Gravity: By default a demiplane's gravity is normal and oriented in one direction, like what most creatures are used to on the Material Plane. By selecting this feature, the plane's gravity is heavy, light, none, objectively directional, or subjectively directional (see Gravity, &lt;i&gt;GameMastery Guide&lt;/i&gt; 184).&lt;/p&gt;&lt;p&gt;Seasonal: The demiplane has a seasonal cycle and a light cycle, usually similar to those of a land on the Material Plane, but customizable as you see fit (for example, your demiplane could always be winter, day and night could alternate every 4 hours, and so on).&lt;/p&gt;&lt;p&gt;Shape: By default, the demiplane has a fixed shape and borders. By selecting this feature, you may make your plane self-contained so it loops upon itself when a creature reaches one edge (see Shape and Size, &lt;i&gt;GameMastery Guide&lt;/i&gt; 185). You may designate areas or locations on the edges of your plane where this occurs (such as a pair of secret doors or a path in the woods) or apply it to the entire plane.&lt;/p&gt;&lt;p&gt;Structure: Your demiplane has a specific, linked physical structure, such as a giant tree, floating castle, labyrinth, mountain, and so on. (This option exists so you can pick a theme for your plane without having to worry about the small details of determining what spells you need for every hill, hole, wall, floor, and corner).&lt;/p&gt;&lt;p&gt;You can make this spell permanent with the &lt;i&gt;permanency&lt;/i&gt; spell, at a cost of 20,000 gp. If you have cast &lt;i&gt;create demiplane&lt;/i&gt; multiple times to enlarge the demiplane, each casting's area requires its own &lt;i&gt;permanency&lt;/i&gt; spell.&lt;/p&gt;&lt;/h4&gt;&lt;/div&gt;</t>
  </si>
  <si>
    <t>As lesser create demiplane, but larger and with planar traits.</t>
  </si>
  <si>
    <t>Create Demiplane, Lesser</t>
  </si>
  <si>
    <t>2 hours</t>
  </si>
  <si>
    <t>extradimensional demiplane, up to three 10-ft. cubes/level (S)</t>
  </si>
  <si>
    <t>You create a small, finite demiplane. You must be on the Astral or Ethereal Plane or on a plane that has access to one of those planes (such as the Material Plane) to cast this spell. When you cast the spell, you decide whether the demiplane is within the Astral or the Ethereal Plane. It is filled with air or water (decided by you). The plane is generally flat and featureless, such as an earth, stone, water, or wood floor. The "walls" and "ceiling" of the plane may appear like solid earth, stone, wood, or water, or they may end in mist, a featureless void, or a similar unreal-looking border. The plane's environmental conditions are those of a temperate spring day on the Material Plane. You determine the plane's light level (bright, normal, dim, or darkness), which affects the entire plane. There are no native creatures or plants on this plane, though you may bring some there (if the plane's light is bright or normal, it counts as sunlight for growing plants). The environment of the plane counts as normal terrain for the purpose of effects that target earth, stone, wood, and so on. For example, you could use move earth to create a hill or wall of stone to create a barricade. When you finish casting this spell, you may bring yourself and up to seven other creatures to the plane automatically by joining hands in a circle. The demiplane is another plane of existence, and therefore is outside the range of any spell or ability that cannot affect or reach other planes. Creatures can only enter the plane by the use of planar travel magic such as astral projection, etherealness, or plane shift. You are considered "very familiar" with your entire demiplane. As a standard action, you may eject a creature from your demiplane. The creature may resist with a Will saving throw. An ejected creature goes to the closest plane to your demiplane (usually the Astral Plane or the Ethereal Plane, but if you cast this spell on the Material Plane, the creature is sent to the Material Plane). When the spell ends, the plane dissolves, and all creatures in the plane are ejected in this manner with no saving throw. The plane cannot be dispelled, but a creature on the plane can destroy it by using limited wish, mage's disjunction, miracle, or wish and making a successful dispel check. If you are within the demiplane, you can add to its area by casting the spell again. Alternatively, you may cast this spell again to reset the duration of an existing area to that of your latest casting. If the duration on one area of the demiplane ends and other parts remain, creatures in the expiring area are shunted to remaining areas. If a collapsing portion of the demiplane would leave one section cut off from other sections of the demiplane (for example, if there were three areas connected in a straight line and the center part expired), the stranded sections count as separate demiplanes under your control. You may reconnect these stranded sections by the spell again to create a linked area between the two. You can make this spell permanent with the permanency spell, at a cost of 17,500 gp. If you have cast create lesser demiplane multiple times to enlarge the demiplane, each casting's area requires its own permanency spell.</t>
  </si>
  <si>
    <t>&lt;p&gt;You create a small, finite demiplane. You must be on the Astral or Ethereal Plane or on a plane that has access to one of those planes (such as the Material Plane) to cast this spell.&lt;/p&gt;&lt;p&gt;When you cast the spell, you decide whether the demiplane is within the Astral or the Ethereal Plane. It is filled with air or water (decided by you). The plane is generally flat and featureless, such as an earth, stone, water, or wood floor. The "walls" and "ceiling" of the plane may appear like solid earth, stone, wood, or water, or they may end in mist, a featureless void, or a similar unreal-looking border. The plane's environmental conditions are those of a temperate spring day on the Material Plane. You determine the plane's light level (bright, normal, dim, or darkness), which affects the entire plane.&lt;/p&gt;&lt;p&gt;There are no native creatures or plants on this plane, though you may bring some there (if the plane's light is bright or normal, it counts as sunlight for growing plants). The environment of the plane counts as normal terrain for the purpose of effects that target earth, stone, wood, and so on.&lt;/p&gt;&lt;p&gt;For example, you could use &lt;i&gt;move earth&lt;/i&gt; to create a hill or &lt;i&gt;wall of stone&lt;/i&gt; to create a barricade.&lt;/p&gt;&lt;p&gt;When you finish casting this spell, you may bring yourself and up to seven other creatures to the plane automatically by joining hands in a circle. The demiplane is another plane of existence, and therefore is outside the range of any spell or ability that cannot affect or reach other planes. Creatures can only enter the plane by the use of planar travel magic such as &lt;i&gt;astral projection&lt;/i&gt;, &lt;i&gt;etherealness&lt;/i&gt;, or &lt;i&gt;plane shift&lt;/i&gt;. You are considered "very familiar" with your entire demiplane.&lt;/p&gt;&lt;p&gt;As a standard action, you may eject a creature from your demiplane. The creature may resist with a Will saving throw. An ejected creature goes to the closest plane to your demiplane (usually the Astral Plane or the Ethereal Plane, but if you cast this spell on the Material Plane, the creature is sent to the Material Plane). When the spell ends, the plane dissolves, and all creatures in the plane are ejected in this manner with no saving throw. The plane cannot be dispelled, but a creature on the plane can destroy it by using &lt;i&gt;limited &lt;i&gt;wish&lt;/i&gt;&lt;/i&gt;, mage's disjunction, &lt;i&gt;miracle&lt;/i&gt;, or &lt;i&gt;wish&lt;/i&gt; and making a successful dispel check.&lt;/p&gt;&lt;p&gt;If you are within the demiplane, you can add to its area by casting the spell again. Alternatively, you may cast this spell again to reset the duration of an existing area to that of your latest casting. If the duration on one area of the demiplane ends and other parts remain, creatures in the expiring area are shunted to remaining areas. If a collapsing portion of the demiplane would leave one section cut off from other sections of the demiplane (for example, if there were three areas connected in a straight line and the center part expired), the stranded sections count as separate demiplanes under your control. You may reconnect these stranded sections by the spell again to create a linked area between the two.&lt;/p&gt;&lt;p&gt;You can make this spell permanent with the &lt;i&gt;permanency&lt;/i&gt; spell, at a cost of 17,500 gp. If you have cast &lt;i&gt;create lesser demiplane&lt;/i&gt; multiple times to enlarge the demiplane, each casting's area requires its own &lt;i&gt;permanency&lt;/i&gt; spell.&lt;/p&gt;</t>
  </si>
  <si>
    <t>&lt;link rel="stylesheet"href="PF.css"&gt;&lt;div class="heading"&gt;&lt;p class="alignleft"&gt;Create Demiplane, Lesser&lt;/p&gt;&lt;div style="clear: both;"&gt;&lt;/div&gt;&lt;/div&gt;&lt;div&gt;&lt;h5&gt;&lt;b&gt;School &lt;/b&gt;conjuration (creation); &lt;b&gt;Level &lt;/b&gt;cleric 7/oracle 7, sorcerer/wizard 7, summoner 5, witch 7&lt;/h5&gt;&lt;/div&gt;&lt;hr/&gt;&lt;div&gt;&lt;h5&gt;&lt;b&gt;CASTING&lt;/b&gt;&lt;/h5&gt;&lt;/div&gt;&lt;hr/&gt;&lt;div&gt;&lt;h5&gt;&lt;b&gt;Casting Time &lt;/b&gt;2 hours&lt;/h5&gt;&lt;h5&gt;&lt;b&gt;Components &lt;/b&gt;V, S, F (a forked metal rod worth at least 500 gp)&lt;/h5&gt;&lt;/div&gt;&lt;hr/&gt;&lt;div&gt;&lt;h5&gt;&lt;b&gt;EFFECT&lt;/b&gt;&lt;/h5&gt;&lt;/div&gt;&lt;hr/&gt;&lt;div&gt;&lt;h5&gt;&lt;b&gt;Range &lt;/b&gt;0 ft.&lt;/h5&gt;&lt;h5&gt;&lt;b&gt;Effect &lt;/b&gt;extradimensional demiplane, up to three 10-ft. cubes/level (S)&lt;/h5&gt;&lt;h5&gt;&lt;b&gt;Duration &lt;/b&gt;1 day/level&lt;/h5&gt;&lt;h5&gt;&lt;b&gt;Saving Throw &lt;/b&gt;none; &lt;b&gt;Spell Resistance &lt;/b&gt;no&lt;/h5&gt;&lt;/div&gt;&lt;hr/&gt;&lt;div&gt;&lt;h5&gt;&lt;b&gt;DESCRIPTION&lt;/b&gt;&lt;/h5&gt;&lt;/div&gt;&lt;hr/&gt;&lt;div&gt;&lt;h4&gt;&lt;p&gt;You create a small, finite demiplane. You must be on the Astral or Ethereal Plane or on a plane that has access to one of those planes (such as the Material Plane) to cast this spell.&lt;/p&gt;&lt;p&gt;When you cast the spell, you decide whether the demiplane is within the Astral or the Ethereal Plane. It is filled with air or water (decided by you). The plane is generally flat and featureless, such as an earth, stone, water, or wood floor. The "walls" and "ceiling" of the plane may appear like solid earth, stone, wood, or water, or they may end in mist, a featureless void, or a similar unreal-looking border. The plane's environmental conditions are those of a temperate spring day on the Material Plane. You determine the plane's light level (bright, normal, dim, or darkness), which affects the entire plane.&lt;/p&gt;&lt;p&gt;There are no native creatures or plants on this plane, though you may bring some there (if the plane's light is bright or normal, it counts as sunlight for growing plants). The environment of the plane counts as normal terrain for the purpose of effects that target earth, stone, wood, and so on.&lt;/p&gt;&lt;p&gt;For example, you could use &lt;i&gt;move earth&lt;/i&gt; to create a hill or &lt;i&gt;wall of stone&lt;/i&gt; to create a barricade.&lt;/p&gt;&lt;p&gt;When you finish casting this spell, you may bring yourself and up to seven other creatures to the plane automatically by joining hands in a circle. The demiplane is another plane of existence, and therefore is outside the range of any spell or ability that cannot affect or reach other planes. Creatures can only enter the plane by the use of planar travel magic such as &lt;i&gt;astral projection&lt;/i&gt;, &lt;i&gt;etherealness&lt;/i&gt;, or &lt;i&gt;plane shift&lt;/i&gt;. You are considered "very familiar" with your entire demiplane.&lt;/p&gt;&lt;p&gt;As a standard action, you may eject a creature from your demiplane. The creature may resist with a Will saving throw. An ejected creature goes to the closest plane to your demiplane (usually the Astral Plane or the Ethereal Plane, but if you cast this spell on the Material Plane, the creature is sent to the Material Plane). When the spell ends, the plane dissolves, and all creatures in the plane are ejected in this manner with no saving throw. The plane cannot be dispelled, but a creature on the plane can destroy it by using &lt;i&gt;limited &lt;i&gt;wish&lt;/i&gt;&lt;/i&gt;, mage's disjunction, &lt;i&gt;miracle&lt;/i&gt;, or &lt;i&gt;wish&lt;/i&gt; and making a successful dispel check.&lt;/p&gt;&lt;p&gt;If you are within the demiplane, you can add to its area by casting the spell again. Alternatively, you may cast this spell again to reset the duration of an existing area to that of your latest casting. If the duration on one area of the demiplane ends and other parts remain, creatures in the expiring area are shunted to remaining areas. If a collapsing portion of the demiplane would leave one section cut off from other sections of the demiplane (for example, if there were three areas connected in a straight line and the center part expired), the stranded sections count as separate demiplanes under your control. You may reconnect these stranded sections by the spell again to create a linked area between the two.&lt;/p&gt;&lt;p&gt;You can make this spell permanent with the &lt;i&gt;permanency&lt;/i&gt; spell, at a cost of 17,500 gp. If you have cast &lt;i&gt;create lesser demiplane&lt;/i&gt; multiple times to enlarge the demiplane, each casting's area requires its own &lt;i&gt;permanency&lt;/i&gt; spell.&lt;/p&gt;&lt;/h4&gt;&lt;/div&gt;</t>
  </si>
  <si>
    <t>Create your own demiplane.</t>
  </si>
  <si>
    <t>Create Demiplane, Greater</t>
  </si>
  <si>
    <t>6 hours</t>
  </si>
  <si>
    <t>extradimensional demiplane, up to 20 10-ft. cubes/level (S)</t>
  </si>
  <si>
    <t>This spell functions as create demiplane, except the area is larger and you can add more features to the plane. You can use this spell to expand a demiplane you created with lesser create demiplane or create demiplane (you do not need to create an entirely new plane using this spell), in which case it has aduration of 1 day/level. Alternatively, when cast within your demiplane, you may add to your demiplane (or remove from it) one of the following features (or any of the features described in create demiplane) with each casting of the spell, in which case it has an instantaneous duration. Energy: Your plane gains the (minor) negative- or positivedominant energy trait (see Elemental and Energy Traits, GameMastery Guide 186). A plane cannot have both the negative-dominant and positive-dominant energy traits. Magic: Your plane gains the dead magic, enhanced magic, impeded magic, or wild magic planar trait (see Magic Traits, GameMastery Guide 187). If you selected dead magic, you are trapped within your plane unless it has a permanent planar portal (such as the portal feature, below). If you selected enhanced or impeded magic, choose one type of magic to be enhanced or impeded, such as "effects with the fire descriptor or that manipulate fire" or "death spells and spells from the Death or Repose domains." A plane cannot be enhanced and impeded for the same kinds of spells. Morphic: You may use move earth at will in your demiplane at one-tenth of the spell's normal casting time, and can reshape normal plants in the same manner (such as by twisting trees into a fence or humanlike shapes). You are even able to affect rock formations with this ability, though the casting time for this is only half normal. Portal: Your demiplane gains a permanent gate to one location on another plane, which can only be used for planar travel. This location must be very familiar to you. This gate is always open and usable from both sides, but you can secure it using normal means (such as by building a door around it). Time: By default, time passes at the normal rate in your demiplane. By selecting this feature, you may make your plane have the erratic time, flowing time (half or double normal time), or timeless trait (see Time, GameMastery Guide 185). You can make this spell permanent with the permanency spell, at a cost of 22,500 gp. If you have cast create greater demiplane multiple times to enlarge the demiplane, each casting's area requires its own permanency spell.</t>
  </si>
  <si>
    <t>&lt;p&gt;This spell functions as &lt;i&gt;&lt;i&gt;create&lt;/i&gt; demiplane&lt;/i&gt;, except the area is larger and you can add more features to the plane. You can use this spell to expand a demiplane you &lt;i&gt;create&lt;/i&gt;d with lesser &lt;i&gt;&lt;i&gt;create&lt;/i&gt; demiplane&lt;/i&gt; or &lt;i&gt;&lt;i&gt;create&lt;/i&gt; demiplane&lt;/i&gt; (you do not need to &lt;i&gt;create&lt;/i&gt; an entirely new plane using this spell), in which case it has aduration of 1 day/level. Alternatively, when cast within your demiplane, you may add to your demiplane (or remove from it) one of the following features (or any of the features described in &lt;i&gt;&lt;i&gt;create&lt;/i&gt; demiplane&lt;/i&gt;) with each casting of the spell, in which case it has an instantaneous duration.&lt;/p&gt;&lt;p&gt;Energy: Your plane gains the (minor) negative- or positivedominant energy trait (see Elemental and Energy Traits, &lt;i&gt;GameMastery Guide&lt;/i&gt; 186). A plane cannot have both the negative-dominant and positive-dominant energy traits.&lt;/p&gt;&lt;p&gt;Magic: Your plane gains the dead magic, enhanced magic, impeded magic, or wild magic planar trait (see Magic Traits, &lt;i&gt;GameMastery Guide&lt;/i&gt; 187). If you selected dead magic, you are trapped within your plane unless it has a permanent planar portal (such as the portal feature, below). If you selected enhanced or impeded magic, choose one type of magic to be enhanced or impeded, such as "effects with the fire descriptor or that manipulate fire" or "death spells and spells from the Death or Repose domains." A plane cannot be enhanced and impeded for the same kinds of spells.&lt;/p&gt;&lt;p&gt;Morphic: You may use &lt;i&gt;move earth&lt;/i&gt; at will in your demiplane at one-tenth of the spell's normal casting time, and can reshape normal plants in the same manner (such as by twisting trees into a fence or humanlike shapes). You are even able to affect rock formations with this ability, though the casting time for this is only half normal.&lt;/p&gt;&lt;p&gt;Portal: Your demiplane gains a permanent &lt;i&gt;gate&lt;/i&gt; to one location on another plane, which can only be used for planar travel. This location must be very familiar to you.&lt;/p&gt;&lt;p&gt;This &lt;i&gt;gate&lt;/i&gt; is always open and usable from both sides, but you can secure it using normal means (such as by building a door around it).&lt;/p&gt;&lt;p&gt;Time: By default, time passes at the normal rate in your demiplane. By selecting this feature, you may make your plane have the erratic time, flowing time (half or double normal time), or timeless trait (see Time, &lt;i&gt;GameMastery Guide&lt;/i&gt; 185).&lt;/p&gt;&lt;p&gt;You can make this spell permanent with the &lt;i&gt;permanency&lt;/i&gt; spell, at a cost of 22,500 gp. If you have cast &lt;i&gt;create&lt;/i&gt; greater demiplane multiple times to enlarge the demiplane, each casting's area requires its own &lt;i&gt;permanency&lt;/i&gt; spell.&lt;/p&gt;</t>
  </si>
  <si>
    <t>&lt;link rel="stylesheet"href="PF.css"&gt;&lt;div class="heading"&gt;&lt;p class="alignleft"&gt;Create Demiplane, Greater&lt;/p&gt;&lt;div style="clear: both;"&gt;&lt;/div&gt;&lt;/div&gt;&lt;div&gt;&lt;h5&gt;&lt;b&gt;School &lt;/b&gt;conjuration (creation); &lt;b&gt;Level &lt;/b&gt;cleric 9/oracle 9, sorcerer/wizard 9, witch 9&lt;/h5&gt;&lt;/div&gt;&lt;hr/&gt;&lt;div&gt;&lt;h5&gt;&lt;b&gt;CASTING&lt;/b&gt;&lt;/h5&gt;&lt;/div&gt;&lt;hr/&gt;&lt;div&gt;&lt;h5&gt;&lt;b&gt;Casting Time &lt;/b&gt;6 hours&lt;/h5&gt;&lt;h5&gt;&lt;b&gt;Components &lt;/b&gt;V, S, F (a forked metal rod worth at least 500 gp)&lt;/h5&gt;&lt;/div&gt;&lt;hr/&gt;&lt;div&gt;&lt;h5&gt;&lt;b&gt;EFFECT&lt;/b&gt;&lt;/h5&gt;&lt;/div&gt;&lt;hr/&gt;&lt;div&gt;&lt;h5&gt;&lt;b&gt;Range &lt;/b&gt;0 ft.&lt;/h5&gt;&lt;h5&gt;&lt;b&gt;Effect &lt;/b&gt;extradimensional demiplane, up to 20 10-ft. cubes/level (S)&lt;/h5&gt;&lt;h5&gt;&lt;b&gt;Duration &lt;/b&gt;1 day/level or instantaneous (see text)&lt;/h5&gt;&lt;h5&gt;&lt;b&gt;Saving Throw &lt;/b&gt;none; &lt;b&gt;Spell Resistance &lt;/b&gt;no&lt;/h5&gt;&lt;/div&gt;&lt;hr/&gt;&lt;div&gt;&lt;h5&gt;&lt;b&gt;DESCRIPTION&lt;/b&gt;&lt;/h5&gt;&lt;/div&gt;&lt;hr/&gt;&lt;div&gt;&lt;h4&gt;&lt;p&gt;This spell functions as &lt;i&gt;&lt;i&gt;create&lt;/i&gt; demiplane&lt;/i&gt;, except the area is larger and you can add more features to the plane. You can use this spell to expand a demiplane you &lt;i&gt;create&lt;/i&gt;d with lesser &lt;i&gt;&lt;i&gt;create&lt;/i&gt; demiplane&lt;/i&gt; or &lt;i&gt;&lt;i&gt;create&lt;/i&gt; demiplane&lt;/i&gt; (you do not need to &lt;i&gt;create&lt;/i&gt; an entirely new plane using this spell), in which case it has aduration of 1 day/level. Alternatively, when cast within your demiplane, you may add to your demiplane (or remove from it) one of the following features (or any of the features described in &lt;i&gt;&lt;i&gt;create&lt;/i&gt; demiplane&lt;/i&gt;) with each casting of the spell, in which case it has an instantaneous duration.&lt;/p&gt;&lt;p&gt;Energy: Your plane gains the (minor) negative- or positivedominant energy trait (see Elemental and Energy Traits, &lt;i&gt;GameMastery Guide&lt;/i&gt; 186). A plane cannot have both the negative-dominant and positive-dominant energy traits.&lt;/p&gt;&lt;p&gt;Magic: Your plane gains the dead magic, enhanced magic, impeded magic, or wild magic planar trait (see Magic Traits, &lt;i&gt;GameMastery Guide&lt;/i&gt; 187). If you selected dead magic, you are trapped within your plane unless it has a permanent planar portal (such as the portal feature, below). If you selected enhanced or impeded magic, choose one type of magic to be enhanced or impeded, such as "effects with the fire descriptor or that manipulate fire" or "death spells and spells from the Death or Repose domains." A plane cannot be enhanced and impeded for the same kinds of spells.&lt;/p&gt;&lt;p&gt;Morphic: You may use &lt;i&gt;move earth&lt;/i&gt; at will in your demiplane at one-tenth of the spell's normal casting time, and can reshape normal plants in the same manner (such as by twisting trees into a fence or humanlike shapes). You are even able to affect rock formations with this ability, though the casting time for this is only half normal.&lt;/p&gt;&lt;p&gt;Portal: Your demiplane gains a permanent &lt;i&gt;gate&lt;/i&gt; to one location on another plane, which can only be used for planar travel. This location must be very familiar to you.&lt;/p&gt;&lt;p&gt;This &lt;i&gt;gate&lt;/i&gt; is always open and usable from both sides, but you can secure it using normal means (such as by building a door around it).&lt;/p&gt;&lt;p&gt;Time: By default, time passes at the normal rate in your demiplane. By selecting this feature, you may make your plane have the erratic time, flowing time (half or double normal time), or timeless trait (see Time, &lt;i&gt;GameMastery Guide&lt;/i&gt; 185).&lt;/p&gt;&lt;p&gt;You can make this spell permanent with the &lt;i&gt;permanency&lt;/i&gt; spell, at a cost of 22,500 gp. If you have cast &lt;i&gt;create&lt;/i&gt; greater demiplane multiple times to enlarge the demiplane, each casting's area requires its own &lt;i&gt;permanency&lt;/i&gt; spell.&lt;/p&gt;&lt;/h4&gt;&lt;/div&gt;</t>
  </si>
  <si>
    <t>As create demiplane, but larger and with more planar traits.</t>
  </si>
  <si>
    <t>Curse, Major</t>
  </si>
  <si>
    <t>cleric 5/oracle 5, sorcerer/wizard 6, witch 5</t>
  </si>
  <si>
    <t>This spell functions as bestow curse, except the DC to remove the curse is equal to the save DC + 5.</t>
  </si>
  <si>
    <t>&lt;p&gt;This spell functions as &lt;i&gt;bestow curse&lt;/i&gt;, except the DC to remove the curse is equal to the save DC + 5.&lt;/p&gt;</t>
  </si>
  <si>
    <t>&lt;link rel="stylesheet"href="PF.css"&gt;&lt;div class="heading"&gt;&lt;p class="alignleft"&gt;Curse, Major&lt;/p&gt;&lt;div style="clear: both;"&gt;&lt;/div&gt;&lt;/div&gt;&lt;div&gt;&lt;h5&gt;&lt;b&gt;School &lt;/b&gt;necromancy [curse]; &lt;b&gt;Level &lt;/b&gt;cleric 5/oracle 5, sorcerer/wizard 6, witch 5&lt;/h5&gt;&lt;/div&gt;&lt;hr/&gt;&lt;div&gt;&lt;h5&gt;&lt;b&gt;CASTING&lt;/b&gt;&lt;/h5&gt;&lt;/div&gt;&lt;hr/&gt;&lt;div&gt;&lt;h5&gt;&lt;b&gt;Casting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&lt;/b&gt;permanent&lt;/h5&gt;&lt;h5&gt;&lt;b&gt;Saving Throw &lt;/b&gt;Will negates; &lt;b&gt;Spell Resistance &lt;/b&gt;yes&lt;/h5&gt;&lt;/div&gt;&lt;hr/&gt;&lt;div&gt;&lt;h5&gt;&lt;b&gt;DESCRIPTION&lt;/b&gt;&lt;/h5&gt;&lt;/div&gt;&lt;hr/&gt;&lt;div&gt;&lt;h4&gt;&lt;p&gt;This spell functions as &lt;i&gt;bestow curse&lt;/i&gt;, except the DC to remove the curse is equal to the save DC + 5.&lt;/p&gt;&lt;/h4&gt;&lt;/div&gt;</t>
  </si>
  <si>
    <t>As bestow curse, but harder to remove.</t>
  </si>
  <si>
    <t>Curse Of Disgust</t>
  </si>
  <si>
    <t>curse, emotion, mind-affecting</t>
  </si>
  <si>
    <t>bard 3, sorcerer/wizard 5, witch 5</t>
  </si>
  <si>
    <t>You place a curse upon a creature, causing it to avoid the sight of a specific trigger, which is a kind of creature, object, or condition designated by you. When the target is within 30 feet of a trigger and is aware of the trigger, it gains the sickened condition and feels an urge to leave. A successful Will save negates the urge to leave, but the sickened condition persists as long as the target is within 30 feet of a trigger and aware of it. Example triggers include beggars, filthy clothing, diseased creatures, the king, blood, spiders, rats, corpses, and sewage.</t>
  </si>
  <si>
    <t>&lt;p&gt;You place a curse upon a creature, causing it to avoid the sight of a specific trigger, which is a kind of creature, object, or condition designated by you. When the target is within 30 feet of a trigger and is aware of the trigger, it gains the sickened condition and feels an urge to leave. A successful Will save negates the urge to leave, but the sickened condition persists as long as the target is within 30 feet of a trigger and aware of it. Example triggers include beggars, filthy clothing, diseased creatures, the king, blood, spiders, rats, corpses, and sewage.&lt;/p&gt;</t>
  </si>
  <si>
    <t>&lt;link rel="stylesheet"href="PF.css"&gt;&lt;div class="heading"&gt;&lt;p class="alignleft"&gt;Curse Of Disgust&lt;/p&gt;&lt;div style="clear: both;"&gt;&lt;/div&gt;&lt;/div&gt;&lt;div&gt;&lt;h5&gt;&lt;b&gt;School &lt;/b&gt;enchantment (compulsion) [curse, emotion, mind-affecting]; &lt;b&gt;Level &lt;/b&gt;bard 3, sorcerer/wizard 5, witch 5&lt;/h5&gt;&lt;/div&gt;&lt;hr/&gt;&lt;div&gt;&lt;h5&gt;&lt;b&gt;CASTING&lt;/b&gt;&lt;/h5&gt;&lt;/div&gt;&lt;hr/&gt;&lt;div&gt;&lt;h5&gt;&lt;b&gt;Casting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&lt;/b&gt;permanent&lt;/h5&gt;&lt;h5&gt;&lt;b&gt;Saving Throw &lt;/b&gt;Will negates; &lt;b&gt;Spell Resistance &lt;/b&gt;yes&lt;/h5&gt;&lt;/div&gt;&lt;hr/&gt;&lt;div&gt;&lt;h5&gt;&lt;b&gt;DESCRIPTION&lt;/b&gt;&lt;/h5&gt;&lt;/div&gt;&lt;hr/&gt;&lt;div&gt;&lt;h4&gt;&lt;p&gt;You place a curse upon a creature, causing it to avoid the sight of a specific trigger, which is a kind of creature, object, or condition designated by you. When the target is within 30 feet of a trigger and is aware of the trigger, it gains the sickened condition and feels an urge to leave. A successful Will save negates the urge to leave, but the sickened condition persists as long as the target is within 30 feet of a trigger and aware of it. Example triggers include beggars, filthy clothing, diseased creatures, the king, blood, spiders, rats, corpses, and sewage.&lt;/p&gt;&lt;/h4&gt;&lt;/div&gt;</t>
  </si>
  <si>
    <t>Target is sickened when viewing a trigger.</t>
  </si>
  <si>
    <t>Curse of Magic Negation</t>
  </si>
  <si>
    <t>cleric 5/oracle 5, inquisitor 4, sorcerer/wizard 4, witch 4</t>
  </si>
  <si>
    <t>V, S, M (powdered lead and platinum worth 250 gp)</t>
  </si>
  <si>
    <t>You disrupt the target creature's ability to draw upon magical energies. For the duration of the spell, it gains the negated spellblight (see page 97). Dispel checks to remove the spellblight take a -5 penalty due to this spell's interference with magical energies.</t>
  </si>
  <si>
    <t>&lt;p&gt;You disrupt the target creature's ability to draw upon magical energies. For the duration of the spell, it gains the negated spellblight (see page 97). Dispel checks to remove the spellblight take a -5 penalty due to this spell's interference with magical energies.&lt;/p&gt;</t>
  </si>
  <si>
    <t>&lt;link rel="stylesheet"href="PF.css"&gt;&lt;div class="heading"&gt;&lt;p class="alignleft"&gt;Curse of Magic Negation&lt;/p&gt;&lt;div style="clear: both;"&gt;&lt;/div&gt;&lt;/div&gt;&lt;div&gt;&lt;h5&gt;&lt;b&gt;School &lt;/b&gt;abjuration [curse]; &lt;b&gt;Level &lt;/b&gt;cleric 5/oracle 5, inquisitor 4, sorcerer/wizard 4, witch 4&lt;/h5&gt;&lt;/div&gt;&lt;hr/&gt;&lt;div&gt;&lt;h5&gt;&lt;b&gt;CASTING&lt;/b&gt;&lt;/h5&gt;&lt;/div&gt;&lt;hr/&gt;&lt;div&gt;&lt;h5&gt;&lt;b&gt;Casting Time &lt;/b&gt;1 round&lt;/h5&gt;&lt;h5&gt;&lt;b&gt;Components &lt;/b&gt;V, S, M (powdered lead and platinum worth 250 gp)&lt;/h5&gt;&lt;/div&gt;&lt;hr/&gt;&lt;div&gt;&lt;h5&gt;&lt;b&gt;EFFECT&lt;/b&gt;&lt;/h5&gt;&lt;/div&gt;&lt;hr/&gt;&lt;div&gt;&lt;h5&gt;&lt;b&gt;Range &lt;/b&gt;medium (100 ft. + 10 ft./level)&lt;/h5&gt;&lt;h5&gt;&lt;b&gt;Targets &lt;/b&gt;one creature&lt;/h5&gt;&lt;h5&gt;&lt;b&gt;Duration &lt;/b&gt;10 minute/level&lt;/h5&gt;&lt;h5&gt;&lt;b&gt;Saving Throw &lt;/b&gt;Will negates; &lt;b&gt;Spell Resistance &lt;/b&gt;no&lt;/h5&gt;&lt;/div&gt;&lt;hr/&gt;&lt;div&gt;&lt;h5&gt;&lt;b&gt;DESCRIPTION&lt;/b&gt;&lt;/h5&gt;&lt;/div&gt;&lt;hr/&gt;&lt;div&gt;&lt;h4&gt;&lt;p&gt;You disrupt the target creature's ability to draw upon magical energies. For the duration of the spell, it gains the negated spellblight (see page 97). Dispel checks to remove the spellblight take a -5 penalty due to this spell's interference with magical energies.&lt;/p&gt;&lt;/h4&gt;&lt;/div&gt;</t>
  </si>
  <si>
    <t>Target gains the negated spellblight.</t>
  </si>
  <si>
    <t>Cursed Earth</t>
  </si>
  <si>
    <t>curse, evil; see text</t>
  </si>
  <si>
    <t>V, S, M (powdered onyx 10,000 gp), DF</t>
  </si>
  <si>
    <t>1-mile radius emanating from the touched point</t>
  </si>
  <si>
    <t>You lay a terrible curse upon the land, blighting those who live and die there. Choose one of the following effects. Famine: All normal plants in the area reduce their growth and food production by half, as if affected by the stunt growth effect of diminish plants. Living Death: Any creatures of Small size or larger killed in the area rise as uncontrolled zombies 24 hours after their death, as do corpses buried in the area. Burning or dismembering the corpses prevents them from rising as zombies. Plague: Every day at sundown, all creatures in the area must make a Fortitude save or catch one of the following diseases (your choice, decided at the time of casting): blinding sickness, bubonic plague, cackle fever, filth fever, leprosy, mindfire, red ache, shakes, or slimy doom. The disease is contracted immediately (the onset period does not apply). Use the disease's listed frequency and save DC to determine further effects. This is a disease effect.</t>
  </si>
  <si>
    <t>&lt;p&gt;You lay a terrible curse upon the land, blighting those who live and die there. Choose one of the following effects.&lt;/p&gt;&lt;p&gt;Famine: All normal plants in the area reduce their growth and food production by half, as if affected by the stunt growth effect of &lt;i&gt;diminish plants&lt;/i&gt;.&lt;/p&gt;&lt;p&gt;&lt;i&gt;Living&lt;/i&gt; Death: Any creatures of Small size or larger killed in the area rise as uncontrolled zombies 24 hours after their death, as do corpses buried in the area. Burning or dismembering the corpses prevents them from rising as zombies.&lt;/p&gt;&lt;p&gt;Plague: Every day at sundown, all creatures in the area must make a Fortitude save or catch one of the following diseases (your choice, decided at the time of casting): blinding sickness, bubonic plague, cackle fever, filth fever, leprosy, mindfire, red ache, shakes, or slimy doom. The disease is contracted immediately (the onset period does not apply). Use the disease's listed frequency and save DC to determine further effects. This is a disease effect.&lt;/p&gt;</t>
  </si>
  <si>
    <t>&lt;link rel="stylesheet"href="PF.css"&gt;&lt;div class="heading"&gt;&lt;p class="alignleft"&gt;Cursed Earth&lt;/p&gt;&lt;div style="clear: both;"&gt;&lt;/div&gt;&lt;/div&gt;&lt;div&gt;&lt;h5&gt;&lt;b&gt;School &lt;/b&gt;necromancy [curse, evil; see text]; &lt;b&gt;Level &lt;/b&gt;cleric 9/oracle 9, sorcerer/wizard 9, witch 9&lt;/h5&gt;&lt;/div&gt;&lt;hr/&gt;&lt;div&gt;&lt;h5&gt;&lt;b&gt;CASTING&lt;/b&gt;&lt;/h5&gt;&lt;/div&gt;&lt;hr/&gt;&lt;div&gt;&lt;h5&gt;&lt;b&gt;Casting Time &lt;/b&gt;10 minutes&lt;/h5&gt;&lt;h5&gt;&lt;b&gt;Components &lt;/b&gt;V, S, M (powdered onyx 10,000 gp), DF&lt;/h5&gt;&lt;/div&gt;&lt;hr/&gt;&lt;div&gt;&lt;h5&gt;&lt;b&gt;EFFECT&lt;/b&gt;&lt;/h5&gt;&lt;/div&gt;&lt;hr/&gt;&lt;div&gt;&lt;h5&gt;&lt;b&gt;Range &lt;/b&gt;touch&lt;/h5&gt;&lt;h5&gt;&lt;b&gt;Area &lt;/b&gt;1-mile radius emanating from the touched point&lt;/h5&gt;&lt;h5&gt;&lt;b&gt;Duration &lt;/b&gt;permanent&lt;/h5&gt;&lt;h5&gt;&lt;b&gt;Saving Throw &lt;/b&gt;none (see text); &lt;b&gt;Spell Resistance &lt;/b&gt;no&lt;/h5&gt;&lt;/div&gt;&lt;hr/&gt;&lt;div&gt;&lt;h5&gt;&lt;b&gt;DESCRIPTION&lt;/b&gt;&lt;/h5&gt;&lt;/div&gt;&lt;hr/&gt;&lt;div&gt;&lt;h4&gt;&lt;p&gt;You lay a terrible curse upon the land, blighting those who live and die there. Choose one of the following effects.&lt;/p&gt;&lt;p&gt;Famine: All normal plants in the area reduce their growth and food production by half, as if affected by the stunt growth effect of &lt;i&gt;diminish plants&lt;/i&gt;.&lt;/p&gt;&lt;p&gt;&lt;i&gt;Living&lt;/i&gt; Death: Any creatures of Small size or larger killed in the area rise as uncontrolled zombies 24 hours after their death, as do corpses buried in the area. Burning or dismembering the corpses prevents them from rising as zombies.&lt;/p&gt;&lt;p&gt;Plague: Every day at sundown, all creatures in the area must make a Fortitude save or catch one of the following diseases (your choice, decided at the time of casting): blinding sickness, bubonic plague, cackle fever, filth fever, leprosy, mindfire, red ache, shakes, or slimy doom. The disease is contracted immediately (the onset period does not apply). Use the disease's listed frequency and save DC to determine further effects. This is a disease effect.&lt;/p&gt;&lt;/h4&gt;&lt;/div&gt;</t>
  </si>
  <si>
    <t>Plants die, living creatures catch diseases, or dead creatures rise as zombies.</t>
  </si>
  <si>
    <t>Cushioning Bands</t>
  </si>
  <si>
    <t>V, S,</t>
  </si>
  <si>
    <t>1 hour/level or until discharged (D)</t>
  </si>
  <si>
    <t>Invisible bands of force encircle vital areas of the target. The bands resist crushing forces and impacts without interfering with movement. The target gains DR 2/piercing or slashing and takes half damage from constriction, falling, and being buried, as well as from similar crushing effects such as crushing hand. Grapple checks for attacks other than constricting (such as pinning or swallowing whole) are not affected. Once the spell has blocked 12 points of damage per caster level (to a maximum of 120 points at 10th level), it is discharged. The bands have no effect on incorporeal attacks unless they deal damage from constriction or crushing, or unless the attacks would be subject to damage reduction.</t>
  </si>
  <si>
    <t>&lt;p&gt;Invisible bands of force encircle vital areas of the target. The bands resist crushing forces and impacts without interfering with movement. The target gains DR 2/piercing or slashing and takes half damage from constriction, falling, and being buried, as well as from similar crushing effects such as &lt;i&gt;crushing hand&lt;/i&gt;. Grapple checks for attacks other than constricting (such as pinning or swallowing whole) are not affected. Once the spell has blocked 12 points of damage per caster level (to a maximum of 120 points at 10th level), it is discharged. The bands have no effect on incorporeal attacks unless they deal damage from constriction or crushing, or unless the attacks would be subject to damage reduction.&lt;/p&gt;</t>
  </si>
  <si>
    <t>&lt;link rel="stylesheet"href="PF.css"&gt;&lt;div class="heading"&gt;&lt;p class="alignleft"&gt;Cushioning Bands&lt;/p&gt;&lt;div style="clear: both;"&gt;&lt;/div&gt;&lt;/div&gt;&lt;div&gt;&lt;h5&gt;&lt;b&gt;School &lt;/b&gt;conjuration (creation) [force]; &lt;b&gt;Level &lt;/b&gt;sorcerer/wizard 2, summoner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hour/level or until discharged (D)&lt;/h5&gt;&lt;h5&gt;&lt;b&gt;Saving Throw &lt;/b&gt;Will negates (harmless); &lt;b&gt;Spell Resistance &lt;/b&gt;yes&lt;/h5&gt;&lt;/div&gt;&lt;hr/&gt;&lt;div&gt;&lt;h5&gt;&lt;b&gt;DESCRIPTION&lt;/b&gt;&lt;/h5&gt;&lt;/div&gt;&lt;hr/&gt;&lt;div&gt;&lt;h4&gt;&lt;p&gt;Invisible bands of force encircle vital areas of the target. The bands resist crushing forces and impacts without interfering with movement. The target gains DR 2/piercing or slashing and takes half damage from constriction, falling, and being buried, as well as from similar crushing effects such as &lt;i&gt;crushing hand&lt;/i&gt;. Grapple checks for attacks other than constricting (such as pinning or swallowing whole) are not affected. Once the spell has blocked 12 points of damage per caster level (to a maximum of 120 points at 10th level), it is discharged. The bands have no effect on incorporeal attacks unless they deal damage from constriction or crushing, or unless the attacks would be subject to damage reduction.&lt;/p&gt;&lt;/h4&gt;&lt;/div&gt;</t>
  </si>
  <si>
    <t>Force bands protect against crushing.</t>
  </si>
  <si>
    <t>Dance of a Hundred Cuts</t>
  </si>
  <si>
    <t>You become a lethal combat dancer, swirling and spinning with grace and precision. You gain a morale bonus on melee attack rolls, melee damage rolls, and Acrobatics checks, and to Armor Class. This bonus is equal to +1 per 3 caster levels (maximum +5 at 15th level). The bonus to AC is lost under any circumstances that would cause you to lose your Dexterity bonus to AC. You must remain moving for the spell to stay in effect. If in any round you do not either move at least 10 feet or make a melee attack, the spell's duration ends.</t>
  </si>
  <si>
    <t>&lt;p&gt;You become a lethal combat dancer, swirling and spinning with grace and precision. You gain a morale bonus on melee attack rolls, melee damage rolls, and Acrobatics checks, and to Armor Class. This bonus is equal to +1 per 3 caster levels (maximum +5 at 15th level). The bonus to AC is lost under any circumstances that would cause you to lose your Dexterity bonus to AC. You must remain moving for the spell to stay in effect. If in any round you do not either move at least 10 feet or make a melee attack, the spell's duration ends.&lt;/p&gt;</t>
  </si>
  <si>
    <t>&lt;link rel="stylesheet"href="PF.css"&gt;&lt;div class="heading"&gt;&lt;p class="alignleft"&gt;Dance of a Hundred Cuts&lt;/p&gt;&lt;div style="clear: both;"&gt;&lt;/div&gt;&lt;/div&gt;&lt;div&gt;&lt;h5&gt;&lt;b&gt;School &lt;/b&gt;transmutation; &lt;b&gt;Level &lt;/b&gt;bard 4&lt;/h5&gt;&lt;/div&gt;&lt;hr/&gt;&lt;div&gt;&lt;h5&gt;&lt;b&gt;CASTING&lt;/b&gt;&lt;/h5&gt;&lt;/div&gt;&lt;hr/&gt;&lt;div&gt;&lt;h5&gt;&lt;b&gt;Casting Time &lt;/b&gt;1 standard action&lt;/h5&gt;&lt;h5&gt;&lt;b&gt;Components &lt;/b&gt;V&lt;/h5&gt;&lt;/div&gt;&lt;hr/&gt;&lt;div&gt;&lt;h5&gt;&lt;b&gt;EFFECT&lt;/b&gt;&lt;/h5&gt;&lt;/div&gt;&lt;hr/&gt;&lt;div&gt;&lt;h5&gt;&lt;b&gt;Range &lt;/b&gt;personal&lt;/h5&gt;&lt;h5&gt;&lt;b&gt;Targets &lt;/b&gt;you&lt;/h5&gt;&lt;h5&gt;&lt;b&gt;Duration &lt;/b&gt;1 round/level&lt;/h5&gt;&lt;/div&gt;&lt;hr/&gt;&lt;div&gt;&lt;h5&gt;&lt;b&gt;DESCRIPTION&lt;/b&gt;&lt;/h5&gt;&lt;/div&gt;&lt;hr/&gt;&lt;div&gt;&lt;h4&gt;&lt;p&gt;You become a lethal combat dancer, swirling and spinning with grace and precision. You gain a morale bonus on melee attack rolls, melee damage rolls, and Acrobatics checks, and to Armor Class. This bonus is equal to +1 per 3 caster levels (maximum +5 at 15th level). The bonus to AC is lost under any circumstances that would cause you to lose your Dexterity bonus to AC. You must remain moving for the spell to stay in effect. If in any round you do not either move at least 10 feet or make a melee attack, the spell's duration ends.&lt;/p&gt;&lt;/h4&gt;&lt;/div&gt;</t>
  </si>
  <si>
    <t>Gain +1 combat bonus/3 levels.</t>
  </si>
  <si>
    <t>Dance of a Thousand Cuts</t>
  </si>
  <si>
    <t>This spell functions as dance of a hundred cuts, except you also gain the benefits of haste.</t>
  </si>
  <si>
    <t>&lt;p&gt;This spell functions as &lt;i&gt;dance of a hundred cuts&lt;/i&gt;, except you also gain the benefits of &lt;i&gt;haste&lt;/i&gt;.&lt;/p&gt;</t>
  </si>
  <si>
    <t>&lt;link rel="stylesheet"href="PF.css"&gt;&lt;div class="heading"&gt;&lt;p class="alignleft"&gt;Dance of a Thousand Cuts&lt;/p&gt;&lt;div style="clear: both;"&gt;&lt;/div&gt;&lt;/div&gt;&lt;div&gt;&lt;h5&gt;&lt;b&gt;School &lt;/b&gt;transmutation; &lt;b&gt;Level &lt;/b&gt;bard 6&lt;/h5&gt;&lt;/div&gt;&lt;hr/&gt;&lt;div&gt;&lt;h5&gt;&lt;b&gt;CASTING&lt;/b&gt;&lt;/h5&gt;&lt;/div&gt;&lt;hr/&gt;&lt;div&gt;&lt;h5&gt;&lt;b&gt;Casting Time &lt;/b&gt;1 standard action&lt;/h5&gt;&lt;h5&gt;&lt;b&gt;Components &lt;/b&gt;V&lt;/h5&gt;&lt;/div&gt;&lt;hr/&gt;&lt;div&gt;&lt;h5&gt;&lt;b&gt;EFFECT&lt;/b&gt;&lt;/h5&gt;&lt;/div&gt;&lt;hr/&gt;&lt;div&gt;&lt;h5&gt;&lt;b&gt;Range &lt;/b&gt;personal&lt;/h5&gt;&lt;h5&gt;&lt;b&gt;Targets &lt;/b&gt;you&lt;/h5&gt;&lt;h5&gt;&lt;b&gt;Duration &lt;/b&gt;1 round/level&lt;/h5&gt;&lt;/div&gt;&lt;hr/&gt;&lt;div&gt;&lt;h5&gt;&lt;b&gt;DESCRIPTION&lt;/b&gt;&lt;/h5&gt;&lt;/div&gt;&lt;hr/&gt;&lt;div&gt;&lt;h4&gt;&lt;p&gt;This spell functions as &lt;i&gt;dance of a hundred cuts&lt;/i&gt;, except you also gain the benefits of &lt;i&gt;haste&lt;/i&gt;.&lt;/p&gt;&lt;/h4&gt;&lt;/div&gt;</t>
  </si>
  <si>
    <t>As dance of a hundred cuts, plus the benefits of haste.</t>
  </si>
  <si>
    <t>Darkvision, Greater</t>
  </si>
  <si>
    <t>alchemist 4, antipaladin 4, ranger 4, sorcerer/wizard 4</t>
  </si>
  <si>
    <t>This spell functions as darkvision, except the target's darkvision has a range of 120 feet.</t>
  </si>
  <si>
    <t>&lt;p&gt;This spell functions as &lt;i&gt;darkvision&lt;/i&gt;, except the target's &lt;i&gt;darkvision&lt;/i&gt; has a range of 120 feet.&lt;/p&gt;</t>
  </si>
  <si>
    <t>&lt;link rel="stylesheet"href="PF.css"&gt;&lt;div class="heading"&gt;&lt;p class="alignleft"&gt;Darkvision, Greater&lt;/p&gt;&lt;div style="clear: both;"&gt;&lt;/div&gt;&lt;/div&gt;&lt;div&gt;&lt;h5&gt;&lt;b&gt;School &lt;/b&gt;transmutation; &lt;b&gt;Level &lt;/b&gt;alchemist 4, antipaladin 4, ranger 4, sorcerer/wizard 4&lt;/h5&gt;&lt;/div&gt;&lt;hr/&gt;&lt;div&gt;&lt;h5&gt;&lt;b&gt;CASTING&lt;/b&gt;&lt;/h5&gt;&lt;/div&gt;&lt;hr/&gt;&lt;div&gt;&lt;h5&gt;&lt;b&gt;Casting Time &lt;/b&gt;1 standard action&lt;/h5&gt;&lt;h5&gt;&lt;b&gt;Components &lt;/b&gt;V, S, M (either a pinch of dried carrot or an agate)&lt;/h5&gt;&lt;/div&gt;&lt;hr/&gt;&lt;div&gt;&lt;h5&gt;&lt;b&gt;EFFECT&lt;/b&gt;&lt;/h5&gt;&lt;/div&gt;&lt;hr/&gt;&lt;div&gt;&lt;h5&gt;&lt;b&gt;Range &lt;/b&gt;touch&lt;/h5&gt;&lt;h5&gt;&lt;b&gt;Targets &lt;/b&gt;creature touched&lt;/h5&gt;&lt;h5&gt;&lt;b&gt;Duration &lt;/b&gt;1 hour/level&lt;/h5&gt;&lt;h5&gt;&lt;b&gt;Saving Throw &lt;/b&gt;Will negates (harmless); &lt;b&gt;Spell Resistance &lt;/b&gt;yes (harmless)&lt;/h5&gt;&lt;/div&gt;&lt;hr/&gt;&lt;div&gt;&lt;h5&gt;&lt;b&gt;DESCRIPTION&lt;/b&gt;&lt;/h5&gt;&lt;/div&gt;&lt;hr/&gt;&lt;div&gt;&lt;h4&gt;&lt;p&gt;This spell functions as &lt;i&gt;darkvision&lt;/i&gt;, except the target's &lt;i&gt;darkvision&lt;/i&gt; has a range of 120 feet.&lt;/p&gt;&lt;/h4&gt;&lt;/div&gt;</t>
  </si>
  <si>
    <t>See 120 ft. in total darkness.</t>
  </si>
  <si>
    <t>Daze, Mass</t>
  </si>
  <si>
    <t>bard 4, inquisitor 4, sorcerer/wizard 4, summoner 4, witch 4</t>
  </si>
  <si>
    <t>one or more humanoid creatures, no two of which may be more than 30 ft. apart</t>
  </si>
  <si>
    <t>This spell functions as daze, except as noted above.</t>
  </si>
  <si>
    <t>&lt;p&gt;This spell functions as &lt;i&gt;daze&lt;/i&gt;, except as noted above.&lt;/p&gt;</t>
  </si>
  <si>
    <t>&lt;link rel="stylesheet"href="PF.css"&gt;&lt;div class="heading"&gt;&lt;p class="alignleft"&gt;Daze, Mass&lt;/p&gt;&lt;div style="clear: both;"&gt;&lt;/div&gt;&lt;/div&gt;&lt;div&gt;&lt;h5&gt;&lt;b&gt;School &lt;/b&gt;enchantment (compulsion) [mind-affecting]; &lt;b&gt;Level &lt;/b&gt;bard 4, inquisitor 4, sorcerer/wizard 4, summoner 4, witch 4&lt;/h5&gt;&lt;/div&gt;&lt;hr/&gt;&lt;div&gt;&lt;h5&gt;&lt;b&gt;CASTING&lt;/b&gt;&lt;/h5&gt;&lt;/div&gt;&lt;hr/&gt;&lt;div&gt;&lt;h5&gt;&lt;b&gt;Casting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ft./level)&lt;/h5&gt;&lt;h5&gt;&lt;b&gt;Targets &lt;/b&gt;one or more humanoid creatures, no two of which may be more than 30 ft. apart&lt;/h5&gt;&lt;h5&gt;&lt;b&gt;Duration &lt;/b&gt;1 round&lt;/h5&gt;&lt;h5&gt;&lt;b&gt;Saving Throw &lt;/b&gt;Will negates; &lt;b&gt;Spell Resistance &lt;/b&gt;yes&lt;/h5&gt;&lt;/div&gt;&lt;hr/&gt;&lt;div&gt;&lt;h5&gt;&lt;b&gt;DESCRIPTION&lt;/b&gt;&lt;/h5&gt;&lt;/div&gt;&lt;hr/&gt;&lt;div&gt;&lt;h4&gt;&lt;p&gt;This spell functions as &lt;i&gt;daze&lt;/i&gt;, except as noted above.&lt;/p&gt;&lt;/h4&gt;&lt;/div&gt;</t>
  </si>
  <si>
    <t>As daze, but affecting multiple creatures.</t>
  </si>
  <si>
    <t>Decompose Corpse</t>
  </si>
  <si>
    <t>cleric 1/oracle 1, druid 1, sorcerer/wizard 1, witch 1</t>
  </si>
  <si>
    <t>V, S, M (a pinch of dried toadstool)</t>
  </si>
  <si>
    <t>one corpse or corporeal undead</t>
  </si>
  <si>
    <t>instantaneous or 1 minute; see text</t>
  </si>
  <si>
    <t>Using this spell, the caster rapidly decomposes the flesh from a single corpse of size Huge or smaller, leaving behind a perfectly cleaned skeleton. If it is cast on a non-skeletal corporeal undead, the creature takes a -2 penalty on all rolls and to its Armor Class and CMD for 1 minute.</t>
  </si>
  <si>
    <t>&lt;p&gt;Using this spell, the caster rapidly decomposes the flesh from a single corpse of size Huge or smaller, leaving behind a perfectly cleaned skeleton. If it is cast on a non-skeletal corporeal undead, the creature takes a -2 penalty on all rolls and to its Armor Class and CMD for 1 minute.&lt;/p&gt;</t>
  </si>
  <si>
    <t>&lt;link rel="stylesheet"href="PF.css"&gt;&lt;div class="heading"&gt;&lt;p class="alignleft"&gt;Decompose Corpse&lt;/p&gt;&lt;div style="clear: both;"&gt;&lt;/div&gt;&lt;/div&gt;&lt;div&gt;&lt;h5&gt;&lt;b&gt;School &lt;/b&gt;necromancy; &lt;b&gt;Level &lt;/b&gt;cleric 1/oracle 1, druid 1, sorcerer/wizard 1, witch 1&lt;/h5&gt;&lt;/div&gt;&lt;hr/&gt;&lt;div&gt;&lt;h5&gt;&lt;b&gt;CASTING&lt;/b&gt;&lt;/h5&gt;&lt;/div&gt;&lt;hr/&gt;&lt;div&gt;&lt;h5&gt;&lt;b&gt;Casting Time &lt;/b&gt;1 standard action&lt;/h5&gt;&lt;h5&gt;&lt;b&gt;Components &lt;/b&gt;V, S, M (a pinch of dried toadstool)&lt;/h5&gt;&lt;/div&gt;&lt;hr/&gt;&lt;div&gt;&lt;h5&gt;&lt;b&gt;EFFECT&lt;/b&gt;&lt;/h5&gt;&lt;/div&gt;&lt;hr/&gt;&lt;div&gt;&lt;h5&gt;&lt;b&gt;Range &lt;/b&gt;touch&lt;/h5&gt;&lt;h5&gt;&lt;b&gt;Targets &lt;/b&gt;one corpse or corporeal undead&lt;/h5&gt;&lt;h5&gt;&lt;b&gt;Duration &lt;/b&gt;instantaneous or 1 minute; see text&lt;/h5&gt;&lt;h5&gt;&lt;b&gt;Saving Throw &lt;/b&gt;Fortitude negates (object); &lt;b&gt;Spell Resistance &lt;/b&gt;yes (object)&lt;/h5&gt;&lt;/div&gt;&lt;hr/&gt;&lt;div&gt;&lt;h5&gt;&lt;b&gt;DESCRIPTION&lt;/b&gt;&lt;/h5&gt;&lt;/div&gt;&lt;hr/&gt;&lt;div&gt;&lt;h4&gt;&lt;p&gt;Using this spell, the caster rapidly decomposes the flesh from a single corpse of size Huge or smaller, leaving behind a perfectly cleaned skeleton. If it is cast on a non-skeletal corporeal undead, the creature takes a -2 penalty on all rolls and to its Armor Class and CMD for 1 minute.&lt;/p&gt;&lt;/h4&gt;&lt;/div&gt;</t>
  </si>
  <si>
    <t>Turn a corpse into a clean skeleton.</t>
  </si>
  <si>
    <t>Defensive Shock</t>
  </si>
  <si>
    <t>alchemist 2, magus 2, sorcerer/wizard 2</t>
  </si>
  <si>
    <t>V, S, M (a hollow metal sphere)</t>
  </si>
  <si>
    <t>1 minute/level or until discharged</t>
  </si>
  <si>
    <t>Electrical energy floods your body, shocking the next creature that touches you. Any creature striking you with its body or a handheld weapon takes 1d6 points of electricity damage per two caster levels (maximum 6d6). If the attacker has spell resistance, it applies against this damage. Each time the spell discharges, the number of damage dice it deals is halved (rounded down); when the spell's damage dice reach 0, the spell ends.</t>
  </si>
  <si>
    <t>&lt;p&gt;Electrical energy floods your body, shocking the next creature that touches you. Any creature striking you with its body or a handheld weapon takes 1d6 points of electricity damage per two caster levels (maximum 6d6). If the attacker has spell resistance, it applies against this damage. Each time the spell discharges, the number of damage dice it deals is halved (rounded down); when the spell's damage dice reach 0, the spell ends.&lt;/p&gt;</t>
  </si>
  <si>
    <t>&lt;link rel="stylesheet"href="PF.css"&gt;&lt;div class="heading"&gt;&lt;p class="alignleft"&gt;Defensive Shock&lt;/p&gt;&lt;div style="clear: both;"&gt;&lt;/div&gt;&lt;/div&gt;&lt;div&gt;&lt;h5&gt;&lt;b&gt;School &lt;/b&gt;evocation [electricity]; &lt;b&gt;Level &lt;/b&gt;alchemist 2, magus 2, sorcerer/wizard 2&lt;/h5&gt;&lt;/div&gt;&lt;hr/&gt;&lt;div&gt;&lt;h5&gt;&lt;b&gt;CASTING&lt;/b&gt;&lt;/h5&gt;&lt;/div&gt;&lt;hr/&gt;&lt;div&gt;&lt;h5&gt;&lt;b&gt;Casting Time &lt;/b&gt;1 standard action&lt;/h5&gt;&lt;h5&gt;&lt;b&gt;Components &lt;/b&gt;V, S, M (a hollow metal sphere)&lt;/h5&gt;&lt;/div&gt;&lt;hr/&gt;&lt;div&gt;&lt;h5&gt;&lt;b&gt;EFFECT&lt;/b&gt;&lt;/h5&gt;&lt;/div&gt;&lt;hr/&gt;&lt;div&gt;&lt;h5&gt;&lt;b&gt;Range &lt;/b&gt;personal&lt;/h5&gt;&lt;h5&gt;&lt;b&gt;Targets &lt;/b&gt;you&lt;/h5&gt;&lt;h5&gt;&lt;b&gt;Duration &lt;/b&gt;1 minute/level or until discharged&lt;/h5&gt;&lt;/div&gt;&lt;hr/&gt;&lt;div&gt;&lt;h5&gt;&lt;b&gt;DESCRIPTION&lt;/b&gt;&lt;/h5&gt;&lt;/div&gt;&lt;hr/&gt;&lt;div&gt;&lt;h4&gt;&lt;p&gt;Electrical energy floods your body, shocking the next creature that touches you. Any creature striking you with its body or a handheld weapon takes 1d6 points of electricity damage per two caster levels (maximum 6d6). If the attacker has spell resistance, it applies against this damage. Each time the spell discharges, the number of damage dice it deals is halved (rounded down); when the spell's damage dice reach 0, the spell ends.&lt;/p&gt;&lt;/h4&gt;&lt;/div&gt;</t>
  </si>
  <si>
    <t>Electricity damages your attackers.</t>
  </si>
  <si>
    <t>Delay Pain</t>
  </si>
  <si>
    <t>bard 2, cleric 2/oracle 2, inquisitor 2, sorcerer/wizard 2, witch 2</t>
  </si>
  <si>
    <t>You override the target's ability to feel pain. Pain effects (such as pain strike** and symbol of pain) do not affect the target until this spell's duration has expired. This does not negate any physical damage, ability damage, or ability drain that a pain effect has already done, but it does negate ongoing penalties from pain while the spell lasts.</t>
  </si>
  <si>
    <t>&lt;p&gt;You override the target's ability to feel pain. Pain effects (such as &lt;i&gt;pain strike&lt;/i&gt;** and &lt;i&gt;symbol of&lt;/i&gt; pain) do not affect the target until this spell's duration has expired. This does not negate any physical damage, ability damage, or ability drain that a pain effect has already done, but it does negate ongoing penalties from pain while the spell lasts.&lt;/p&gt;</t>
  </si>
  <si>
    <t>&lt;link rel="stylesheet"href="PF.css"&gt;&lt;div class="heading"&gt;&lt;p class="alignleft"&gt;Delay Pain&lt;/p&gt;&lt;div style="clear: both;"&gt;&lt;/div&gt;&lt;/div&gt;&lt;div&gt;&lt;h5&gt;&lt;b&gt;School &lt;/b&gt;enchantment [emotion]; &lt;b&gt;Level &lt;/b&gt;bard 2, cleric 2/oracle 2, inquisitor 2, sorcerer/wizard 2, witch 2&lt;/h5&gt;&lt;/div&gt;&lt;hr/&gt;&lt;div&gt;&lt;h5&gt;&lt;b&gt;CASTING&lt;/b&gt;&lt;/h5&gt;&lt;/div&gt;&lt;hr/&gt;&lt;div&gt;&lt;h5&gt;&lt;b&gt;Casting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&lt;/b&gt;1 hour/level&lt;/h5&gt;&lt;h5&gt;&lt;b&gt;Saving Throw &lt;/b&gt;Will negates; &lt;b&gt;Spell Resistance &lt;/b&gt;yes&lt;/h5&gt;&lt;/div&gt;&lt;hr/&gt;&lt;div&gt;&lt;h5&gt;&lt;b&gt;DESCRIPTION&lt;/b&gt;&lt;/h5&gt;&lt;/div&gt;&lt;hr/&gt;&lt;div&gt;&lt;h4&gt;&lt;p&gt;You override the target's ability to feel pain. Pain effects (such as &lt;i&gt;pain strike&lt;/i&gt;** and &lt;i&gt;symbol of&lt;/i&gt; pain) do not affect the target until this spell's duration has expired. This does not negate any physical damage, ability damage, or ability drain that a pain effect has already done, but it does negate ongoing penalties from pain while the spell lasts.&lt;/p&gt;&lt;/h4&gt;&lt;/div&gt;</t>
  </si>
  <si>
    <t>Ignore pain for 1 hour/level.</t>
  </si>
  <si>
    <t>Delusional Pride</t>
  </si>
  <si>
    <t>The target becomes so distracted by an overblown sense of its worth that it takes a -2 penalty on attacks and skill checks. However, this feeling also gives the target a +2 morale bonus on saves against charm and compulsion effects.</t>
  </si>
  <si>
    <t>&lt;p&gt;The target becomes so distracted by an overblown sense of its worth that it takes a -2 penalty on attacks and skill checks.&lt;/p&gt;&lt;p&gt;However, this feeling also gives the target a +2 morale bonus on saves against charm and compulsion effects.&lt;/p&gt;</t>
  </si>
  <si>
    <t>&lt;link rel="stylesheet"href="PF.css"&gt;&lt;div class="heading"&gt;&lt;p class="alignleft"&gt;Delusional Pride&lt;/p&gt;&lt;div style="clear: both;"&gt;&lt;/div&gt;&lt;/div&gt;&lt;div&gt;&lt;h5&gt;&lt;b&gt;School &lt;/b&gt;enchantment (compulsion) [emotion, mind-affecting]; &lt;b&gt;Level &lt;/b&gt;bard 1, sorcerer/wizard 1, witch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&lt;/b&gt;1 minute&lt;/h5&gt;&lt;h5&gt;&lt;b&gt;Saving Throw &lt;/b&gt;Will negates; &lt;b&gt;Spell Resistance &lt;/b&gt;yes&lt;/h5&gt;&lt;/div&gt;&lt;hr/&gt;&lt;div&gt;&lt;h5&gt;&lt;b&gt;DESCRIPTION&lt;/b&gt;&lt;/h5&gt;&lt;/div&gt;&lt;hr/&gt;&lt;div&gt;&lt;h4&gt;&lt;p&gt;The target becomes so distracted by an overblown sense of its worth that it takes a -2 penalty on attacks and skill checks.&lt;/p&gt;&lt;p&gt;However, this feeling also gives the target a +2 morale bonus on saves against charm and compulsion effects.&lt;/p&gt;&lt;/h4&gt;&lt;/div&gt;</t>
  </si>
  <si>
    <t>Target is penalized on attacks and checks but gains bonus against charms and compulsions.</t>
  </si>
  <si>
    <t>Diagnose Disease</t>
  </si>
  <si>
    <t>cleric 1/oracle 1, druid 1, paladin 1, ranger 1, witch 1</t>
  </si>
  <si>
    <t>You determine whether a creature, object, or area carries any sort of disease or infestation (including molds, slimes, and similar hazards), or any exceptional or supernatural effects causing the sickened or nauseated effects. If there is disease present, you know what disease it is and its effects. If the target is a creature, you gain a +4 bonus on Heal checks to treat the creature's disease. The spell can penetrate many barriers, but 1 foot of stone, 1 inch of common metal, a thin sheet of lead, or 3 feet of wood or dirt blocks it.</t>
  </si>
  <si>
    <t>&lt;p&gt;You determine whether a creature, object, or area carries any sort of disease or infestation (including molds, slimes, and similar hazards), or any exceptional or supernatural effects causing the sickened or nauseated effects. If there is disease present, you know what disease it is and its effects. If the target is a creature, you gain a +4 bonus on Heal checks to treat the creature's disease. The spell can penetrate many barriers, but 1 foot of stone, 1 inch of common metal, a thin sheet of lead, or 3 feet of wood or dirt blocks it.&lt;/p&gt;</t>
  </si>
  <si>
    <t>&lt;link rel="stylesheet"href="PF.css"&gt;&lt;div class="heading"&gt;&lt;p class="alignleft"&gt;Diagnose Disease&lt;/p&gt;&lt;div style="clear: both;"&gt;&lt;/div&gt;&lt;/div&gt;&lt;div&gt;&lt;h5&gt;&lt;b&gt;School &lt;/b&gt;divination; &lt;b&gt;Level &lt;/b&gt;cleric 1/oracle 1, druid 1, paladin 1, ranger 1, witch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 or Area &lt;/b&gt;one creature, one object, or a 5-ft. cube&lt;h5&gt;&lt;b&gt;Duration &lt;/b&gt;instantaneous&lt;/h5&gt;&lt;h5&gt;&lt;b&gt;Saving Throw &lt;/b&gt;none; &lt;b&gt;Spell Resistance &lt;/b&gt;no&lt;/h5&gt;&lt;/div&gt;&lt;hr/&gt;&lt;div&gt;&lt;h5&gt;&lt;b&gt;DESCRIPTION&lt;/b&gt;&lt;/h5&gt;&lt;/div&gt;&lt;hr/&gt;&lt;div&gt;&lt;h4&gt;&lt;p&gt;You determine whether a creature, object, or area carries any sort of disease or infestation (including molds, slimes, and similar hazards), or any exceptional or supernatural effects causing the sickened or nauseated effects. If there is disease present, you know what disease it is and its effects. If the target is a creature, you gain a +4 bonus on Heal checks to treat the creature's disease. The spell can penetrate many barriers, but 1 foot of stone, 1 inch of common metal, a thin sheet of lead, or 3 feet of wood or dirt blocks it.&lt;/p&gt;&lt;/h4&gt;&lt;/div&gt;</t>
  </si>
  <si>
    <t>Detect and identify diseases.</t>
  </si>
  <si>
    <t>Disfiguring Touch</t>
  </si>
  <si>
    <t>cleric/oracle 2, sorcerer/wizard 2, witch 2</t>
  </si>
  <si>
    <t>With a touch, you cause the victim of this spell to suffer a painful curse that causes it to grow hideously disfigured. The physical appearance of the deformity is subject to the caster's whim (most demon worshipers choose deformities that reflect their Abyssal patron's shape or form). The target takes one of the following penalties. • -2 decrease to an ability score (minimum 1). • -2 penalty on attack rolls or saving throws. • Land speed reduced by 5 feet. You may also invent other effects, but they should be no more powerful than those described above.</t>
  </si>
  <si>
    <t>&lt;p&gt;With a touch, you cause the victim of this spell to suffer a painful curse that causes it to grow hideously disfigured. The physical appearance of the deformity is subject to the caster's whim (most demon worshipers choose deformities that reflect their Abyssal patron's shape or form). The target takes one of the following penalties. &lt;ul&gt;&lt;li&gt; -2 decrease to an ability score (minimum 1). &lt;li&gt; -2 penalty on attack rolls or saving throws. &lt;li&gt; Land speed reduced by 5 feet. You may also invent other effects, but they should be no more powerful than those described above.&lt;/ul&gt;&lt;/p&gt;</t>
  </si>
  <si>
    <t>&lt;link rel="stylesheet"href="PF.css"&gt;&lt;div class="heading"&gt;&lt;p class="alignleft"&gt;Disfiguring Touch&lt;/p&gt;&lt;div style="clear: both;"&gt;&lt;/div&gt;&lt;/div&gt;&lt;div&gt;&lt;h5&gt;&lt;b&gt;School &lt;/b&gt;transmutation [curse]; &lt;b&gt;Level &lt;/b&gt;cleric/oracle 2, sorcerer/wizard 2, witch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day/level&lt;/h5&gt;&lt;h5&gt;&lt;b&gt;Saving Throw &lt;/b&gt;Will negates; &lt;b&gt;Spell Resistance &lt;/b&gt;yes&lt;/h5&gt;&lt;/div&gt;&lt;hr/&gt;&lt;div&gt;&lt;h5&gt;&lt;b&gt;DESCRIPTION&lt;/b&gt;&lt;/h5&gt;&lt;/div&gt;&lt;hr/&gt;&lt;div&gt;&lt;h4&gt;&lt;p&gt;With a touch, you cause the victim of this spell to suffer a painful curse that causes it to grow hideously disfigured. The physical appearance of the deformity is subject to the caster's whim (most demon worshipers choose deformities that reflect their Abyssal patron's shape or form). The target takes one of the following penalties. &lt;ul&gt;&lt;li&gt; -2 decrease to an ability score (minimum 1). &lt;li&gt; -2 penalty on attack rolls or saving throws. &lt;li&gt; Land speed reduced by 5 feet.&lt;/ul&gt; You may also invent other effects, but they should be no more powerful than those described above.&lt;/p&gt;&lt;/h4&gt;&lt;h5&gt;&lt;b&gt;Mythic: &lt;/b&gt;The target takes two different penalties (chosen from the same list) instead of one.&lt;/h5&gt;&lt;h5&gt;&lt;b&gt;Augmented&lt;/b&gt;: If you expend two uses of mythic power, the target also gains the fatigued condition because of its painful disfigurement. If this fatigue is negated without removing the curse, it returns after 1 hour.&lt;/h5&gt;&lt;/div&gt;</t>
  </si>
  <si>
    <t>Target becomes disfigured.</t>
  </si>
  <si>
    <t>The target takes two different penalties (chosen from the same list) instead of one.</t>
  </si>
  <si>
    <t>Augmented: If you expend two uses of mythic power, the target also gains the fatigued condition because of its painful disfigurement. If this fatigue is negated without removing the curse, it returns after 1 hour.</t>
  </si>
  <si>
    <t>Disguise Other</t>
  </si>
  <si>
    <t>bard 2, inquisitor 2, sorcerer/wizard 2</t>
  </si>
  <si>
    <t>10 minute/level (D)</t>
  </si>
  <si>
    <t>This spell functions as disguise self, except you can disguise either yourself or another creature.</t>
  </si>
  <si>
    <t>&lt;p&gt;This spell functions as &lt;i&gt;disguise self&lt;/i&gt;, except you can disguise either yourself or another creature.&lt;/p&gt;</t>
  </si>
  <si>
    <t>&lt;link rel="stylesheet"href="PF.css"&gt;&lt;div class="heading"&gt;&lt;p class="alignleft"&gt;Disguise Other&lt;/p&gt;&lt;div style="clear: both;"&gt;&lt;/div&gt;&lt;/div&gt;&lt;div&gt;&lt;h5&gt;&lt;b&gt;School &lt;/b&gt;illusion (glamer); &lt;b&gt;Level &lt;/b&gt;bard 2, inquisitor 2, sorcerer/wizard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&lt;/b&gt;10 minute/level (D)&lt;/h5&gt;&lt;/div&gt;&lt;hr/&gt;&lt;div&gt;&lt;h5&gt;&lt;b&gt;DESCRIPTION&lt;/b&gt;&lt;/h5&gt;&lt;/div&gt;&lt;hr/&gt;&lt;div&gt;&lt;h4&gt;&lt;p&gt;This spell functions as &lt;i&gt;disguise self&lt;/i&gt;, except you can disguise either yourself or another creature.&lt;/p&gt;&lt;/h4&gt;&lt;/div&gt;</t>
  </si>
  <si>
    <t>As disguise self, but affects you or another.</t>
  </si>
  <si>
    <t>Distracting Cacophony</t>
  </si>
  <si>
    <t>bard 2, sorcerer/wizard 3</t>
  </si>
  <si>
    <t>The air fills with loud and discordant noise, making concentration difficult. Casting a spell in this area of cacophony requires a concentration check (DC 15 + the level of the spell being cast). Any other concentration checks in the area have their DCs increased by 5. The DC of Perception checks involving hearing is likewise increased by 5.</t>
  </si>
  <si>
    <t>&lt;p&gt;The air fills with loud and discordant noise, making concentration difficult. Casting a spell in this area of cacophony requires a concentration check (DC 15 + the level of the spell being cast). Any other concentration checks in the area have their DCs increased by 5. The DC of Perception checks involving hearing is likewise increased by 5.&lt;/p&gt;</t>
  </si>
  <si>
    <t>&lt;link rel="stylesheet"href="PF.css"&gt;&lt;div class="heading"&gt;&lt;p class="alignleft"&gt;Distracting Cacophony&lt;/p&gt;&lt;div style="clear: both;"&gt;&lt;/div&gt;&lt;/div&gt;&lt;div&gt;&lt;h5&gt;&lt;b&gt;School &lt;/b&gt;evocation [sonic]; &lt;b&gt;Level &lt;/b&gt;bard 2, sorcerer/wizard 3&lt;/h5&gt;&lt;/div&gt;&lt;hr/&gt;&lt;div&gt;&lt;h5&gt;&lt;b&gt;CASTING&lt;/b&gt;&lt;/h5&gt;&lt;/div&gt;&lt;hr/&gt;&lt;div&gt;&lt;h5&gt;&lt;b&gt;Casting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ft./level)&lt;/h5&gt;&lt;h5&gt;&lt;b&gt;Area &lt;/b&gt;20-ft. spread&lt;/h5&gt;&lt;h5&gt;&lt;b&gt;Duration &lt;/b&gt;1 round/level (D)&lt;/h5&gt;&lt;h5&gt;&lt;b&gt;Saving Throw &lt;/b&gt;none; &lt;b&gt;Spell Resistance &lt;/b&gt;yes&lt;/h5&gt;&lt;/div&gt;&lt;hr/&gt;&lt;div&gt;&lt;h5&gt;&lt;b&gt;DESCRIPTION&lt;/b&gt;&lt;/h5&gt;&lt;/div&gt;&lt;hr/&gt;&lt;div&gt;&lt;h4&gt;&lt;p&gt;The air fills with loud and discordant noise, making concentration difficult. Casting a spell in this area of cacophony requires a concentration check (DC 15 + the level of the spell being cast). Any other concentration checks in the area have their DCs increased by 5. The DC of Perception checks involving hearing is likewise increased by 5.&lt;/p&gt;&lt;/h4&gt;&lt;/div&gt;</t>
  </si>
  <si>
    <t>Noise makes it difficult to cast.</t>
  </si>
  <si>
    <t>Distressing Tone</t>
  </si>
  <si>
    <t>bard 2, inquisitor 2</t>
  </si>
  <si>
    <t>1d4 living creatures</t>
  </si>
  <si>
    <t>You create a powerful tone that vibrates living flesh. Targets must save or gain the sickened condition. Creatures that are immune to critical hits are immune to this spell.</t>
  </si>
  <si>
    <t>&lt;p&gt;You create a powerful tone that vibrates living flesh. Targets must save or gain the sickened condition. Creatures that are immune to critical hits are immune to this spell.&lt;/p&gt;</t>
  </si>
  <si>
    <t>&lt;link rel="stylesheet"href="PF.css"&gt;&lt;div class="heading"&gt;&lt;p class="alignleft"&gt;Distressing Tone&lt;/p&gt;&lt;div style="clear: both;"&gt;&lt;/div&gt;&lt;/div&gt;&lt;div&gt;&lt;h5&gt;&lt;b&gt;School &lt;/b&gt;evocation [sonic]; &lt;b&gt;Level &lt;/b&gt;bard 2, inquisitor 2&lt;/h5&gt;&lt;/div&gt;&lt;hr/&gt;&lt;div&gt;&lt;h5&gt;&lt;b&gt;CASTING&lt;/b&gt;&lt;/h5&gt;&lt;/div&gt;&lt;hr/&gt;&lt;div&gt;&lt;h5&gt;&lt;b&gt;Casting Time &lt;/b&gt;1 round&lt;/h5&gt;&lt;h5&gt;&lt;b&gt;Components &lt;/b&gt;V, S&lt;/h5&gt;&lt;/div&gt;&lt;hr/&gt;&lt;div&gt;&lt;h5&gt;&lt;b&gt;EFFECT&lt;/b&gt;&lt;/h5&gt;&lt;/div&gt;&lt;hr/&gt;&lt;div&gt;&lt;h5&gt;&lt;b&gt;Range &lt;/b&gt;close (25 ft. + 5 ft./2 levels)&lt;/h5&gt;&lt;h5&gt;&lt;b&gt;Targets &lt;/b&gt;1d4 living creatures&lt;/h5&gt;&lt;h5&gt;&lt;b&gt;Duration &lt;/b&gt;1 round/level&lt;/h5&gt;&lt;h5&gt;&lt;b&gt;Saving Throw &lt;/b&gt;Fortitude negates; &lt;b&gt;Spell Resistance &lt;/b&gt;yes&lt;/h5&gt;&lt;/div&gt;&lt;hr/&gt;&lt;div&gt;&lt;h5&gt;&lt;b&gt;DESCRIPTION&lt;/b&gt;&lt;/h5&gt;&lt;/div&gt;&lt;hr/&gt;&lt;div&gt;&lt;h4&gt;&lt;p&gt;You create a powerful tone that vibrates living flesh. Targets must save or gain the sickened condition. Creatures that are immune to critical hits are immune to this spell.&lt;/p&gt;&lt;/h4&gt;&lt;/div&gt;</t>
  </si>
  <si>
    <t>Sound sickens 1d4 creatures.</t>
  </si>
  <si>
    <t>Divine Pursuit</t>
  </si>
  <si>
    <t>1 minute/level; see text</t>
  </si>
  <si>
    <t>Select one creature within 60 feet that you have damaged. If that creature has a burrow, climb, fly, or swim speed, you gain that form of movement for the duration of the spell at the same speed and maneuverability as the selected creature. If this gives you the burrow or swim speed, you can breathe while burrowing or swimming. If the creature moves 1,000 feet or more from you, the spell ends. If the creature has more than one of these types of movement, you select one from the types available to the creature.</t>
  </si>
  <si>
    <t>&lt;p&gt;Select one creature within 60 feet that you have damaged. If that creature has a burrow, climb, fly, or swim speed, you gain that form of movement for the duration of the spell at the same speed and maneuverability as the selected creature. If this gives you the burrow or swim speed, you can breathe while burrowing or swimming. If the creature moves 1,000 feet or more from you, the spell ends. If the creature has more than one of these types of movement, you select one from the types available to the creature.&lt;/p&gt;</t>
  </si>
  <si>
    <t>&lt;link rel="stylesheet"href="PF.css"&gt;&lt;div class="heading"&gt;&lt;p class="alignleft"&gt;Divine Pursuit&lt;/p&gt;&lt;div style="clear: both;"&gt;&lt;/div&gt;&lt;/div&gt;&lt;div&gt;&lt;h5&gt;&lt;b&gt;School &lt;/b&gt;transmutation; &lt;b&gt;Level &lt;/b&gt;inquisitor 5&lt;/h5&gt;&lt;/div&gt;&lt;hr/&gt;&lt;div&gt;&lt;h5&gt;&lt;b&gt;CASTING&lt;/b&gt;&lt;/h5&gt;&lt;/div&gt;&lt;hr/&gt;&lt;div&gt;&lt;h5&gt;&lt;b&gt;Casting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minute/level; see text&lt;/h5&gt;&lt;/div&gt;&lt;hr/&gt;&lt;div&gt;&lt;h5&gt;&lt;b&gt;DESCRIPTION&lt;/b&gt;&lt;/h5&gt;&lt;/div&gt;&lt;hr/&gt;&lt;div&gt;&lt;h4&gt;&lt;p&gt;Select one creature within 60 feet that you have damaged. If that creature has a burrow, climb, fly, or swim speed, you gain that form of movement for the duration of the spell at the same speed and maneuverability as the selected creature. If this gives you the burrow or swim speed, you can breathe while burrowing or swimming. If the creature moves 1,000 feet or more from you, the spell ends. If the creature has more than one of these types of movement, you select one from the types available to the creature.&lt;/p&gt;&lt;/h4&gt;&lt;h5&gt;&lt;b&gt;Mythic: &lt;/b&gt;The speed of the movement form provided by the spell increases by 30 feet. This adjustment is treated as an enhancement bonus. You gain a bonus on Perception and Survival skill checks attempted against the selected creature. This is a sacred bonus if you're good or a profane bonus if you're evil; if you're neutral, choose either the sacred or profane bonus.&lt;/h5&gt;&lt;/div&gt;</t>
  </si>
  <si>
    <t>Gain a movement type of your prey.</t>
  </si>
  <si>
    <t>The speed of the movement form provided by the spell increases by 30 feet. This adjustment is treated as an enhancement bonus. You gain a bonus on Perception and Survival skill checks attempted against the selected creature. This is a sacred bonus if you're good or a profane bonus if you're evil; if you're neutral, choose either the sacred or profane bonus.</t>
  </si>
  <si>
    <t>Dread Bolt</t>
  </si>
  <si>
    <t>cleric/oracle 2</t>
  </si>
  <si>
    <t>arrow-shaped projectile of evil energy</t>
  </si>
  <si>
    <t>instantaneous (1d4 rounds)</t>
  </si>
  <si>
    <t>You unleash a crackling missile of darkness from your unholy symbol at any one target in range as a ranged touch attack. A good creature struck by dread bolt takes 1d8 points of damage per two caster levels (maximum 5d8). A good outsider instead takes 1d6 points of damage per caster level (maximum 10d6) and is sickened for 1 round. A successful Will save reduces the damage to half and negates the sickened effect. This spell deals only half damage to creatures that are neither good nor evil, and they are not sickened. The bolt has no effect on evil creatures.</t>
  </si>
  <si>
    <t>&lt;p&gt;You unleash a crackling missile of darkness from your unholy symbol at any one target in range as a ranged touch attack.&lt;/p&gt;&lt;p&gt;A good creature struck by dread bolt takes 1d8 points of damage per two caster levels (maximum 5d8). A good outsider instead takes 1d6 points of damage per caster level (maximum 10d6) and is sickened for 1 round. A successful Will save reduces the damage to half and negates the sickened effect. This spell deals only half damage to creatures that are neither good nor evil, and they are not sickened. The bolt has no effect on evil creatures.&lt;/p&gt;</t>
  </si>
  <si>
    <t>&lt;link rel="stylesheet"href="PF.css"&gt;&lt;div class="heading"&gt;&lt;p class="alignleft"&gt;Dread Bolt&lt;/p&gt;&lt;div style="clear: both;"&gt;&lt;/div&gt;&lt;/div&gt;&lt;div&gt;&lt;h5&gt;&lt;b&gt;School &lt;/b&gt;evocation [evil]; &lt;b&gt;Level &lt;/b&gt;cleric/oracle 2&lt;/h5&gt;&lt;/div&gt;&lt;hr/&gt;&lt;div&gt;&lt;h5&gt;&lt;b&gt;CASTING&lt;/b&gt;&lt;/h5&gt;&lt;/div&gt;&lt;hr/&gt;&lt;div&gt;&lt;h5&gt;&lt;b&gt;Casting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levels)&lt;/h5&gt;&lt;h5&gt;&lt;b&gt;Effect &lt;/b&gt;arrow-shaped projectile of evil energy&lt;/h5&gt;&lt;h5&gt;&lt;b&gt;Duration &lt;/b&gt;instantaneous (1d4 rounds)&lt;/h5&gt;&lt;h5&gt;&lt;b&gt;Saving Throw &lt;/b&gt;Will partial (see text); &lt;b&gt;Spell Resistance &lt;/b&gt;yes&lt;/h5&gt;&lt;/div&gt;&lt;hr/&gt;&lt;div&gt;&lt;h5&gt;&lt;b&gt;DESCRIPTION&lt;/b&gt;&lt;/h5&gt;&lt;/div&gt;&lt;hr/&gt;&lt;div&gt;&lt;h4&gt;&lt;p&gt;You unleash a crackling missile of darkness from your unholy symbol at any one target in range as a ranged touch attack.&lt;/p&gt;&lt;p&gt;A good creature struck by dread bolt takes 1d8 points of damage per two caster levels (maximum 5d8). A good outsider instead takes 1d6 points of damage per caster level (maximum 10d6) and is sickened for 1 round. A successful Will save reduces the damage to half and negates the sickened effect. This spell deals only half damage to creatures that are neither good nor evil, and they are not sickened. The bolt has no effect on evil creatures.&lt;/p&gt;&lt;/h4&gt;&lt;/div&gt;</t>
  </si>
  <si>
    <t>Harm and possibly sicken good creatures.</t>
  </si>
  <si>
    <t>Eagle Aerie</t>
  </si>
  <si>
    <t>druid 6, summoner 6</t>
  </si>
  <si>
    <t>summoned eagles</t>
  </si>
  <si>
    <t>You summon a flight of giant eagles (one per three caster levels, maximum of six; Bestiary 118) to ferry you and your allies across the skies. The eagles avoid combat if possible but defend themselves if attacked; if the eagles attack, the remaining duration of the spell changes from 1 hour per level to 1 round per level (so if the spell had 5 full hours left, the eagles remain in combat for 5 rounds before the spell ends).</t>
  </si>
  <si>
    <t>&lt;p&gt;You summon a flight of giant eagles (one per three caster levels, maximum of six; &lt;i&gt;Bestiary&lt;/i&gt; 118) to ferry you and your allies across the skies. The eagles avoid combat if possible but defend themselves if attacked; if the eagles attack, the remaining duration of the spell changes from 1 hour per level to 1 round per level (so if the spell had 5 full hours left, the eagles remain in combat for 5 rounds before the spell ends).&lt;/p&gt;</t>
  </si>
  <si>
    <t>&lt;link rel="stylesheet"href="PF.css"&gt;&lt;div class="heading"&gt;&lt;p class="alignleft"&gt;Eagle Aerie&lt;/p&gt;&lt;div style="clear: both;"&gt;&lt;/div&gt;&lt;/div&gt;&lt;div&gt;&lt;h5&gt;&lt;b&gt;School &lt;/b&gt;conjuration (summoning) [good]; &lt;b&gt;Level &lt;/b&gt;druid 6, summoner 6&lt;/h5&gt;&lt;/div&gt;&lt;hr/&gt;&lt;div&gt;&lt;h5&gt;&lt;b&gt;CASTING&lt;/b&gt;&lt;/h5&gt;&lt;/div&gt;&lt;hr/&gt;&lt;div&gt;&lt;h5&gt;&lt;b&gt;Casting Time &lt;/b&gt;1 round&lt;/h5&gt;&lt;h5&gt;&lt;b&gt;Components &lt;/b&gt;V, S, DF&lt;/h5&gt;&lt;/div&gt;&lt;hr/&gt;&lt;div&gt;&lt;h5&gt;&lt;b&gt;EFFECT&lt;/b&gt;&lt;/h5&gt;&lt;/div&gt;&lt;hr/&gt;&lt;div&gt;&lt;h5&gt;&lt;b&gt;Range &lt;/b&gt;long (400 ft. + 40 ft./level)&lt;/h5&gt;&lt;h5&gt;&lt;b&gt;Effect &lt;/b&gt;summoned eagles&lt;/h5&gt;&lt;h5&gt;&lt;b&gt;Duration &lt;/b&gt;1 hour/level&lt;/h5&gt;&lt;h5&gt;&lt;b&gt;Saving Throw &lt;/b&gt;none; &lt;b&gt;Spell Resistance &lt;/b&gt;no&lt;/h5&gt;&lt;/div&gt;&lt;hr/&gt;&lt;div&gt;&lt;h5&gt;&lt;b&gt;DESCRIPTION&lt;/b&gt;&lt;/h5&gt;&lt;/div&gt;&lt;hr/&gt;&lt;div&gt;&lt;h4&gt;&lt;p&gt;You summon a flight of giant eagles (one per three caster levels, maximum of six; &lt;i&gt;Bestiary&lt;/i&gt; 118) to ferry you and your allies across the skies. The eagles avoid combat if possible but defend themselves if attacked; if the eagles attack, the remaining duration of the spell changes from 1 hour per level to 1 round per level (so if the spell had 5 full hours left, the eagles remain in combat for 5 rounds before the spell ends).&lt;/p&gt;&lt;/h4&gt;&lt;/div&gt;</t>
  </si>
  <si>
    <t>Summon 1 giant eagle/3 levels.</t>
  </si>
  <si>
    <t>Ear-Piercing Scream</t>
  </si>
  <si>
    <t>bard 1, inquisitor 1, sorcerer/wizard 1, witch 1</t>
  </si>
  <si>
    <t>Fortitude partial (see text)</t>
  </si>
  <si>
    <t>You unleash a powerful scream, inaudible to all but a single target. The target is dazed for 1 round and takes 1d6 points of sonic damage per two caster levels (maximum 5d6). A successful save negates the daze effect and halves the damage.</t>
  </si>
  <si>
    <t>&lt;p&gt;You unleash a powerful scream, inaudible to all but a single target. The target is dazed for 1 round and takes 1d6 points of sonic damage per two caster levels (maximum 5d6). A successful save negates the daze effect and halves the damage.&lt;/p&gt;</t>
  </si>
  <si>
    <t>&lt;link rel="stylesheet"href="PF.css"&gt;&lt;div class="heading"&gt;&lt;p class="alignleft"&gt;Ear-Piercing Scream&lt;/p&gt;&lt;div style="clear: both;"&gt;&lt;/div&gt;&lt;/div&gt;&lt;div&gt;&lt;h5&gt;&lt;b&gt;School &lt;/b&gt;evocation [sonic]; &lt;b&gt;Level &lt;/b&gt;bard 1, inquisitor 1, sorcerer/wizard 1, witch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&lt;/b&gt;instantaneous; see text&lt;/h5&gt;&lt;h5&gt;&lt;b&gt;Saving Throw &lt;/b&gt;Fortitude partial (see text); &lt;b&gt;Spell Resistance &lt;/b&gt;yes&lt;/h5&gt;&lt;/div&gt;&lt;hr/&gt;&lt;div&gt;&lt;h5&gt;&lt;b&gt;DESCRIPTION&lt;/b&gt;&lt;/h5&gt;&lt;/div&gt;&lt;hr/&gt;&lt;div&gt;&lt;h4&gt;&lt;p&gt;You unleash a powerful scream, inaudible to all but a single target. The target is dazed for 1 round and takes 1d6 points of sonic damage per two caster levels (maximum 5d6). A successful save negates the daze effect and halves the damage.&lt;/p&gt;&lt;/h4&gt;&lt;h5&gt;&lt;b&gt;Mythic: &lt;/b&gt;The damage dealt increases to 1d8 points of sonic damage per 2 caster levels (maximum 5d8) and the duration that creatures in the area are dazed is a number of rounds equal to your tier.&lt;/h5&gt;&lt;h5&gt;&lt;b&gt;Augmented (3rd)&lt;/b&gt;: If you expend two uses of mythic power, the spell affects a 30-foot cone rather than a single target.&lt;/h5&gt;&lt;/div&gt;</t>
  </si>
  <si>
    <t>Deal sonic damage and daze target.</t>
  </si>
  <si>
    <t>The damage dealt increases to 1d8 points of sonic damage per 2 caster levels (maximum 5d8) and the duration that creatures in the area are dazed is a number of rounds equal to your tier.</t>
  </si>
  <si>
    <t>Augmented (3rd): If you expend two uses of mythic power, the spell affects a 30-foot cone rather than a single target.</t>
  </si>
  <si>
    <t>Echolocation</t>
  </si>
  <si>
    <t>alchemist 4, bard 4, druid 4, sorcerer/wizard 5</t>
  </si>
  <si>
    <t>You can perceive the world by creating high-pitched noises and listening to their echoes. This gives you blindsight to a range of 40 feet. The echo-producing noises are too highpitched to be heard by most creatures, and can only be detected by dragons, other creatures with this ability (such as bats), and creatures with hearing-based blindsense or blindsight. You cannot use this ability if you are deaf, and cannot detect anything in an area of silence.</t>
  </si>
  <si>
    <t>&lt;p&gt;You can perceive the world by creating high-pitched noises and listening to their echoes. This gives you blindsight to a range of 40 feet. The echo-producing noises are too highpitched to be heard by most creatures, and can only be detected by dragons, other creatures with this ability (such as bats), and creatures with hearing-based blindsense or blindsight. You cannot use this ability if you are deaf, and cannot detect anything in an area of &lt;i&gt;silence&lt;/i&gt;.&lt;/p&gt;</t>
  </si>
  <si>
    <t>&lt;link rel="stylesheet"href="PF.css"&gt;&lt;div class="heading"&gt;&lt;p class="alignleft"&gt;Echolocation&lt;/p&gt;&lt;div style="clear: both;"&gt;&lt;/div&gt;&lt;/div&gt;&lt;div&gt;&lt;h5&gt;&lt;b&gt;School &lt;/b&gt;transmutation [sonic]; &lt;b&gt;Level &lt;/b&gt;alchemist 4, bard 4, druid 4, sorcerer/wizard 5&lt;/h5&gt;&lt;/div&gt;&lt;hr/&gt;&lt;div&gt;&lt;h5&gt;&lt;b&gt;CASTING&lt;/b&gt;&lt;/h5&gt;&lt;/div&gt;&lt;hr/&gt;&lt;div&gt;&lt;h5&gt;&lt;b&gt;Casting Time &lt;/b&gt;1 standard action&lt;/h5&gt;&lt;h5&gt;&lt;b&gt;Components &lt;/b&gt;V&lt;/h5&gt;&lt;/div&gt;&lt;hr/&gt;&lt;div&gt;&lt;h5&gt;&lt;b&gt;EFFECT&lt;/b&gt;&lt;/h5&gt;&lt;/div&gt;&lt;hr/&gt;&lt;div&gt;&lt;h5&gt;&lt;b&gt;Range &lt;/b&gt;personal&lt;/h5&gt;&lt;h5&gt;&lt;b&gt;Targets &lt;/b&gt;you&lt;/h5&gt;&lt;h5&gt;&lt;b&gt;Duration &lt;/b&gt;10 minutes/level&lt;/h5&gt;&lt;/div&gt;&lt;hr/&gt;&lt;div&gt;&lt;h5&gt;&lt;b&gt;DESCRIPTION&lt;/b&gt;&lt;/h5&gt;&lt;/div&gt;&lt;hr/&gt;&lt;div&gt;&lt;h4&gt;&lt;p&gt;You can perceive the world by creating high-pitched noises and listening to their echoes. This gives you blindsight to a range of 40 feet. The echo-producing noises are too highpitched to be heard by most creatures, and can only be detected by dragons, other creatures with this ability (such as bats), and creatures with hearing-based blindsense or blindsight. You cannot use this ability if you are deaf, and cannot detect anything in an area of &lt;i&gt;silence&lt;/i&gt;.&lt;/p&gt;&lt;/h4&gt;&lt;/div&gt;</t>
  </si>
  <si>
    <t>Sonic sense gives you blindsight 40 ft.</t>
  </si>
  <si>
    <t>Eldritch Fever</t>
  </si>
  <si>
    <t>curse, disease, evil</t>
  </si>
  <si>
    <t>inquisitor 3, sorcerer/wizard 3, witch 3</t>
  </si>
  <si>
    <t>1 standard</t>
  </si>
  <si>
    <t>The target gains the eldritch ague spellblight (see page 96).</t>
  </si>
  <si>
    <t>&lt;p&gt;The target gains the eldritch ague spellblight (see page 96).&lt;/p&gt;</t>
  </si>
  <si>
    <t>&lt;link rel="stylesheet"href="PF.css"&gt;&lt;div class="heading"&gt;&lt;p class="alignleft"&gt;Eldritch Fever&lt;/p&gt;&lt;div style="clear: both;"&gt;&lt;/div&gt;&lt;/div&gt;&lt;div&gt;&lt;h5&gt;&lt;b&gt;School &lt;/b&gt;necromancy [curse, disease, evil]; &lt;b&gt;Level &lt;/b&gt;inquisitor 3, sorcerer/wizard 3, witch 3&lt;/h5&gt;&lt;/div&gt;&lt;hr/&gt;&lt;div&gt;&lt;h5&gt;&lt;b&gt;CASTING&lt;/b&gt;&lt;/h5&gt;&lt;/div&gt;&lt;hr/&gt;&lt;div&gt;&lt;h5&gt;&lt;b&gt;Casting Time &lt;/b&gt;1 standard&lt;/h5&gt;&lt;h5&gt;&lt;b&gt;Components &lt;/b&gt;V, S&lt;/h5&gt;&lt;/div&gt;&lt;hr/&gt;&lt;div&gt;&lt;h5&gt;&lt;b&gt;EFFECT&lt;/b&gt;&lt;/h5&gt;&lt;/div&gt;&lt;hr/&gt;&lt;div&gt;&lt;h5&gt;&lt;b&gt;Range &lt;/b&gt;close (25 ft. + 5 ft./2 levels)&lt;/h5&gt;&lt;h5&gt;&lt;b&gt;Targets &lt;/b&gt;one creature&lt;/h5&gt;&lt;h5&gt;&lt;b&gt;Duration &lt;/b&gt;instantaneous&lt;/h5&gt;&lt;h5&gt;&lt;b&gt;Saving Throw &lt;/b&gt;Fortitude negates; &lt;b&gt;Spell Resistance &lt;/b&gt;yes&lt;/h5&gt;&lt;/div&gt;&lt;hr/&gt;&lt;div&gt;&lt;h5&gt;&lt;b&gt;DESCRIPTION&lt;/b&gt;&lt;/h5&gt;&lt;/div&gt;&lt;hr/&gt;&lt;div&gt;&lt;h4&gt;&lt;p&gt;The target gains the eldritch ague spellblight (see page 96).&lt;/p&gt;&lt;/h4&gt;&lt;/div&gt;</t>
  </si>
  <si>
    <t>Target gains the eldritch ague spellblight.</t>
  </si>
  <si>
    <t>Envious Urge</t>
  </si>
  <si>
    <t>bard 4, sorcerer/wizard 6</t>
  </si>
  <si>
    <t>You fill creatures with feelings of seething envy. Affected targets turn upon the nearest creature (whether an ally or enemy) and attempt to disarm it of a valuable weapon, steal something it is holding, or grapple it and strip it of something it prizes (your choice). Affected targets can attempt a new Will save each round as a free action to end this effect.</t>
  </si>
  <si>
    <t>&lt;p&gt;You fill creatures with feelings of seething envy. Affected targets turn upon the nearest creature (whether an ally or enemy) and attempt to disarm it of a valuable weapon, steal something it is holding, or grapple it and strip it of something it prizes (your choice). Affected targets can attempt a new Will save each round as a free action to end this effect.&lt;/p&gt;</t>
  </si>
  <si>
    <t>&lt;link rel="stylesheet"href="PF.css"&gt;&lt;div class="heading"&gt;&lt;p class="alignleft"&gt;Envious Urge&lt;/p&gt;&lt;div style="clear: both;"&gt;&lt;/div&gt;&lt;/div&gt;&lt;div&gt;&lt;h5&gt;&lt;b&gt;School &lt;/b&gt;enchantment (compulsion) [emotion, mind-affecting]; &lt;b&gt;Level &lt;/b&gt;bard 4, sorcerer/wizard 6&lt;/h5&gt;&lt;/div&gt;&lt;hr/&gt;&lt;div&gt;&lt;h5&gt;&lt;b&gt;CASTING&lt;/b&gt;&lt;/h5&gt;&lt;/div&gt;&lt;hr/&gt;&lt;div&gt;&lt;h5&gt;&lt;b&gt;Casting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ft./level)&lt;/h5&gt;&lt;h5&gt;&lt;b&gt;Targets &lt;/b&gt;one creature/level, no two of which can be more than 30 ft. apart&lt;/h5&gt;&lt;h5&gt;&lt;b&gt;Duration &lt;/b&gt;1 round/level&lt;/h5&gt;&lt;h5&gt;&lt;b&gt;Saving Throw &lt;/b&gt;Will negates; &lt;b&gt;Spell Resistance &lt;/b&gt;yes&lt;/h5&gt;&lt;/div&gt;&lt;hr/&gt;&lt;div&gt;&lt;h5&gt;&lt;b&gt;DESCRIPTION&lt;/b&gt;&lt;/h5&gt;&lt;/div&gt;&lt;hr/&gt;&lt;div&gt;&lt;h4&gt;&lt;p&gt;You fill creatures with feelings of seething envy. Affected targets turn upon the nearest creature (whether an ally or enemy) and attempt to disarm it of a valuable weapon, steal something it is holding, or grapple it and strip it of something it prizes (your choice). Affected targets can attempt a new Will save each round as a free action to end this effect.&lt;/p&gt;&lt;/h4&gt;&lt;/div&gt;</t>
  </si>
  <si>
    <t>Targets steal from or disarm others.</t>
  </si>
  <si>
    <t>Epidemic</t>
  </si>
  <si>
    <t>cleric 6/oracle 6, druid 6, sorcerer/wizard 7, witch 6</t>
  </si>
  <si>
    <t>living creature</t>
  </si>
  <si>
    <t>The target contracts one of the following diseases: blinding sickness, bubonic plague, cackle fever, filth fever, leprosy, mindfire, red ache, shakes, or slimy doom (Core Rulebook 557), as the spell contagion. However, the disease is highly contagious, and any creature that touches the infected target, is touched by the target, or spends more than an hour in a confined space with the target must make a save against the disease's normal DC (not the spell DC) or contract the disease. If the initial target overcomes the disease by making the required number of saving throws, it remains a carrier of the disease for a length of time equal to the disease's frequency, and can continue to infect others during this time.</t>
  </si>
  <si>
    <t>&lt;p&gt;The target contracts one of the following diseases: blinding sickness, bubonic plague, cackle fever, filth fever, leprosy, mindfire, red ache, shakes, or slimy doom (&lt;i&gt;Core Rulebook&lt;/i&gt; 557), as the spell &lt;i&gt;contagion&lt;/i&gt;. However, the disease is highly contagious, and any creature that touches the infected target, is touched by the target, or spends more than an hour in a confined space with the target must make a save against the disease's normal DC (not the spell DC) or contract the disease. If the initial target overcomes the disease by making the required number of saving throws, it remains a carrier of the disease for a length of time equal to the disease's frequency, and can continue to infect others during this time.&lt;/p&gt;</t>
  </si>
  <si>
    <t>&lt;link rel="stylesheet"href="PF.css"&gt;&lt;div class="heading"&gt;&lt;p class="alignleft"&gt;Epidemic&lt;/p&gt;&lt;div style="clear: both;"&gt;&lt;/div&gt;&lt;/div&gt;&lt;div&gt;&lt;h5&gt;&lt;b&gt;School &lt;/b&gt;necromancy [disease, evil]; &lt;b&gt;Level &lt;/b&gt;cleric 6/oracle 6, druid 6, sorcerer/wizard 7, witch 6&lt;/h5&gt;&lt;/div&gt;&lt;hr/&gt;&lt;div&gt;&lt;h5&gt;&lt;b&gt;CASTING&lt;/b&gt;&lt;/h5&gt;&lt;/div&gt;&lt;hr/&gt;&lt;div&gt;&lt;h5&gt;&lt;b&gt;Casting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&lt;/b&gt;living creature&lt;/h5&gt;&lt;h5&gt;&lt;b&gt;Duration &lt;/b&gt;instantaneous&lt;/h5&gt;&lt;h5&gt;&lt;b&gt;Saving Throw &lt;/b&gt;Fortitude negates; &lt;b&gt;Spell Resistance &lt;/b&gt;yes&lt;/h5&gt;&lt;/div&gt;&lt;hr/&gt;&lt;div&gt;&lt;h5&gt;&lt;b&gt;DESCRIPTION&lt;/b&gt;&lt;/h5&gt;&lt;/div&gt;&lt;hr/&gt;&lt;div&gt;&lt;h4&gt;&lt;p&gt;The target contracts one of the following diseases: blinding sickness, bubonic plague, cackle fever, filth fever, leprosy, mindfire, red ache, shakes, or slimy doom (&lt;i&gt;Core Rulebook&lt;/i&gt; 557), as the spell &lt;i&gt;contagion&lt;/i&gt;. However, the disease is highly contagious, and any creature that touches the infected target, is touched by the target, or spends more than an hour in a confined space with the target must make a save against the disease's normal DC (not the spell DC) or contract the disease. If the initial target overcomes the disease by making the required number of saving throws, it remains a carrier of the disease for a length of time equal to the disease's frequency, and can continue to infect others during this time.&lt;/p&gt;&lt;/h4&gt;&lt;/div&gt;</t>
  </si>
  <si>
    <t>Infect a subject with a highly contagious disease.</t>
  </si>
  <si>
    <t>Eruptive Pustules</t>
  </si>
  <si>
    <t>alchemist 3, sorcerer/wizard 3, witch 3</t>
  </si>
  <si>
    <t>Your skin erupts in swollen, pus-filled bumps that burst open if you are struck. Any creature that strikes you with its body or a hand-held weapon deals normal damage, but at the same time the attacker takes 1d6 points of acid damage and must save or be sickened for 1 round. If the attack against you is a critical hit, the attacker must save or be nauseated instead of sickened. This damage can harm a swarm.</t>
  </si>
  <si>
    <t>&lt;p&gt;Your skin erupts in swollen, pus-filled bumps that burst open if you are struck. Any creature that strikes you with its body or a hand-held weapon deals normal damage, but at the same time the attacker takes 1d6 points of acid damage and must save or be sickened for 1 round. If the attack against you is a critical hit, the attacker must save or be nauseated instead of sickened. This damage can harm a swarm.&lt;/p&gt;</t>
  </si>
  <si>
    <t>&lt;link rel="stylesheet"href="PF.css"&gt;&lt;div class="heading"&gt;&lt;p class="alignleft"&gt;Eruptive Pustules&lt;/p&gt;&lt;div style="clear: both;"&gt;&lt;/div&gt;&lt;/div&gt;&lt;div&gt;&lt;h5&gt;&lt;b&gt;School &lt;/b&gt;transmutation [acid]; &lt;b&gt;Level &lt;/b&gt;alchemist 3, sorcerer/wizard 3, witch 3&lt;/h5&gt;&lt;/div&gt;&lt;hr/&gt;&lt;div&gt;&lt;h5&gt;&lt;b&gt;CASTING&lt;/b&gt;&lt;/h5&gt;&lt;/div&gt;&lt;hr/&gt;&lt;div&gt;&lt;h5&gt;&lt;b&gt;Casting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minute/level (D)&lt;/h5&gt;&lt;h5&gt;&lt;b&gt;Saving Throw &lt;/b&gt;Fortitude partial (see text); &lt;b&gt;Spell Resistance &lt;/b&gt;yes&lt;/h5&gt;&lt;/div&gt;&lt;hr/&gt;&lt;div&gt;&lt;h5&gt;&lt;b&gt;DESCRIPTION&lt;/b&gt;&lt;/h5&gt;&lt;/div&gt;&lt;hr/&gt;&lt;div&gt;&lt;h4&gt;&lt;p&gt;Your skin erupts in swollen, pus-filled bumps that burst open if you are struck. Any creature that strikes you with its body or a hand-held weapon deals normal damage, but at the same time the attacker takes 1d6 points of acid damage and must save or be sickened for 1 round. If the attack against you is a critical hit, the attacker must save or be nauseated instead of sickened. This damage can harm a swarm.&lt;/p&gt;&lt;/h4&gt;&lt;/div&gt;</t>
  </si>
  <si>
    <t>Acid boils burst when you are attacked.</t>
  </si>
  <si>
    <t>Excruciating Deformation</t>
  </si>
  <si>
    <t>Your touch attack causes your target to become painfully malformed. Its limbs twist and buckle, while its body contorts uncontrollably, shifting and warping. Each round the target suffers excruciating pain and takes 2d6 points of nonlethal damage, 1 point of Dexterity damage, and 1 point of Constitution damage, and its speed is reduced by 10 feet. Once per round as a free action on its turn, the target can attempt a new Fortitude saving throw to resist the spell for 1 round.</t>
  </si>
  <si>
    <t>&lt;p&gt;Your touch attack causes your target to become painfully malformed. Its limbs twist and buckle, while its body contorts uncontrollably, shifting and warping. Each round the target suffers excruciating pain and takes 2d6 points of nonlethal damage, 1 point of Dexterity damage, and 1 point of Constitution damage, and its speed is reduced by 10 feet. Once per round as a free action on its turn, the target can attempt a new Fortitude saving throw to resist the spell for 1 round.&lt;/p&gt;</t>
  </si>
  <si>
    <t>&lt;link rel="stylesheet"href="PF.css"&gt;&lt;div class="heading"&gt;&lt;p class="alignleft"&gt;Excruciating Deformation&lt;/p&gt;&lt;div style="clear: both;"&gt;&lt;/div&gt;&lt;/div&gt;&lt;div&gt;&lt;h5&gt;&lt;b&gt;School &lt;/b&gt;transmutation (polymorph) [evil, pain]; &lt;b&gt;Level &lt;/b&gt;sorcerer/wizard 3, witch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round/level&lt;/h5&gt;&lt;h5&gt;&lt;b&gt;Saving Throw &lt;/b&gt;Fortitude partial (see text); &lt;b&gt;Spell Resistance &lt;/b&gt;yes&lt;/h5&gt;&lt;/div&gt;&lt;hr/&gt;&lt;div&gt;&lt;h5&gt;&lt;b&gt;DESCRIPTION&lt;/b&gt;&lt;/h5&gt;&lt;/div&gt;&lt;hr/&gt;&lt;div&gt;&lt;h4&gt;&lt;p&gt;Your touch attack causes your target to become painfully malformed. Its limbs twist and buckle, while its body contorts uncontrollably, shifting and warping. Each round the target suffers excruciating pain and takes 2d6 points of nonlethal damage, 1 point of Dexterity damage, and 1 point of Constitution damage, and its speed is reduced by 10 feet. Once per round as a free action on its turn, the target can attempt a new Fortitude saving throw to resist the spell for 1 round.&lt;/p&gt;&lt;/h4&gt;&lt;/div&gt;</t>
  </si>
  <si>
    <t>Target takes Dex and Con damage.</t>
  </si>
  <si>
    <t>Exquisite Accompaniment</t>
  </si>
  <si>
    <t>phantom instrument</t>
  </si>
  <si>
    <t>You create a phantom instrument, a glowing construct of magic in the form of a portable musical instrument of your choice. The instrument floats beside you, moving as you move (even if you teleport). It cannot be damaged, but can be dispelled. The instrument plays as you direct, and as long as it plays, you do not have to expend rounds of bardic performance from your daily allotment to maintain an effect. Activating a bardic performance or switching to a new still costs a round of your overall bardic performances per day.</t>
  </si>
  <si>
    <t>&lt;p&gt;You create a phantom instrument, a glowing construct of magic in the form of a portable musical instrument of your choice. The instrument floats beside you, moving as you move (even if you teleport). It cannot be damaged, but can be dispelled. The instrument plays as you direct, and as long as it plays, you do not have to expend rounds of bardic performance from your daily allotment to maintain an effect.&lt;/p&gt;&lt;p&gt;Activating a bardic performance or switching to a new still costs a round of your overall bardic performances per day.&lt;/p&gt;</t>
  </si>
  <si>
    <t>&lt;link rel="stylesheet"href="PF.css"&gt;&lt;div class="heading"&gt;&lt;p class="alignleft"&gt;Exquisite Accompaniment&lt;/p&gt;&lt;div style="clear: both;"&gt;&lt;/div&gt;&lt;/div&gt;&lt;div&gt;&lt;h5&gt;&lt;b&gt;School &lt;/b&gt;illusion (shadow) [shadow]; &lt;b&gt;Level &lt;/b&gt;bard 3&lt;/h5&gt;&lt;/div&gt;&lt;hr/&gt;&lt;div&gt;&lt;h5&gt;&lt;b&gt;CASTING&lt;/b&gt;&lt;/h5&gt;&lt;/div&gt;&lt;hr/&gt;&lt;div&gt;&lt;h5&gt;&lt;b&gt;Casting Time &lt;/b&gt;1 standard action&lt;/h5&gt;&lt;h5&gt;&lt;b&gt;Components &lt;/b&gt;V, S&lt;/h5&gt;&lt;/div&gt;&lt;hr/&gt;&lt;div&gt;&lt;h5&gt;&lt;b&gt;EFFECT&lt;/b&gt;&lt;/h5&gt;&lt;/div&gt;&lt;hr/&gt;&lt;div&gt;&lt;h5&gt;&lt;b&gt;Range &lt;/b&gt;personal&lt;/h5&gt;&lt;h5&gt;&lt;b&gt;Effect &lt;/b&gt;phantom instrument&lt;/h5&gt;&lt;h5&gt;&lt;b&gt;Duration &lt;/b&gt;1 round/level (D)&lt;/h5&gt;&lt;h5&gt;&lt;b&gt;Saving Throw &lt;/b&gt;none; &lt;b&gt;Spell Resistance &lt;/b&gt;no&lt;/h5&gt;&lt;/div&gt;&lt;hr/&gt;&lt;div&gt;&lt;h5&gt;&lt;b&gt;DESCRIPTION&lt;/b&gt;&lt;/h5&gt;&lt;/div&gt;&lt;hr/&gt;&lt;div&gt;&lt;h4&gt;&lt;p&gt;You create a phantom instrument, a glowing construct of magic in the form of a portable musical instrument of your choice. The instrument floats beside you, moving as you move (even if you teleport). It cannot be damaged, but can be dispelled. The instrument plays as you direct, and as long as it plays, you do not have to expend rounds of bardic performance from your daily allotment to maintain an effect.&lt;/p&gt;&lt;p&gt;Activating a bardic performance or switching to a new still costs a round of your overall bardic performances per day.&lt;/p&gt;&lt;/h4&gt;&lt;/div&gt;</t>
  </si>
  <si>
    <t>Instrument maintains bardic performance for you.</t>
  </si>
  <si>
    <t>False Life, Greater</t>
  </si>
  <si>
    <t>alchemist 4, sorcerer/wizard 4, witch 4</t>
  </si>
  <si>
    <t>This spell functions as false life, except you gain temporary hit points equal to 2d10 + 1 point per caster level (maximum +20). The effects of this spell do not stack with those of false life.</t>
  </si>
  <si>
    <t>&lt;p&gt;This spell functions as &lt;i&gt;false life&lt;/i&gt;, except you gain temporary hit points equal to 2d10 + 1 point per caster level (maximum +20). The effects of this spell do not stack with those of &lt;i&gt;false life&lt;/i&gt;.&lt;/p&gt;</t>
  </si>
  <si>
    <t>&lt;link rel="stylesheet"href="PF.css"&gt;&lt;div class="heading"&gt;&lt;p class="alignleft"&gt;False Life, Greater&lt;/p&gt;&lt;div style="clear: both;"&gt;&lt;/div&gt;&lt;/div&gt;&lt;div&gt;&lt;h5&gt;&lt;b&gt;School &lt;/b&gt;necromancy; &lt;b&gt;Level &lt;/b&gt;alchemist 4, sorcerer/wizard 4, witch 4&lt;/h5&gt;&lt;/div&gt;&lt;hr/&gt;&lt;div&gt;&lt;h5&gt;&lt;b&gt;CASTING&lt;/b&gt;&lt;/h5&gt;&lt;/div&gt;&lt;hr/&gt;&lt;div&gt;&lt;h5&gt;&lt;b&gt;Casting Time &lt;/b&gt;1 standard action&lt;/h5&gt;&lt;h5&gt;&lt;b&gt;Components &lt;/b&gt;V, S, M (a drop of blood)&lt;/h5&gt;&lt;/div&gt;&lt;hr/&gt;&lt;div&gt;&lt;h5&gt;&lt;b&gt;EFFECT&lt;/b&gt;&lt;/h5&gt;&lt;/div&gt;&lt;hr/&gt;&lt;div&gt;&lt;h5&gt;&lt;b&gt;Range &lt;/b&gt;personal&lt;/h5&gt;&lt;h5&gt;&lt;b&gt;Targets &lt;/b&gt;you&lt;/h5&gt;&lt;h5&gt;&lt;b&gt;Duration &lt;/b&gt;1 hour/level or until discharged; see text&lt;/h5&gt;&lt;/div&gt;&lt;hr/&gt;&lt;div&gt;&lt;h5&gt;&lt;b&gt;DESCRIPTION&lt;/b&gt;&lt;/h5&gt;&lt;/div&gt;&lt;hr/&gt;&lt;div&gt;&lt;h4&gt;&lt;p&gt;This spell functions as &lt;i&gt;false life&lt;/i&gt;, except you gain temporary hit points equal to 2d10 + 1 point per caster level (maximum +20). The effects of this spell do not stack with those of &lt;i&gt;false life&lt;/i&gt;.&lt;/p&gt;&lt;/h4&gt;&lt;/div&gt;</t>
  </si>
  <si>
    <t>Gain 2d10 temporary hp + 1/level.</t>
  </si>
  <si>
    <t>Familiar Melding</t>
  </si>
  <si>
    <t>You project your soul into your familiar, taking over its body while leaving its consciousness intact. When you transfer your soul upon casting, your body is, as near as anyone can tell, dead. While possessing your familiar, you can communicate with it telepathically. You keep your Intelligence, Wisdom, Charisma, level, class, base attack bonus, base save bonuses, alignment, and mental abilities. The familiar's body retains its own Strength, Dexterity, Constitution, hit points, natural abilities, and automatic abilities. A body with extra limbs does not allow you to make more attacks (or more advantageous twoweapon attacks) than normal. You may use any abilities the familiar has, including spells and spell-like abilities. You cannot speak unless your familiar has the ability to speak a language. You cannot cast spells with somatic components if your familiar does not have anthropomorphic limbs that can perform the appropriate motions. As a standard action, you can return to your body as long as it is within range. If your familiar is slain while your soul is in it and your body is within range, your soul returns to your own body, unharmed. If your familiar is out of range when slain, you die. The spell ends when you shift from the familiar to your own body.</t>
  </si>
  <si>
    <t>&lt;p&gt;You project your soul into your familiar, taking over its body while leaving its consciousness intact. When you transfer your soul upon casting, your body is, as near as anyone can tell, dead.&lt;/p&gt;&lt;p&gt;While possessing your familiar, you can communicate with it telepathically. You keep your Intelligence, Wisdom, Charisma, level, class, base attack bonus, base save bonuses, alignment, and mental abilities. The familiar's body retains its own Strength, Dexterity, Constitution, hit points, natural abilities, and automatic abilities. A body with extra limbs does not allow you to make more attacks (or more advantageous twoweapon attacks) than normal. You may use any abilities the familiar has, including spells and spell-like abilities. You cannot speak unless your familiar has the ability to speak a language. You cannot cast spells with somatic components if your familiar does not have anthropomorphic limbs that can perform the appropriate motions.&lt;/p&gt;&lt;p&gt;As a standard action, you can return to your body as long as it is within range. If your familiar is slain while your soul is in it and your body is within range, your soul returns to your own body, unharmed. If your familiar is out of range when slain, you die.&lt;/p&gt;&lt;p&gt;The spell ends when you shift from the familiar to your own body.&lt;/p&gt;</t>
  </si>
  <si>
    <t>&lt;link rel="stylesheet"href="PF.css"&gt;&lt;div class="heading"&gt;&lt;p class="alignleft"&gt;Familiar Melding&lt;/p&gt;&lt;div style="clear: both;"&gt;&lt;/div&gt;&lt;/div&gt;&lt;div&gt;&lt;h5&gt;&lt;b&gt;School &lt;/b&gt;necromancy; &lt;b&gt;Level &lt;/b&gt;sorcerer/wizard 4, witch 4&lt;/h5&gt;&lt;/div&gt;&lt;hr/&gt;&lt;div&gt;&lt;h5&gt;&lt;b&gt;CASTING&lt;/b&gt;&lt;/h5&gt;&lt;/div&gt;&lt;hr/&gt;&lt;div&gt;&lt;h5&gt;&lt;b&gt;Casting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ft./level)&lt;/h5&gt;&lt;h5&gt;&lt;b&gt;Targets &lt;/b&gt;your familiar&lt;/h5&gt;&lt;h5&gt;&lt;b&gt;Duration &lt;/b&gt;1 hour/level or until you return to your body&lt;/h5&gt;&lt;h5&gt;&lt;b&gt;Saving Throw &lt;/b&gt;Will negates (harmless); &lt;b&gt;Spell Resistance &lt;/b&gt;yes&lt;/h5&gt;&lt;/div&gt;&lt;hr/&gt;&lt;div&gt;&lt;h5&gt;&lt;b&gt;DESCRIPTION&lt;/b&gt;&lt;/h5&gt;&lt;/div&gt;&lt;hr/&gt;&lt;div&gt;&lt;h4&gt;&lt;p&gt;You project your soul into your familiar, taking over its body while leaving its consciousness intact. When you transfer your soul upon casting, your body is, as near as anyone can tell, dead.&lt;/p&gt;&lt;p&gt;While possessing your familiar, you can communicate with it telepathically. You keep your Intelligence, Wisdom, Charisma, level, class, base attack bonus, base save bonuses, alignment, and mental abilities. The familiar's body retains its own Strength, Dexterity, Constitution, hit points, natural abilities, and automatic abilities. A body with extra limbs does not allow you to make more attacks (or more advantageous twoweapon attacks) than normal. You may use any abilities the familiar has, including spells and spell-like abilities. You cannot speak unless your familiar has the ability to speak a language. You cannot cast spells with somatic components if your familiar does not have anthropomorphic limbs that can perform the appropriate motions.&lt;/p&gt;&lt;p&gt;As a standard action, you can return to your body as long as it is within range. If your familiar is slain while your soul is in it and your body is within range, your soul returns to your own body, unharmed. If your familiar is out of range when slain, you die.&lt;/p&gt;&lt;p&gt;The spell ends when you shift from the familiar to your own body.&lt;/p&gt;&lt;/h4&gt;&lt;/div&gt;</t>
  </si>
  <si>
    <t>Possess your familiar.</t>
  </si>
  <si>
    <t>Fickle Winds</t>
  </si>
  <si>
    <t>cleric 5/oracle 5, druid 5, ranger 3, sorcerer/wizard 5</t>
  </si>
  <si>
    <t>one or more Medium creatures/level, no two of which can be more than 30 ft. apart</t>
  </si>
  <si>
    <t>You create a mobile cylinder of wind encompassing every target of the spell and protecting them as wind wall, but not interfering with them in any way. For example, arrows and bolts fired at the targets are deflected upward and miss, but the targets' own arrows or bolts pass through the wall as if it were not there. A Large creature counts as 4 Medium creatures for the purpose of how many targets you can effect with the spell; a Huge creature counts as 8, a Gargantuan creature as 16, and a Colossal creature as 32. This spell has no effect within the area of a higher-level wind or weather spell.</t>
  </si>
  <si>
    <t>&lt;p&gt;You create a mobile cylinder of wind encompassing every target of the spell and protecting them as &lt;i&gt;wind wall&lt;/i&gt;, but not interfering with them in any way. For example, arrows and bolts fired at the targets are deflected upward and miss, but the targets' own arrows or bolts pass through the wall as if it were not there.&lt;/p&gt;&lt;p&gt;A Large creature counts as 4 Medium creatures for the purpose of how many targets you can effect with the spell; a Huge creature counts as 8, a Gargantuan creature as 16, and a Colossal creature as 32. This spell has no effect within the area of a higher-level wind or weather spell.&lt;/p&gt;</t>
  </si>
  <si>
    <t>&lt;link rel="stylesheet"href="PF.css"&gt;&lt;div class="heading"&gt;&lt;p class="alignleft"&gt;Fickle Winds&lt;/p&gt;&lt;div style="clear: both;"&gt;&lt;/div&gt;&lt;/div&gt;&lt;div&gt;&lt;h5&gt;&lt;b&gt;School &lt;/b&gt;transmutation [air]; &lt;b&gt;Level &lt;/b&gt;cleric 5/oracle 5, druid 5, ranger 3, sorcerer/wizard 5&lt;/h5&gt;&lt;/div&gt;&lt;hr/&gt;&lt;div&gt;&lt;h5&gt;&lt;b&gt;CASTING&lt;/b&gt;&lt;/h5&gt;&lt;/div&gt;&lt;hr/&gt;&lt;div&gt;&lt;h5&gt;&lt;b&gt;Casting Time &lt;/b&gt;1 standard action&lt;/h5&gt;&lt;h5&gt;&lt;b&gt;Components &lt;/b&gt;V, S&lt;/h5&gt;&lt;/div&gt;&lt;hr/&gt;&lt;div&gt;&lt;h5&gt;&lt;b&gt;EFFECT&lt;/b&gt;&lt;/h5&gt;&lt;/div&gt;&lt;hr/&gt;&lt;div&gt;&lt;h5&gt;&lt;b&gt;Targets &lt;/b&gt;one or more Medium creatures/level, no two of which can be more than 30 ft. apart&lt;/h5&gt;&lt;h5&gt;&lt;b&gt;Duration &lt;/b&gt;1 minute/level (D)&lt;/h5&gt;&lt;h5&gt;&lt;b&gt;Saving Throw &lt;/b&gt;none (see text); &lt;b&gt;Spell Resistance &lt;/b&gt;yes&lt;/h5&gt;&lt;/div&gt;&lt;hr/&gt;&lt;div&gt;&lt;h5&gt;&lt;b&gt;DESCRIPTION&lt;/b&gt;&lt;/h5&gt;&lt;/div&gt;&lt;hr/&gt;&lt;div&gt;&lt;h4&gt;&lt;p&gt;You create a mobile cylinder of wind encompassing every target of the spell and protecting them as &lt;i&gt;wind wall&lt;/i&gt;, but not interfering with them in any way. For example, arrows and bolts fired at the targets are deflected upward and miss, but the targets' own arrows or bolts pass through the wall as if it were not there.&lt;/p&gt;&lt;p&gt;A Large creature counts as 4 Medium creatures for the purpose of how many targets you can effect with the spell; a Huge creature counts as 8, a Gargantuan creature as 16, and a Colossal creature as 32. This spell has no effect within the area of a higher-level wind or weather spell.&lt;/p&gt;&lt;/h4&gt;&lt;/div&gt;</t>
  </si>
  <si>
    <t>Wind walls selectively block attacks.</t>
  </si>
  <si>
    <t>Fleshworm Infestation</t>
  </si>
  <si>
    <t>cleric 4/oracle 4, inquisitor 4, sorcerer/wizard 4, witch 4</t>
  </si>
  <si>
    <t>With a touch, you cause an infestation of ravenous worms to manifest in the target's flesh. The target must make a Fortitude save every round. Failure means it takes 1d6 hit points of damage and 2 points of Dexterity damage, and is staggered for 1 round. If it makes the save, it takes no hit point or Dexterity damage and is only sickened for 1 round rather than staggered. Fleshworm infestation cannot be ended early by remove disease or heal, as the infestation starts anew if the current worms are slain. Protection from evil negates this spell's effects for as long as the two durations overlap. Dispel evil automatically ends a fleshworm infestation.</t>
  </si>
  <si>
    <t>&lt;p&gt;With a touch, you cause an infestation of ravenous worms to manifest in the target's flesh. The target must make a Fortitude save every round. Failure means it takes 1d6 hit points of damage and 2 points of Dexterity damage, and is staggered for 1 round. If it makes the save, it takes no hit point or Dexterity damage and is only sickened for 1 round rather than staggered. &lt;i&gt;Fleshworm infestation&lt;/i&gt; cannot be ended early by &lt;i&gt;remove disease&lt;/i&gt; or &lt;i&gt;heal&lt;/i&gt;, as the infestation starts anew if the current worms are slain. &lt;i&gt;Protection from evil&lt;/i&gt; negates this spell's effects for as long as the two durations overlap.&lt;/p&gt;&lt;p&gt;&lt;i&gt;Dispel evil&lt;/i&gt; automatically ends a &lt;i&gt;fleshworm infestation&lt;/i&gt;.&lt;/p&gt;</t>
  </si>
  <si>
    <t>&lt;link rel="stylesheet"href="PF.css"&gt;&lt;div class="heading"&gt;&lt;p class="alignleft"&gt;Fleshworm Infestation&lt;/p&gt;&lt;div style="clear: both;"&gt;&lt;/div&gt;&lt;/div&gt;&lt;div&gt;&lt;h5&gt;&lt;b&gt;School &lt;/b&gt;conjuration (summoning) [evil]; &lt;b&gt;Level &lt;/b&gt;cleric 4/oracle 4, inquisitor 4, sorcerer/wizard 4, witch 4&lt;/h5&gt;&lt;/div&gt;&lt;hr/&gt;&lt;div&gt;&lt;h5&gt;&lt;b&gt;CASTING&lt;/b&gt;&lt;/h5&gt;&lt;/div&gt;&lt;hr/&gt;&lt;div&gt;&lt;h5&gt;&lt;b&gt;Casting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round/level (D)&lt;/h5&gt;&lt;h5&gt;&lt;b&gt;Saving Throw &lt;/b&gt;Fortitude partial (see text); &lt;b&gt;Spell Resistance &lt;/b&gt;yes&lt;/h5&gt;&lt;/div&gt;&lt;hr/&gt;&lt;div&gt;&lt;h5&gt;&lt;b&gt;DESCRIPTION&lt;/b&gt;&lt;/h5&gt;&lt;/div&gt;&lt;hr/&gt;&lt;div&gt;&lt;h4&gt;&lt;p&gt;With a touch, you cause an infestation of ravenous worms to manifest in the target's flesh. The target must make a Fortitude save every round. Failure means it takes 1d6 hit points of damage and 2 points of Dexterity damage, and is staggered for 1 round. If it makes the save, it takes no hit point or Dexterity damage and is only sickened for 1 round rather than staggered. &lt;i&gt;Fleshworm infestation&lt;/i&gt; cannot be ended early by &lt;i&gt;remove disease&lt;/i&gt; or &lt;i&gt;heal&lt;/i&gt;, as the infestation starts anew if the current worms are slain. &lt;i&gt;Protection from evil&lt;/i&gt; negates this spell's effects for as long as the two durations overlap.&lt;/p&gt;&lt;p&gt;&lt;i&gt;Dispel evil&lt;/i&gt; automatically ends a &lt;i&gt;fleshworm infestation&lt;/i&gt;.&lt;/p&gt;&lt;/h4&gt;&lt;/div&gt;</t>
  </si>
  <si>
    <t>Worms deal hp and Dex damage.</t>
  </si>
  <si>
    <t>Forbid Action</t>
  </si>
  <si>
    <t>close (25 ft. +5 ft./2 levels)</t>
  </si>
  <si>
    <t>You forbid the target a single course of action, which it avoids to the best of its ability. You may demand the target not take actions that fall into one of the following options. Attack: The target cannot take any action that involves an attack roll, or uses a spell or ability that targets a foe or an area that includes a foe. Cast: Target cannot cast spells or use spell-like abilities. Communicate: The target cannot take any actions that allow it to communicate with anyone. This includes such acts as speaking, Bluff checks to pass secret messages, writing, and using telepathy. It does not prevent verbalizations made for purposes other than communication, such as command words or the verbal component of spellcasting. Draw: Target cannot ready or prepare any item, weapon, component, or equipment. Move: The target can take no act that would cause it to end up in a different location. The target does not resist being moved by others (and thus can be picked up or dragged, or can float along on a raft), but does not consciously attempt to move (including not directing a mount to move). The target is free to take any actions not forbidden by the caster. For example, a target affected by this spell's demand to not move is still free to cast spells, make attacks, or shout for help.</t>
  </si>
  <si>
    <t>&lt;p&gt;You forbid the target a single course of action, which it avoids to the best of its ability. You may demand the target not take actions that fall into one of the following options.&lt;/p&gt;&lt;p&gt;Attack: The target cannot take any action that involves an attack roll, or uses a spell or ability that targets a foe or an area that includes a foe.&lt;/p&gt;&lt;p&gt;Cast: Target cannot cast spells or use spell-like abilities.&lt;/p&gt;&lt;p&gt;Communicate: The target cannot take any actions that allow it to communicate with anyone. This includes such acts as speaking, Bluff checks to pass secret messages, writing, and using telepathy. It does not prevent verbalizations made for purposes other than communication, such as command words or the verbal component of spellcasting.&lt;/p&gt;&lt;p&gt;Draw: Target cannot ready or prepare any item, weapon, component, or equipment.&lt;/p&gt;&lt;p&gt;Move: The target can take no act that would cause it to end up in a different location. The target does not resist being moved by others (and thus can be picked up or dragged, or can float along on a raft), but does not consciously attempt to move (including not directing a mount to move).&lt;/p&gt;&lt;p&gt;The target is free to take any actions not forbidden by the caster. For example, a target affected by this spell's demand to not move is still free to cast spells, make attacks, or shout for help.&lt;/p&gt;</t>
  </si>
  <si>
    <t>&lt;link rel="stylesheet"href="PF.css"&gt;&lt;div class="heading"&gt;&lt;p class="alignleft"&gt;Forbid Action&lt;/p&gt;&lt;div style="clear: both;"&gt;&lt;/div&gt;&lt;/div&gt;&lt;div&gt;&lt;h5&gt;&lt;b&gt;School &lt;/b&gt;enchantment (compulsion) [language-dependent, mind-affecting]; &lt;b&gt;Level &lt;/b&gt;cleric 1/oracle 1, inquisitor 1&lt;/h5&gt;&lt;/div&gt;&lt;hr/&gt;&lt;div&gt;&lt;h5&gt;&lt;b&gt;CASTING&lt;/b&gt;&lt;/h5&gt;&lt;/div&gt;&lt;hr/&gt;&lt;div&gt;&lt;h5&gt;&lt;b&gt;Casting Time &lt;/b&gt;1 standard action&lt;/h5&gt;&lt;h5&gt;&lt;b&gt;Components &lt;/b&gt;V&lt;/h5&gt;&lt;/div&gt;&lt;hr/&gt;&lt;div&gt;&lt;h5&gt;&lt;b&gt;EFFECT&lt;/b&gt;&lt;/h5&gt;&lt;/div&gt;&lt;hr/&gt;&lt;div&gt;&lt;h5&gt;&lt;b&gt;Range &lt;/b&gt;close (25 ft. +5 ft./2 levels)&lt;/h5&gt;&lt;h5&gt;&lt;b&gt;Targets &lt;/b&gt;one creature&lt;/h5&gt;&lt;h5&gt;&lt;b&gt;Duration &lt;/b&gt;1 round&lt;/h5&gt;&lt;h5&gt;&lt;b&gt;Saving Throw &lt;/b&gt;Will negates; &lt;b&gt;Spell Resistance &lt;/b&gt;yes&lt;/h5&gt;&lt;/div&gt;&lt;hr/&gt;&lt;div&gt;&lt;h5&gt;&lt;b&gt;DESCRIPTION&lt;/b&gt;&lt;/h5&gt;&lt;/div&gt;&lt;hr/&gt;&lt;div&gt;&lt;h4&gt;&lt;p&gt;You forbid the target a single course of action, which it avoids to the best of its ability. You may demand the target not take actions that fall into one of the following options.&lt;/p&gt;&lt;p&gt;Attack: The target cannot take any action that involves an attack roll, or uses a spell or ability that targets a foe or an area that includes a foe.&lt;/p&gt;&lt;p&gt;Cast: Target cannot cast spells or use spell-like abilities.&lt;/p&gt;&lt;p&gt;Communicate: The target cannot take any actions that allow it to communicate with anyone. This includes such acts as speaking, Bluff checks to pass secret messages, writing, and using telepathy. It does not prevent verbalizations made for purposes other than communication, such as command words or the verbal component of spellcasting.&lt;/p&gt;&lt;p&gt;Draw: Target cannot ready or prepare any item, weapon, component, or equipment.&lt;/p&gt;&lt;p&gt;Move: The target can take no act that would cause it to end up in a different location. The target does not resist being moved by others (and thus can be picked up or dragged, or can float along on a raft), but does not consciously attempt to move (including not directing a mount to move).&lt;/p&gt;&lt;p&gt;The target is free to take any actions not forbidden by the caster. For example, a target affected by this spell's demand to not move is still free to cast spells, make attacks, or shout for help.&lt;/p&gt;&lt;/h4&gt;&lt;/div&gt;</t>
  </si>
  <si>
    <t>Target obeys your command to not do something.</t>
  </si>
  <si>
    <t>Forbid Action, Greater</t>
  </si>
  <si>
    <t>This spell functions as forbid action, except up to one creature per level may be affected. Each creature must receive the same forbidden action.</t>
  </si>
  <si>
    <t>&lt;p&gt;This spell functions as &lt;i&gt;forbid action&lt;/i&gt;, except up to one creature per level may be affected. Each creature must receive the same forbidden action.&lt;/p&gt;</t>
  </si>
  <si>
    <t>&lt;link rel="stylesheet"href="PF.css"&gt;&lt;div class="heading"&gt;&lt;p class="alignleft"&gt;Forbid Action, Greater&lt;/p&gt;&lt;div style="clear: both;"&gt;&lt;/div&gt;&lt;/div&gt;&lt;div&gt;&lt;h5&gt;&lt;b&gt;School &lt;/b&gt;enchantment (compulsion) [language-dependent, mind-affecting]; &lt;b&gt;Level &lt;/b&gt;cleric 5/oracle 5, inquisitor 5&lt;/h5&gt;&lt;/div&gt;&lt;hr/&gt;&lt;div&gt;&lt;h5&gt;&lt;b&gt;CASTING&lt;/b&gt;&lt;/h5&gt;&lt;/div&gt;&lt;hr/&gt;&lt;div&gt;&lt;h5&gt;&lt;b&gt;Casting Time &lt;/b&gt;1 standard action&lt;/h5&gt;&lt;h5&gt;&lt;b&gt;Components &lt;/b&gt;V&lt;/h5&gt;&lt;/div&gt;&lt;hr/&gt;&lt;div&gt;&lt;h5&gt;&lt;b&gt;EFFECT&lt;/b&gt;&lt;/h5&gt;&lt;/div&gt;&lt;hr/&gt;&lt;div&gt;&lt;h5&gt;&lt;b&gt;Range &lt;/b&gt;close (25 ft. +5 ft./2 levels)&lt;/h5&gt;&lt;h5&gt;&lt;b&gt;Targets &lt;/b&gt;one creature/level, no two of which can be more than 30 ft. apart&lt;/h5&gt;&lt;h5&gt;&lt;b&gt;Duration &lt;/b&gt;1 round/level&lt;/h5&gt;&lt;h5&gt;&lt;b&gt;Saving Throw &lt;/b&gt;Will negates; &lt;b&gt;Spell Resistance &lt;/b&gt;yes&lt;/h5&gt;&lt;/div&gt;&lt;hr/&gt;&lt;div&gt;&lt;h5&gt;&lt;b&gt;DESCRIPTION&lt;/b&gt;&lt;/h5&gt;&lt;/div&gt;&lt;hr/&gt;&lt;div&gt;&lt;h4&gt;&lt;p&gt;This spell functions as &lt;i&gt;forbid action&lt;/i&gt;, except up to one creature per level may be affected. Each creature must receive the same forbidden action.&lt;/p&gt;&lt;/h4&gt;&lt;/div&gt;</t>
  </si>
  <si>
    <t>As forbid action, but 1 creature/level.</t>
  </si>
  <si>
    <t>Force Hook Charge</t>
  </si>
  <si>
    <t>magus 3</t>
  </si>
  <si>
    <t>close (25 feet + 5 feet/2 levels)</t>
  </si>
  <si>
    <t>one creature or object within range and you</t>
  </si>
  <si>
    <t>You create a hook of force that strikes the target and drags you to a space adjacent to it. Make a ranged touch attack against the target; if the touch attack succeeds, the target takes 1 point of force damage per caster level. Whether or not the touch attack hits, the force hook drags you in a straight line to a square adjacent to the target. This movement provokes attacks of opportunity as normal. The pulling hook keeps you from falling as part of this movement; therefore you can use it to cross a pit or chasm, or reach a higher or lower elevation. If the line of effect from you to the target passes through an area that is too small to fit your body (such as a portcullis or arrow slit), the hook pulls you to that location and you take damage as if you had fallen the distance from your starting point to that location. If you are restrained, such as being chained to a wall, the hook pulls you to the maximum extent of your restraints but does not break the restraints. If your travel to the destination is not blocked, you land on your feet, unharmed by the sudden motion. However, the spell does not guarantee you a safe landing space when you arrive. For example, if your target is flying or on a ledge with no room for you to stand, once the hook pulls you adjacent to the target, you begin to fall. If you use this spell with your spell combat class ability, you can make your melee attack from your starting position or your ending position.</t>
  </si>
  <si>
    <t>&lt;p&gt;You create a hook of force that strikes the target and drags you to a space adjacent to it. Make a ranged touch attack against the target; if the touch attack succeeds, the target takes 1 point of force damage per caster level. Whether or not the touch attack hits, the force hook drags you in a straight line to a square adjacent to the target. This movement provokes attacks of opportunity as normal. The pulling hook keeps you from falling as part of this movement; therefore you can use it to cross a pit or chasm, or reach a higher or lower elevation. If the line of effect from you to the target passes through an area that is too small to fit your body (such as a portcullis or arrow slit), the hook pulls you to that location and you take damage as if you had fallen the distance from your starting point to that location. If you are restrained, such as being chained to a wall, the hook pulls you to the maximum extent of your restraints but does not break the restraints.&lt;/p&gt;&lt;p&gt;If your travel to the destination is not blocked, you land on your feet, unharmed by the sudden motion. However, the spell does not guarantee you a safe landing space when you arrive. For example, if your target is flying or on a ledge with no room for you to stand, once the hook pulls you adjacent to the target, you begin to fall.&lt;/p&gt;&lt;p&gt;If you use this spell with your spell combat class ability, you can make your melee attack from your starting position or your ending position.&lt;/p&gt;</t>
  </si>
  <si>
    <t>&lt;link rel="stylesheet"href="PF.css"&gt;&lt;div class="heading"&gt;&lt;p class="alignleft"&gt;Force Hook Charge&lt;/p&gt;&lt;div style="clear: both;"&gt;&lt;/div&gt;&lt;/div&gt;&lt;div&gt;&lt;h5&gt;&lt;b&gt;School &lt;/b&gt;evocation [force]; &lt;b&gt;Level &lt;/b&gt;magus 3&lt;/h5&gt;&lt;/div&gt;&lt;hr/&gt;&lt;div&gt;&lt;h5&gt;&lt;b&gt;CASTING&lt;/b&gt;&lt;/h5&gt;&lt;/div&gt;&lt;hr/&gt;&lt;div&gt;&lt;h5&gt;&lt;b&gt;Casting Time &lt;/b&gt;1 standard action&lt;/h5&gt;&lt;h5&gt;&lt;b&gt;Components &lt;/b&gt;V, S&lt;/h5&gt;&lt;/div&gt;&lt;hr/&gt;&lt;div&gt;&lt;h5&gt;&lt;b&gt;EFFECT&lt;/b&gt;&lt;/h5&gt;&lt;/div&gt;&lt;hr/&gt;&lt;div&gt;&lt;h5&gt;&lt;b&gt;Range &lt;/b&gt;close (25 feet + 5 feet/2 levels)&lt;/h5&gt;&lt;h5&gt;&lt;b&gt;Targets &lt;/b&gt;one creature or object within range and you&lt;/h5&gt;&lt;h5&gt;&lt;b&gt;Duration &lt;/b&gt;instantaneous&lt;/h5&gt;&lt;h5&gt;&lt;b&gt;Saving Throw &lt;/b&gt;none; &lt;b&gt;Spell Resistance &lt;/b&gt;yes&lt;/h5&gt;&lt;/div&gt;&lt;hr/&gt;&lt;div&gt;&lt;h5&gt;&lt;b&gt;DESCRIPTION&lt;/b&gt;&lt;/h5&gt;&lt;/div&gt;&lt;hr/&gt;&lt;div&gt;&lt;h4&gt;&lt;p&gt;You create a hook of force that strikes the target and drags you to a space adjacent to it. Make a ranged touch attack against the target; if the touch attack succeeds, the target takes 1 point of force damage per caster level. Whether or not the touch attack hits, the force hook drags you in a straight line to a square adjacent to the target. This movement provokes attacks of opportunity as normal. The pulling hook keeps you from falling as part of this movement; therefore you can use it to cross a pit or chasm, or reach a higher or lower elevation. If the line of effect from you to the target passes through an area that is too small to fit your body (such as a portcullis or arrow slit), the hook pulls you to that location and you take damage as if you had fallen the distance from your starting point to that location. If you are restrained, such as being chained to a wall, the hook pulls you to the maximum extent of your restraints but does not break the restraints.&lt;/p&gt;&lt;p&gt;If your travel to the destination is not blocked, you land on your feet, unharmed by the sudden motion. However, the spell does not guarantee you a safe landing space when you arrive. For example, if your target is flying or on a ledge with no room for you to stand, once the hook pulls you adjacent to the target, you begin to fall.&lt;/p&gt;&lt;p&gt;If you use this spell with your spell combat class ability, you can make your melee attack from your starting position or your ending position.&lt;/p&gt;&lt;/h4&gt;&lt;/div&gt;</t>
  </si>
  <si>
    <t>Hook of force drags you to the target.</t>
  </si>
  <si>
    <t>Force Punch</t>
  </si>
  <si>
    <t>magus 3, sorcerer/wizard 3</t>
  </si>
  <si>
    <t>This spell charges your hand with telekinetic force. Your successful melee touch attack deals 1d4 points of force damage per level (maximum 10d4) and causes the target to be pushed away from you in a straight line up to 5 feet per two caster levels. For every size category of the target above Medium, reduce the distance pushed by 5 feet (-5 feet for Large, -10 feet for Huge, -15 for Gargantuan, and -20 feet for Colossal) to a minimum of 0 feet. A successful Fortitude save negates the movement but not the damage.</t>
  </si>
  <si>
    <t>&lt;p&gt;This spell charges your hand with telekinetic force. Your successful melee touch attack deals 1d4 points of force damage per level (maximum 10d4) and causes the target to be pushed away from you in a straight line up to 5 feet per two caster levels. For every size category of the target above Medium, reduce the distance pushed by 5 feet (-5 feet for Large, -10 feet for Huge, -15 for Gargantuan, and -20 feet for Colossal) to a minimum of 0 feet. A successful Fortitude save negates the movement but not the damage.&lt;/p&gt;</t>
  </si>
  <si>
    <t>&lt;link rel="stylesheet"href="PF.css"&gt;&lt;div class="heading"&gt;&lt;p class="alignleft"&gt;Force Punch&lt;/p&gt;&lt;div style="clear: both;"&gt;&lt;/div&gt;&lt;/div&gt;&lt;div&gt;&lt;h5&gt;&lt;b&gt;School &lt;/b&gt;evocation [force]; &lt;b&gt;Level &lt;/b&gt;magus 3, sorcerer/wizard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&lt;/b&gt;instantaneous&lt;/h5&gt;&lt;h5&gt;&lt;b&gt;Saving Throw &lt;/b&gt;Fortitude partial; &lt;b&gt;Spell Resistance &lt;/b&gt;yes&lt;/h5&gt;&lt;/div&gt;&lt;hr/&gt;&lt;div&gt;&lt;h5&gt;&lt;b&gt;DESCRIPTION&lt;/b&gt;&lt;/h5&gt;&lt;/div&gt;&lt;hr/&gt;&lt;div&gt;&lt;h4&gt;&lt;p&gt;This spell charges your hand with telekinetic force. Your successful melee touch attack deals 1d4 points of force damage per level (maximum 10d4) and causes the target to be pushed away from you in a straight line up to 5 feet per two caster levels. For every size category of the target above Medium, reduce the distance pushed by 5 feet (-5 feet for Large, -10 feet for Huge, -15 for Gargantuan, and -20 feet for Colossal) to a minimum of 0 feet. A successful Fortitude save negates the movement but not the damage.&lt;/p&gt;&lt;/h4&gt;&lt;/div&gt;</t>
  </si>
  <si>
    <t>Target takes 1d4 force damage per level and is pushed away.</t>
  </si>
  <si>
    <t>Forced Quiet</t>
  </si>
  <si>
    <t>With a gesture, you muffle sound around the target, making it unable to yell or otherwise make loud noises. This does not affect spellcasting by the target. The target can still use sonic effects, but the DC of these effects decreases by 2. The target gains a +2 bonus on saving throws against sonic effects. The target gains a +4 circumstance bonus on Stealth checks.</t>
  </si>
  <si>
    <t>&lt;p&gt;With a gesture, you muffle sound around the target, making it unable to yell or otherwise make loud noises. This does not affect spellcasting by the target. The target can still use sonic effects, but the DC of these effects decreases by 2. The target gains a +2 bonus on saving throws against sonic effects. The target gains a +4 circumstance bonus on Stealth checks.&lt;/p&gt;</t>
  </si>
  <si>
    <t>&lt;link rel="stylesheet"href="PF.css"&gt;&lt;div class="heading"&gt;&lt;p class="alignleft"&gt;Forced Quiet&lt;/p&gt;&lt;div style="clear: both;"&gt;&lt;/div&gt;&lt;/div&gt;&lt;div&gt;&lt;h5&gt;&lt;b&gt;School &lt;/b&gt;transmutation [sonic]; &lt;b&gt;Level &lt;/b&gt;bard 1, inquisitor 1, sorcerer/wizard 1, witch 1&lt;/h5&gt;&lt;/div&gt;&lt;hr/&gt;&lt;div&gt;&lt;h5&gt;&lt;b&gt;CASTING&lt;/b&gt;&lt;/h5&gt;&lt;/div&gt;&lt;hr/&gt;&lt;div&gt;&lt;h5&gt;&lt;b&gt;Casting Time &lt;/b&gt;1 standard action&lt;/h5&gt;&lt;h5&gt;&lt;b&gt;Components &lt;/b&gt;S&lt;/h5&gt;&lt;/div&gt;&lt;hr/&gt;&lt;div&gt;&lt;h5&gt;&lt;b&gt;EFFECT&lt;/b&gt;&lt;/h5&gt;&lt;/div&gt;&lt;hr/&gt;&lt;div&gt;&lt;h5&gt;&lt;b&gt;Range &lt;/b&gt;medium (100 ft. + 10 ft./level)&lt;/h5&gt;&lt;h5&gt;&lt;b&gt;Targets &lt;/b&gt;one creature&lt;/h5&gt;&lt;h5&gt;&lt;b&gt;Duration &lt;/b&gt;1 round/level&lt;/h5&gt;&lt;h5&gt;&lt;b&gt;Saving Throw &lt;/b&gt;Will negates; &lt;b&gt;Spell Resistance &lt;/b&gt;yes&lt;/h5&gt;&lt;/div&gt;&lt;hr/&gt;&lt;div&gt;&lt;h5&gt;&lt;b&gt;DESCRIPTION&lt;/b&gt;&lt;/h5&gt;&lt;/div&gt;&lt;hr/&gt;&lt;div&gt;&lt;h4&gt;&lt;p&gt;With a gesture, you muffle sound around the target, making it unable to yell or otherwise make loud noises. This does not affect spellcasting by the target. The target can still use sonic effects, but the DC of these effects decreases by 2. The target gains a +2 bonus on saving throws against sonic effects. The target gains a +4 circumstance bonus on Stealth checks.&lt;/p&gt;&lt;/h4&gt;&lt;/div&gt;</t>
  </si>
  <si>
    <t>Target cannot make loud noises.</t>
  </si>
  <si>
    <t>Frigid Touch</t>
  </si>
  <si>
    <t>druid 2, magus 2, sorcerer/wizard 2</t>
  </si>
  <si>
    <t>This spell causes your hand to glow with a pale blue radiance. Your melee touch attack deals 4d6 points of cold damage and causes the target to be staggered for 1 round. If the attack is a critical hit, the target is staggered for 1 minute instead.</t>
  </si>
  <si>
    <t>&lt;p&gt;This spell causes your hand to glow with a pale blue radiance. Your melee touch attack deals 4d6 points of cold damage and causes the target to be staggered for 1 round.&lt;/p&gt;&lt;p&gt;If the attack is a critical hit, the target is staggered for 1 minute instead.&lt;/p&gt;</t>
  </si>
  <si>
    <t>&lt;link rel="stylesheet"href="PF.css"&gt;&lt;div class="heading"&gt;&lt;p class="alignleft"&gt;Frigid Touch&lt;/p&gt;&lt;div style="clear: both;"&gt;&lt;/div&gt;&lt;/div&gt;&lt;div&gt;&lt;h5&gt;&lt;b&gt;School &lt;/b&gt;evocation [cold]; &lt;b&gt;Level &lt;/b&gt;druid 2, magus 2, sorcerer/wizard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&lt;/b&gt;instantaneous&lt;/h5&gt;&lt;h5&gt;&lt;b&gt;Saving Throw &lt;/b&gt;none; &lt;b&gt;Spell Resistance &lt;/b&gt;yes&lt;/h5&gt;&lt;/div&gt;&lt;hr/&gt;&lt;div&gt;&lt;h5&gt;&lt;b&gt;DESCRIPTION&lt;/b&gt;&lt;/h5&gt;&lt;/div&gt;&lt;hr/&gt;&lt;div&gt;&lt;h4&gt;&lt;p&gt;This spell causes your hand to glow with a pale blue radiance. Your melee touch attack deals 4d6 points of cold damage and causes the target to be staggered for 1 round.&lt;/p&gt;&lt;p&gt;If the attack is a critical hit, the target is staggered for 1 minute instead.&lt;/p&gt;&lt;/h4&gt;&lt;/div&gt;</t>
  </si>
  <si>
    <t>Target takes cold damage and is staggered.</t>
  </si>
  <si>
    <t>Frostbite</t>
  </si>
  <si>
    <t>druid 1, magus 1, witch 1</t>
  </si>
  <si>
    <t>Your melee touch attack deals 1d6 points of nonlethal cold damage + 1 point per level, and the target is fatigued. The fatigued condition ends when the target recovers from the nonlethal damage. This spell cannot make a creature exhausted even if it is already fatigued. You can use this melee touch attack up to one time per level.</t>
  </si>
  <si>
    <t>&lt;p&gt;Your melee touch attack deals 1d6 points of nonlethal cold damage + 1 point per level, and the target is fatigued. The fatigued condition ends when the target recovers from the nonlethal damage. This spell cannot make a creature exhausted even if it is already fatigued. You can use this melee touch attack up to one time per level.&lt;/p&gt;</t>
  </si>
  <si>
    <t>&lt;link rel="stylesheet"href="PF.css"&gt;&lt;div class="heading"&gt;&lt;p class="alignleft"&gt;Frostbite&lt;/p&gt;&lt;div style="clear: both;"&gt;&lt;/div&gt;&lt;/div&gt;&lt;div&gt;&lt;h5&gt;&lt;b&gt;School &lt;/b&gt;transmutation [cold]; &lt;b&gt;Level &lt;/b&gt;druid 1, magus 1, witch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&lt;/b&gt;instantaneous&lt;/h5&gt;&lt;h5&gt;&lt;b&gt;Saving Throw &lt;/b&gt;none; &lt;b&gt;Spell Resistance &lt;/b&gt;yes&lt;/h5&gt;&lt;/div&gt;&lt;hr/&gt;&lt;div&gt;&lt;h5&gt;&lt;b&gt;DESCRIPTION&lt;/b&gt;&lt;/h5&gt;&lt;/div&gt;&lt;hr/&gt;&lt;div&gt;&lt;h4&gt;&lt;p&gt;Your melee touch attack deals 1d6 points of nonlethal cold damage + 1 point per level, and the target is fatigued. The fatigued condition ends when the target recovers from the nonlethal damage. This spell cannot make a creature exhausted even if it is already fatigued. You can use this melee touch attack up to one time per level.&lt;/p&gt;&lt;/h4&gt;&lt;/div&gt;</t>
  </si>
  <si>
    <t>Target takes cold damage and is fatigued.</t>
  </si>
  <si>
    <t>Fumbletongue</t>
  </si>
  <si>
    <t>1d4 rounds</t>
  </si>
  <si>
    <t>This enchantment causes a creature to be unable to speak intelligibly. Any effort the target makes to talk, in any language, comes out as a useless mix of unconnected words and noises. Even magic words are affected to some extent; the target has a 20% spell failure chance for any spell it attempts to cast with verbal components, and a 20% chance to incorrectly use a command word to activate a magic item. This spell has no effect on telepathic communication, or the vocalizations of creatures that lack a spoken language.</t>
  </si>
  <si>
    <t>&lt;p&gt;This enchantment causes a creature to be unable to speak intelligibly. Any effort the target makes to talk, in any language, comes out as a useless mix of unconnected words and noises. Even magic words are affected to some extent; the target has a 20% spell failure chance for any spell it attempts to cast with verbal components, and a 20% chance to incorrectly use a command word to activate a magic item.&lt;/p&gt;&lt;p&gt;This spell has no effect on telepathic communication, or the vocalizations of creatures that lack a spoken language.&lt;/p&gt;</t>
  </si>
  <si>
    <t>&lt;link rel="stylesheet"href="PF.css"&gt;&lt;div class="heading"&gt;&lt;p class="alignleft"&gt;Fumbletongue&lt;/p&gt;&lt;div style="clear: both;"&gt;&lt;/div&gt;&lt;/div&gt;&lt;div&gt;&lt;h5&gt;&lt;b&gt;School &lt;/b&gt;enchantment (compulsion) [mind-affecting]; &lt;b&gt;Level &lt;/b&gt;bard 1, witch 1&lt;/h5&gt;&lt;/div&gt;&lt;hr/&gt;&lt;div&gt;&lt;h5&gt;&lt;b&gt;CASTING&lt;/b&gt;&lt;/h5&gt;&lt;/div&gt;&lt;hr/&gt;&lt;div&gt;&lt;h5&gt;&lt;b&gt;Casting Time &lt;/b&gt;1 standard action&lt;/h5&gt;&lt;h5&gt;&lt;b&gt;Components &lt;/b&gt;V, S&lt;/h5&gt;&lt;/div&gt;&lt;hr/&gt;&lt;div&gt;&lt;h5&gt;&lt;b&gt;EFFECT&lt;/b&gt;&lt;/h5&gt;&lt;/div&gt;&lt;hr/&gt;&lt;div&gt;&lt;h5&gt;&lt;b&gt;Range &lt;/b&gt;close (25 ft. +5 ft./2 levels)&lt;/h5&gt;&lt;h5&gt;&lt;b&gt;Targets &lt;/b&gt;one creature&lt;/h5&gt;&lt;h5&gt;&lt;b&gt;Duration &lt;/b&gt;1d4 rounds&lt;/h5&gt;&lt;h5&gt;&lt;b&gt;Saving Throw &lt;/b&gt;Will negates; &lt;b&gt;Spell Resistance &lt;/b&gt;yes&lt;/h5&gt;&lt;/div&gt;&lt;hr/&gt;&lt;div&gt;&lt;h5&gt;&lt;b&gt;DESCRIPTION&lt;/b&gt;&lt;/h5&gt;&lt;/div&gt;&lt;hr/&gt;&lt;div&gt;&lt;h4&gt;&lt;p&gt;This enchantment causes a creature to be unable to speak intelligibly. Any effort the target makes to talk, in any language, comes out as a useless mix of unconnected words and noises. Even magic words are affected to some extent; the target has a 20% spell failure chance for any spell it attempts to cast with verbal components, and a 20% chance to incorrectly use a command word to activate a magic item.&lt;/p&gt;&lt;p&gt;This spell has no effect on telepathic communication, or the vocalizations of creatures that lack a spoken language.&lt;/p&gt;&lt;/h4&gt;&lt;/div&gt;</t>
  </si>
  <si>
    <t>Target cannot speak intelligently.</t>
  </si>
  <si>
    <t>Fungal Infestation</t>
  </si>
  <si>
    <t>1d3 days</t>
  </si>
  <si>
    <t>You coat the target in necrotic fungus that makes its flesh soft and fragile. Toadstools, ringworm, and other disgusting fungal growths sprout from its skin. The target takes 1d3 points of Charisma damage. Any physical attack against the target automatically adds 1d6 points of bleed damage.</t>
  </si>
  <si>
    <t>&lt;p&gt;You coat the target in necrotic fungus that makes its flesh soft and fragile. Toadstools, ringworm, and other disgusting fungal growths sprout from its skin. The target takes 1d3 points of Charisma damage. Any physical attack against the target automatically adds 1d6 points of bleed damage.&lt;/p&gt;</t>
  </si>
  <si>
    <t>&lt;link rel="stylesheet"href="PF.css"&gt;&lt;div class="heading"&gt;&lt;p class="alignleft"&gt;Fungal Infestation&lt;/p&gt;&lt;div style="clear: both;"&gt;&lt;/div&gt;&lt;/div&gt;&lt;div&gt;&lt;h5&gt;&lt;b&gt;School &lt;/b&gt;necromancy [disease]; &lt;b&gt;Level &lt;/b&gt;druid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&lt;/b&gt;1d3 days&lt;/h5&gt;&lt;h5&gt;&lt;b&gt;Saving Throw &lt;/b&gt;Fortitude negates; &lt;b&gt;Spell Resistance &lt;/b&gt;yes&lt;/h5&gt;&lt;/div&gt;&lt;hr/&gt;&lt;div&gt;&lt;h5&gt;&lt;b&gt;DESCRIPTION&lt;/b&gt;&lt;/h5&gt;&lt;/div&gt;&lt;hr/&gt;&lt;div&gt;&lt;h4&gt;&lt;p&gt;You coat the target in necrotic fungus that makes its flesh soft and fragile. Toadstools, ringworm, and other disgusting fungal growths sprout from its skin. The target takes 1d3 points of Charisma damage. Any physical attack against the target automatically adds 1d6 points of bleed damage.&lt;/p&gt;&lt;/h4&gt;&lt;/div&gt;</t>
  </si>
  <si>
    <t>Target takes bleed from attacks.</t>
  </si>
  <si>
    <t>Ghostly Disguise</t>
  </si>
  <si>
    <t>alchemist 2, bard 2, inquisitor 2, sorcerer/wizard 2, witch 2</t>
  </si>
  <si>
    <t>You make yourself-including clothing, armor, weapons, and equipment-appear translucent like a ghost. Any mundane or magical disguise on you is affected by this illusion as well; for example, if you are disguised as the king or a sahuagin, you look like a ghostly version of the king or a sahuagin. Your ghostly form may have a pale green, blue, or violet coloration, or a muted version of your normal appearance. The spell does not actually make you ghostly or provide any incorporeal abilities. If you choose, the illusion can make you appear to float slightly above the ground, though you are actually still on the ground. A creature that interacts with the glamer gets a Will save to recognize it as an illusion.</t>
  </si>
  <si>
    <t>&lt;p&gt;You make yourself-including clothing, armor, weapons, and equipment-appear translucent like a ghost. Any mundane or magical disguise on you is affected by this illusion as well; for example, if you are disguised as the king or a sahuagin, you look like a ghostly version of the king or a sahuagin. Your ghostly form may have a pale green, blue, or violet coloration, or a muted version of your normal appearance.&lt;/p&gt;&lt;p&gt;The spell does not actually make you ghostly or provide any incorporeal abilities. If you choose, the illusion can make you appear to float slightly above the ground, though you are actually still on the ground. A creature that interacts with the glamer gets a Will save to recognize it as an illusion.&lt;/p&gt;</t>
  </si>
  <si>
    <t>&lt;link rel="stylesheet"href="PF.css"&gt;&lt;div class="heading"&gt;&lt;p class="alignleft"&gt;Ghostly Disguise&lt;/p&gt;&lt;div style="clear: both;"&gt;&lt;/div&gt;&lt;/div&gt;&lt;div&gt;&lt;h5&gt;&lt;b&gt;School &lt;/b&gt;illusion (glamer); &lt;b&gt;Level &lt;/b&gt;alchemist 2, bard 2, inquisitor 2, sorcerer/wizard 2, witch 2&lt;/h5&gt;&lt;/div&gt;&lt;hr/&gt;&lt;div&gt;&lt;h5&gt;&lt;b&gt;CASTING&lt;/b&gt;&lt;/h5&gt;&lt;/div&gt;&lt;hr/&gt;&lt;div&gt;&lt;h5&gt;&lt;b&gt;Casting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&lt;/b&gt;10 minute/level (D)&lt;/h5&gt;&lt;/div&gt;&lt;hr/&gt;&lt;div&gt;&lt;h5&gt;&lt;b&gt;DESCRIPTION&lt;/b&gt;&lt;/h5&gt;&lt;/div&gt;&lt;hr/&gt;&lt;div&gt;&lt;h4&gt;&lt;p&gt;You make yourself-including clothing, armor, weapons, and equipment-appear translucent like a ghost. Any mundane or magical disguise on you is affected by this illusion as well; for example, if you are disguised as the king or a sahuagin, you look like a ghostly version of the king or a sahuagin. Your ghostly form may have a pale green, blue, or violet coloration, or a muted version of your normal appearance.&lt;/p&gt;&lt;p&gt;The spell does not actually make you ghostly or provide any incorporeal abilities. If you choose, the illusion can make you appear to float slightly above the ground, though you are actually still on the ground. A creature that interacts with the glamer gets a Will save to recognize it as an illusion.&lt;/p&gt;&lt;/h4&gt;&lt;/div&gt;</t>
  </si>
  <si>
    <t>You look like a ghost of yourself.</t>
  </si>
  <si>
    <t>Haunting Choir</t>
  </si>
  <si>
    <t>mind-affecting, pain</t>
  </si>
  <si>
    <t>You create a spectral choir and conduct its tortured, ghostly moans, deluding listeners into believing they are suffering the torments of the dead. The transparent singers occupy a 10-foot cube, but they are intangible and do not interfere with creatures in any physical way, nor can they be attacked. Creatures within 30 feet of the choir experience wracking pain that causes them to take a -2 penalty on attack rolls, skill checks, and ability checks. Individuals who exit the area of effect take these penalties for an additional 2 rounds before the delusion wears off.</t>
  </si>
  <si>
    <t>&lt;p&gt;You create a spectral choir and conduct its tortured, ghostly moans, deluding listeners into believing they are suffering the torments of the dead.&lt;/p&gt;&lt;p&gt;The transparent singers occupy a 10-foot cube, but they are intangible and do not interfere with creatures in any physical way, nor can they be attacked.&lt;/p&gt;&lt;p&gt;Creatures within 30 feet of the choir experience wracking pain that causes them to take a -2 penalty on attack rolls, skill checks, and ability checks.&lt;/p&gt;&lt;p&gt;Individuals who exit the area of effect take these penalties for an additional 2 rounds before the delusion wears off.&lt;/p&gt;</t>
  </si>
  <si>
    <t>&lt;link rel="stylesheet"href="PF.css"&gt;&lt;div class="heading"&gt;&lt;p class="alignleft"&gt;Haunting Choir&lt;/p&gt;&lt;div style="clear: both;"&gt;&lt;/div&gt;&lt;/div&gt;&lt;div&gt;&lt;h5&gt;&lt;b&gt;School &lt;/b&gt;necromancy [mind-affecting, pain]; &lt;b&gt;Level &lt;/b&gt;bard 3&lt;/h5&gt;&lt;/div&gt;&lt;hr/&gt;&lt;div&gt;&lt;h5&gt;&lt;b&gt;CASTING&lt;/b&gt;&lt;/h5&gt;&lt;/div&gt;&lt;hr/&gt;&lt;div&gt;&lt;h5&gt;&lt;b&gt;Casting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levels)&lt;/h5&gt;&lt;h5&gt;&lt;b&gt;Area &lt;/b&gt;30-ft.-radius emanation&lt;/h5&gt;&lt;h5&gt;&lt;b&gt;Duration &lt;/b&gt;concentration + 2 rounds&lt;/h5&gt;&lt;h5&gt;&lt;b&gt;Saving Throw &lt;/b&gt;Will negates; &lt;b&gt;Spell Resistance &lt;/b&gt;yes&lt;/h5&gt;&lt;/div&gt;&lt;hr/&gt;&lt;div&gt;&lt;h5&gt;&lt;b&gt;DESCRIPTION&lt;/b&gt;&lt;/h5&gt;&lt;/div&gt;&lt;hr/&gt;&lt;div&gt;&lt;h4&gt;&lt;p&gt;You create a spectral choir and conduct its tortured, ghostly moans, deluding listeners into believing they are suffering the torments of the dead.&lt;/p&gt;&lt;p&gt;The transparent singers occupy a 10-foot cube, but they are intangible and do not interfere with creatures in any physical way, nor can they be attacked.&lt;/p&gt;&lt;p&gt;Creatures within 30 feet of the choir experience wracking pain that causes them to take a -2 penalty on attack rolls, skill checks, and ability checks.&lt;/p&gt;&lt;p&gt;Individuals who exit the area of effect take these penalties for an additional 2 rounds before the delusion wears off.&lt;/p&gt;&lt;/h4&gt;&lt;/div&gt;</t>
  </si>
  <si>
    <t>Spirits cause wracking pain to listeners.</t>
  </si>
  <si>
    <t>Haunting Mists</t>
  </si>
  <si>
    <t>fear, shadow</t>
  </si>
  <si>
    <t>bard 2, sorcerer/wizard 2, witch 2</t>
  </si>
  <si>
    <t>An illusion of misty vapor inhabited by shadowy shapes arises around you. It is stationary. The illusory mist obscures all sight, including darkvision, beyond 5 feet. A creature 5 feet away has concealment (attacks have a 20% miss chance). Creatures farther away have total concealment (50% miss chance, and the attacker cannot use sight to locate the target). All creatures within the mist must save or take 1d2 points of Wisdom damage and gain the shaken condition. The shaken condition lasts as long as the creature remains in the mist.</t>
  </si>
  <si>
    <t>&lt;p&gt;An illusion of misty vapor inhabited by shadowy shapes arises around you. It is stationary. The illusory mist obscures all sight, including darkvision, beyond 5 feet. A creature 5 feet away has concealment (attacks have a 20% miss chance).&lt;/p&gt;&lt;p&gt;Creatures farther away have total concealment (50% miss chance, and the attacker cannot use sight to locate the target).&lt;/p&gt;&lt;p&gt;All creatures within the mist must save or take 1d2 points of Wisdom damage and gain the shaken condition. The shaken condition lasts as long as the creature remains in the mist.&lt;/p&gt;</t>
  </si>
  <si>
    <t>&lt;link rel="stylesheet"href="PF.css"&gt;&lt;div class="heading"&gt;&lt;p class="alignleft"&gt;Haunting Mists&lt;/p&gt;&lt;div style="clear: both;"&gt;&lt;/div&gt;&lt;/div&gt;&lt;div&gt;&lt;h5&gt;&lt;b&gt;School &lt;/b&gt;illusion (figment) [fear, shadow]; &lt;b&gt;Level &lt;/b&gt;bard 2, sorcerer/wizard 2, witch 2&lt;/h5&gt;&lt;/div&gt;&lt;hr/&gt;&lt;div&gt;&lt;h5&gt;&lt;b&gt;CASTING&lt;/b&gt;&lt;/h5&gt;&lt;/div&gt;&lt;hr/&gt;&lt;div&gt;&lt;h5&gt;&lt;b&gt;Casting Time &lt;/b&gt;1 standard action&lt;/h5&gt;&lt;h5&gt;&lt;b&gt;Components &lt;/b&gt;V, S&lt;/h5&gt;&lt;/div&gt;&lt;hr/&gt;&lt;div&gt;&lt;h5&gt;&lt;b&gt;EFFECT&lt;/b&gt;&lt;/h5&gt;&lt;/div&gt;&lt;hr/&gt;&lt;div&gt;&lt;h5&gt;&lt;b&gt;Range &lt;/b&gt;20 ft.&lt;/h5&gt;&lt;h5&gt;&lt;b&gt;Effect &lt;/b&gt;cloud spreads in 20-ft. radius, 20 ft. high&lt;/h5&gt;&lt;h5&gt;&lt;b&gt;Duration &lt;/b&gt;1 minute/level (D)&lt;/h5&gt;&lt;h5&gt;&lt;b&gt;Saving Throw &lt;/b&gt;Will partial (see text); &lt;b&gt;Spell Resistance &lt;/b&gt;no&lt;/h5&gt;&lt;/div&gt;&lt;hr/&gt;&lt;div&gt;&lt;h5&gt;&lt;b&gt;DESCRIPTION&lt;/b&gt;&lt;/h5&gt;&lt;/div&gt;&lt;hr/&gt;&lt;div&gt;&lt;h4&gt;&lt;p&gt;An illusion of misty vapor inhabited by shadowy shapes arises around you. It is stationary. The illusory mist obscures all sight, including darkvision, beyond 5 feet. A creature 5 feet away has concealment (attacks have a 20% miss chance).&lt;/p&gt;&lt;p&gt;Creatures farther away have total concealment (50% miss chance, and the attacker cannot use sight to locate the target).&lt;/p&gt;&lt;p&gt;All creatures within the mist must save or take 1d2 points of Wisdom damage and gain the shaken condition. The shaken condition lasts as long as the creature remains in the mist.&lt;/p&gt;&lt;/h4&gt;&lt;/div&gt;</t>
  </si>
  <si>
    <t>Creatures are shaken and take Wis damage.</t>
  </si>
  <si>
    <t>Hex Ward</t>
  </si>
  <si>
    <t>inquisitor 1, witch 1</t>
  </si>
  <si>
    <t>You give the target a +4 resistance bonus on saving throws against witch hexes.</t>
  </si>
  <si>
    <t>&lt;p&gt;You give the target a +4 resistance bonus on saving throws against witch hexes.&lt;/p&gt;</t>
  </si>
  <si>
    <t>&lt;link rel="stylesheet"href="PF.css"&gt;&lt;div class="heading"&gt;&lt;p class="alignleft"&gt;Hex Ward&lt;/p&gt;&lt;div style="clear: both;"&gt;&lt;/div&gt;&lt;/div&gt;&lt;div&gt;&lt;h5&gt;&lt;b&gt;School &lt;/b&gt;abjuration; &lt;b&gt;Level &lt;/b&gt;inquisitor 1, witch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hour/level&lt;/h5&gt;&lt;h5&gt;&lt;b&gt;Saving Throw &lt;/b&gt;Will negates (harmless); &lt;b&gt;Spell Resistance &lt;/b&gt;yes (harmless)&lt;/h5&gt;&lt;/div&gt;&lt;hr/&gt;&lt;div&gt;&lt;h5&gt;&lt;b&gt;DESCRIPTION&lt;/b&gt;&lt;/h5&gt;&lt;/div&gt;&lt;hr/&gt;&lt;div&gt;&lt;h4&gt;&lt;p&gt;You give the target a +4 resistance bonus on saving throws against witch hexes.&lt;/p&gt;&lt;/h4&gt;&lt;h5&gt;&lt;b&gt;Mythic: &lt;/b&gt;The target gains immunity to one witch hex (but not a major hex or grand hex) of your choice.&lt;/h5&gt;&lt;h5&gt;&lt;b&gt;Augmented (3rd)&lt;/b&gt;: If you expend two uses of mythic power, instead of granting immunity to one witch hex, you can grant immunity to two hexes or one major hex. If you're at least 6th tier and expend three uses of mythic power, you instead grant immunity to three hexes, two major hexes, or one grand hex.&lt;/h5&gt;&lt;/div&gt;</t>
  </si>
  <si>
    <t>Target gains +4 on saves against witch hexes.</t>
  </si>
  <si>
    <t>The target gains immunity to one witch hex (but not a major hex or grand hex) of your choice.</t>
  </si>
  <si>
    <t>Augmented (3rd): If you expend two uses of mythic power, instead of granting immunity to one witch hex, you can grant immunity to two hexes or one major hex. If you're at least 6th tier and expend three uses of mythic power, you instead grant immunity to three hexes, two major hexes, or one grand hex.</t>
  </si>
  <si>
    <t>Holy Ice</t>
  </si>
  <si>
    <t>cold, good, water</t>
  </si>
  <si>
    <t>V, S, M (a flask of holy water or 5 pounds of powdered silver worth 25 gp)</t>
  </si>
  <si>
    <t>wall of ice or flying ice javelins (see text)</t>
  </si>
  <si>
    <t>1 minute/level, instantaneous, or until expended (see text)</t>
  </si>
  <si>
    <t>Reflex negates or none (see text)</t>
  </si>
  <si>
    <t>This spell creates a large mass of frozen holy water that can be used for one of two effects. Holy Ice Wall: This functions like wall of ice (hemisphere or plane). Any creature that takes damage from holy water takes 1 point of damage every time it touches or attacks the ice wall with melee attacks; extended contact with the wall (such as standing or walking on it) deals 1d6 points of damage. Even when the ice has been broken through, a sheet of frigid holy air remains. Any creature that steps through it (including the one who broke through the wall) takes 1d6 points of damage + 1 point per caster level (no save); half of this damage is cold damage, half is damage from holy water (creatures unharmed by holy water do not take the damage). Holy Ice Javelins: The spell creates a number of javelins of frozen holy water in your square equal to your caster level (maximum 15), which hurl themselves toward one or more targets that are no more than 10 feet away from each other. You must succeed on attack rolls (one per javelin) to hit the target with the javelin, using your base attack bonus + your Wisdom modifier. The javelins deal 1d6 damage each, plus 1 point of cold damage and 1 point of damage from holy water. The javelins are destroyed by this attack.</t>
  </si>
  <si>
    <t>&lt;p&gt;This spell creates a large mass of frozen holy water that can be used for one of two effects.&lt;/p&gt;&lt;p&gt;&lt;i&gt;Holy Ice&lt;/i&gt; Wall: This functions like &lt;i&gt;wall of ice&lt;/i&gt; (hemisphere or plane). Any creature that takes damage from holy water takes 1 point of damage every time it touches or attacks the ice wall with melee attacks; extended contact with the wall (such as standing or walking on it) deals 1d6 points of damage. Even when the ice has been broken through, a sheet of frigid holy air remains. Any creature that steps through it (including the one who broke through the wall) takes 1d6 points of damage + 1 point per caster level (no save); half of this damage is cold damage, half is damage from holy water (creatures unharmed by holy water do not take the damage).&lt;/p&gt;&lt;p&gt;&lt;i&gt;Holy Ice&lt;/i&gt; Javelins: The spell creates a number of javelins of frozen holy water in your square equal to your caster level (maximum 15), which hurl themselves toward one or more targets that are no more than 10 feet away from each other.&lt;/p&gt;&lt;p&gt;You must succeed on attack rolls (one per javelin) to hit the target with the javelin, using your base attack bonus + your Wisdom modifier. The javelins deal 1d6 damage each, plus 1 point of cold damage and 1 point of damage from holy water.&lt;/p&gt;&lt;p&gt;The javelins are destroyed by this attack.&lt;/p&gt;</t>
  </si>
  <si>
    <t>&lt;link rel="stylesheet"href="PF.css"&gt;&lt;div class="heading"&gt;&lt;p class="alignleft"&gt;Holy Ice&lt;/p&gt;&lt;div style="clear: both;"&gt;&lt;/div&gt;&lt;/div&gt;&lt;div&gt;&lt;h5&gt;&lt;b&gt;School &lt;/b&gt;transmutation [cold, good, water]; &lt;b&gt;Level &lt;/b&gt;cleric 5/oracle 5&lt;/h5&gt;&lt;/div&gt;&lt;hr/&gt;&lt;div&gt;&lt;h5&gt;&lt;b&gt;CASTING&lt;/b&gt;&lt;/h5&gt;&lt;/div&gt;&lt;hr/&gt;&lt;div&gt;&lt;h5&gt;&lt;b&gt;Casting Time &lt;/b&gt;1 standard action&lt;/h5&gt;&lt;h5&gt;&lt;b&gt;Components &lt;/b&gt;V, S, M (a flask of holy water or 5 pounds of powdered silver worth 25 gp)&lt;/h5&gt;&lt;/div&gt;&lt;hr/&gt;&lt;div&gt;&lt;h5&gt;&lt;b&gt;EFFECT&lt;/b&gt;&lt;/h5&gt;&lt;/div&gt;&lt;hr/&gt;&lt;div&gt;&lt;h5&gt;&lt;b&gt;Range &lt;/b&gt;medium (100 ft. + 10 ft./level)&lt;/h5&gt;&lt;h5&gt;&lt;b&gt;Effect &lt;/b&gt;wall of ice or flying ice javelins (see text)&lt;/h5&gt;&lt;h5&gt;&lt;b&gt;Duration &lt;/b&gt;1 minute/level, instantaneous, or until expended (see text)&lt;/h5&gt;&lt;h5&gt;&lt;b&gt;Saving Throw &lt;/b&gt;Reflex negates or none (see text); &lt;b&gt;Spell Resistance &lt;/b&gt;yes&lt;/h5&gt;&lt;/div&gt;&lt;hr/&gt;&lt;div&gt;&lt;h5&gt;&lt;b&gt;DESCRIPTION&lt;/b&gt;&lt;/h5&gt;&lt;/div&gt;&lt;hr/&gt;&lt;div&gt;&lt;h4&gt;&lt;p&gt;This spell creates a large mass of frozen holy water that can be used for one of two effects.&lt;/p&gt;&lt;p&gt;&lt;i&gt;Holy Ice&lt;/i&gt; Wall: This functions like &lt;i&gt;wall of ice&lt;/i&gt; (hemisphere or plane). Any creature that takes damage from holy water takes 1 point of damage every time it touches or attacks the ice wall with melee attacks; extended contact with the wall (such as standing or walking on it) deals 1d6 points of damage. Even when the ice has been broken through, a sheet of frigid holy air remains. Any creature that steps through it (including the one who broke through the wall) takes 1d6 points of damage + 1 point per caster level (no save); half of this damage is cold damage, half is damage from holy water (creatures unharmed by holy water do not take the damage).&lt;/p&gt;&lt;p&gt;&lt;i&gt;Holy Ice&lt;/i&gt; Javelins: The spell creates a number of javelins of frozen holy water in your square equal to your caster level (maximum 15), which hurl themselves toward one or more targets that are no more than 10 feet away from each other.&lt;/p&gt;&lt;p&gt;You must succeed on attack rolls (one per javelin) to hit the target with the javelin, using your base attack bonus + your Wisdom modifier. The javelins deal 1d6 damage each, plus 1 point of cold damage and 1 point of damage from holy water.&lt;/p&gt;&lt;p&gt;The javelins are destroyed by this attack.&lt;/p&gt;&lt;/h4&gt;&lt;/div&gt;</t>
  </si>
  <si>
    <t>Create wall or javelins of frozen holy water.</t>
  </si>
  <si>
    <t>Holy Shield</t>
  </si>
  <si>
    <t>You gain the ability to magically project the defense of your shield to protect another creature at a distance. As a swift action, you designate one target within 30 feet. The target gains your shield's shield bonus and enhancement bonus to Armor Class until your next turn; you gain no benefit from the shield's shield bonus or enhancement bonus while using this spell and cannot use any of the shield's other properties or abilities (such as magical abilities, making a shield bash, or providing cover with a tower shield). As a swift action, you may move the protection to another target (including yourself); if you move the protection to yourself, you may use any of the shield's properties or abilities as normal. If the shielded creature exceeds the 30-foot range, your shield's protection automatically reverts to you. Any circumstance that would make you lose your shield bonus (such as an enemy breaking the shield, you dropping the shield, or you becoming helpless or unconscious) means the protected creature loses the shield's benefit.</t>
  </si>
  <si>
    <t>&lt;p&gt;You gain the ability to magically project the defense of your shield to protect another creature at a distance. As a swift action, you designate one target within 30 feet. The target gains your shield's shield bonus and enhancement bonus to Armor Class until your next turn; you gain no benefit from the shield's shield bonus or enhancement bonus while using this spell and cannot use any of the shield's other properties or abilities (such as magical abilities, making a shield bash, or providing cover with a tower shield). As a swift action, you may move the protection to another target (including yourself); if you move the protection to yourself, you may use any of the shield's properties or abilities as normal. If the shielded creature exceeds the 30-foot range, your shield's protection automatically reverts to you. Any circumstance that would make you lose your shield bonus (such as an enemy breaking the shield, you dropping the shield, or you becoming helpless or unconscious) means the protected creature loses the shield's benefit.&lt;/p&gt;</t>
  </si>
  <si>
    <t>&lt;link rel="stylesheet"href="PF.css"&gt;&lt;div class="heading"&gt;&lt;p class="alignleft"&gt;Holy Shield&lt;/p&gt;&lt;div style="clear: both;"&gt;&lt;/div&gt;&lt;/div&gt;&lt;div&gt;&lt;h5&gt;&lt;b&gt;School &lt;/b&gt;abjuration; &lt;b&gt;Level &lt;/b&gt;paladin 2&lt;/h5&gt;&lt;/div&gt;&lt;hr/&gt;&lt;div&gt;&lt;h5&gt;&lt;b&gt;CASTING&lt;/b&gt;&lt;/h5&gt;&lt;/div&gt;&lt;hr/&gt;&lt;div&gt;&lt;h5&gt;&lt;b&gt;Casting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&lt;/b&gt;10 minutes/level&lt;/h5&gt;&lt;h5&gt;&lt;b&gt;Saving Throw &lt;/b&gt;none; &lt;b&gt;Spell Resistance &lt;/b&gt;no&lt;/h5&gt;&lt;/div&gt;&lt;hr/&gt;&lt;div&gt;&lt;h5&gt;&lt;b&gt;DESCRIPTION&lt;/b&gt;&lt;/h5&gt;&lt;/div&gt;&lt;hr/&gt;&lt;div&gt;&lt;h4&gt;&lt;p&gt;You gain the ability to magically project the defense of your shield to protect another creature at a distance. As a swift action, you designate one target within 30 feet. The target gains your shield's shield bonus and enhancement bonus to Armor Class until your next turn; you gain no benefit from the shield's shield bonus or enhancement bonus while using this spell and cannot use any of the shield's other properties or abilities (such as magical abilities, making a shield bash, or providing cover with a tower shield). As a swift action, you may move the protection to another target (including yourself); if you move the protection to yourself, you may use any of the shield's properties or abilities as normal. If the shielded creature exceeds the 30-foot range, your shield's protection automatically reverts to you. Any circumstance that would make you lose your shield bonus (such as an enemy breaking the shield, you dropping the shield, or you becoming helpless or unconscious) means the protected creature loses the shield's benefit.&lt;/p&gt;&lt;/h4&gt;&lt;/div&gt;</t>
  </si>
  <si>
    <t>Lend your shield's protection to another.</t>
  </si>
  <si>
    <t>Horn of Pursuit</t>
  </si>
  <si>
    <t>bard 1, inquisitor 1, paladin 1, ranger 1</t>
  </si>
  <si>
    <t>3 peals of a horn</t>
  </si>
  <si>
    <t>You create the sound of a large hunting horn, blowing up to three notes as loud as a roaring dragon. These notes can be heard up to 2 miles away in typical outdoor conditions. You can make these sounds at any point during the spell's duration as a free action, and each sounding can be short or long, allowing you to send very simple coded messages.</t>
  </si>
  <si>
    <t>&lt;p&gt;You create the sound of a large hunting horn, blowing up to three notes as loud as a roaring dragon. These notes can be heard up to 2 miles away in typical outdoor conditions.&lt;/p&gt;&lt;p&gt;You can make these sounds at any point during the spell's duration as a free action, and each sounding can be short or long, allowing you to send very simple coded messages.&lt;/p&gt;</t>
  </si>
  <si>
    <t>&lt;link rel="stylesheet"href="PF.css"&gt;&lt;div class="heading"&gt;&lt;p class="alignleft"&gt;Horn of Pursuit&lt;/p&gt;&lt;div style="clear: both;"&gt;&lt;/div&gt;&lt;/div&gt;&lt;div&gt;&lt;h5&gt;&lt;b&gt;School &lt;/b&gt;evocation [sonic]; &lt;b&gt;Level &lt;/b&gt;bard 1, inquisitor 1, paladin 1, ranger 1&lt;/h5&gt;&lt;/div&gt;&lt;hr/&gt;&lt;div&gt;&lt;h5&gt;&lt;b&gt;CASTING&lt;/b&gt;&lt;/h5&gt;&lt;/div&gt;&lt;hr/&gt;&lt;div&gt;&lt;h5&gt;&lt;b&gt;Casting Time &lt;/b&gt;1 standard action&lt;/h5&gt;&lt;h5&gt;&lt;b&gt;Components &lt;/b&gt;S&lt;/h5&gt;&lt;/div&gt;&lt;hr/&gt;&lt;div&gt;&lt;h5&gt;&lt;b&gt;EFFECT&lt;/b&gt;&lt;/h5&gt;&lt;/div&gt;&lt;hr/&gt;&lt;div&gt;&lt;h5&gt;&lt;b&gt;Range &lt;/b&gt;personal&lt;/h5&gt;&lt;h5&gt;&lt;b&gt;Effect &lt;/b&gt;3 peals of a horn&lt;/h5&gt;&lt;h5&gt;&lt;b&gt;Duration &lt;/b&gt;1 round&lt;/h5&gt;&lt;h5&gt;&lt;b&gt;Saving Throw &lt;/b&gt;none; &lt;b&gt;Spell Resistance &lt;/b&gt;no&lt;/h5&gt;&lt;/div&gt;&lt;hr/&gt;&lt;div&gt;&lt;h5&gt;&lt;b&gt;DESCRIPTION&lt;/b&gt;&lt;/h5&gt;&lt;/div&gt;&lt;hr/&gt;&lt;div&gt;&lt;h4&gt;&lt;p&gt;You create the sound of a large hunting horn, blowing up to three notes as loud as a roaring dragon. These notes can be heard up to 2 miles away in typical outdoor conditions.&lt;/p&gt;&lt;p&gt;You can make these sounds at any point during the spell's duration as a free action, and each sounding can be short or long, allowing you to send very simple coded messages.&lt;/p&gt;&lt;/h4&gt;&lt;/div&gt;</t>
  </si>
  <si>
    <t>Create three notes heard miles away.</t>
  </si>
  <si>
    <t>Howling Agony</t>
  </si>
  <si>
    <t>death, pain</t>
  </si>
  <si>
    <t>inquisitor 2, sorcerer/wizard 3, witch 3</t>
  </si>
  <si>
    <t>V, S, M (a needle and a dried eyeball)</t>
  </si>
  <si>
    <t>You send wracking pains through the targets' bodies. Because of the pain, affected creatures take a -2 penalty to AC, attacks, melee damage rolls, and Reflex saving throws, and must succeed at a concentration check (DC equal to the DC of this spell) to cast spells. However, if an affected creature spends a move action screaming as loudly as possible, it can act without any other penalties for the remainder of its turn. "Screaming," for the purposes of this spell, includes any vocalization of pain or its telepathic equivalent; creatures that cannot scream (such as creatures without the natural ability to communicate or vocalize) suffer the full effect of the spell.</t>
  </si>
  <si>
    <t>&lt;p&gt;You send wracking pains through the targets' bodies. Because of the pain, affected creatures take a -2 penalty to AC, attacks, melee damage rolls, and Reflex saving throws, and must succeed at a concentration check (DC equal to the DC of this spell) to cast spells. However, if an affected creature spends a move action screaming as loudly as possible, it can act without any other penalties for the remainder of its turn. "Screaming," for the purposes of this spell, includes any vocalization of pain or its telepathic equivalent; creatures that cannot scream (such as creatures without the natural ability to communicate or vocalize) suffer the full effect of the spell.&lt;/p&gt;</t>
  </si>
  <si>
    <t>&lt;link rel="stylesheet"href="PF.css"&gt;&lt;div class="heading"&gt;&lt;p class="alignleft"&gt;Howling Agony&lt;/p&gt;&lt;div style="clear: both;"&gt;&lt;/div&gt;&lt;/div&gt;&lt;div&gt;&lt;h5&gt;&lt;b&gt;School &lt;/b&gt;necromancy [death, pain]; &lt;b&gt;Level &lt;/b&gt;inquisitor 2, sorcerer/wizard 3, witch 3&lt;/h5&gt;&lt;/div&gt;&lt;hr/&gt;&lt;div&gt;&lt;h5&gt;&lt;b&gt;CASTING&lt;/b&gt;&lt;/h5&gt;&lt;/div&gt;&lt;hr/&gt;&lt;div&gt;&lt;h5&gt;&lt;b&gt;Casting Time &lt;/b&gt;1 standard action&lt;/h5&gt;&lt;h5&gt;&lt;b&gt;Components &lt;/b&gt;V, S, M (a needle and a dried eyeball)&lt;/h5&gt;&lt;/div&gt;&lt;hr/&gt;&lt;div&gt;&lt;h5&gt;&lt;b&gt;EFFECT&lt;/b&gt;&lt;/h5&gt;&lt;/div&gt;&lt;hr/&gt;&lt;div&gt;&lt;h5&gt;&lt;b&gt;Range &lt;/b&gt;close (25 ft. + 5 ft./2 levels)&lt;/h5&gt;&lt;h5&gt;&lt;b&gt;Targets &lt;/b&gt;one living creature/level, no two of which can be more than 30 ft. apart&lt;/h5&gt;&lt;h5&gt;&lt;b&gt;Duration &lt;/b&gt;1 round/level&lt;/h5&gt;&lt;h5&gt;&lt;b&gt;Saving Throw &lt;/b&gt;Fortitude negates; &lt;b&gt;Spell Resistance &lt;/b&gt;yes&lt;/h5&gt;&lt;/div&gt;&lt;hr/&gt;&lt;div&gt;&lt;h5&gt;&lt;b&gt;DESCRIPTION&lt;/b&gt;&lt;/h5&gt;&lt;/div&gt;&lt;hr/&gt;&lt;div&gt;&lt;h4&gt;&lt;p&gt;You send wracking pains through the targets' bodies. Because of the pain, affected creatures take a -2 penalty to AC, attacks, melee damage rolls, and Reflex saving throws, and must succeed at a concentration check (DC equal to the DC of this spell) to cast spells. However, if an affected creature spends a move action screaming as loudly as possible, it can act without any other penalties for the remainder of its turn. "Screaming," for the purposes of this spell, includes any vocalization of pain or its telepathic equivalent; creatures that cannot scream (such as creatures without the natural ability to communicate or vocalize) suffer the full effect of the spell.&lt;/p&gt;&lt;/h4&gt;&lt;/div&gt;</t>
  </si>
  <si>
    <t>Screaming pain limits the target's actions.</t>
  </si>
  <si>
    <t>Ice Body</t>
  </si>
  <si>
    <t>Your form transmutes into living ice, granting you several abilities. You gain the cold subtype and damage reduction 5/ magic. You are immune to ability score damage, blindness, critical hits, deafness, disease, drowning, electricity, poison, stunning, and all spells or attacks that affect your physiology or respiration, because you have no physiology or respiration while this spell is in effect. You cannot drink (and thus can't use potions) or play wind instruments. Your unarmed attack deals damage equal to a club sized for you (1d4 for Small characters or 1d6 for Medium characters) plus 1 point of cold damage, and you are considered armed when making unarmed attacks. You may burrow through nonmagical ice or snow at your base speed as easily as a fish swims through water. You can move through magical ice and snow if you succeed on a caster level check (1d20 + caster level) against a DC of 11 + the caster level of the effect; you automatically succeed on caster level checks against effects that you created. Your passage through snow and ice in this fashion leaves behind no tunnel or hole.</t>
  </si>
  <si>
    <t>&lt;p&gt;Your form transmutes into living ice, granting you several abilities. You gain the cold subtype and damage reduction 5/ magic. You are immune to ability score damage, blindness, critical hits, deafness, disease, drowning, electricity, poison, stunning, and all spells or attacks that affect your physiology or respiration, because you have no physiology or respiration while this spell is in effect. You cannot drink (and thus can't use potions) or play wind instruments.&lt;/p&gt;&lt;p&gt;Your unarmed attack deals damage equal to a club sized for you (1d4 for Small characters or 1d6 for Medium characters) plus 1 point of cold damage, and you are considered armed when making unarmed attacks. You may burrow through nonmagical ice or snow at your base speed as easily as a fish swims through water. You can move through magical ice and snow if you succeed on a caster level check (1d20 + caster level) against a DC of 11 + the caster level of the effect; you automatically succeed on caster level checks against effects that you created. Your passage through snow and ice in this fashion leaves behind no tunnel or hole.&lt;/p&gt;</t>
  </si>
  <si>
    <t>&lt;link rel="stylesheet"href="PF.css"&gt;&lt;div class="heading"&gt;&lt;p class="alignleft"&gt;Ice Body&lt;/p&gt;&lt;div style="clear: both;"&gt;&lt;/div&gt;&lt;/div&gt;&lt;div&gt;&lt;h5&gt;&lt;b&gt;School &lt;/b&gt;transmutation [cold]; &lt;b&gt;Level &lt;/b&gt;sorcerer/wizard 7, witch 7&lt;/h5&gt;&lt;/div&gt;&lt;hr/&gt;&lt;div&gt;&lt;h5&gt;&lt;b&gt;CASTING&lt;/b&gt;&lt;/h5&gt;&lt;/div&gt;&lt;hr/&gt;&lt;div&gt;&lt;h5&gt;&lt;b&gt;Casting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minute/level (D)&lt;/h5&gt;&lt;/div&gt;&lt;hr/&gt;&lt;div&gt;&lt;h5&gt;&lt;b&gt;DESCRIPTION&lt;/b&gt;&lt;/h5&gt;&lt;/div&gt;&lt;hr/&gt;&lt;div&gt;&lt;h4&gt;&lt;p&gt;Your form transmutes into living ice, granting you several abilities. You gain the cold subtype and damage reduction 5/ magic. You are immune to ability score damage, blindness, critical hits, deafness, disease, drowning, electricity, poison, stunning, and all spells or attacks that affect your physiology or respiration, because you have no physiology or respiration while this spell is in effect. You cannot drink (and thus can't use potions) or play wind instruments.&lt;/p&gt;&lt;p&gt;Your unarmed attack deals damage equal to a club sized for you (1d4 for Small characters or 1d6 for Medium characters) plus 1 point of cold damage, and you are considered armed when making unarmed attacks. You may burrow through nonmagical ice or snow at your base speed as easily as a fish swims through water. You can move through magical ice and snow if you succeed on a caster level check (1d20 + caster level) against a DC of 11 + the caster level of the effect; you automatically succeed on caster level checks against effects that you created. Your passage through snow and ice in this fashion leaves behind no tunnel or hole.&lt;/p&gt;&lt;/h4&gt;&lt;/div&gt;</t>
  </si>
  <si>
    <t>Your body becomes living ice.</t>
  </si>
  <si>
    <t>Ice Crystal Teleport</t>
  </si>
  <si>
    <t>sorcerer/wizard 6, summoner 5, witch 6</t>
  </si>
  <si>
    <t>1d4 rounds and instantaneous</t>
  </si>
  <si>
    <t>This spell functions as teleport, except you use it to teleport yourself or one other creature to a safe location you specify (the target can bring along objects as long as their weight doesn't exceed the target's heavy load). You can only send the target to a location with which you are very familiar. The target is first trapped in ice (hardness 0, 3 hit points per inch of thickness, 1 inch thick per caster level) for 1d4 rounds, during which time it is paralyzed, aware but unable to take any physical actions, and begins to fade away as the teleportation aspect takes effect. At the end of the 1d4 rounds, the target teleports to the specified location, and the ice's hit points drop to 0 and it quickly melts away. If the ice is destroyed before the target teleports, the spell ends and the teleport doesn't occur.</t>
  </si>
  <si>
    <t>&lt;p&gt;This spell functions as &lt;i&gt;teleport&lt;/i&gt;, except you use it to &lt;i&gt;teleport&lt;/i&gt; yourself or one other creature to a safe location you specify (the target can bring along objects as long as their weight doesn't exceed the target's heavy load). You can only send the target to a location with which you are very familiar. The target is first trapped in ice (hardness 0, 3 hit points per inch of thickness, 1 inch thick per caster level) for 1d4 rounds, during which time it is paralyzed, aware but unable to take any physical actions, and begins to fade away as the &lt;i&gt;teleport&lt;/i&gt;ation aspect takes effect. At the end of the 1d4 rounds, the target &lt;i&gt;teleport&lt;/i&gt;s to the specified location, and the ice's hit points drop to 0 and it quickly melts away. If the ice is destroyed before the target &lt;i&gt;teleport&lt;/i&gt;s, the spell ends and the &lt;i&gt;teleport&lt;/i&gt; doesn't occur.&lt;/p&gt;</t>
  </si>
  <si>
    <t>&lt;link rel="stylesheet"href="PF.css"&gt;&lt;div class="heading"&gt;&lt;p class="alignleft"&gt;Ice Crystal Teleport&lt;/p&gt;&lt;div style="clear: both;"&gt;&lt;/div&gt;&lt;/div&gt;&lt;div&gt;&lt;h5&gt;&lt;b&gt;School &lt;/b&gt;conjuration (teleportation) [cold]; &lt;b&gt;Level &lt;/b&gt;sorcerer/wizard 6, summoner 5, witch 6&lt;/h5&gt;&lt;/div&gt;&lt;hr/&gt;&lt;div&gt;&lt;h5&gt;&lt;b&gt;CASTING&lt;/b&gt;&lt;/h5&gt;&lt;/div&gt;&lt;hr/&gt;&lt;div&gt;&lt;h5&gt;&lt;b&gt;Casting Time &lt;/b&gt;1 standard action&lt;/h5&gt;&lt;h5&gt;&lt;b&gt;Components &lt;/b&gt;V&lt;/h5&gt;&lt;/div&gt;&lt;hr/&gt;&lt;div&gt;&lt;h5&gt;&lt;b&gt;EFFECT&lt;/b&gt;&lt;/h5&gt;&lt;/div&gt;&lt;hr/&gt;&lt;div&gt;&lt;h5&gt;&lt;b&gt;Range &lt;/b&gt;long (400 ft. + 40 ft./level)&lt;/h5&gt;&lt;h5&gt;&lt;b&gt;Targets &lt;/b&gt;one creature&lt;/h5&gt;&lt;h5&gt;&lt;b&gt;Duration &lt;/b&gt;1d4 rounds and instantaneous&lt;/h5&gt;&lt;h5&gt;&lt;b&gt;Saving Throw &lt;/b&gt;Will negates; &lt;b&gt;Spell Resistance &lt;/b&gt;yes&lt;/h5&gt;&lt;/div&gt;&lt;hr/&gt;&lt;div&gt;&lt;h5&gt;&lt;b&gt;DESCRIPTION&lt;/b&gt;&lt;/h5&gt;&lt;/div&gt;&lt;hr/&gt;&lt;div&gt;&lt;h4&gt;&lt;p&gt;This spell functions as &lt;i&gt;teleport&lt;/i&gt;, except you use it to &lt;i&gt;teleport&lt;/i&gt; yourself or one other creature to a safe location you specify (the target can bring along objects as long as their weight doesn't exceed the target's heavy load). You can only send the target to a location with which you are very familiar. The target is first trapped in ice (hardness 0, 3 hit points per inch of thickness, 1 inch thick per caster level) for 1d4 rounds, during which time it is paralyzed, aware but unable to take any physical actions, and begins to fade away as the &lt;i&gt;teleport&lt;/i&gt;ation aspect takes effect. At the end of the 1d4 rounds, the target &lt;i&gt;teleport&lt;/i&gt;s to the specified location, and the ice's hit points drop to 0 and it quickly melts away. If the ice is destroyed before the target &lt;i&gt;teleport&lt;/i&gt;s, the spell ends and the &lt;i&gt;teleport&lt;/i&gt; doesn't occur.&lt;/p&gt;&lt;/h4&gt;&lt;/div&gt;</t>
  </si>
  <si>
    <t>Target is frozen, then teleported.</t>
  </si>
  <si>
    <t>Icicle Dagger</t>
  </si>
  <si>
    <t>one icicle</t>
  </si>
  <si>
    <t>You create a masterwork dagger out of ice. The dagger deals 1 point of cold damage in addition to normal dagger damage. If the dagger leaves your hand for more than 1 round, it melts and the spell ends. At 6th level, the dagger functions as a +1 frost dagger. At 11th level, it gains the returning property when thrown, melting away and reforming in your hand just before your next turn.</t>
  </si>
  <si>
    <t>&lt;p&gt;You create a masterwork dagger out of ice. The dagger deals 1 point of cold damage in addition to normal dagger damage.&lt;/p&gt;&lt;p&gt;If the dagger leaves your hand for more than 1 round, it melts and the spell ends. At 6th level, the dagger functions as a &lt;i&gt;+1 frost dagger&lt;/i&gt;. At 11th level, it gains the &lt;i&gt;returning&lt;/i&gt; property when thrown, melting away and reforming in your hand just before your next turn.&lt;/p&gt;</t>
  </si>
  <si>
    <t>&lt;link rel="stylesheet"href="PF.css"&gt;&lt;div class="heading"&gt;&lt;p class="alignleft"&gt;Icicle Dagger&lt;/p&gt;&lt;div style="clear: both;"&gt;&lt;/div&gt;&lt;/div&gt;&lt;div&gt;&lt;h5&gt;&lt;b&gt;School &lt;/b&gt;conjuration (creation) [cold]; &lt;b&gt;Level &lt;/b&gt;sorcerer/wizard 1, summoner 1, witch 1&lt;/h5&gt;&lt;/div&gt;&lt;hr/&gt;&lt;div&gt;&lt;h5&gt;&lt;b&gt;CASTING&lt;/b&gt;&lt;/h5&gt;&lt;/div&gt;&lt;hr/&gt;&lt;div&gt;&lt;h5&gt;&lt;b&gt;Casting Time &lt;/b&gt;1 standard action&lt;/h5&gt;&lt;h5&gt;&lt;b&gt;Components &lt;/b&gt;V, S&lt;/h5&gt;&lt;/div&gt;&lt;hr/&gt;&lt;div&gt;&lt;h5&gt;&lt;b&gt;EFFECT&lt;/b&gt;&lt;/h5&gt;&lt;/div&gt;&lt;hr/&gt;&lt;div&gt;&lt;h5&gt;&lt;b&gt;Range &lt;/b&gt;0 ft.&lt;/h5&gt;&lt;h5&gt;&lt;b&gt;Effect &lt;/b&gt;one icicle&lt;/h5&gt;&lt;h5&gt;&lt;b&gt;Duration &lt;/b&gt;1 minute/level&lt;/h5&gt;&lt;h5&gt;&lt;b&gt;Saving Throw &lt;/b&gt;none; &lt;b&gt;Spell Resistance &lt;/b&gt;no&lt;/h5&gt;&lt;/div&gt;&lt;hr/&gt;&lt;div&gt;&lt;h5&gt;&lt;b&gt;DESCRIPTION&lt;/b&gt;&lt;/h5&gt;&lt;/div&gt;&lt;hr/&gt;&lt;div&gt;&lt;h4&gt;&lt;p&gt;You create a masterwork dagger out of ice. The dagger deals 1 point of cold damage in addition to normal dagger damage.&lt;/p&gt;&lt;p&gt;If the dagger leaves your hand for more than 1 round, it melts and the spell ends. At 6th level, the dagger functions as a &lt;i&gt;+1 frost dagger&lt;/i&gt;. At 11th level, it gains the &lt;i&gt;returning&lt;/i&gt; property when thrown, melting away and reforming in your hand just before your next turn.&lt;/p&gt;&lt;/h4&gt;&lt;/div&gt;</t>
  </si>
  <si>
    <t>Masterwork ice dagger deals +1 cold damage.</t>
  </si>
  <si>
    <t>Icy Prison</t>
  </si>
  <si>
    <t>medium (10 ft. + 10 ft./level)</t>
  </si>
  <si>
    <t>You trap the target in solid ice 1 inch thick per caster level. If the creature fails its save, it is helpless, but can still breathe (the ice blocks line of effect to the target). If the target makes its save, it gains the entangled condition but can otherwise act normally. Whether or not the target saves, it takes 1 point of cold damage per caster level each round it is helpless or entangled in the ice. The ice has hardness 0 and 3 hit points per inch of thickness; if broken, the creature is freed. A creature can break the ice as a full-round action with a successful Strength check (DC 15 + your caster level).</t>
  </si>
  <si>
    <t>&lt;p&gt;You trap the target in solid ice 1 inch thick per caster level. If the creature fails its save, it is helpless, but can still breathe (the ice blocks line of effect to the target). If the target makes its save, it gains the entangled condition but can otherwise act normally. Whether or not the target saves, it takes 1 point of cold damage per caster level each round it is helpless or entangled in the ice. The ice has hardness 0 and 3 hit points per inch of thickness; if broken, the creature is freed. A creature can break the ice as a full-round action with a successful Strength check (DC 15 + your caster level).&lt;/p&gt;</t>
  </si>
  <si>
    <t>&lt;link rel="stylesheet"href="PF.css"&gt;&lt;div class="heading"&gt;&lt;p class="alignleft"&gt;Icy Prison&lt;/p&gt;&lt;div style="clear: both;"&gt;&lt;/div&gt;&lt;/div&gt;&lt;div&gt;&lt;h5&gt;&lt;b&gt;School &lt;/b&gt;evocation [cold]; &lt;b&gt;Level &lt;/b&gt;sorcerer/wizard 5&lt;/h5&gt;&lt;/div&gt;&lt;hr/&gt;&lt;div&gt;&lt;h5&gt;&lt;b&gt;CASTING&lt;/b&gt;&lt;/h5&gt;&lt;/div&gt;&lt;hr/&gt;&lt;div&gt;&lt;h5&gt;&lt;b&gt;Casting Time &lt;/b&gt;1 standard action&lt;/h5&gt;&lt;h5&gt;&lt;b&gt;Components &lt;/b&gt;V, S&lt;/h5&gt;&lt;/div&gt;&lt;hr/&gt;&lt;div&gt;&lt;h5&gt;&lt;b&gt;EFFECT&lt;/b&gt;&lt;/h5&gt;&lt;/div&gt;&lt;hr/&gt;&lt;div&gt;&lt;h5&gt;&lt;b&gt;Range &lt;/b&gt;medium (10 ft. + 10 ft./level)&lt;/h5&gt;&lt;h5&gt;&lt;b&gt;Targets &lt;/b&gt;one creature&lt;/h5&gt;&lt;h5&gt;&lt;b&gt;Duration &lt;/b&gt;1 minute/level; see text&lt;/h5&gt;&lt;h5&gt;&lt;b&gt;Saving Throw &lt;/b&gt;Reflex partial; &lt;b&gt;Spell Resistance &lt;/b&gt;yes&lt;/h5&gt;&lt;/div&gt;&lt;hr/&gt;&lt;div&gt;&lt;h5&gt;&lt;b&gt;DESCRIPTION&lt;/b&gt;&lt;/h5&gt;&lt;/div&gt;&lt;hr/&gt;&lt;div&gt;&lt;h4&gt;&lt;p&gt;You trap the target in solid ice 1 inch thick per caster level. If the creature fails its save, it is helpless, but can still breathe (the ice blocks line of effect to the target). If the target makes its save, it gains the entangled condition but can otherwise act normally. Whether or not the target saves, it takes 1 point of cold damage per caster level each round it is helpless or entangled in the ice. The ice has hardness 0 and 3 hit points per inch of thickness; if broken, the creature is freed. A creature can break the ice as a full-round action with a successful Strength check (DC 15 + your caster level).&lt;/p&gt;&lt;/h4&gt;&lt;/div&gt;</t>
  </si>
  <si>
    <t>Thick ice holds and damages the target.</t>
  </si>
  <si>
    <t>Icy Prison, Mass</t>
  </si>
  <si>
    <t>one creature/level, no two of which can be more than 30 ft. apart.</t>
  </si>
  <si>
    <t>This spell functions as icy prison, except as noted above.</t>
  </si>
  <si>
    <t>&lt;p&gt;This spell functions as &lt;i&gt;icy prison&lt;/i&gt;, except as noted above.&lt;/p&gt;</t>
  </si>
  <si>
    <t>&lt;link rel="stylesheet"href="PF.css"&gt;&lt;div class="heading"&gt;&lt;p class="alignleft"&gt;Icy Prison, Mass&lt;/p&gt;&lt;div style="clear: both;"&gt;&lt;/div&gt;&lt;/div&gt;&lt;div&gt;&lt;h5&gt;&lt;b&gt;School &lt;/b&gt;evocation [cold]; &lt;b&gt;Level &lt;/b&gt;sorcerer/wizard 9&lt;/h5&gt;&lt;/div&gt;&lt;hr/&gt;&lt;div&gt;&lt;h5&gt;&lt;b&gt;CASTING&lt;/b&gt;&lt;/h5&gt;&lt;/div&gt;&lt;hr/&gt;&lt;div&gt;&lt;h5&gt;&lt;b&gt;Casting Time &lt;/b&gt;1 standard action&lt;/h5&gt;&lt;h5&gt;&lt;b&gt;Components &lt;/b&gt;V, S&lt;/h5&gt;&lt;/div&gt;&lt;hr/&gt;&lt;div&gt;&lt;h5&gt;&lt;b&gt;EFFECT&lt;/b&gt;&lt;/h5&gt;&lt;/div&gt;&lt;hr/&gt;&lt;div&gt;&lt;h5&gt;&lt;b&gt;Range &lt;/b&gt;medium (10 ft. + 10 ft./level)&lt;/h5&gt;&lt;h5&gt;&lt;b&gt;Targets &lt;/b&gt;one creature/level, no two of which can be more than 30 ft. apart.&lt;/h5&gt;&lt;h5&gt;&lt;b&gt;Duration &lt;/b&gt;1 minute/level; see text&lt;/h5&gt;&lt;h5&gt;&lt;b&gt;Saving Throw &lt;/b&gt;Reflex partial; &lt;b&gt;Spell Resistance &lt;/b&gt;yes&lt;/h5&gt;&lt;/div&gt;&lt;hr/&gt;&lt;div&gt;&lt;h5&gt;&lt;b&gt;DESCRIPTION&lt;/b&gt;&lt;/h5&gt;&lt;/div&gt;&lt;hr/&gt;&lt;div&gt;&lt;h4&gt;&lt;p&gt;This spell functions as &lt;i&gt;icy prison&lt;/i&gt;, except as noted above.&lt;/p&gt;&lt;/h4&gt;&lt;/div&gt;</t>
  </si>
  <si>
    <t>As icy prison, but it affects 1 creature/level.</t>
  </si>
  <si>
    <t>Imbue with Aura</t>
  </si>
  <si>
    <t>cleric 2/oracle 2</t>
  </si>
  <si>
    <t>You infuse another creature with your divine aura, causing the target to radiate an aura identical to your own clerical aura. The target's actual alignment is not changed, but spells like detect evil or detect good detect only the aura, not the creature's actual alignment. For the duration of this spell, effects influenced by the target's alignment function according to the imposed aura, not the creature's actual aura. When the spell ends, the target's aura returns to normal, and alignmentaffecting magic affects it according to its actual alignment.</t>
  </si>
  <si>
    <t>&lt;p&gt;You infuse another creature with your divine aura, causing the target to radiate an aura identical to your own clerical aura. The target's actual alignment is not changed, but spells like &lt;i&gt;detect evil&lt;/i&gt; or &lt;i&gt;detect good&lt;/i&gt; detect only the aura, not the creature's actual alignment. For the duration of this spell, effects influenced by the target's alignment function according to the imposed aura, not the creature's actual aura. When the spell ends, the target's aura returns to normal, and alignmentaffecting magic affects it according to its actual alignment.&lt;/p&gt;</t>
  </si>
  <si>
    <t>&lt;link rel="stylesheet"href="PF.css"&gt;&lt;div class="heading"&gt;&lt;p class="alignleft"&gt;Imbue with Aura&lt;/p&gt;&lt;div style="clear: both;"&gt;&lt;/div&gt;&lt;/div&gt;&lt;div&gt;&lt;h5&gt;&lt;b&gt;School &lt;/b&gt;transmutation; &lt;b&gt;Level &lt;/b&gt;cleric 2/oracle 2&lt;/h5&gt;&lt;/div&gt;&lt;hr/&gt;&lt;div&gt;&lt;h5&gt;&lt;b&gt;CASTING&lt;/b&gt;&lt;/h5&gt;&lt;/div&gt;&lt;hr/&gt;&lt;div&gt;&lt;h5&gt;&lt;b&gt;Casting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levels)&lt;/h5&gt;&lt;h5&gt;&lt;b&gt;Targets &lt;/b&gt;one creature&lt;/h5&gt;&lt;h5&gt;&lt;b&gt;Duration &lt;/b&gt;1 minute/level&lt;/h5&gt;&lt;h5&gt;&lt;b&gt;Saving Throw &lt;/b&gt;Will negates (see text); &lt;b&gt;Spell Resistance &lt;/b&gt;yes&lt;/h5&gt;&lt;/div&gt;&lt;hr/&gt;&lt;div&gt;&lt;h5&gt;&lt;b&gt;DESCRIPTION&lt;/b&gt;&lt;/h5&gt;&lt;/div&gt;&lt;hr/&gt;&lt;div&gt;&lt;h4&gt;&lt;p&gt;You infuse another creature with your divine aura, causing the target to radiate an aura identical to your own clerical aura. The target's actual alignment is not changed, but spells like &lt;i&gt;detect evil&lt;/i&gt; or &lt;i&gt;detect good&lt;/i&gt; detect only the aura, not the creature's actual alignment. For the duration of this spell, effects influenced by the target's alignment function according to the imposed aura, not the creature's actual aura. When the spell ends, the target's aura returns to normal, and alignmentaffecting magic affects it according to its actual alignment.&lt;/p&gt;&lt;/h4&gt;&lt;/div&gt;</t>
  </si>
  <si>
    <t>Target emulates your cleric aura.</t>
  </si>
  <si>
    <t>Interplanetary Teleport</t>
  </si>
  <si>
    <t>This spell functions as teleport, except there is truly no range limit and you do not need to have seen your destination, though you must have a solid grasp of which world you wish to travel to ("the third planet from the sun" is an acceptable destination, but "a habitable world near that bright star" is not). If you have a specific location on a planet in mind, you arrive there without a chance of failure; otherwise you arrive at a location that would not immediately be life-threatening. If no such safe landing zone exists on the world, such as someone attempting to travel into the sun without the proper precautions in place, the spell simply fails.</t>
  </si>
  <si>
    <t>&lt;p&gt;This spell functions as &lt;i&gt;teleport&lt;/i&gt;, except there is truly no range limit and you do not need to have seen your destination, though you must have a solid grasp of which world you wish to travel to ("the third planet from the sun" is an acceptable destination, but "a habitable world near that bright star" is not). If you have a specific location on a planet in mind, you arrive there without a chance of failure; otherwise you arrive at a location that would not immediately be life-threatening.&lt;/p&gt;&lt;p&gt;If no such safe landing zone exists on the world, such as someone attempting to travel into the sun without the proper precautions in place, the spell simply fails.&lt;/p&gt;</t>
  </si>
  <si>
    <t>&lt;link rel="stylesheet"href="PF.css"&gt;&lt;div class="heading"&gt;&lt;p class="alignleft"&gt;Interplanetary Teleport&lt;/p&gt;&lt;div style="clear: both;"&gt;&lt;/div&gt;&lt;/div&gt;&lt;div&gt;&lt;h5&gt;&lt;b&gt;School &lt;/b&gt;conjuration (teleportation); &lt;b&gt;Level &lt;/b&gt;cleric 9/oracle 9, sorcerer/wizard 9&lt;/h5&gt;&lt;/div&gt;&lt;hr/&gt;&lt;div&gt;&lt;h5&gt;&lt;b&gt;CASTING&lt;/b&gt;&lt;/h5&gt;&lt;/div&gt;&lt;hr/&gt;&lt;div&gt;&lt;h5&gt;&lt;b&gt;Casting Time &lt;/b&gt;1 standard action&lt;/h5&gt;&lt;h5&gt;&lt;b&gt;Components &lt;/b&gt;V&lt;/h5&gt;&lt;/div&gt;&lt;hr/&gt;&lt;div&gt;&lt;h5&gt;&lt;b&gt;EFFECT&lt;/b&gt;&lt;/h5&gt;&lt;/div&gt;&lt;hr/&gt;&lt;div&gt;&lt;h5&gt;&lt;b&gt;Range &lt;/b&gt;personal and touch&lt;/h5&gt;&lt;h5&gt;&lt;b&gt;Targets &lt;/b&gt;you and touched objects or other touched willing creatures&lt;/h5&gt;&lt;h5&gt;&lt;b&gt;Duration &lt;/b&gt;instantaneous&lt;/h5&gt;&lt;h5&gt;&lt;b&gt;Saving Throw &lt;/b&gt;none and Will negates (object); &lt;b&gt;Spell Resistance &lt;/b&gt;no and yes (object)&lt;/h5&gt;&lt;/div&gt;&lt;hr/&gt;&lt;div&gt;&lt;h5&gt;&lt;b&gt;DESCRIPTION&lt;/b&gt;&lt;/h5&gt;&lt;/div&gt;&lt;hr/&gt;&lt;div&gt;&lt;h4&gt;&lt;p&gt;This spell functions as &lt;i&gt;teleport&lt;/i&gt;, except there is truly no range limit and you do not need to have seen your destination, though you must have a solid grasp of which world you wish to travel to ("the third planet from the sun" is an acceptable destination, but "a habitable world near that bright star" is not). If you have a specific location on a planet in mind, you arrive there without a chance of failure; otherwise you arrive at a location that would not immediately be life-threatening.&lt;/p&gt;&lt;p&gt;If no such safe landing zone exists on the world, such as someone attempting to travel into the sun without the proper precautions in place, the spell simply fails.&lt;/p&gt;&lt;/h4&gt;&lt;/div&gt;</t>
  </si>
  <si>
    <t>Teleport to another planet.</t>
  </si>
  <si>
    <t>Interrogation</t>
  </si>
  <si>
    <t>inquisitor 1, sorcerer/wizard 1, witch 1</t>
  </si>
  <si>
    <t>You question the target, backed up by the threat of magical pain. You may ask one question per two caster levels. The target can either answer the question or take 1d4 points of damage plus your Wisdom bonus. The target is not compelled to answer truthfully, but the threat of pain gives it a -4 penalty on Bluff checks to convince you when it is lying.</t>
  </si>
  <si>
    <t>&lt;p&gt;You question the target, backed up by the threat of magical pain. You may ask one question per two caster levels. The target can either answer the question or take 1d4 points of damage plus your Wisdom bonus. The target is not compelled to answer truthfully, but the threat of pain gives it a -4 penalty on Bluff checks to convince you when it is lying.&lt;/p&gt;</t>
  </si>
  <si>
    <t>&lt;link rel="stylesheet"href="PF.css"&gt;&lt;div class="heading"&gt;&lt;p class="alignleft"&gt;Interrogation&lt;/p&gt;&lt;div style="clear: both;"&gt;&lt;/div&gt;&lt;/div&gt;&lt;div&gt;&lt;h5&gt;&lt;b&gt;School &lt;/b&gt;necromancy [evil, pain]; &lt;b&gt;Level &lt;/b&gt;inquisitor 1, sorcerer/wizard 1, witch 1&lt;/h5&gt;&lt;/div&gt;&lt;hr/&gt;&lt;div&gt;&lt;h5&gt;&lt;b&gt;CASTING&lt;/b&gt;&lt;/h5&gt;&lt;/div&gt;&lt;hr/&gt;&lt;div&gt;&lt;h5&gt;&lt;b&gt;Casting Time &lt;/b&gt;1 round&lt;/h5&gt;&lt;h5&gt;&lt;b&gt;Components &lt;/b&gt;V, S&lt;/h5&gt;&lt;/div&gt;&lt;hr/&gt;&lt;div&gt;&lt;h5&gt;&lt;b&gt;EFFECT&lt;/b&gt;&lt;/h5&gt;&lt;/div&gt;&lt;hr/&gt;&lt;div&gt;&lt;h5&gt;&lt;b&gt;Range &lt;/b&gt;touch&lt;/h5&gt;&lt;h5&gt;&lt;b&gt;Targets &lt;/b&gt;living creature touched&lt;/h5&gt;&lt;h5&gt;&lt;b&gt;Duration &lt;/b&gt;1 minute/level&lt;/h5&gt;&lt;h5&gt;&lt;b&gt;Saving Throw &lt;/b&gt;Fortitude negates; &lt;b&gt;Spell Resistance &lt;/b&gt;yes&lt;/h5&gt;&lt;/div&gt;&lt;hr/&gt;&lt;div&gt;&lt;h5&gt;&lt;b&gt;DESCRIPTION&lt;/b&gt;&lt;/h5&gt;&lt;/div&gt;&lt;hr/&gt;&lt;div&gt;&lt;h4&gt;&lt;p&gt;You question the target, backed up by the threat of magical pain. You may ask one question per two caster levels. The target can either answer the question or take 1d4 points of damage plus your Wisdom bonus. The target is not compelled to answer truthfully, but the threat of pain gives it a -4 penalty on Bluff checks to convince you when it is lying.&lt;/p&gt;&lt;/h4&gt;&lt;/div&gt;</t>
  </si>
  <si>
    <t>Target answers questions or suffers pain.</t>
  </si>
  <si>
    <t>Interrogation, Greater</t>
  </si>
  <si>
    <t>This spell functions as interrogation, except you may ask one question per caster level and the spell deals damage equal to 1d8 points plus your Wisdom bonus if the target doesn't answer a question.</t>
  </si>
  <si>
    <t>&lt;p&gt;This spell functions as &lt;i&gt;interrogation&lt;/i&gt;, except you may ask one question per caster level and the spell deals damage equal to 1d8 points plus your Wisdom bonus if the target doesn't answer a question.&lt;/p&gt;</t>
  </si>
  <si>
    <t>&lt;link rel="stylesheet"href="PF.css"&gt;&lt;div class="heading"&gt;&lt;p class="alignleft"&gt;Interrogation, Greater&lt;/p&gt;&lt;div style="clear: both;"&gt;&lt;/div&gt;&lt;/div&gt;&lt;div&gt;&lt;h5&gt;&lt;b&gt;School &lt;/b&gt;necromancy [evil, pain]; &lt;b&gt;Level &lt;/b&gt;inquisitor 4&lt;/h5&gt;&lt;/div&gt;&lt;hr/&gt;&lt;div&gt;&lt;h5&gt;&lt;b&gt;CASTING&lt;/b&gt;&lt;/h5&gt;&lt;/div&gt;&lt;hr/&gt;&lt;div&gt;&lt;h5&gt;&lt;b&gt;Casting Time &lt;/b&gt;1 round&lt;/h5&gt;&lt;h5&gt;&lt;b&gt;Components &lt;/b&gt;V, S&lt;/h5&gt;&lt;/div&gt;&lt;hr/&gt;&lt;div&gt;&lt;h5&gt;&lt;b&gt;EFFECT&lt;/b&gt;&lt;/h5&gt;&lt;/div&gt;&lt;hr/&gt;&lt;div&gt;&lt;h5&gt;&lt;b&gt;Range &lt;/b&gt;touch&lt;/h5&gt;&lt;h5&gt;&lt;b&gt;Targets &lt;/b&gt;living creature touched&lt;/h5&gt;&lt;h5&gt;&lt;b&gt;Duration &lt;/b&gt;1 minute/level&lt;/h5&gt;&lt;h5&gt;&lt;b&gt;Saving Throw &lt;/b&gt;Fortitude negates; &lt;b&gt;Spell Resistance &lt;/b&gt;yes&lt;/h5&gt;&lt;/div&gt;&lt;hr/&gt;&lt;div&gt;&lt;h5&gt;&lt;b&gt;DESCRIPTION&lt;/b&gt;&lt;/h5&gt;&lt;/div&gt;&lt;hr/&gt;&lt;div&gt;&lt;h4&gt;&lt;p&gt;This spell functions as &lt;i&gt;interrogation&lt;/i&gt;, except you may ask one question per caster level and the spell deals damage equal to 1d8 points plus your Wisdom bonus if the target doesn't answer a question.&lt;/p&gt;&lt;/h4&gt;&lt;/div&gt;</t>
  </si>
  <si>
    <t>As interrogation, except with more pain and more questions.</t>
  </si>
  <si>
    <t>Joyful Rapture</t>
  </si>
  <si>
    <t>bard 5, cleric 6/oracle 6, sorcerer/wizard 7</t>
  </si>
  <si>
    <t>all allies and opponents within a 60-ft.-radius burst centered on you</t>
  </si>
  <si>
    <t>Your inspired words overwhelm others with transcendental bliss. All allies within the area of effect are freed from any harmful emotion effects. The spell also cures 1d4 points of Intelligence, Wisdom, or Charisma damage (your choice) to all allies in the area.</t>
  </si>
  <si>
    <t>&lt;p&gt;Your inspired words overwhelm others with transcendental bliss. All allies within the area of effect are freed from any harmful emotion effects. The spell also cures 1d4 points of Intelligence, Wisdom, or Charisma damage (your choice) to all allies in the area.&lt;/p&gt;</t>
  </si>
  <si>
    <t>&lt;link rel="stylesheet"href="PF.css"&gt;&lt;div class="heading"&gt;&lt;p class="alignleft"&gt;Joyful Rapture&lt;/p&gt;&lt;div style="clear: both;"&gt;&lt;/div&gt;&lt;/div&gt;&lt;div&gt;&lt;h5&gt;&lt;b&gt;School &lt;/b&gt;conjuration (healing) [emotion]; &lt;b&gt;Level &lt;/b&gt;bard 5, cleric 6/oracle 6, sorcerer/wizard 7&lt;/h5&gt;&lt;/div&gt;&lt;hr/&gt;&lt;div&gt;&lt;h5&gt;&lt;b&gt;CASTING&lt;/b&gt;&lt;/h5&gt;&lt;/div&gt;&lt;hr/&gt;&lt;div&gt;&lt;h5&gt;&lt;b&gt;Casting Time &lt;/b&gt;1 standard action&lt;/h5&gt;&lt;h5&gt;&lt;b&gt;Components &lt;/b&gt;V, S&lt;/h5&gt;&lt;/div&gt;&lt;hr/&gt;&lt;div&gt;&lt;h5&gt;&lt;b&gt;EFFECT&lt;/b&gt;&lt;/h5&gt;&lt;/div&gt;&lt;hr/&gt;&lt;div&gt;&lt;h5&gt;&lt;b&gt;Range &lt;/b&gt;60 ft.&lt;/h5&gt;&lt;h5&gt;&lt;b&gt;Area &lt;/b&gt;all allies and opponents within a 60-ft.-radius burst centered on you&lt;/h5&gt;&lt;h5&gt;&lt;b&gt;Duration &lt;/b&gt;instantaneous&lt;/h5&gt;&lt;h5&gt;&lt;b&gt;Saving Throw &lt;/b&gt;no; &lt;b&gt;Spell Resistance &lt;/b&gt;yes&lt;/h5&gt;&lt;/div&gt;&lt;hr/&gt;&lt;div&gt;&lt;h5&gt;&lt;b&gt;DESCRIPTION&lt;/b&gt;&lt;/h5&gt;&lt;/div&gt;&lt;hr/&gt;&lt;div&gt;&lt;h4&gt;&lt;p&gt;Your inspired words overwhelm others with transcendental bliss. All allies within the area of effect are freed from any harmful emotion effects. The spell also cures 1d4 points of Intelligence, Wisdom, or Charisma damage (your choice) to all allies in the area.&lt;/p&gt;&lt;/h4&gt;&lt;/div&gt;</t>
  </si>
  <si>
    <t>Negate harmful emotions.</t>
  </si>
  <si>
    <t>Ki Arrow</t>
  </si>
  <si>
    <t>1 arrow touched</t>
  </si>
  <si>
    <t>Fortitude (object)</t>
  </si>
  <si>
    <t>You imbue an arrow with your power and throw it at a target up to 100 feet away. Make a ranged attack roll. If it hits, the target takes damage from the arrow as if you had hit it with a single unarmed strike (including your Strength bonus).</t>
  </si>
  <si>
    <t>&lt;p&gt;You imbue an arrow with your power and throw it at a target up to 100 feet away. Make a ranged attack roll. If it hits, the target takes damage from the arrow as if you had hit it with a single unarmed strike (including your Strength bonus).&lt;/p&gt;</t>
  </si>
  <si>
    <t>&lt;link rel="stylesheet"href="PF.css"&gt;&lt;div class="heading"&gt;&lt;p class="alignleft"&gt;Ki Arrow&lt;/p&gt;&lt;div style="clear: both;"&gt;&lt;/div&gt;&lt;/div&gt;&lt;div&gt;&lt;h5&gt;&lt;b&gt;School &lt;/b&gt;conjuration; &lt;b&gt;Level &lt;/b&gt;bard 1, sorcerer/wizard 1, witch 1&lt;/h5&gt;&lt;/div&gt;&lt;hr/&gt;&lt;div&gt;&lt;h5&gt;&lt;b&gt;CASTING&lt;/b&gt;&lt;/h5&gt;&lt;/div&gt;&lt;hr/&gt;&lt;div&gt;&lt;h5&gt;&lt;b&gt;Casting Time &lt;/b&gt;1 standard action&lt;/h5&gt;&lt;h5&gt;&lt;b&gt;Components &lt;/b&gt;S&lt;/h5&gt;&lt;/div&gt;&lt;hr/&gt;&lt;div&gt;&lt;h5&gt;&lt;b&gt;EFFECT&lt;/b&gt;&lt;/h5&gt;&lt;/div&gt;&lt;hr/&gt;&lt;div&gt;&lt;h5&gt;&lt;b&gt;Range &lt;/b&gt;touch&lt;/h5&gt;&lt;h5&gt;&lt;b&gt;Targets &lt;/b&gt;1 arrow touched&lt;/h5&gt;&lt;h5&gt;&lt;b&gt;Duration &lt;/b&gt;instantaneous&lt;/h5&gt;&lt;h5&gt;&lt;b&gt;Saving Throw &lt;/b&gt;Fortitude (object); &lt;b&gt;Spell Resistance &lt;/b&gt;yes (object)&lt;/h5&gt;&lt;/div&gt;&lt;hr/&gt;&lt;div&gt;&lt;h5&gt;&lt;b&gt;DESCRIPTION&lt;/b&gt;&lt;/h5&gt;&lt;/div&gt;&lt;hr/&gt;&lt;div&gt;&lt;h4&gt;&lt;p&gt;You imbue an arrow with your power and throw it at a target up to 100 feet away. Make a ranged attack roll. If it hits, the target takes damage from the arrow as if you had hit it with a single unarmed strike (including your Strength bonus).&lt;/p&gt;&lt;/h4&gt;&lt;/div&gt;</t>
  </si>
  <si>
    <t>Arrow deals damage as your unarmed strike.</t>
  </si>
  <si>
    <t>Ki Leech</t>
  </si>
  <si>
    <t>cleric 3/oracle 3, sorcerer/wizard 3, witch 3</t>
  </si>
  <si>
    <t>You place your spirit in a receptive state so when you confirm a critical hit against a living enemy or reduce a living enemy to 0 or fewer hit points, you can steal some of that creature's ki. This replenishes 1 point of ki as long as you have at least 1 ki point in your ki pool. This does not allow you to exceed your ki pool's maximum. This ability does not stack with similar abilities (such as the steal ki ability of the hungry ghost monk in the Advanced Player's Guide). This spell has no effect if you do not have a ki pool.</t>
  </si>
  <si>
    <t>&lt;p&gt;You place your spirit in a receptive state so when you confirm a critical hit against a living enemy or reduce a living enemy to 0 or fewer hit points, you can steal some of that creature's &lt;i&gt;ki&lt;/i&gt;. This replenishes 1 point of &lt;i&gt;ki&lt;/i&gt; as long as you have at least 1 &lt;i&gt;ki&lt;/i&gt; point in your &lt;i&gt;ki&lt;/i&gt; pool. This does not allow you to exceed your &lt;i&gt;ki&lt;/i&gt; pool's maximum. This ability does not stack with similar abilities (such as the steal &lt;i&gt;ki&lt;/i&gt; ability of the hungry ghost monk in the Advanced Player's Guide).&lt;/p&gt;&lt;p&gt;This spell has no effect if you do not have a &lt;i&gt;ki&lt;/i&gt; pool.&lt;/p&gt;</t>
  </si>
  <si>
    <t>&lt;link rel="stylesheet"href="PF.css"&gt;&lt;div class="heading"&gt;&lt;p class="alignleft"&gt;Ki Leech&lt;/p&gt;&lt;div style="clear: both;"&gt;&lt;/div&gt;&lt;/div&gt;&lt;div&gt;&lt;h5&gt;&lt;b&gt;School &lt;/b&gt;necromancy [evil]; &lt;b&gt;Level &lt;/b&gt;cleric 3/oracle 3, sorcerer/wizard 3, witch 3&lt;/h5&gt;&lt;/div&gt;&lt;hr/&gt;&lt;div&gt;&lt;h5&gt;&lt;b&gt;CASTING&lt;/b&gt;&lt;/h5&gt;&lt;/div&gt;&lt;hr/&gt;&lt;div&gt;&lt;h5&gt;&lt;b&gt;Casting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minute/level (D)&lt;/h5&gt;&lt;/div&gt;&lt;hr/&gt;&lt;div&gt;&lt;h5&gt;&lt;b&gt;DESCRIPTION&lt;/b&gt;&lt;/h5&gt;&lt;/div&gt;&lt;hr/&gt;&lt;div&gt;&lt;h4&gt;&lt;p&gt;You place your spirit in a receptive state so when you confirm a critical hit against a living enemy or reduce a living enemy to 0 or fewer hit points, you can steal some of that creature's &lt;i&gt;ki&lt;/i&gt;. This replenishes 1 point of &lt;i&gt;ki&lt;/i&gt; as long as you have at least 1 &lt;i&gt;ki&lt;/i&gt; point in your &lt;i&gt;ki&lt;/i&gt; pool. This does not allow you to exceed your &lt;i&gt;ki&lt;/i&gt; pool's maximum. This ability does not stack with similar abilities (such as the steal &lt;i&gt;ki&lt;/i&gt; ability of the hungry ghost monk in the Advanced Player's Guide).&lt;/p&gt;&lt;p&gt;This spell has no effect if you do not have a &lt;i&gt;ki&lt;/i&gt; pool.&lt;/p&gt;&lt;/h4&gt;&lt;/div&gt;</t>
  </si>
  <si>
    <t>Add to your ki pool when you critically hit.</t>
  </si>
  <si>
    <t>Ki Shout</t>
  </si>
  <si>
    <t>bard 5, sorcerer/wizard 7</t>
  </si>
  <si>
    <t>close (25 ft + 5 ft./2 levels)</t>
  </si>
  <si>
    <t>With a guttural bark, you unleash a sudden blast of sonic energy that strikes your opponent. The target takes 1d6 points of sonic damage per level (maximum 20d6) and is stunned for 1 round; a successful Fortitude save reduces the damage by half and negates the stun.</t>
  </si>
  <si>
    <t>&lt;p&gt;With a guttural bark, you unleash a sudden blast of sonic energy that strikes your opponent. The target takes 1d6 points of sonic damage per level (maximum 20d6) and is stunned for 1 round; a successful Fortitude save reduces the damage by half and negates the stun.&lt;/p&gt;</t>
  </si>
  <si>
    <t>&lt;link rel="stylesheet"href="PF.css"&gt;&lt;div class="heading"&gt;&lt;p class="alignleft"&gt;Ki Shout&lt;/p&gt;&lt;div style="clear: both;"&gt;&lt;/div&gt;&lt;/div&gt;&lt;div&gt;&lt;h5&gt;&lt;b&gt;School &lt;/b&gt;evocation [sonic]; &lt;b&gt;Level &lt;/b&gt;bard 5, sorcerer/wizard 7&lt;/h5&gt;&lt;/div&gt;&lt;hr/&gt;&lt;div&gt;&lt;h5&gt;&lt;b&gt;CASTING&lt;/b&gt;&lt;/h5&gt;&lt;/div&gt;&lt;hr/&gt;&lt;div&gt;&lt;h5&gt;&lt;b&gt;Casting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living creature&lt;/h5&gt;&lt;h5&gt;&lt;b&gt;Duration &lt;/b&gt;instantaneous&lt;/h5&gt;&lt;h5&gt;&lt;b&gt;Saving Throw &lt;/b&gt;Fortitude partial (see text); &lt;b&gt;Spell Resistance &lt;/b&gt;yes&lt;/h5&gt;&lt;/div&gt;&lt;hr/&gt;&lt;div&gt;&lt;h5&gt;&lt;b&gt;DESCRIPTION&lt;/b&gt;&lt;/h5&gt;&lt;/div&gt;&lt;hr/&gt;&lt;div&gt;&lt;h4&gt;&lt;p&gt;With a guttural bark, you unleash a sudden blast of sonic energy that strikes your opponent. The target takes 1d6 points of sonic damage per level (maximum 20d6) and is stunned for 1 round; a successful Fortitude save reduces the damage by half and negates the stun.&lt;/p&gt;&lt;/h4&gt;&lt;/div&gt;</t>
  </si>
  <si>
    <t>Target takes 1d6 sonic/level and is stunned.</t>
  </si>
  <si>
    <t>Know The Enemy</t>
  </si>
  <si>
    <t>cleric/oracle 1, inquisitor 1, paladin 1, ranger 1</t>
  </si>
  <si>
    <t>S, V, DF</t>
  </si>
  <si>
    <t>You commune with the divine, reflecting on one type of creature you encountered in the last day. You may make a Knowledge check regarding that creature type with a +10 insight bonus.</t>
  </si>
  <si>
    <t>&lt;p&gt;You commune with the divine, reflecting on one type of creature you encountered in the last day. You may make a Knowledge check regarding that creature type with a +10 insight bonus.&lt;/p&gt;</t>
  </si>
  <si>
    <t>&lt;link rel="stylesheet"href="PF.css"&gt;&lt;div class="heading"&gt;&lt;p class="alignleft"&gt;Know The Enemy&lt;/p&gt;&lt;div style="clear: both;"&gt;&lt;/div&gt;&lt;/div&gt;&lt;div&gt;&lt;h5&gt;&lt;b&gt;School &lt;/b&gt;divination; &lt;b&gt;Level &lt;/b&gt;cleric/oracle 1, inquisitor 1, paladin 1, ranger 1&lt;/h5&gt;&lt;/div&gt;&lt;hr/&gt;&lt;div&gt;&lt;h5&gt;&lt;b&gt;CASTING&lt;/b&gt;&lt;/h5&gt;&lt;/div&gt;&lt;hr/&gt;&lt;div&gt;&lt;h5&gt;&lt;b&gt;Casting Time &lt;/b&gt;1 minute&lt;/h5&gt;&lt;h5&gt;&lt;b&gt;Components &lt;/b&gt;S, V, DF&lt;/h5&gt;&lt;/div&gt;&lt;hr/&gt;&lt;div&gt;&lt;h5&gt;&lt;b&gt;EFFECT&lt;/b&gt;&lt;/h5&gt;&lt;/div&gt;&lt;hr/&gt;&lt;div&gt;&lt;h5&gt;&lt;b&gt;Range &lt;/b&gt;personal&lt;/h5&gt;&lt;h5&gt;&lt;b&gt;Targets &lt;/b&gt;you&lt;/h5&gt;&lt;h5&gt;&lt;b&gt;Duration &lt;/b&gt;instantaneous&lt;/h5&gt;&lt;h5&gt;&lt;b&gt;Saving Throw &lt;/b&gt;none; &lt;b&gt;Spell Resistance &lt;/b&gt;no&lt;/h5&gt;&lt;/div&gt;&lt;hr/&gt;&lt;div&gt;&lt;h5&gt;&lt;b&gt;DESCRIPTION&lt;/b&gt;&lt;/h5&gt;&lt;/div&gt;&lt;hr/&gt;&lt;div&gt;&lt;h4&gt;&lt;p&gt;You commune with the divine, reflecting on one type of creature you encountered in the last day. You may make a Knowledge check regarding that creature type with a +10 insight bonus.&lt;/p&gt;&lt;/h4&gt;&lt;h5&gt;&lt;b&gt;Mythic: &lt;/b&gt;The insight bonus increases to +15 plus your tier. If the check is successful, you gain a +5 insight bonus on your next attack roll or saving throw against a creature of that type, as long as the roll occurs within 24 hours of casting the spell.&lt;/h5&gt;&lt;/div&gt;</t>
  </si>
  <si>
    <t>Gain +10 on a monster Knowledge check.</t>
  </si>
  <si>
    <t>The insight bonus increases to +15 plus your tier. If the check is successful, you gain a +5 insight bonus on your next attack roll or saving throw against a creature of that type, as long as the roll occurs within 24 hours of casting the spell.</t>
  </si>
  <si>
    <t>Leashed Shackles</t>
  </si>
  <si>
    <t>medium (100 ft. +10 ft./level)</t>
  </si>
  <si>
    <t>You create shackles of force that attach to the target's limbs. You designate an object or location within 30 feet of the target for the shackles to anchor themselves to; this must be the ground, a wall, or a sturdy structure for the anchoring to occur. The target is entangled, and cannot move more than 30 feet from the anchor point of the spell. The shackle itself cannot be attacked (though it can be dispelled), but if the object or area it is attached to is broken, the target is free to move away (though it is still entangled).</t>
  </si>
  <si>
    <t>&lt;p&gt;You create shackles of force that attach to the target's limbs. You designate an object or location within 30 feet of the target for the shackles to anchor themselves to; this must be the ground, a wall, or a sturdy structure for the anchoring to occur. The target is entangled, and cannot move more than 30 feet from the anchor point of the spell. The shackle itself cannot be attacked (though it can be dispelled), but if the object or area it is attached to is broken, the target is free to move away (though it is still entangled).&lt;/p&gt;</t>
  </si>
  <si>
    <t>&lt;link rel="stylesheet"href="PF.css"&gt;&lt;div class="heading"&gt;&lt;p class="alignleft"&gt;Leashed Shackles&lt;/p&gt;&lt;div style="clear: both;"&gt;&lt;/div&gt;&lt;/div&gt;&lt;div&gt;&lt;h5&gt;&lt;b&gt;School &lt;/b&gt;evocation [force]; &lt;b&gt;Level &lt;/b&gt;inquisitor 4, sorcerer/wizard 6&lt;/h5&gt;&lt;/div&gt;&lt;hr/&gt;&lt;div&gt;&lt;h5&gt;&lt;b&gt;CASTING&lt;/b&gt;&lt;/h5&gt;&lt;/div&gt;&lt;hr/&gt;&lt;div&gt;&lt;h5&gt;&lt;b&gt;Casting Time &lt;/b&gt;1 standard action&lt;/h5&gt;&lt;h5&gt;&lt;b&gt;Components &lt;/b&gt;V, S&lt;/h5&gt;&lt;/div&gt;&lt;hr/&gt;&lt;div&gt;&lt;h5&gt;&lt;b&gt;EFFECT&lt;/b&gt;&lt;/h5&gt;&lt;/div&gt;&lt;hr/&gt;&lt;div&gt;&lt;h5&gt;&lt;b&gt;Range &lt;/b&gt;medium (100 ft. +10 ft./level)&lt;/h5&gt;&lt;h5&gt;&lt;b&gt;Targets &lt;/b&gt;one creature&lt;/h5&gt;&lt;h5&gt;&lt;b&gt;Duration &lt;/b&gt;1 minute/level&lt;/h5&gt;&lt;h5&gt;&lt;b&gt;Saving Throw &lt;/b&gt;Reflex negates; &lt;b&gt;Spell Resistance &lt;/b&gt;yes&lt;/h5&gt;&lt;/div&gt;&lt;hr/&gt;&lt;div&gt;&lt;h5&gt;&lt;b&gt;DESCRIPTION&lt;/b&gt;&lt;/h5&gt;&lt;/div&gt;&lt;hr/&gt;&lt;div&gt;&lt;h4&gt;&lt;p&gt;You create shackles of force that attach to the target's limbs. You designate an object or location within 30 feet of the target for the shackles to anchor themselves to; this must be the ground, a wall, or a sturdy structure for the anchoring to occur. The target is entangled, and cannot move more than 30 feet from the anchor point of the spell. The shackle itself cannot be attacked (though it can be dispelled), but if the object or area it is attached to is broken, the target is free to move away (though it is still entangled).&lt;/p&gt;&lt;/h4&gt;&lt;/div&gt;</t>
  </si>
  <si>
    <t>Target is restricted to a specific location.</t>
  </si>
  <si>
    <t>Lend Judgment</t>
  </si>
  <si>
    <t>one ally</t>
  </si>
  <si>
    <t>You create a conduit of divine knowledge and outrage between you and an ally. That ally gains the benefit of one of your active judgments (as do you). If you cannot use a judgment (for example, if you are not in combat, are frightened or unconscious, and so on) or change judgments, the ally loses the benefit of the judgment. If you have multiple judgments active, the ally gains only one, chosen when you cast this spell.</t>
  </si>
  <si>
    <t>&lt;p&gt;You create a conduit of divine knowledge and outrage between you and an ally. That ally gains the benefit of one of your active judgments (as do you). If you cannot use a judgment (for example, if you are not in combat, are frightened or unconscious, and so on) or change judgments, the ally loses the benefit of the judgment. If you have multiple judgments active, the ally gains only one, chosen when you cast this spell.&lt;/p&gt;</t>
  </si>
  <si>
    <t>&lt;link rel="stylesheet"href="PF.css"&gt;&lt;div class="heading"&gt;&lt;p class="alignleft"&gt;Lend Judgment&lt;/p&gt;&lt;div style="clear: both;"&gt;&lt;/div&gt;&lt;/div&gt;&lt;div&gt;&lt;h5&gt;&lt;b&gt;School &lt;/b&gt;divination; &lt;b&gt;Level &lt;/b&gt;inquisitor 1&lt;/h5&gt;&lt;/div&gt;&lt;hr/&gt;&lt;div&gt;&lt;h5&gt;&lt;b&gt;CASTING&lt;/b&gt;&lt;/h5&gt;&lt;/div&gt;&lt;hr/&gt;&lt;div&gt;&lt;h5&gt;&lt;b&gt;Casting Time &lt;/b&gt;1 standard action&lt;/h5&gt;&lt;h5&gt;&lt;b&gt;Components &lt;/b&gt;V, DF&lt;/h5&gt;&lt;/div&gt;&lt;hr/&gt;&lt;div&gt;&lt;h5&gt;&lt;b&gt;EFFECT&lt;/b&gt;&lt;/h5&gt;&lt;/div&gt;&lt;hr/&gt;&lt;div&gt;&lt;h5&gt;&lt;b&gt;Range &lt;/b&gt;touch&lt;/h5&gt;&lt;h5&gt;&lt;b&gt;Targets &lt;/b&gt;one ally&lt;/h5&gt;&lt;h5&gt;&lt;b&gt;Duration &lt;/b&gt;1 round/level&lt;/h5&gt;&lt;h5&gt;&lt;b&gt;Saving Throw &lt;/b&gt;Will negates (harmless); &lt;b&gt;Spell Resistance &lt;/b&gt;yes (harmless)&lt;/h5&gt;&lt;/div&gt;&lt;hr/&gt;&lt;div&gt;&lt;h5&gt;&lt;b&gt;DESCRIPTION&lt;/b&gt;&lt;/h5&gt;&lt;/div&gt;&lt;hr/&gt;&lt;div&gt;&lt;h4&gt;&lt;p&gt;You create a conduit of divine knowledge and outrage between you and an ally. That ally gains the benefit of one of your active judgments (as do you). If you cannot use a judgment (for example, if you are not in combat, are frightened or unconscious, and so on) or change judgments, the ally loses the benefit of the judgment. If you have multiple judgments active, the ally gains only one, chosen when you cast this spell.&lt;/p&gt;&lt;/h4&gt;&lt;/div&gt;</t>
  </si>
  <si>
    <t>Ally gains the benefit of one judgment.</t>
  </si>
  <si>
    <t>Lend Judgment, Greater</t>
  </si>
  <si>
    <t>This functions as lend judgment, except the ally gains the benefit of all your active judgments.</t>
  </si>
  <si>
    <t>&lt;p&gt;This functions as &lt;i&gt;lend judgment&lt;/i&gt;, except the ally gains the benefit of all your active judgments.&lt;/p&gt;</t>
  </si>
  <si>
    <t>&lt;link rel="stylesheet"href="PF.css"&gt;&lt;div class="heading"&gt;&lt;p class="alignleft"&gt;Lend Judgment, Greater&lt;/p&gt;&lt;div style="clear: both;"&gt;&lt;/div&gt;&lt;/div&gt;&lt;div&gt;&lt;h5&gt;&lt;b&gt;School &lt;/b&gt;divination; &lt;b&gt;Level &lt;/b&gt;inquisitor 5&lt;/h5&gt;&lt;/div&gt;&lt;hr/&gt;&lt;div&gt;&lt;h5&gt;&lt;b&gt;CASTING&lt;/b&gt;&lt;/h5&gt;&lt;/div&gt;&lt;hr/&gt;&lt;div&gt;&lt;h5&gt;&lt;b&gt;Casting Time &lt;/b&gt;1 standard action&lt;/h5&gt;&lt;h5&gt;&lt;b&gt;Components &lt;/b&gt;V, DF&lt;/h5&gt;&lt;/div&gt;&lt;hr/&gt;&lt;div&gt;&lt;h5&gt;&lt;b&gt;EFFECT&lt;/b&gt;&lt;/h5&gt;&lt;/div&gt;&lt;hr/&gt;&lt;div&gt;&lt;h5&gt;&lt;b&gt;Range &lt;/b&gt;touch&lt;/h5&gt;&lt;h5&gt;&lt;b&gt;Targets &lt;/b&gt;one ally&lt;/h5&gt;&lt;h5&gt;&lt;b&gt;Duration &lt;/b&gt;1 round/level&lt;/h5&gt;&lt;h5&gt;&lt;b&gt;Saving Throw &lt;/b&gt;Will negates (harmless); &lt;b&gt;Spell Resistance &lt;/b&gt;yes (harmless)&lt;/h5&gt;&lt;/div&gt;&lt;hr/&gt;&lt;div&gt;&lt;h5&gt;&lt;b&gt;DESCRIPTION&lt;/b&gt;&lt;/h5&gt;&lt;/div&gt;&lt;hr/&gt;&lt;div&gt;&lt;h4&gt;&lt;p&gt;This functions as &lt;i&gt;lend judgment&lt;/i&gt;, except the ally gains the benefit of all your active judgments.&lt;/p&gt;&lt;/h4&gt;&lt;/div&gt;</t>
  </si>
  <si>
    <t>Ally receives all your judgments.</t>
  </si>
  <si>
    <t>Lightning Arc</t>
  </si>
  <si>
    <t>V, S, M (fur and two glass figurines)</t>
  </si>
  <si>
    <t>two creatures or objects which must be no more than 60 ft. apart</t>
  </si>
  <si>
    <t>yes (see text)</t>
  </si>
  <si>
    <t>You generate an arc of lightning between two targets. The lightning deals 1d6 points of electricity damage per caster level (maximum 15d6) to both targets and any creatures in a line connecting them. The spell fails if there is no line of effect between the targets. Lightning arc sets fire to combustibles and damages objects in its path. It can melt metals that have a low melting point, such as lead, gold, copper, silver, or bronze.</t>
  </si>
  <si>
    <t>&lt;p&gt;You generate an arc of lightning between two targets. The lightning deals 1d6 points of electricity damage per caster level (maximum 15d6) to both targets and any creatures in a line connecting them. The spell fails if there is no line of effect between the targets. &lt;i&gt;Lightning arc&lt;/i&gt; sets fire to combustibles and damages objects in its path. It can melt metals that have a low melting point, such as lead, gold, copper, silver, or bronze.&lt;/p&gt;</t>
  </si>
  <si>
    <t>&lt;link rel="stylesheet"href="PF.css"&gt;&lt;div class="heading"&gt;&lt;p class="alignleft"&gt;Lightning Arc&lt;/p&gt;&lt;div style="clear: both;"&gt;&lt;/div&gt;&lt;/div&gt;&lt;div&gt;&lt;h5&gt;&lt;b&gt;School &lt;/b&gt;evocation [electricity]; &lt;b&gt;Level &lt;/b&gt;sorcerer/wizard 5&lt;/h5&gt;&lt;/div&gt;&lt;hr/&gt;&lt;div&gt;&lt;h5&gt;&lt;b&gt;CASTING&lt;/b&gt;&lt;/h5&gt;&lt;/div&gt;&lt;hr/&gt;&lt;div&gt;&lt;h5&gt;&lt;b&gt;Casting Time &lt;/b&gt;1 standard action&lt;/h5&gt;&lt;h5&gt;&lt;b&gt;Components &lt;/b&gt;V, S, M (fur and two glass figurines)&lt;/h5&gt;&lt;/div&gt;&lt;hr/&gt;&lt;div&gt;&lt;h5&gt;&lt;b&gt;EFFECT&lt;/b&gt;&lt;/h5&gt;&lt;/div&gt;&lt;hr/&gt;&lt;div&gt;&lt;h5&gt;&lt;b&gt;Range &lt;/b&gt;long (400 ft. + 40 ft./level)&lt;/h5&gt;&lt;h5&gt;&lt;b&gt;Targets &lt;/b&gt;two creatures or objects which must be no more than 60 ft. apart&lt;/h5&gt;&lt;h5&gt;&lt;b&gt;Duration &lt;/b&gt;instantaneous&lt;/h5&gt;&lt;h5&gt;&lt;b&gt;Saving Throw &lt;/b&gt;Reflex half; &lt;b&gt;Spell Resistance &lt;/b&gt;yes (see text)&lt;/h5&gt;&lt;/div&gt;&lt;hr/&gt;&lt;div&gt;&lt;h5&gt;&lt;b&gt;DESCRIPTION&lt;/b&gt;&lt;/h5&gt;&lt;/div&gt;&lt;hr/&gt;&lt;div&gt;&lt;h4&gt;&lt;p&gt;You generate an arc of lightning between two targets. The lightning deals 1d6 points of electricity damage per caster level (maximum 15d6) to both targets and any creatures in a line connecting them. The spell fails if there is no line of effect between the targets. &lt;i&gt;Lightning arc&lt;/i&gt; sets fire to combustibles and damages objects in its path. It can melt metals that have a low melting point, such as lead, gold, copper, silver, or bronze.&lt;/p&gt;&lt;/h4&gt;&lt;h5&gt;&lt;b&gt;Mythic: &lt;/b&gt;The damage dealt increases to 1d8 points of electricity damage per caster level (maximum 15d8). A target that fails its save is blinded by the flash for 1 round and deafened by thunder for 1d4 rounds.&lt;/h5&gt;&lt;h5&gt;&lt;b&gt;Augmented (6th)&lt;/b&gt;: If you expend two uses of mythic power, the two targets can be up to 120 feet apart, the lightning can turn once up to 90 degrees to connect the targets, and the spell's electrical damage bypasses electricity resistance and electricity immunity.&lt;/h5&gt;&lt;/div&gt;</t>
  </si>
  <si>
    <t>Targets in a line take 1d6 electricity/level.</t>
  </si>
  <si>
    <t>The damage dealt increases to 1d8 points of electricity damage per caster level (maximum 15d8). A target that fails its save is blinded by the flash for 1 round and deafened by thunder for 1d4 rounds.</t>
  </si>
  <si>
    <t>Augmented (6th): If you expend two uses of mythic power, the two targets can be up to 120 feet apart, the lightning can turn once up to 90 degrees to connect the targets, and the spell's electrical damage bypasses electricity resistance and electricity immunity.</t>
  </si>
  <si>
    <t>Loathsome Veil</t>
  </si>
  <si>
    <t>V, S, M (a tangle of multicolored threads)</t>
  </si>
  <si>
    <t>transparent pattern 40 ft. long, 20 ft. high</t>
  </si>
  <si>
    <t>This spell creates a transparent veil of shifting, multicolored strands of light that form into endlessly varied and alien patterns. One side of the veil, chosen by you at the time of casting, is harmless. The other side twists and turns into impossible shapes, affecting any creature with 60 feet who views the veil. The veil affects a maximum of 24 Hit Dice of creatures. Creatures with the fewest HD are affected first. Among creatures with equal HD, those who are closest to the spell are affected first. The effect is according to the creature's HD. 4 HD or fewer: The creature is nauseated while it can see the veil, nauseated for 1d4 rounds after it last saw the veil, then sickened for 2d4 rounds after it last saw the veil. 8 HD or fewer: The creature is nauseated for 1d4 rounds, sickened while it can see the veil, then sickened for 1d4 rounds after it last saw the veil. 9 or more HD: The creature is sickened while it can see the veil. A successful saving throw ignores all effects of the veil. Sightless creatures are not affected by loathsome veil. Affected creatures can avert or close their eyes to avoid seeing the veil, similar to avoiding a gaze attack. Loathsome veil can be made permanent with the permanency spell by a caster of 10th level or higher for the cost of 7,500 gp.</t>
  </si>
  <si>
    <t>&lt;p&gt;This spell creates a transparent veil of shifting, multicolored strands of light that form into endlessly varied and alien patterns. One side of the veil, chosen by you at the time of casting, is harmless. The other side twists and turns into impossible shapes, affecting any creature with 60 feet who views the veil. The veil affects a maximum of 24 Hit Dice of creatures. Creatures with the fewest HD are affected first.&lt;/p&gt;&lt;p&gt;Among creatures with equal HD, those who are closest to the spell are affected first. The effect is according to the creature's HD.&lt;/p&gt;&lt;p&gt;4 HD or fewer: The creature is nauseated while it can see the veil, nauseated for 1d4 rounds after it last saw the veil, then sickened for 2d4 rounds after it last saw the veil.&lt;/p&gt;&lt;p&gt;8 HD or fewer: The creature is nauseated for 1d4 rounds, sickened while it can see the veil, then sickened for 1d4 rounds after it last saw the veil.&lt;/p&gt;&lt;p&gt;&lt;i&gt;9 or more H&lt;/i&gt;D: The creature is sickened while it can see the veil.&lt;/p&gt;&lt;p&gt;A successful saving throw ignores all effects of the veil.&lt;/p&gt;&lt;p&gt;Sightless creatures are not affected by &lt;i&gt;loathsome veil&lt;/i&gt;.&lt;/p&gt;&lt;p&gt;Affected creatures can avert or close their eyes to avoid seeing the veil, similar to avoiding a gaze attack.&lt;/p&gt;&lt;p&gt;&lt;i&gt;Loathsome veil&lt;/i&gt; can be made permanent with the &lt;i&gt;permanency&lt;/i&gt; spell by a caster of 10th level or higher for the cost of 7,500 gp.&lt;/p&gt;</t>
  </si>
  <si>
    <t>&lt;link rel="stylesheet"href="PF.css"&gt;&lt;div class="heading"&gt;&lt;p class="alignleft"&gt;Loathsome Veil&lt;/p&gt;&lt;div style="clear: both;"&gt;&lt;/div&gt;&lt;/div&gt;&lt;div&gt;&lt;h5&gt;&lt;b&gt;School &lt;/b&gt;illusion (pattern) [mind-affecting]; &lt;b&gt;Level &lt;/b&gt;sorcerer/wizard 3, witch 3&lt;/h5&gt;&lt;/div&gt;&lt;hr/&gt;&lt;div&gt;&lt;h5&gt;&lt;b&gt;CASTING&lt;/b&gt;&lt;/h5&gt;&lt;/div&gt;&lt;hr/&gt;&lt;div&gt;&lt;h5&gt;&lt;b&gt;Casting Time &lt;/b&gt;1 standard action&lt;/h5&gt;&lt;h5&gt;&lt;b&gt;Components &lt;/b&gt;V, S, M (a tangle of multicolored threads)&lt;/h5&gt;&lt;/div&gt;&lt;hr/&gt;&lt;div&gt;&lt;h5&gt;&lt;b&gt;EFFECT&lt;/b&gt;&lt;/h5&gt;&lt;/div&gt;&lt;hr/&gt;&lt;div&gt;&lt;h5&gt;&lt;b&gt;Range &lt;/b&gt;close (25 ft. + 5 ft./2 levels)&lt;/h5&gt;&lt;h5&gt;&lt;b&gt;Effect &lt;/b&gt;transparent pattern 40 ft. long, 20 ft. high&lt;/h5&gt;&lt;h5&gt;&lt;b&gt;Duration &lt;/b&gt;concentration + 1 round/level (D)&lt;/h5&gt;&lt;h5&gt;&lt;b&gt;Saving Throw &lt;/b&gt;Will negates; &lt;b&gt;Spell Resistance &lt;/b&gt;yes&lt;/h5&gt;&lt;/div&gt;&lt;hr/&gt;&lt;div&gt;&lt;h5&gt;&lt;b&gt;DESCRIPTION&lt;/b&gt;&lt;/h5&gt;&lt;/div&gt;&lt;hr/&gt;&lt;div&gt;&lt;h4&gt;&lt;p&gt;This spell creates a transparent veil of shifting, multicolored strands of light that form into endlessly varied and alien patterns. One side of the veil, chosen by you at the time of casting, is harmless. The other side twists and turns into impossible shapes, affecting any creature with 60 feet who views the veil. The veil affects a maximum of 24 Hit Dice of creatures. Creatures with the fewest HD are affected first.&lt;/p&gt;&lt;p&gt;Among creatures with equal HD, those who are closest to the spell are affected first. The effect is according to the creature's HD.&lt;/p&gt;&lt;p&gt;4 HD or fewer: The creature is nauseated while it can see the veil, nauseated for 1d4 rounds after it last saw the veil, then sickened for 2d4 rounds after it last saw the veil.&lt;/p&gt;&lt;p&gt;8 HD or fewer: The creature is nauseated for 1d4 rounds, sickened while it can see the veil, then sickened for 1d4 rounds after it last saw the veil.&lt;/p&gt;&lt;p&gt;&lt;i&gt;9 or more H&lt;/i&gt;D: The creature is sickened while it can see the veil.&lt;/p&gt;&lt;p&gt;A successful saving throw ignores all effects of the veil.&lt;/p&gt;&lt;p&gt;Sightless creatures are not affected by &lt;i&gt;loathsome veil&lt;/i&gt;.&lt;/p&gt;&lt;p&gt;Affected creatures can avert or close their eyes to avoid seeing the veil, similar to avoiding a gaze attack.&lt;/p&gt;&lt;p&gt;&lt;i&gt;Loathsome veil&lt;/i&gt; can be made permanent with the &lt;i&gt;permanency&lt;/i&gt; spell by a caster of 10th level or higher for the cost of 7,500 gp.&lt;/p&gt;&lt;/h4&gt;&lt;/div&gt;</t>
  </si>
  <si>
    <t>Nauseate and/or sicken weak creatures.</t>
  </si>
  <si>
    <t>Lunar Veil</t>
  </si>
  <si>
    <t>darkness, shadow</t>
  </si>
  <si>
    <t>120-ft.-radius emanation</t>
  </si>
  <si>
    <t>Will negates, see text</t>
  </si>
  <si>
    <t>You conjure a tremendous area of shadow to obscure moonlight within the area, creating something akin to a lunar eclipse. The light level is lowered by two steps (though unlike deeper darkness, areas of normal light or dimmer become normal darkness rather than supernaturally dark). Lycanthropes in the area must make a Will save every round or revert to their humanoid forms. In addition, lycanthropes attempting to assume animal or hybrid form within the affected area take a -5 penalty on Constitution checks to do so.</t>
  </si>
  <si>
    <t>&lt;p&gt;You conjure a tremendous area of shadow to obscure moonlight within the area, creating something akin to a lunar eclipse. The light level is lowered by two steps (though unlike &lt;i&gt;deeper darkness&lt;/i&gt;, areas of normal light or dimmer become normal darkness rather than supernaturally dark).&lt;/p&gt;&lt;p&gt;Lycanthropes in the area must make a Will save every round or revert to their humanoid forms. In addition, lycanthropes attempting to assume animal or hybrid form within the affected area take a -5 penalty on Constitution checks to do so.&lt;/p&gt;</t>
  </si>
  <si>
    <t>&lt;link rel="stylesheet"href="PF.css"&gt;&lt;div class="heading"&gt;&lt;p class="alignleft"&gt;Lunar Veil&lt;/p&gt;&lt;div style="clear: both;"&gt;&lt;/div&gt;&lt;/div&gt;&lt;div&gt;&lt;h5&gt;&lt;b&gt;School &lt;/b&gt;illusion (shadow) [darkness, shadow]; &lt;b&gt;Level &lt;/b&gt;cleric 7/oracle 7, sorcerer/wizard 7, witch 7&lt;/h5&gt;&lt;/div&gt;&lt;hr/&gt;&lt;div&gt;&lt;h5&gt;&lt;b&gt;CASTING&lt;/b&gt;&lt;/h5&gt;&lt;/div&gt;&lt;hr/&gt;&lt;div&gt;&lt;h5&gt;&lt;b&gt;Casting Time &lt;/b&gt;1 standard action&lt;/h5&gt;&lt;h5&gt;&lt;b&gt;Components &lt;/b&gt;V, S&lt;/h5&gt;&lt;/div&gt;&lt;hr/&gt;&lt;div&gt;&lt;h5&gt;&lt;b&gt;EFFECT&lt;/b&gt;&lt;/h5&gt;&lt;/div&gt;&lt;hr/&gt;&lt;div&gt;&lt;h5&gt;&lt;b&gt;Range &lt;/b&gt;long (400 ft. + 40 ft./level)&lt;/h5&gt;&lt;h5&gt;&lt;b&gt;Area &lt;/b&gt;120-ft.-radius emanation&lt;/h5&gt;&lt;h5&gt;&lt;b&gt;Duration &lt;/b&gt;10 minute/level&lt;/h5&gt;&lt;h5&gt;&lt;b&gt;Saving Throw &lt;/b&gt;Will negates, see text; &lt;b&gt;Spell Resistance &lt;/b&gt;no&lt;/h5&gt;&lt;/div&gt;&lt;hr/&gt;&lt;div&gt;&lt;h5&gt;&lt;b&gt;DESCRIPTION&lt;/b&gt;&lt;/h5&gt;&lt;/div&gt;&lt;hr/&gt;&lt;div&gt;&lt;h4&gt;&lt;p&gt;You conjure a tremendous area of shadow to obscure moonlight within the area, creating something akin to a lunar eclipse. The light level is lowered by two steps (though unlike &lt;i&gt;deeper darkness&lt;/i&gt;, areas of normal light or dimmer become normal darkness rather than supernaturally dark).&lt;/p&gt;&lt;p&gt;Lycanthropes in the area must make a Will save every round or revert to their humanoid forms. In addition, lycanthropes attempting to assume animal or hybrid form within the affected area take a -5 penalty on Constitution checks to do so.&lt;/p&gt;&lt;/h4&gt;&lt;/div&gt;</t>
  </si>
  <si>
    <t>Dispel light and revert lycanthropes.</t>
  </si>
  <si>
    <t>Mad Hallucination</t>
  </si>
  <si>
    <t>close (20 ft.)</t>
  </si>
  <si>
    <t>5 minute/level (maximum 1 hour)</t>
  </si>
  <si>
    <t>This spell induces a hallucinogenic reality in the mind of your target. Surfaces seem to swim, and movement constantly distracts the eye. The target takes a -2 penalty on Will saving throws, caster level checks, Intelligence-based skill checks, and Wisdom-based skill checks.</t>
  </si>
  <si>
    <t>&lt;p&gt;This spell induces a hallucinogenic reality in the mind of your target. Surfaces seem to swim, and movement constantly distracts the eye. The target takes a -2 penalty on Will saving throws, caster level checks, Intelligence-based skill checks, and Wisdom-based skill checks.&lt;/p&gt;</t>
  </si>
  <si>
    <t>&lt;link rel="stylesheet"href="PF.css"&gt;&lt;div class="heading"&gt;&lt;p class="alignleft"&gt;Mad Hallucination&lt;/p&gt;&lt;div style="clear: both;"&gt;&lt;/div&gt;&lt;/div&gt;&lt;div&gt;&lt;h5&gt;&lt;b&gt;School &lt;/b&gt;illusion (phantasm); &lt;b&gt;Level &lt;/b&gt;bard 2, sorcerer/wizard 2, witch 2&lt;/h5&gt;&lt;/div&gt;&lt;hr/&gt;&lt;div&gt;&lt;h5&gt;&lt;b&gt;CASTING&lt;/b&gt;&lt;/h5&gt;&lt;/div&gt;&lt;hr/&gt;&lt;div&gt;&lt;h5&gt;&lt;b&gt;Casting Time &lt;/b&gt;1 standard action&lt;/h5&gt;&lt;h5&gt;&lt;b&gt;Components &lt;/b&gt;V, S&lt;/h5&gt;&lt;/div&gt;&lt;hr/&gt;&lt;div&gt;&lt;h5&gt;&lt;b&gt;EFFECT&lt;/b&gt;&lt;/h5&gt;&lt;/div&gt;&lt;hr/&gt;&lt;div&gt;&lt;h5&gt;&lt;b&gt;Range &lt;/b&gt;close (20 ft.)&lt;/h5&gt;&lt;h5&gt;&lt;b&gt;Targets &lt;/b&gt;one humanoid creature&lt;/h5&gt;&lt;h5&gt;&lt;b&gt;Duration &lt;/b&gt;5 minute/level (maximum 1 hour)&lt;/h5&gt;&lt;h5&gt;&lt;b&gt;Saving Throw &lt;/b&gt;Will negates; &lt;b&gt;Spell Resistance &lt;/b&gt;yes&lt;/h5&gt;&lt;/div&gt;&lt;hr/&gt;&lt;div&gt;&lt;h5&gt;&lt;b&gt;DESCRIPTION&lt;/b&gt;&lt;/h5&gt;&lt;/div&gt;&lt;hr/&gt;&lt;div&gt;&lt;h4&gt;&lt;p&gt;This spell induces a hallucinogenic reality in the mind of your target. Surfaces seem to swim, and movement constantly distracts the eye. The target takes a -2 penalty on Will saving throws, caster level checks, Intelligence-based skill checks, and Wisdom-based skill checks.&lt;/p&gt;&lt;/h4&gt;&lt;/div&gt;</t>
  </si>
  <si>
    <t>Target takes penalties to mental actions.</t>
  </si>
  <si>
    <t>Mad Monkeys</t>
  </si>
  <si>
    <t>bard 3, druid 3, sorcerer/wizard 3, summoner 3</t>
  </si>
  <si>
    <t>swarm of monkeys</t>
  </si>
  <si>
    <t>You summon a swarm of screeching, mischievous monkeys. The swarm understands and obeys your commands and has the statistics of a monkey swarm (Bestiary 2 212). Creatures failing a saving throw against the mad monkeys' distraction attack are deafened for 1 minute as well as nauseated. The monkeys attempt one disarm or steal combat maneuver each turn as a free action against any creature that begins its turn in the swarm, using your caster level plus your casting ability score bonus (Intelligence for wizards; Wisdom for druids; Charisma for bards, sorcerers, and summoners) for its CMB. Recovering an item from the monkeys requires a successful disarm or steal attempt against that CMB + 10. An object stolen by the monkeys takes swarm damage each round the swarm is in possession of the object.</t>
  </si>
  <si>
    <t>&lt;p&gt;You summon a swarm of screeching, mischievous monkeys. The swarm understands and obeys your commands and has the statistics of a monkey swarm (&lt;i&gt;Bestiary 2&lt;/i&gt; 212). Creatures failing a saving throw against the mad monkeys' distraction attack are deafened for 1 minute as well as nauseated. The monkeys attempt one disarm or steal combat maneuver each turn as a free action against any creature that begins its turn in the swarm, using your caster level plus your casting ability score bonus (Intelligence for wizards; Wisdom for druids; Charisma for bards, sorcerers, and summoners) for its CMB. Recovering an item from the monkeys requires a successful disarm or steal attempt against that CMB + 10. An object stolen by the monkeys takes swarm damage each round the swarm is in possession of the object.&lt;/p&gt;</t>
  </si>
  <si>
    <t>&lt;link rel="stylesheet"href="PF.css"&gt;&lt;div class="heading"&gt;&lt;p class="alignleft"&gt;Mad Monkeys&lt;/p&gt;&lt;div style="clear: both;"&gt;&lt;/div&gt;&lt;/div&gt;&lt;div&gt;&lt;h5&gt;&lt;b&gt;School &lt;/b&gt;conjuration (summoning); &lt;b&gt;Level &lt;/b&gt;bard 3, druid 3, sorcerer/wizard 3, summoner 3&lt;/h5&gt;&lt;/div&gt;&lt;hr/&gt;&lt;div&gt;&lt;h5&gt;&lt;b&gt;CASTING&lt;/b&gt;&lt;/h5&gt;&lt;/div&gt;&lt;hr/&gt;&lt;div&gt;&lt;h5&gt;&lt;b&gt;Casting Time &lt;/b&gt;1 round&lt;/h5&gt;&lt;h5&gt;&lt;b&gt;Components &lt;/b&gt;V, S, DF&lt;/h5&gt;&lt;/div&gt;&lt;hr/&gt;&lt;div&gt;&lt;h5&gt;&lt;b&gt;EFFECT&lt;/b&gt;&lt;/h5&gt;&lt;/div&gt;&lt;hr/&gt;&lt;div&gt;&lt;h5&gt;&lt;b&gt;Range &lt;/b&gt;close (25 ft. + 5 ft./2 levels)&lt;/h5&gt;&lt;h5&gt;&lt;b&gt;Effect &lt;/b&gt;swarm of monkeys&lt;/h5&gt;&lt;h5&gt;&lt;b&gt;Duration &lt;/b&gt;1 round/level&lt;/h5&gt;&lt;h5&gt;&lt;b&gt;Saving Throw &lt;/b&gt;none; &lt;b&gt;Spell Resistance &lt;/b&gt;no&lt;/h5&gt;&lt;/div&gt;&lt;hr/&gt;&lt;div&gt;&lt;h5&gt;&lt;b&gt;DESCRIPTION&lt;/b&gt;&lt;/h5&gt;&lt;/div&gt;&lt;hr/&gt;&lt;div&gt;&lt;h4&gt;&lt;p&gt;You summon a swarm of screeching, mischievous monkeys. The swarm understands and obeys your commands and has the statistics of a monkey swarm (&lt;i&gt;Bestiary 2&lt;/i&gt; 212). Creatures failing a saving throw against the mad monkeys' distraction attack are deafened for 1 minute as well as nauseated. The monkeys attempt one disarm or steal combat maneuver each turn as a free action against any creature that begins its turn in the swarm, using your caster level plus your casting ability score bonus (Intelligence for wizards; Wisdom for druids; Charisma for bards, sorcerers, and summoners) for its CMB. Recovering an item from the monkeys requires a successful disarm or steal attempt against that CMB + 10. An object stolen by the monkeys takes swarm damage each round the swarm is in possession of the object.&lt;/p&gt;&lt;/h4&gt;&lt;/div&gt;</t>
  </si>
  <si>
    <t>Summon a swarm of mischievous monkeys.</t>
  </si>
  <si>
    <t>Malfunction</t>
  </si>
  <si>
    <t>transformation</t>
  </si>
  <si>
    <t>This functions as confusion, except it only affects constructs, and instead of babbling incoherently, the construct takes no actions on its turn (but may still make attacks of opportunity).</t>
  </si>
  <si>
    <t>&lt;p&gt;This functions as &lt;i&gt;confusion&lt;/i&gt;, except it only affects constructs, and instead of babbling incoherently, the construct takes no actions on its turn (but may still make attacks of opportunity).&lt;/p&gt;</t>
  </si>
  <si>
    <t>&lt;link rel="stylesheet"href="PF.css"&gt;&lt;div class="heading"&gt;&lt;p class="alignleft"&gt;Malfunction&lt;/p&gt;&lt;div style="clear: both;"&gt;&lt;/div&gt;&lt;/div&gt;&lt;div&gt;&lt;h5&gt;&lt;b&gt;School &lt;/b&gt;transformation; &lt;b&gt;Level &lt;/b&gt;sorcerer/wizard 4&lt;/h5&gt;&lt;/div&gt;&lt;hr/&gt;&lt;div&gt;&lt;h5&gt;&lt;b&gt;CASTING&lt;/b&gt;&lt;/h5&gt;&lt;/div&gt;&lt;hr/&gt;&lt;div&gt;&lt;h5&gt;&lt;b&gt;Casting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levels)&lt;/h5&gt;&lt;h5&gt;&lt;b&gt;Area &lt;/b&gt;one construct&lt;/h5&gt;&lt;h5&gt;&lt;b&gt;Duration &lt;/b&gt;1 round/level (D)&lt;/h5&gt;&lt;h5&gt;&lt;b&gt;Saving Throw &lt;/b&gt;Fortitude negates; &lt;b&gt;Spell Resistance &lt;/b&gt;yes&lt;/h5&gt;&lt;/div&gt;&lt;hr/&gt;&lt;div&gt;&lt;h5&gt;&lt;b&gt;DESCRIPTION&lt;/b&gt;&lt;/h5&gt;&lt;/div&gt;&lt;hr/&gt;&lt;div&gt;&lt;h4&gt;&lt;p&gt;This functions as &lt;i&gt;confusion&lt;/i&gt;, except it only affects constructs, and instead of babbling incoherently, the construct takes no actions on its turn (but may still make attacks of opportunity).&lt;/p&gt;&lt;/h4&gt;&lt;/div&gt;</t>
  </si>
  <si>
    <t>Construct behaves oddly for 1 round/level.</t>
  </si>
  <si>
    <t>Malicious Spite</t>
  </si>
  <si>
    <t>V, S, M (powdered turquoise worth 150 gp)</t>
  </si>
  <si>
    <t>You invoke feelings of a driving malicious intent. The target's malice is directed at a second individual as designated by you at the time of casting. Thereafter, the target attempts to slander, abuse, and even plot murder against the target of its spite. This loathing is not overt, and the target's actions against the object of its spite remain subtle and indirect. The enchanted target remains within its financial and ethical means when acting against the second individual, though the malice toward this other person pushes the target to the limit of what it would do to a hated individual. Each day, the target takes 2 points of Wisdom damage as the all-encompassing spite dominates its thoughts. The target can only alleviate the ability damage by acting upon the emotion and performing a spiteful act. Examples of spiteful acts are spiking the target's drink to make it an easier target for thugs, damaging the target's property, starting foul rumors about the target, framing the target for a crime, paying lepers or beggars to accost the target, extorting or blackmailing the target, or arranging for others to physically harm the target. When the spell ends, the target remembers the spiteful behavior, but not the motivation for it.</t>
  </si>
  <si>
    <t>&lt;p&gt;You invoke feelings of a driving malicious intent. The target's malice is directed at a second individual as designated by you at the time of casting. Thereafter, the target attempts to slander, abuse, and even plot murder against the target of its spite. This loathing is not overt, and the target's actions against the object of its spite remain subtle and indirect.&lt;/p&gt;&lt;p&gt;The enchanted target remains within its financial and ethical means when acting against the second individual, though the malice toward this other person pushes the target to the limit of what it would do to a hated individual.&lt;/p&gt;&lt;p&gt;Each day, the target takes 2 points of Wisdom damage as the all-encompassing spite dominates its thoughts. The target can only alleviate the ability damage by acting upon the emotion and performing a spiteful act. Examples of spiteful acts are spiking the target's drink to make it an easier target for thugs, damaging the target's property, starting foul rumors about the target, framing the target for a crime, paying lepers or beggars to accost the target, extorting or blackmailing the target, or arranging for others to physically harm the target.&lt;/p&gt;&lt;p&gt;When the spell ends, the target remembers the spiteful behavior, but not the motivation for it.&lt;/p&gt;</t>
  </si>
  <si>
    <t>&lt;link rel="stylesheet"href="PF.css"&gt;&lt;div class="heading"&gt;&lt;p class="alignleft"&gt;Malicious Spite&lt;/p&gt;&lt;div style="clear: both;"&gt;&lt;/div&gt;&lt;/div&gt;&lt;div&gt;&lt;h5&gt;&lt;b&gt;School &lt;/b&gt;enchantment (compulsion) [emotion, mind-affecting]; &lt;b&gt;Level &lt;/b&gt;bard 3, sorcerer/wizard 4&lt;/h5&gt;&lt;/div&gt;&lt;hr/&gt;&lt;div&gt;&lt;h5&gt;&lt;b&gt;CASTING&lt;/b&gt;&lt;/h5&gt;&lt;/div&gt;&lt;hr/&gt;&lt;div&gt;&lt;h5&gt;&lt;b&gt;Casting Time &lt;/b&gt;1 standard action&lt;/h5&gt;&lt;h5&gt;&lt;b&gt;Components &lt;/b&gt;V, S, M (powdered turquoise worth 150 gp)&lt;/h5&gt;&lt;/div&gt;&lt;hr/&gt;&lt;div&gt;&lt;h5&gt;&lt;b&gt;EFFECT&lt;/b&gt;&lt;/h5&gt;&lt;/div&gt;&lt;hr/&gt;&lt;div&gt;&lt;h5&gt;&lt;b&gt;Range &lt;/b&gt;close (25 ft. + 5 ft./2 levels)&lt;/h5&gt;&lt;h5&gt;&lt;b&gt;Targets &lt;/b&gt;one creature&lt;/h5&gt;&lt;h5&gt;&lt;b&gt;Duration &lt;/b&gt;1 day/level&lt;/h5&gt;&lt;h5&gt;&lt;b&gt;Saving Throw &lt;/b&gt;Will negates; &lt;b&gt;Spell Resistance &lt;/b&gt;yes&lt;/h5&gt;&lt;/div&gt;&lt;hr/&gt;&lt;div&gt;&lt;h5&gt;&lt;b&gt;DESCRIPTION&lt;/b&gt;&lt;/h5&gt;&lt;/div&gt;&lt;hr/&gt;&lt;div&gt;&lt;h4&gt;&lt;p&gt;You invoke feelings of a driving malicious intent. The target's malice is directed at a second individual as designated by you at the time of casting. Thereafter, the target attempts to slander, abuse, and even plot murder against the target of its spite. This loathing is not overt, and the target's actions against the object of its spite remain subtle and indirect.&lt;/p&gt;&lt;p&gt;The enchanted target remains within its financial and ethical means when acting against the second individual, though the malice toward this other person pushes the target to the limit of what it would do to a hated individual.&lt;/p&gt;&lt;p&gt;Each day, the target takes 2 points of Wisdom damage as the all-encompassing spite dominates its thoughts. The target can only alleviate the ability damage by acting upon the emotion and performing a spiteful act. Examples of spiteful acts are spiking the target's drink to make it an easier target for thugs, damaging the target's property, starting foul rumors about the target, framing the target for a crime, paying lepers or beggars to accost the target, extorting or blackmailing the target, or arranging for others to physically harm the target.&lt;/p&gt;&lt;p&gt;When the spell ends, the target remembers the spiteful behavior, but not the motivation for it.&lt;/p&gt;&lt;/h4&gt;&lt;/div&gt;</t>
  </si>
  <si>
    <t>Target is compelled to plot against another.</t>
  </si>
  <si>
    <t>Marionette Possession</t>
  </si>
  <si>
    <t>alchemist 3, sorcerer/wizard 3, summoner 3, witch 3</t>
  </si>
  <si>
    <t>V, S, F (a piece of paper with the target's name)</t>
  </si>
  <si>
    <t>one willing creature</t>
  </si>
  <si>
    <t>10 minutes/level or until you return to your body</t>
  </si>
  <si>
    <t>You project your soul out of your body and into the body of a willing creature. This possession is blocked by protection from evil or a similar ward. The target's soul shares its body with you; it is helpless but can still use its senses. You and the target's soul can communicate telepathically as if using a common language. You keep your Intelligence, Wisdom, Charisma, level, class, base attack bonus, base save bonuses, alignment, and mental abilities. The body retains its Strength, Dexterity, Constitution, hit points, natural abilities, and natural attacks (such as a bite or sting). A body with extra limbs does not allow you to make more attacks (or more advantageous two-weapon attacks) than normal. You can't choose to activate the body's extraordinary, spell-like, or supernatural abilities. As a standard action, you can return to your own body, ending the spell. While your soul is possessing the target, your body is helpless. If the host body is slain, you return to your own body if it is within range, and the life force of the host departs (it is slain). If the host body is slain beyond the range of the spell, both you and the host die. Any life force with nowhere to go is treated as slain.</t>
  </si>
  <si>
    <t>&lt;p&gt;You project your soul out of your body and into the body of a willing creature. This possession is blocked by &lt;i&gt;protection from evil&lt;/i&gt; or a similar ward. The target's soul shares its body with you; it is helpless but can still use its senses. You and the target's soul can communicate telepathically as if using a common language.&lt;/p&gt;&lt;p&gt;You keep your Intelligence, Wisdom, Charisma, level, class, base attack bonus, base save bonuses, alignment, and mental abilities. The body retains its Strength, Dexterity, Constitution, hit points, natural abilities, and natural attacks (such as a bite or sting). A body with extra limbs does not allow you to make more attacks (or more advantageous two-weapon attacks) than normal. You can't choose to activate the body's extraordinary, spell-like, or supernatural abilities.&lt;/p&gt;&lt;p&gt;As a standard action, you can return to your own body, ending the spell. While your soul is possessing the target, your body is helpless. If the host body is slain, you return to your own body if it is within range, and the life force of the host departs (it is slain). If the host body is slain beyond the range of the spell, both you and the host die. Any life force with nowhere to go is treated as slain.&lt;/p&gt;</t>
  </si>
  <si>
    <t>&lt;link rel="stylesheet"href="PF.css"&gt;&lt;div class="heading"&gt;&lt;p class="alignleft"&gt;Marionette Possession&lt;/p&gt;&lt;div style="clear: both;"&gt;&lt;/div&gt;&lt;/div&gt;&lt;div&gt;&lt;h5&gt;&lt;b&gt;School &lt;/b&gt;necromancy; &lt;b&gt;Level &lt;/b&gt;alchemist 3, sorcerer/wizard 3, summoner 3, witch 3&lt;/h5&gt;&lt;/div&gt;&lt;hr/&gt;&lt;div&gt;&lt;h5&gt;&lt;b&gt;CASTING&lt;/b&gt;&lt;/h5&gt;&lt;/div&gt;&lt;hr/&gt;&lt;div&gt;&lt;h5&gt;&lt;b&gt;Casting Time &lt;/b&gt;1 standard action&lt;/h5&gt;&lt;h5&gt;&lt;b&gt;Components &lt;/b&gt;V, S, F (a piece of paper with the target's name)&lt;/h5&gt;&lt;/div&gt;&lt;hr/&gt;&lt;div&gt;&lt;h5&gt;&lt;b&gt;EFFECT&lt;/b&gt;&lt;/h5&gt;&lt;/div&gt;&lt;hr/&gt;&lt;div&gt;&lt;h5&gt;&lt;b&gt;Range &lt;/b&gt;medium (100 ft. + 10 ft./level)&lt;/h5&gt;&lt;h5&gt;&lt;b&gt;Targets &lt;/b&gt;one willing creature&lt;/h5&gt;&lt;h5&gt;&lt;b&gt;Duration &lt;/b&gt;10 minutes/level or until you return to your body&lt;/h5&gt;&lt;h5&gt;&lt;b&gt;Saving Throw &lt;/b&gt;Will negates (see text); &lt;b&gt;Spell Resistance &lt;/b&gt;yes&lt;/h5&gt;&lt;/div&gt;&lt;hr/&gt;&lt;div&gt;&lt;h5&gt;&lt;b&gt;DESCRIPTION&lt;/b&gt;&lt;/h5&gt;&lt;/div&gt;&lt;hr/&gt;&lt;div&gt;&lt;h4&gt;&lt;p&gt;You project your soul out of your body and into the body of a willing creature. This possession is blocked by &lt;i&gt;protection from evil&lt;/i&gt; or a similar ward. The target's soul shares its body with you; it is helpless but can still use its senses. You and the target's soul can communicate telepathically as if using a common language.&lt;/p&gt;&lt;p&gt;You keep your Intelligence, Wisdom, Charisma, level, class, base attack bonus, base save bonuses, alignment, and mental abilities. The body retains its Strength, Dexterity, Constitution, hit points, natural abilities, and natural attacks (such as a bite or sting). A body with extra limbs does not allow you to make more attacks (or more advantageous two-weapon attacks) than normal. You can't choose to activate the body's extraordinary, spell-like, or supernatural abilities.&lt;/p&gt;&lt;p&gt;As a standard action, you can return to your own body, ending the spell. While your soul is possessing the target, your body is helpless. If the host body is slain, you return to your own body if it is within range, and the life force of the host departs (it is slain). If the host body is slain beyond the range of the spell, both you and the host die. Any life force with nowhere to go is treated as slain.&lt;/p&gt;&lt;/h4&gt;&lt;/div&gt;</t>
  </si>
  <si>
    <t>As magic jar, but limited to line of sight.</t>
  </si>
  <si>
    <t>Masterwork Transformation</t>
  </si>
  <si>
    <t>bard 2, cleric 2/oracle 2, druid 2, sorcerer/wizard 2, witch 2</t>
  </si>
  <si>
    <t>V, S, M (see below)</t>
  </si>
  <si>
    <t>one weapon, suit of armor, shield, tool, or skill kit touched</t>
  </si>
  <si>
    <t>You convert a non-masterwork item into its masterwork equivalent. A normal sword becomes a masterwork sword, a suit of leather armor becomes a masterwork suit of leather armor, a set of thieves' tools becomes masterwork thieves' tools, and so on. If the target object has no masterwork equivalent, the spell has no effect. You can affect 50 pieces of ammunition as if they were one weapon. You decide if the object's appearance changes to reflect this improved quality. The material component for the spell is magical reagents worth the cost difference between a normal item and the equivalent masterwork item (typically 300 gp for a weapon, 150 gp for armor, or 50 gp for a tool). If an object has multiple masterwork options (such as a double weapon, or a spiked shield that could be made masterwork as a weapon or armor), you choose one option of the object to affect (though you can cast the spell again to affect another option).</t>
  </si>
  <si>
    <t>&lt;p&gt;You convert a non-masterwork item into its masterwork equivalent. A normal sword becomes a masterwork sword, a suit of leather armor becomes a masterwork suit of leather armor, a set of thieves' tools becomes masterwork thieves' tools, and so on. If the target object has no masterwork equivalent, the spell has no effect. You can affect 50 pieces of ammunition as if they were one weapon. You decide if the object's appearance changes to reflect this improved quality.&lt;/p&gt;&lt;p&gt;The material component for the spell is magical reagents worth the cost difference between a normal item and the equivalent masterwork item (typically 300 gp for a weapon, 150 gp for armor, or 50 gp for a tool). If an object has multiple masterwork options (such as a double weapon, or a spiked shield that could be made masterwork as a weapon or armor), you choose one option of the object to affect (though you can cast the spell again to affect another option).&lt;/p&gt;</t>
  </si>
  <si>
    <t>&lt;link rel="stylesheet"href="PF.css"&gt;&lt;div class="heading"&gt;&lt;p class="alignleft"&gt;Masterwork Transformation&lt;/p&gt;&lt;div style="clear: both;"&gt;&lt;/div&gt;&lt;/div&gt;&lt;div&gt;&lt;h5&gt;&lt;b&gt;School &lt;/b&gt;transmutation; &lt;b&gt;Level &lt;/b&gt;bard 2, cleric 2/oracle 2, druid 2, sorcerer/wizard 2, witch 2&lt;/h5&gt;&lt;/div&gt;&lt;hr/&gt;&lt;div&gt;&lt;h5&gt;&lt;b&gt;CASTING&lt;/b&gt;&lt;/h5&gt;&lt;/div&gt;&lt;hr/&gt;&lt;div&gt;&lt;h5&gt;&lt;b&gt;Casting Time &lt;/b&gt;1 hour&lt;/h5&gt;&lt;h5&gt;&lt;b&gt;Components &lt;/b&gt;V, S, M (see below)&lt;/h5&gt;&lt;/div&gt;&lt;hr/&gt;&lt;div&gt;&lt;h5&gt;&lt;b&gt;EFFECT&lt;/b&gt;&lt;/h5&gt;&lt;/div&gt;&lt;hr/&gt;&lt;div&gt;&lt;h5&gt;&lt;b&gt;Range &lt;/b&gt;touch&lt;/h5&gt;&lt;h5&gt;&lt;b&gt;Targets &lt;/b&gt;one weapon, suit of armor, shield, tool, or skill kit touched&lt;/h5&gt;&lt;h5&gt;&lt;b&gt;Duration &lt;/b&gt;instantaneous&lt;/h5&gt;&lt;h5&gt;&lt;b&gt;Saving Throw &lt;/b&gt;none; &lt;b&gt;Spell Resistance &lt;/b&gt;no&lt;/h5&gt;&lt;/div&gt;&lt;hr/&gt;&lt;div&gt;&lt;h5&gt;&lt;b&gt;DESCRIPTION&lt;/b&gt;&lt;/h5&gt;&lt;/div&gt;&lt;hr/&gt;&lt;div&gt;&lt;h4&gt;&lt;p&gt;You convert a non-masterwork item into its masterwork equivalent. A normal sword becomes a masterwork sword, a suit of leather armor becomes a masterwork suit of leather armor, a set of thieves' tools becomes masterwork thieves' tools, and so on. If the target object has no masterwork equivalent, the spell has no effect. You can affect 50 pieces of ammunition as if they were one weapon. You decide if the object's appearance changes to reflect this improved quality.&lt;/p&gt;&lt;p&gt;The material component for the spell is magical reagents worth the cost difference between a normal item and the equivalent masterwork item (typically 300 gp for a weapon, 150 gp for armor, or 50 gp for a tool). If an object has multiple masterwork options (such as a double weapon, or a spiked shield that could be made masterwork as a weapon or armor), you choose one option of the object to affect (though you can cast the spell again to affect another option).&lt;/p&gt;&lt;/h4&gt;&lt;/div&gt;</t>
  </si>
  <si>
    <t>Make a normal item into a masterwork one.</t>
  </si>
  <si>
    <t>Miserable Pity</t>
  </si>
  <si>
    <t>1 round/level and 1 minute; see text</t>
  </si>
  <si>
    <t>This spell functions as sanctuary, except creatures attempting to attack the target who fail their saves also feel a strong sense of pity toward the target, as if it were weak, pathetic, and not a threat. If the target breaks the spell by attacking, any creature that failed its save against the spell gains a +2 morale bonus on attack rolls against the target for 1 minute.</t>
  </si>
  <si>
    <t>&lt;p&gt;This spell functions as &lt;i&gt;sanctuary&lt;/i&gt;, except creatures attempting to attack the target who fail their saves also feel a strong sense of pity toward the target, as if it were weak, pathetic, and not a threat. If the target breaks the spell by attacking, any creature that failed its save against the spell gains a +2 morale bonus on attack rolls against the target for 1 minute.&lt;/p&gt;</t>
  </si>
  <si>
    <t>&lt;link rel="stylesheet"href="PF.css"&gt;&lt;div class="heading"&gt;&lt;p class="alignleft"&gt;Miserable Pity&lt;/p&gt;&lt;div style="clear: both;"&gt;&lt;/div&gt;&lt;/div&gt;&lt;div&gt;&lt;h5&gt;&lt;b&gt;School &lt;/b&gt;abjuration [emotion, mind-affecting]; &lt;b&gt;Level &lt;/b&gt;bard 2, sorcerer/wizard 2, witch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round/level and 1 minute; see text&lt;/h5&gt;&lt;h5&gt;&lt;b&gt;Saving Throw &lt;/b&gt;Will negates (see text); &lt;b&gt;Spell Resistance &lt;/b&gt;yes&lt;/h5&gt;&lt;/div&gt;&lt;hr/&gt;&lt;div&gt;&lt;h5&gt;&lt;b&gt;DESCRIPTION&lt;/b&gt;&lt;/h5&gt;&lt;/div&gt;&lt;hr/&gt;&lt;div&gt;&lt;h4&gt;&lt;p&gt;This spell functions as &lt;i&gt;sanctuary&lt;/i&gt;, except creatures attempting to attack the target who fail their saves also feel a strong sense of pity toward the target, as if it were weak, pathetic, and not a threat. If the target breaks the spell by attacking, any creature that failed its save against the spell gains a +2 morale bonus on attack rolls against the target for 1 minute.&lt;/p&gt;&lt;/h4&gt;&lt;/div&gt;</t>
  </si>
  <si>
    <t>Opponents cannot attack a pathetic creature.</t>
  </si>
  <si>
    <t>Monstrous Physique I</t>
  </si>
  <si>
    <t>alchemist 3, magus 3, sorcerer/wizard 3</t>
  </si>
  <si>
    <t>When you cast this spell, you can assume the form of any Small or Medium creature of the monstrous humanoid type. If the form you assume has any of the following abilities, you gain the listed ability: climb 30 feet, fly 30 feet (average maneuverability), swim 30 feet, darkvision 60 feet, low-light vision, and scent. If the form you assume has the aquatic subtype, you gain the aquatic and amphibious subtypes. Small monstrous humanoid: If the form you take is that of a Small monstrous humanoid, you gain a +2 size bonus to your Dexterity and a +1 natural armor bonus. Medium monstrous humanoid: If the form you take is that of a Medium monstrous humanoid, you gain a +2 size bonus to your Strength and a +2 natural armor bonus.</t>
  </si>
  <si>
    <t>&lt;p&gt;When you cast this spell, you can assume the form of any Small or Medium creature of the monstrous humanoid type. If the form you assume has any of the following abilities, you gain the listed ability: climb 30 feet, fly 30 feet (average maneuverability), swim 30 feet, darkvision 60 feet, low-light vision, and scent. If the form you assume has the aquatic subtype, you gain the aquatic and amphibious subtypes. &lt;br&gt;&lt;i&gt;Small monstrous humanoid&lt;/i&gt;: If the form you take is that of a &lt;i&gt;Small monstrous humanoid&lt;/i&gt;, you gain a +2 size bonus to your Dexterity and a +1 natural armor bonus. &lt;br&gt;&lt;i&gt;Medium monstrous humanoid&lt;/i&gt;: If the form you take is that of a &lt;i&gt;Medium monstrous humanoid&lt;/i&gt;, you gain a +2 size bonus to your Strength and a +2 natural armor bonus.&lt;/p&gt;</t>
  </si>
  <si>
    <t>&lt;link rel="stylesheet"href="PF.css"&gt;&lt;div class="heading"&gt;&lt;p class="alignleft"&gt;Monstrous Physique I&lt;/p&gt;&lt;div style="clear: both;"&gt;&lt;/div&gt;&lt;/div&gt;&lt;div&gt;&lt;h5&gt;&lt;b&gt;School &lt;/b&gt;transmutation (polymorph); &lt;b&gt;Level &lt;/b&gt;alchemist 3, magus 3, sorcerer/wizard 3&lt;/h5&gt;&lt;/div&gt;&lt;hr/&gt;&lt;div&gt;&lt;h5&gt;&lt;b&gt;CASTING&lt;/b&gt;&lt;/h5&gt;&lt;/div&gt;&lt;hr/&gt;&lt;div&gt;&lt;h5&gt;&lt;b&gt;Casting Time &lt;/b&gt;1 standard action&lt;/h5&gt;&lt;h5&gt;&lt;b&gt;Components &lt;/b&gt;V, S, M (a piece of the creature whose form you plan to assume)&lt;/h5&gt;&lt;/div&gt;&lt;hr/&gt;&lt;div&gt;&lt;h5&gt;&lt;b&gt;EFFECT&lt;/b&gt;&lt;/h5&gt;&lt;/div&gt;&lt;hr/&gt;&lt;div&gt;&lt;h5&gt;&lt;b&gt;Range &lt;/b&gt;personal&lt;/h5&gt;&lt;h5&gt;&lt;b&gt;Targets &lt;/b&gt;you&lt;/h5&gt;&lt;h5&gt;&lt;b&gt;Duration &lt;/b&gt;1 minute/level (D)&lt;/h5&gt;&lt;/div&gt;&lt;hr/&gt;&lt;div&gt;&lt;h5&gt;&lt;b&gt;DESCRIPTION&lt;/b&gt;&lt;/h5&gt;&lt;/div&gt;&lt;hr/&gt;&lt;div&gt;&lt;h4&gt;&lt;p&gt;When you cast this spell, you can assume the form of any Small or Medium creature of the monstrous humanoid type. If the form you assume has any of the following abilities, you gain the listed ability: climb 30 feet, fly 30 feet (average maneuverability), swim 30 feet, darkvision 60 feet, low-light vision, and scent. If the form you assume has the aquatic subtype, you gain the aquatic and amphibious subtypes. &lt;br&gt;&lt;i&gt;Small monstrous humanoid&lt;/i&gt;: If the form you take is that of a &lt;i&gt;Small monstrous humanoid&lt;/i&gt;, you gain a +2 size bonus to your Dexterity and a +1 natural armor bonus. &lt;br&gt;&lt;i&gt;Medium monstrous humanoid&lt;/i&gt;: If the form you take is that of a &lt;i&gt;Medium monstrous humanoid&lt;/i&gt;, you gain a +2 size bonus to your Strength and a +2 natural armor bonus.&lt;/p&gt;&lt;/h4&gt;&lt;h5&gt;&lt;b&gt;Mythic: &lt;/b&gt;Each mythic monstrous physique spell must be learned individually, and you must know the respective non-mythic monstrous physique spell to learn its mythic version. You don't have to learn them in order, and aren't required to know a lower-level mythic monstrous physique spell before you learn a higher-level one (for example, you can learn mythic monstrous physique II if you know monstrous physique II, even if you don't know mythic monstrous physique I). Each mythic monstrous physique spell adds the following benefits to its respective non-mythic version. The spell's bonuses to ability scores increase by 2 each, the natural armor bonus increases by 1, and the ability score penalties decrease by 2 each (minimum penalty of 0). Alternatively, you can cast this spell on another willing creature, changing the range to touch and the target to one creature.&lt;/h5&gt;&lt;h5&gt;&lt;b&gt;Augmented (4th)&lt;/b&gt;: If you expend two uses of mythic power, the ability score bonuses increase by an additional 2. Additionally, you can cast this spell on other willing creatures, changing the range to touch and the target to one creature per tier.&lt;/h5&gt;&lt;/div&gt;</t>
  </si>
  <si>
    <t>Take the form and some of the powers of a Small or Medium monstrous humanoid.</t>
  </si>
  <si>
    <t>Each mythic monstrous physique spell must be learned individually, and you must know the respective non-mythic monstrous physique spell to learn its mythic version. You don't have to learn them in order, and aren't required to know a lower-level mythic monstrous physique spell before you learn a higher-level one (for example, you can learn mythic monstrous physique II if you know monstrous physique II, even if you don't know mythic monstrous physique I). Each mythic monstrous physique spell adds the following benefits to its respective non-mythic version. The spell's bonuses to ability scores increase by 2 each, the natural armor bonus increases by 1, and the ability score penalties decrease by 2 each (minimum penalty of 0). Alternatively, you can cast this spell on another willing creature, changing the range to touch and the target to one creature.</t>
  </si>
  <si>
    <t>Augmented (4th): If you expend two uses of mythic power, the ability score bonuses increase by an additional 2. Additionally, you can cast this spell on other willing creatures, changing the range to touch and the target to one creature per tier.</t>
  </si>
  <si>
    <t>Monstrous Physique II</t>
  </si>
  <si>
    <t>alchemist 4, magus 4, sorcerer/wizard 4</t>
  </si>
  <si>
    <t>This spell functions as monstrous physique I, except it also allows you to assume the form of a Tiny or Large creature of the monstrous humanoid type. If the form you assume has any of the following abilities, you gain the listed ability: climb 60 feet, fly 60 feet (good maneuverability), swim 60 feet, darkvision 60 feet, low-light vision, scent, freeze, grab, leap attack, mimicry, pounce, sound mimicry, speak with sharks, and trip. If the creature has the undersized weapons special quality, you gain that quality. Tiny monstrous humanoid: If the form you take is that of a Tiny monstrous humanoid, you gain a +4 size bonus to your Dexterity, a -2 penalty to your Strength, and a +1 natural armor bonus. Large monstrous humanoid: If the form you take is that of a Large monstrous humanoid, you gain a +4 size bonus to your Strength, a -2 penalty to your Dexterity, and a +4 natural armor bonus.</t>
  </si>
  <si>
    <t>&lt;p&gt;This spell functions as &lt;i&gt;&lt;i&gt;monstrous physique&lt;/i&gt; I&lt;/i&gt;, except it also allows you to assume the form of a Tiny or Large creature of the monstrous humanoid type. If the form you assume has any of the following abilities, you gain the listed ability: climb 60 feet, fly 60 feet (good maneuverability), swim 60 feet, darkvision 60 feet, low-light vision, scent, freeze, grab, leap attack, mimicry, pounce, sound mimicry, speak with sharks, and trip. If the creature has the undersized weapons special quality, you gain that quality. &lt;i&gt;Tiny monstrous humanoid&lt;/i&gt;: If the form you take is that of a &lt;br&gt;&lt;i&gt;Tiny monstrous humanoid&lt;/i&gt;, you gain a +4 size bonus to your Dexterity, a -2 penalty to your Strength, and a +1 natural armor bonus. &lt;br&gt;&lt;i&gt;Large monstrous humanoid&lt;/i&gt;: If the form you take is that of a &lt;i&gt;Large monstrous humanoid&lt;/i&gt;, you gain a +4 size bonus to your Strength, a -2 penalty to your Dexterity, and a +4 natural armor bonus.&lt;/p&gt;</t>
  </si>
  <si>
    <t>&lt;link rel="stylesheet"href="PF.css"&gt;&lt;div class="heading"&gt;&lt;p class="alignleft"&gt;Monstrous Physique II&lt;/p&gt;&lt;div style="clear: both;"&gt;&lt;/div&gt;&lt;/div&gt;&lt;div&gt;&lt;h5&gt;&lt;b&gt;School &lt;/b&gt;transmutation (polymorph); &lt;b&gt;Level &lt;/b&gt;alchemist 4, magus 4, sorcerer/wizard 4&lt;/h5&gt;&lt;/div&gt;&lt;hr/&gt;&lt;div&gt;&lt;h5&gt;&lt;b&gt;CASTING&lt;/b&gt;&lt;/h5&gt;&lt;/div&gt;&lt;hr/&gt;&lt;div&gt;&lt;h5&gt;&lt;b&gt;Casting Time &lt;/b&gt;1 standard action&lt;/h5&gt;&lt;h5&gt;&lt;b&gt;Components &lt;/b&gt;V, S, M (a piece of the creature whose form you plan to assume)&lt;/h5&gt;&lt;/div&gt;&lt;hr/&gt;&lt;div&gt;&lt;h5&gt;&lt;b&gt;EFFECT&lt;/b&gt;&lt;/h5&gt;&lt;/div&gt;&lt;hr/&gt;&lt;div&gt;&lt;h5&gt;&lt;b&gt;Range &lt;/b&gt;personal&lt;/h5&gt;&lt;h5&gt;&lt;b&gt;Targets &lt;/b&gt;you&lt;/h5&gt;&lt;h5&gt;&lt;b&gt;Duration &lt;/b&gt;1 minute/level (D)&lt;/h5&gt;&lt;/div&gt;&lt;hr/&gt;&lt;div&gt;&lt;h5&gt;&lt;b&gt;DESCRIPTION&lt;/b&gt;&lt;/h5&gt;&lt;/div&gt;&lt;hr/&gt;&lt;div&gt;&lt;h4&gt;&lt;p&gt;This spell functions as &lt;i&gt;&lt;i&gt;monstrous physique&lt;/i&gt; I&lt;/i&gt;, except it also allows you to assume the form of a Tiny or Large creature of the monstrous humanoid type. If the form you assume has any of the following abilities, you gain the listed ability: climb 60 feet, fly 60 feet (good maneuverability), swim 60 feet, darkvision 60 feet, low-light vision, scent, freeze, grab, leap attack, mimicry, pounce, sound mimicry, speak with sharks, and trip. If the creature has the undersized weapons special quality, you gain that quality. &lt;br&gt;&lt;i&gt;Tiny monstrous humanoid&lt;/i&gt;: If the form you take is that of a &lt;i&gt;Tiny monstrous humanoid&lt;/i&gt;, you gain a +4 size bonus to your Dexterity, a -2 penalty to your Strength, and a +1 natural armor bonus. &lt;br&gt;&lt;i&gt;Large monstrous humanoid&lt;/i&gt;: If the form you take is that of a &lt;i&gt;Large monstrous humanoid&lt;/i&gt;, you gain a +4 size bonus to your Strength, a -2 penalty to your Dexterity, and a +4 natural armor bonus.&lt;/p&gt;&lt;/h4&gt;&lt;h5&gt;&lt;b&gt;Mythic: &lt;/b&gt;Each mythic monstrous physique spell must be learned individually, and you must know the respective non-mythic monstrous physique spell to learn its mythic version. You don't have to learn them in order, and aren't required to know a lower-level mythic monstrous physique spell before you learn a higher-level one (for example, you can learn mythic monstrous physique II if you know monstrous physique II, even if you don't know mythic monstrous physique I). Each mythic monstrous physique spell adds the following benefits to its respective non-mythic version. The spell's bonuses to ability scores increase by 2 each, the natural armor bonus increases by 1, and the ability score penalties decrease by 2 each (minimum penalty of 0). Alternatively, you can cast this spell on another willing creature, changing the range to touch and the target to one creature.&lt;/h5&gt;&lt;h5&gt;&lt;b&gt;Augmented (4th)&lt;/b&gt;: If you expend two uses of mythic power, the ability score bonuses increase by an additional 2. Additionally, you can cast this spell on other willing creatures, changing the range to touch and the target to one creature per tier.&lt;/h5&gt;&lt;/div&gt;</t>
  </si>
  <si>
    <t>Take the form and some of the powers of a Tiny or Large monstrous humanoid.</t>
  </si>
  <si>
    <t>Monstrous Physique III</t>
  </si>
  <si>
    <t>alchemist 5, magus 5, sorcerer/wizard 5</t>
  </si>
  <si>
    <t>This spell functions as monstrous physique II, except it also allows you to assume the form of a Diminutive or Huge creature of the monstrous humanoid type. If the form you assume has any of the following abilities, you gain the listed ability: burrow 30 feet, climb 90 feet, fly 90 feet (good maneuverability), swim 90 feet, all-around vision, blindsense 30 feet, darkvision 60 feet, low-light vision, scent, blood frenzy, cold vigor, constrict, ferocity, freeze, grab, horrific appearance, jet, leap attack, mimicry, natural cunning, overwhelming, poison, pounce, rake, sound mimicry, speak with sharks, trample, trip, and web. If the creature has the undersized weapons special quality, you gain that quality. Diminutive monstrous humanoid: If the form you take is that of a Diminutive monstrous humanoid, you gain a +6 size bonus to your Dexterity, a -4 penalty to your Strength, and a +1 natural armor bonus. Huge monstrous humanoid: If the form you take is that of a Huge monstrous humanoid, you gain a +6 size bonus to your Strength, a -4 penalty to your Dexterity, and a +6 natural armor bonus.</t>
  </si>
  <si>
    <t>&lt;p&gt;This spell functions as &lt;i&gt;&lt;i&gt;monstrous physique&lt;/i&gt; II&lt;/i&gt;, except it also allows you to assume the form of a Diminutive or Huge creature of the monstrous humanoid type. If the form you assume has any of the following abilities, you gain the listed ability: burrow 30 feet, climb 90 feet, fly 90 feet (good maneuverability), swim 90 feet, all-around vision, blindsense 30 feet, darkvision 60 feet, low-light vision, scent, blood frenzy, cold vigor, constrict, ferocity, freeze, grab, horrific appearance, jet, leap attack, mimicry, natural cunning, overwhelming, poison, pounce, rake, sound mimicry, speak with sharks, trample, trip, and web. If the creature has the undersized weapons special quality, you gain that quality. &lt;br&gt;&lt;i&gt;Diminutive monstrous humanoid&lt;/i&gt;: If the form you take is that of a &lt;i&gt;Diminutive monstrous humanoid&lt;/i&gt;, you gain a +6 size bonus to your Dexterity, a -4 penalty to your Strength, and a +1 natural armor bonus. &lt;br&gt;&lt;i&gt;Huge monstrous humanoid&lt;/i&gt;: If the form you take is that of a &lt;i&gt;Huge monstrous humanoid&lt;/i&gt;, you gain a +6 size bonus to your Strength, a -4 penalty to your Dexterity, and a +6 natural armor bonus.&lt;/p&gt;</t>
  </si>
  <si>
    <t>&lt;link rel="stylesheet"href="PF.css"&gt;&lt;div class="heading"&gt;&lt;p class="alignleft"&gt;Monstrous Physique III&lt;/p&gt;&lt;div style="clear: both;"&gt;&lt;/div&gt;&lt;/div&gt;&lt;div&gt;&lt;h5&gt;&lt;b&gt;School &lt;/b&gt;transmutation (polymorph); &lt;b&gt;Level &lt;/b&gt;alchemist 5, magus 5, sorcerer/wizard 5&lt;/h5&gt;&lt;/div&gt;&lt;hr/&gt;&lt;div&gt;&lt;h5&gt;&lt;b&gt;CASTING&lt;/b&gt;&lt;/h5&gt;&lt;/div&gt;&lt;hr/&gt;&lt;div&gt;&lt;h5&gt;&lt;b&gt;Casting Time &lt;/b&gt;1 standard action&lt;/h5&gt;&lt;h5&gt;&lt;b&gt;Components &lt;/b&gt;V, S, M (a piece of the creature whose form you plan to assume)&lt;/h5&gt;&lt;/div&gt;&lt;hr/&gt;&lt;div&gt;&lt;h5&gt;&lt;b&gt;EFFECT&lt;/b&gt;&lt;/h5&gt;&lt;/div&gt;&lt;hr/&gt;&lt;div&gt;&lt;h5&gt;&lt;b&gt;Range &lt;/b&gt;personal&lt;/h5&gt;&lt;h5&gt;&lt;b&gt;Targets &lt;/b&gt;you&lt;/h5&gt;&lt;h5&gt;&lt;b&gt;Duration &lt;/b&gt;1 minute/level (D)&lt;/h5&gt;&lt;/div&gt;&lt;hr/&gt;&lt;div&gt;&lt;h5&gt;&lt;b&gt;DESCRIPTION&lt;/b&gt;&lt;/h5&gt;&lt;/div&gt;&lt;hr/&gt;&lt;div&gt;&lt;h4&gt;&lt;p&gt;This spell functions as &lt;i&gt;&lt;i&gt;monstrous physique&lt;/i&gt; II&lt;/i&gt;, except it also allows you to assume the form of a Diminutive or Huge creature of the monstrous humanoid type. If the form you assume has any of the following abilities, you gain the listed ability: burrow 30 feet, climb 90 feet, fly 90 feet (good maneuverability), swim 90 feet, all-around vision, blindsense 30 feet, darkvision 60 feet, low-light vision, scent, blood frenzy, cold vigor, constrict, ferocity, freeze, grab, horrific appearance, jet, leap attack, mimicry, natural cunning, overwhelming, poison, pounce, rake, sound mimicry, speak with sharks, trample, trip, and web. If the creature has the undersized weapons special quality, you gain that quality. &lt;br&gt;&lt;i&gt;Diminutive monstrous humanoid&lt;/i&gt;: If the form you take is that of a &lt;i&gt;Diminutive monstrous humanoid&lt;/i&gt;, you gain a +6 size bonus to your Dexterity, a -4 penalty to your Strength, and a +1 natural armor bonus. &lt;br&gt;&lt;i&gt;Huge monstrous humanoid&lt;/i&gt;: If the form you take is that of a &lt;i&gt;Huge monstrous humanoid&lt;/i&gt;, you gain a +6 size bonus to your Strength, a -4 penalty to your Dexterity, and a +6 natural armor bonus.&lt;/p&gt;&lt;/h4&gt;&lt;h5&gt;&lt;b&gt;Mythic: &lt;/b&gt;Each mythic monstrous physique spell must be learned individually, and you must know the respective non-mythic monstrous physique spell to learn its mythic version. You don't have to learn them in order, and aren't required to know a lower-level mythic monstrous physique spell before you learn a higher-level one (for example, you can learn mythic monstrous physique II if you know monstrous physique II, even if you don't know mythic monstrous physique I). Each mythic monstrous physique spell adds the following benefits to its respective non-mythic version. The spell's bonuses to ability scores increase by 2 each, the natural armor bonus increases by 1, and the ability score penalties decrease by 2 each (minimum penalty of 0). Alternatively, you can cast this spell on another willing creature, changing the range to touch and the target to one creature.&lt;/h5&gt;&lt;h5&gt;&lt;b&gt;Augmented (4th)&lt;/b&gt;: If you expend two uses of mythic power, the ability score bonuses increase by an additional 2. Additionally, you can cast this spell on other willing creatures, changing the range to touch and the target to one creature per tier.&lt;/h5&gt;&lt;/div&gt;</t>
  </si>
  <si>
    <t>Take the form and some of the powers of a Diminutive or Huge monstrous humanoid.</t>
  </si>
  <si>
    <t>Monstrous Physique IV</t>
  </si>
  <si>
    <t>alchemist 6, magus 6, sorcerer/wizard 6</t>
  </si>
  <si>
    <t>This spell functions as monstrous physique III except it allows you to use more abilities. If the form you assume has any of the following abilities, you gain the listed ability: burrow 60 feet, climb 90 feet, fly 120 feet (good maneuverability), swim 120 feet, blindsense 60 feet, darkvision 90 feet, low-light vision, scent, tremorsense 60 feet, blood frenzy, breath weapon, cold vigor, constrict, ferocity, freeze, grab, horrific appearance, jet, leap attack, mimicry, natural cunning, overwhelming, poison, pounce, rake, rend, roar, sound mimicry, speak with sharks, spikes, trample, trip, and web. If the creature has immunity or resistance to any energy types, you gain resistance 20 to those energy types. If the creature has vulnerability to an energy type, you gain that vulnerability. If the creature has immunity to poison, you gain a +8 bonus on saves against poison.</t>
  </si>
  <si>
    <t>&lt;p&gt;This spell functions as &lt;i&gt;&lt;i&gt;monstrous physique&lt;/i&gt; III&lt;/i&gt; except it allows you to use more abilities. If the form you assume has any of the following abilities, you gain the listed ability: burrow 60 feet, climb 90 feet, fly 120 feet (good maneuverability), swim 120 feet, blindsense 60 feet, darkvision 90 feet, low-light vision, scent, tremorsense 60 feet, blood frenzy, breath weapon, cold vigor, constrict, ferocity, freeze, grab, horrific appearance, jet, leap attack, mimicry, natural cunning, overwhelming, poison, pounce, rake, rend, roar, sound mimicry, speak with sharks, spikes, trample, trip, and web. If the creature has immunity or resistance to any energy types, you gain resistance 20 to those energy types. If the creature has vulnerability to an energy type, you gain that vulnerability. If the creature has immunity to poison, you gain a +8 bonus on saves against poison.&lt;/p&gt;</t>
  </si>
  <si>
    <t>&lt;link rel="stylesheet"href="PF.css"&gt;&lt;div class="heading"&gt;&lt;p class="alignleft"&gt;Monstrous Physique IV&lt;/p&gt;&lt;div style="clear: both;"&gt;&lt;/div&gt;&lt;/div&gt;&lt;div&gt;&lt;h5&gt;&lt;b&gt;School &lt;/b&gt;transmutation (polymorph); &lt;b&gt;Level &lt;/b&gt;alchemist 6, magus 6, sorcerer/wizard 6&lt;/h5&gt;&lt;/div&gt;&lt;hr/&gt;&lt;div&gt;&lt;h5&gt;&lt;b&gt;CASTING&lt;/b&gt;&lt;/h5&gt;&lt;/div&gt;&lt;hr/&gt;&lt;div&gt;&lt;h5&gt;&lt;b&gt;Casting Time &lt;/b&gt;1 standard action&lt;/h5&gt;&lt;h5&gt;&lt;b&gt;Components &lt;/b&gt;V, S, M (a piece of the creature whose form you plan to assume)&lt;/h5&gt;&lt;/div&gt;&lt;hr/&gt;&lt;div&gt;&lt;h5&gt;&lt;b&gt;EFFECT&lt;/b&gt;&lt;/h5&gt;&lt;/div&gt;&lt;hr/&gt;&lt;div&gt;&lt;h5&gt;&lt;b&gt;Range &lt;/b&gt;personal&lt;/h5&gt;&lt;h5&gt;&lt;b&gt;Targets &lt;/b&gt;you&lt;/h5&gt;&lt;h5&gt;&lt;b&gt;Duration &lt;/b&gt;1 minute/level (D)&lt;/h5&gt;&lt;/div&gt;&lt;hr/&gt;&lt;div&gt;&lt;h5&gt;&lt;b&gt;DESCRIPTION&lt;/b&gt;&lt;/h5&gt;&lt;/div&gt;&lt;hr/&gt;&lt;div&gt;&lt;h4&gt;&lt;p&gt;This spell functions as &lt;i&gt;&lt;i&gt;monstrous physique&lt;/i&gt; III&lt;/i&gt; except it allows you to use more abilities. If the form you assume has any of the following abilities, you gain the listed ability: burrow 60 feet, climb 90 feet, fly 120 feet (good maneuverability), swim 120 feet, blindsense 60 feet, darkvision 90 feet, low-light vision, scent, tremorsense 60 feet, blood frenzy, breath weapon, cold vigor, constrict, ferocity, freeze, grab, horrific appearance, jet, leap attack, mimicry, natural cunning, overwhelming, poison, pounce, rake, rend, roar, sound mimicry, speak with sharks, spikes, trample, trip, and web. If the creature has immunity or resistance to any energy types, you gain resistance 20 to those energy types. If the creature has vulnerability to an energy type, you gain that vulnerability. If the creature has immunity to poison, you gain a +8 bonus on saves against poison.&lt;/p&gt;&lt;/h4&gt;&lt;h5&gt;&lt;b&gt;Mythic: &lt;/b&gt;Each mythic monstrous physique spell must be learned individually, and you must know the respective non-mythic monstrous physique spell to learn its mythic version. You don't have to learn them in order, and aren't required to know a lower-level mythic monstrous physique spell before you learn a higher-level one (for example, you can learn mythic monstrous physique II if you know monstrous physique II, even if you don't know mythic monstrous physique I). Each mythic monstrous physique spell adds the following benefits to its respective non-mythic version. The spell's bonuses to ability scores increase by 2 each, the natural armor bonus increases by 1, and the ability score penalties decrease by 2 each (minimum penalty of 0). Alternatively, you can cast this spell on another willing creature, changing the range to touch and the target to one creature.&lt;/h5&gt;&lt;h5&gt;&lt;b&gt;Augmented (4th)&lt;/b&gt;: If you expend two uses of mythic power, the ability score bonuses increase by an additional 2. Additionally, you can cast this spell on other willing creatures, changing the range to touch and the target to one creature per tier.&lt;/h5&gt;&lt;/div&gt;</t>
  </si>
  <si>
    <t>As monstrous physique III, with more abilities.</t>
  </si>
  <si>
    <t>Murderous Command</t>
  </si>
  <si>
    <t>antipaladin 1, cleric/oracle 1</t>
  </si>
  <si>
    <t>You give the target a mental urge to kill its nearest ally, which it obeys to the best of its ability. The target attacks its nearest ally on its next turn with a melee weapon or natural weapon. If necessary, it moves to or charges to the nearest ally in order to make this attack. If it is unable to reach its closest ally on its next turn, the target uses its turn to get as close as possible to the ally.</t>
  </si>
  <si>
    <t>&lt;p&gt;You give the target a mental urge to kill its nearest ally, which it obeys to the best of its ability. The target attacks its nearest ally on its next turn with a melee weapon or natural weapon. If necessary, it moves to or charges to the nearest ally in order to make this attack. If it is unable to reach its closest ally on its next turn, the target uses its turn to get as close as possible to the ally.&lt;/p&gt;</t>
  </si>
  <si>
    <t>&lt;link rel="stylesheet"href="PF.css"&gt;&lt;div class="heading"&gt;&lt;p class="alignleft"&gt;Murderous Command&lt;/p&gt;&lt;div style="clear: both;"&gt;&lt;/div&gt;&lt;/div&gt;&lt;div&gt;&lt;h5&gt;&lt;b&gt;School &lt;/b&gt;enchantment (compulsion) [mind-affecting]; &lt;b&gt;Level &lt;/b&gt;antipaladin 1, cleric/oracle 1&lt;/h5&gt;&lt;/div&gt;&lt;hr/&gt;&lt;div&gt;&lt;h5&gt;&lt;b&gt;CASTING&lt;/b&gt;&lt;/h5&gt;&lt;/div&gt;&lt;hr/&gt;&lt;div&gt;&lt;h5&gt;&lt;b&gt;Casting Time &lt;/b&gt;1 standard action&lt;/h5&gt;&lt;h5&gt;&lt;b&gt;Components &lt;/b&gt;V&lt;/h5&gt;&lt;/div&gt;&lt;hr/&gt;&lt;div&gt;&lt;h5&gt;&lt;b&gt;EFFECT&lt;/b&gt;&lt;/h5&gt;&lt;/div&gt;&lt;hr/&gt;&lt;div&gt;&lt;h5&gt;&lt;b&gt;Range &lt;/b&gt;close (25 ft. + 5 ft./2 levels)&lt;/h5&gt;&lt;h5&gt;&lt;b&gt;Targets &lt;/b&gt;one living creature&lt;/h5&gt;&lt;h5&gt;&lt;b&gt;Duration &lt;/b&gt;1 round&lt;/h5&gt;&lt;h5&gt;&lt;b&gt;Saving Throw &lt;/b&gt;Will negates; &lt;b&gt;Spell Resistance &lt;/b&gt;yes&lt;/h5&gt;&lt;/div&gt;&lt;hr/&gt;&lt;div&gt;&lt;h5&gt;&lt;b&gt;DESCRIPTION&lt;/b&gt;&lt;/h5&gt;&lt;/div&gt;&lt;hr/&gt;&lt;div&gt;&lt;h4&gt;&lt;p&gt;You give the target a mental urge to kill its nearest ally, which it obeys to the best of its ability. The target attacks its nearest ally on its next turn with a melee weapon or natural weapon. If necessary, it moves to or charges to the nearest ally in order to make this attack. If it is unable to reach its closest ally on its next turn, the target uses its turn to get as close as possible to the ally.&lt;/p&gt;&lt;/h4&gt;&lt;h5&gt;&lt;b&gt;Mythic: &lt;/b&gt;This spell lasts for a number of rounds equal to your tier. Each round after the first, the target can attempt a new saving throw at the beginning of its turn to break free of the spell.&lt;/h5&gt;&lt;h5&gt;&lt;b&gt;Augmented&lt;/b&gt;: If you expend two uses of mythic power, the target attacks its nearest ally with its most powerful spell, spell-like ability, or supernatural ability. If it has no such ability, it attacks the ally with a melee weapon or natural weapon as normal and gains a +4 morale bonus on the attack and damage rolls.&lt;/h5&gt;&lt;/div&gt;</t>
  </si>
  <si>
    <t>Target is compelled to kill its ally.</t>
  </si>
  <si>
    <t>This spell lasts for a number of rounds equal to your tier. Each round after the first, the target can attempt a new saving throw at the beginning of its turn to break free of the spell.</t>
  </si>
  <si>
    <t>Augmented: If you expend two uses of mythic power, the target attacks its nearest ally with its most powerful spell, spell-like ability, or supernatural ability. If it has no such ability, it attacks the ally with a melee weapon or natural weapon as normal and gains a +4 morale bonus on the attack and damage rolls.</t>
  </si>
  <si>
    <t>Oppressive Boredom</t>
  </si>
  <si>
    <t>1 round/level or until broken (see text)</t>
  </si>
  <si>
    <t>You fill your target with boredom. The target loses all interest in its current task and must make a Will save against the spell's effect in order to perform its next action. If the target fails, it takes no action that round. The boredom lasts until the duration expires or the target breaks the spell's effect with a successful Will save.</t>
  </si>
  <si>
    <t>&lt;p&gt;You fill your target with boredom. The target loses all interest in its current task and must make a Will save against the spell's effect in order to perform its next action. If the target fails, it takes no action that round. The boredom lasts until the duration expires or the target breaks the spell's effect with a successful Will save.&lt;/p&gt;</t>
  </si>
  <si>
    <t>&lt;link rel="stylesheet"href="PF.css"&gt;&lt;div class="heading"&gt;&lt;p class="alignleft"&gt;Oppressive Boredom&lt;/p&gt;&lt;div style="clear: both;"&gt;&lt;/div&gt;&lt;/div&gt;&lt;div&gt;&lt;h5&gt;&lt;b&gt;School &lt;/b&gt;enchantment (compulsion) [emotion, mind-affecting]; &lt;b&gt;Level &lt;/b&gt;bard 2, sorcerer/wizard 2&lt;/h5&gt;&lt;/div&gt;&lt;hr/&gt;&lt;div&gt;&lt;h5&gt;&lt;b&gt;CASTING&lt;/b&gt;&lt;/h5&gt;&lt;/div&gt;&lt;hr/&gt;&lt;div&gt;&lt;h5&gt;&lt;b&gt;Casting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&lt;/b&gt;1 round/level or until broken (see text)&lt;/h5&gt;&lt;h5&gt;&lt;b&gt;Saving Throw &lt;/b&gt;Will negates (see text); &lt;b&gt;Spell Resistance &lt;/b&gt;yes&lt;/h5&gt;&lt;/div&gt;&lt;hr/&gt;&lt;div&gt;&lt;h5&gt;&lt;b&gt;DESCRIPTION&lt;/b&gt;&lt;/h5&gt;&lt;/div&gt;&lt;hr/&gt;&lt;div&gt;&lt;h4&gt;&lt;p&gt;You fill your target with boredom. The target loses all interest in its current task and must make a Will save against the spell's effect in order to perform its next action. If the target fails, it takes no action that round. The boredom lasts until the duration expires or the target breaks the spell's effect with a successful Will save.&lt;/p&gt;&lt;/h4&gt;&lt;/div&gt;</t>
  </si>
  <si>
    <t>Target loses its next action.</t>
  </si>
  <si>
    <t>Oracle's Vessel</t>
  </si>
  <si>
    <t>oracle 4</t>
  </si>
  <si>
    <t>The target gains all the benefits of your oracle's curse, with none of the penalties. In some cases, this has no effect (for example, a fighter with your haunted curse can't cast spells and doesn't gain any benefit from having additional spells known).</t>
  </si>
  <si>
    <t>&lt;p&gt;The target gains all the benefits of your oracle's curse, with none of the penalties. In some cases, this has no effect (for example, a fighter with your haunted curse can't cast spells and doesn't gain any benefit from having additional spells known).&lt;/p&gt;</t>
  </si>
  <si>
    <t>&lt;link rel="stylesheet"href="PF.css"&gt;&lt;div class="heading"&gt;&lt;p class="alignleft"&gt;Oracle's Vessel&lt;/p&gt;&lt;div style="clear: both;"&gt;&lt;/div&gt;&lt;/div&gt;&lt;div&gt;&lt;h5&gt;&lt;b&gt;School &lt;/b&gt;transmutation; &lt;b&gt;Level &lt;/b&gt;oracle 4&lt;/h5&gt;&lt;/div&gt;&lt;hr/&gt;&lt;div&gt;&lt;h5&gt;&lt;b&gt;CASTING&lt;/b&gt;&lt;/h5&gt;&lt;/div&gt;&lt;hr/&gt;&lt;div&gt;&lt;h5&gt;&lt;b&gt;Casting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&lt;/b&gt;1 minute/level&lt;/h5&gt;&lt;h5&gt;&lt;b&gt;Saving Throw &lt;/b&gt;Will negates (harmless); &lt;b&gt;Spell Resistance &lt;/b&gt;yes (harmless)&lt;/h5&gt;&lt;/div&gt;&lt;hr/&gt;&lt;div&gt;&lt;h5&gt;&lt;b&gt;DESCRIPTION&lt;/b&gt;&lt;/h5&gt;&lt;/div&gt;&lt;hr/&gt;&lt;div&gt;&lt;h4&gt;&lt;p&gt;The target gains all the benefits of your oracle's curse, with none of the penalties. In some cases, this has no effect (for example, a fighter with your haunted curse can't cast spells and doesn't gain any benefit from having additional spells known).&lt;/p&gt;&lt;/h4&gt;&lt;/div&gt;</t>
  </si>
  <si>
    <t>Oracle only. Target gains the benefits of your oracle's curse.</t>
  </si>
  <si>
    <t>Orb Of The Void</t>
  </si>
  <si>
    <t>cleric/oracle 8, sorcerer/wizard 8</t>
  </si>
  <si>
    <t>V, S, M (a black gemstone of any kind worth 50 gp)</t>
  </si>
  <si>
    <t>1-ft.-diameter sphere</t>
  </si>
  <si>
    <t>You create a small weightless sphere of pure negative energy. As a move action, you can move it up to 30 feet per round in any direction. If it enters a space with a living creature, it stops moving for the round and that creature gains one negative level (Fortitude negates). Any creature passing through or ending its turn in the space occupied by the sphere gains one negative level (Fortitude negates). Twenty-four hours after gaining a negative level from the sphere, the subject must make a Fortitude saving throw (the DC of this save is equal to the DC of this spell) for each negative level. If the save succeeds, that negative level is removed. If it fails, that negative level becomes permanent. If more than one orb (from different castings of the spell) enters the same space, the orbs automatically fuse together. The resulting orb uses the higher of the two orbs' DCs as its DC and whichever duration has more time left. If the orbs are from different casters, each must make an opposed Intelligence check to move the sphere. An undead creature that passes through or ends its turn in the space occupied by the orb gains 2d4 x 5 temporary hit points for 1 hour.</t>
  </si>
  <si>
    <t>&lt;p&gt;You create a small weightless sphere of pure negative energy. As a move action, you can move it up to 30 feet per round in any direction. If it enters a space with a living creature, it stops moving for the round and that creature gains one negative level (Fortitude negates). Any creature passing through or ending its turn in the space occupied by the sphere gains one negative level (Fortitude negates). Twenty-four hours after gaining a negative level from the sphere, the subject must make a Fortitude saving throw (the DC of this save is equal to the DC of this spell) for each negative level. If the save succeeds, that negative level is removed. If it fails, that negative level becomes permanent. If more than one orb (from different castings of the spell) enters the same space, the orbs automatically fuse together. The resulting orb uses the higher of the two orbs' DCs as its DC and whichever duration has more time left. If the orbs are from different casters, each must make an opposed Intelligence check to move the sphere. An undead creature that passes through or ends its turn in the space occupied by the orb gains 2d4 x 5 temporary hit points for 1 hour.&lt;/p&gt;</t>
  </si>
  <si>
    <t>&lt;link rel="stylesheet"href="PF.css"&gt;&lt;div class="heading"&gt;&lt;p class="alignleft"&gt;Orb Of The Void&lt;/p&gt;&lt;div style="clear: both;"&gt;&lt;/div&gt;&lt;/div&gt;&lt;div&gt;&lt;h5&gt;&lt;b&gt;School &lt;/b&gt;necromancy; &lt;b&gt;Level &lt;/b&gt;cleric/oracle 8, sorcerer/wizard 8&lt;/h5&gt;&lt;/div&gt;&lt;hr/&gt;&lt;div&gt;&lt;h5&gt;&lt;b&gt;CASTING&lt;/b&gt;&lt;/h5&gt;&lt;/div&gt;&lt;hr/&gt;&lt;div&gt;&lt;h5&gt;&lt;b&gt;Casting Time &lt;/b&gt;1 standard action&lt;/h5&gt;&lt;h5&gt;&lt;b&gt;Components &lt;/b&gt;V, S, M (a black gemstone of any kind worth 50 gp)&lt;/h5&gt;&lt;/div&gt;&lt;hr/&gt;&lt;div&gt;&lt;h5&gt;&lt;b&gt;EFFECT&lt;/b&gt;&lt;/h5&gt;&lt;/div&gt;&lt;hr/&gt;&lt;div&gt;&lt;h5&gt;&lt;b&gt;Range &lt;/b&gt;close (25 ft. + 5 ft./2 levels)&lt;/h5&gt;&lt;h5&gt;&lt;b&gt;Effect &lt;/b&gt;1-ft.-diameter sphere&lt;/h5&gt;&lt;h5&gt;&lt;b&gt;Duration &lt;/b&gt;1 round/level (D)&lt;/h5&gt;&lt;h5&gt;&lt;b&gt;Saving Throw &lt;/b&gt;Fortitude negates; &lt;b&gt;Spell Resistance &lt;/b&gt;yes&lt;/h5&gt;&lt;/div&gt;&lt;hr/&gt;&lt;div&gt;&lt;h5&gt;&lt;b&gt;DESCRIPTION&lt;/b&gt;&lt;/h5&gt;&lt;/div&gt;&lt;hr/&gt;&lt;div&gt;&lt;h4&gt;&lt;p&gt;You create a small weightless sphere of pure negative energy. As a move action, you can move it up to 30 feet per round in any direction. If it enters a space with a living creature, it stops moving for the round and that creature gains one negative level (Fortitude negates). Any creature passing through or ending its turn in the space occupied by the sphere gains one negative level (Fortitude negates). Twenty-four hours after gaining a negative level from the sphere, the subject must make a Fortitude saving throw (the DC of this save is equal to the DC of this spell) for each negative level. If the save succeeds, that negative level is removed. If it fails, that negative level becomes permanent. If more than one orb (from different castings of the spell) enters the same space, the orbs automatically fuse together. The resulting orb uses the higher of the two orbs' DCs as its DC and whichever duration has more time left. If the orbs are from different casters, each must make an opposed Intelligence check to move the sphere. An undead creature that passes through or ends its turn in the space occupied by the orb gains 2d4 x 5 temporary hit points for 1 hour.&lt;/p&gt;&lt;/h4&gt;&lt;h5&gt;&lt;b&gt;Mythic: &lt;/b&gt;A creature that fails its save against the orb gains 2 negative levels rather than 1. A successful Fortitude save reduces this to 1 negative level.&lt;/h5&gt;&lt;h5&gt;&lt;b&gt;Augmented (6th)&lt;/b&gt;: If you expend two uses of mythic power, the orb doesn't automatically stop when in enters a space with a living creature, but the saving throw DC decreases by 2 for each creature after the first it affects each round. An individual creature can be affected by the orb of the void only once per round, even if the orb moves through its space more than once.&lt;/h5&gt;&lt;/div&gt;</t>
  </si>
  <si>
    <t>Sphere inflicts negative levels.</t>
  </si>
  <si>
    <t>A creature that fails its save against the orb gains 2 negative levels rather than 1. A successful Fortitude save reduces this to 1 negative level.</t>
  </si>
  <si>
    <t>Augmented (6th): If you expend two uses of mythic power, the orb doesn't automatically stop when in enters a space with a living creature, but the saving throw DC decreases by 2 for each creature after the first it affects each round. An individual creature can be affected by the orb of the void only once per round, even if the orb moves through its space more than once.</t>
  </si>
  <si>
    <t>Overwhelming Grief</t>
  </si>
  <si>
    <t>You cause a single opponent to become profoundly stricken with intense grief. He can take no actions, takes a -2 penalty to Armor Class, and loses his Dexterity bonus (if any). He can attempt a new save each round to break the spell's effect.</t>
  </si>
  <si>
    <t>&lt;p&gt;You cause a single opponent to become profoundly stricken with intense grief. He can take no actions, takes a -2 penalty to Armor Class, and loses his Dexterity bonus (if any). He can attempt a new save each round to break the spell's effect.&lt;/p&gt;</t>
  </si>
  <si>
    <t>&lt;link rel="stylesheet"href="PF.css"&gt;&lt;div class="heading"&gt;&lt;p class="alignleft"&gt;Overwhelming Grief&lt;/p&gt;&lt;div style="clear: both;"&gt;&lt;/div&gt;&lt;/div&gt;&lt;div&gt;&lt;h5&gt;&lt;b&gt;School &lt;/b&gt;enchantment (compulsion) [emotion, mind-affecting]; &lt;b&gt;Level &lt;/b&gt;bard 3, sorcerer/wizard 4&lt;/h5&gt;&lt;/div&gt;&lt;hr/&gt;&lt;div&gt;&lt;h5&gt;&lt;b&gt;CASTING&lt;/b&gt;&lt;/h5&gt;&lt;/div&gt;&lt;hr/&gt;&lt;div&gt;&lt;h5&gt;&lt;b&gt;Casting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&lt;/b&gt;1 round/level&lt;/h5&gt;&lt;h5&gt;&lt;b&gt;Saving Throw &lt;/b&gt;Will negates (see text); &lt;b&gt;Spell Resistance &lt;/b&gt;yes&lt;/h5&gt;&lt;/div&gt;&lt;hr/&gt;&lt;div&gt;&lt;h5&gt;&lt;b&gt;DESCRIPTION&lt;/b&gt;&lt;/h5&gt;&lt;/div&gt;&lt;hr/&gt;&lt;div&gt;&lt;h4&gt;&lt;p&gt;You cause a single opponent to become profoundly stricken with intense grief. He can take no actions, takes a -2 penalty to Armor Class, and loses his Dexterity bonus (if any). He can attempt a new save each round to break the spell's effect.&lt;/p&gt;&lt;/h4&gt;&lt;/div&gt;</t>
  </si>
  <si>
    <t>Grieving target can take no actions and is denied its Dex bonus.</t>
  </si>
  <si>
    <t>Overwhelming Presence</t>
  </si>
  <si>
    <t>bard 6, cleric 9/oracle 9, inquisitor 6, sorcerer/wizard 9</t>
  </si>
  <si>
    <t>V, S, M (a swan feather)</t>
  </si>
  <si>
    <t>Your presence inspires incredible awe in those nearby. A creature that fails a save against this spell falls to the ground and prostrates itself before you, believing it bows before a divine presence. A flying creature incapable of hovering must land immediately in order to prostrate itself. These creatures are considered to be helpless for the duration of the spell. Each round on its turn, a target of this spell may attempt a new saving throw to end the effect; this is a full-round action that does not provoke attacks of opportunity. A creature that recovers from this spell early after being affected by it for at least 1 round takes 1d6 points of Wisdom drain and is staggered for 1d4 rounds. A creature that makes the initial save to resist this spell is merely staggered for 1 round.</t>
  </si>
  <si>
    <t>&lt;p&gt;Your presence inspires incredible awe in those nearby. A creature that fails a save against this spell falls to the ground and prostrates itself before you, believing it bows before a divine presence. A flying creature incapable of hovering must land immediately in order to prostrate itself. These creatures are considered to be helpless for the duration of the spell.&lt;/p&gt;&lt;p&gt;Each round on its turn, a target of this spell may attempt a new saving throw to end the effect; this is a full-round action that does not provoke attacks of opportunity. A creature that recovers from this spell early after being affected by it for at least 1 round takes 1d6 points of Wisdom drain and is staggered for 1d4 rounds. A creature that makes the initial save to resist this spell is merely staggered for 1 round.&lt;/p&gt;</t>
  </si>
  <si>
    <t>&lt;link rel="stylesheet"href="PF.css"&gt;&lt;div class="heading"&gt;&lt;p class="alignleft"&gt;Overwhelming Presence&lt;/p&gt;&lt;div style="clear: both;"&gt;&lt;/div&gt;&lt;/div&gt;&lt;div&gt;&lt;h5&gt;&lt;b&gt;School &lt;/b&gt;enchantment (compulsion) [emotion, mind-affecting]; &lt;b&gt;Level &lt;/b&gt;bard 6, cleric 9/oracle 9, inquisitor 6, sorcerer/wizard 9&lt;/h5&gt;&lt;/div&gt;&lt;hr/&gt;&lt;div&gt;&lt;h5&gt;&lt;b&gt;CASTING&lt;/b&gt;&lt;/h5&gt;&lt;/div&gt;&lt;hr/&gt;&lt;div&gt;&lt;h5&gt;&lt;b&gt;Casting Time &lt;/b&gt;1 standard action&lt;/h5&gt;&lt;h5&gt;&lt;b&gt;Components &lt;/b&gt;V, S, M (a swan feather)&lt;/h5&gt;&lt;/div&gt;&lt;hr/&gt;&lt;div&gt;&lt;h5&gt;&lt;b&gt;EFFECT&lt;/b&gt;&lt;/h5&gt;&lt;/div&gt;&lt;hr/&gt;&lt;div&gt;&lt;h5&gt;&lt;b&gt;Range &lt;/b&gt;medium (100 ft. + 10 ft./level)&lt;/h5&gt;&lt;h5&gt;&lt;b&gt;Targets &lt;/b&gt;one creature/level, no two of which can be more than 30 ft. apart&lt;/h5&gt;&lt;h5&gt;&lt;b&gt;Duration &lt;/b&gt;1 round/level&lt;/h5&gt;&lt;h5&gt;&lt;b&gt;Saving Throw &lt;/b&gt;Will negates, see text; &lt;b&gt;Spell Resistance &lt;/b&gt;yes&lt;/h5&gt;&lt;/div&gt;&lt;hr/&gt;&lt;div&gt;&lt;h5&gt;&lt;b&gt;DESCRIPTION&lt;/b&gt;&lt;/h5&gt;&lt;/div&gt;&lt;hr/&gt;&lt;div&gt;&lt;h4&gt;&lt;p&gt;Your presence inspires incredible awe in those nearby. A creature that fails a save against this spell falls to the ground and prostrates itself before you, believing it bows before a divine presence. A flying creature incapable of hovering must land immediately in order to prostrate itself. These creatures are considered to be helpless for the duration of the spell.&lt;/p&gt;&lt;p&gt;Each round on its turn, a target of this spell may attempt a new saving throw to end the effect; this is a full-round action that does not provoke attacks of opportunity. A creature that recovers from this spell early after being affected by it for at least 1 round takes 1d6 points of Wisdom drain and is staggered for 1d4 rounds. A creature that makes the initial save to resist this spell is merely staggered for 1 round.&lt;/p&gt;&lt;/h4&gt;&lt;/div&gt;</t>
  </si>
  <si>
    <t>Creatures bow before you as if you were divine.</t>
  </si>
  <si>
    <t>Pernicious Poison</t>
  </si>
  <si>
    <t>antipaladin 2, druid 2, sorcerer/wizard 2, witch 2</t>
  </si>
  <si>
    <t>You weaken the target's defenses against poison. The target gains a -4 penalty on saves against poison, and poisons affecting the target continue for another 2 frequency increments (for example, black adder venom lasts 8 rounds instead of 6, and arsenic lasts for 6 minutes instead of 4). Attempts to cure the poisoned target with skill or magic take a -4 penalty.</t>
  </si>
  <si>
    <t>&lt;p&gt;You weaken the target's defenses against poison. The target gains a -4 penalty on saves against poison, and poisons affecting the target continue for another 2 frequency increments (for example, black adder venom lasts 8 rounds instead of 6, and arsenic lasts for 6 minutes instead of 4). Attempts to cure the poisoned target with skill or magic take a -4 penalty.&lt;/p&gt;</t>
  </si>
  <si>
    <t>&lt;link rel="stylesheet"href="PF.css"&gt;&lt;div class="heading"&gt;&lt;p class="alignleft"&gt;Pernicious Poison&lt;/p&gt;&lt;div style="clear: both;"&gt;&lt;/div&gt;&lt;/div&gt;&lt;div&gt;&lt;h5&gt;&lt;b&gt;School &lt;/b&gt;necromancy [poison]; &lt;b&gt;Level &lt;/b&gt;antipaladin 2, druid 2, sorcerer/wizard 2, witch 2&lt;/h5&gt;&lt;/div&gt;&lt;hr/&gt;&lt;div&gt;&lt;h5&gt;&lt;b&gt;CASTING&lt;/b&gt;&lt;/h5&gt;&lt;/div&gt;&lt;hr/&gt;&lt;div&gt;&lt;h5&gt;&lt;b&gt;Casting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 touched&lt;/h5&gt;&lt;h5&gt;&lt;b&gt;Duration &lt;/b&gt;10 minute/level&lt;/h5&gt;&lt;h5&gt;&lt;b&gt;Saving Throw &lt;/b&gt;none; &lt;b&gt;Spell Resistance &lt;/b&gt;yes&lt;/h5&gt;&lt;/div&gt;&lt;hr/&gt;&lt;div&gt;&lt;h5&gt;&lt;b&gt;DESCRIPTION&lt;/b&gt;&lt;/h5&gt;&lt;/div&gt;&lt;hr/&gt;&lt;div&gt;&lt;h4&gt;&lt;p&gt;You weaken the target's defenses against poison. The target gains a -4 penalty on saves against poison, and poisons affecting the target continue for another 2 frequency increments (for example, black adder venom lasts 8 rounds instead of 6, and arsenic lasts for 6 minutes instead of 4). Attempts to cure the poisoned target with skill or magic take a -4 penalty.&lt;/p&gt;&lt;/h4&gt;&lt;h5&gt;&lt;b&gt;Mythic: &lt;/b&gt;The number of successful saving throws needed to cure a poison increases by one. If the poison deals ability damage on a failed saving throw, that ability damage increases by 1.&lt;/h5&gt;&lt;h5&gt;&lt;b&gt;Augmented (6th)&lt;/b&gt;: If you expend two uses of mythic power, the target's penalty on saves against poison increases to -8, and the penalty for attempting to cure the target with skill or magic increases to -8. If you expend three uses of mythic power, the poison bypasses the creature's poison immunity (this doesn't affect poison immunity from not having a Constitution score).&lt;/h5&gt;&lt;/div&gt;</t>
  </si>
  <si>
    <t>Target takes a –4 penalty against poison.</t>
  </si>
  <si>
    <t>The number of successful saving throws needed to cure a poison increases by one. If the poison deals ability damage on a failed saving throw, that ability damage increases by 1.</t>
  </si>
  <si>
    <t>Augmented (6th): If you expend two uses of mythic power, the target's penalty on saves against poison increases to -8, and the penalty for attempting to cure the target with skill or magic increases to -8. If you expend three uses of mythic power, the poison bypasses the creature's poison immunity (this doesn't affect poison immunity from not having a Constitution score).</t>
  </si>
  <si>
    <t>Persuasive Goad</t>
  </si>
  <si>
    <t>instantaneous and 1 minute</t>
  </si>
  <si>
    <t>Your eyes flash and the target takes 1d6 points of nonlethal damage. For the next minute, you gain a +4 circumstance bonus on Intimidate checks against the target.</t>
  </si>
  <si>
    <t>&lt;p&gt;Your eyes flash and the target takes 1d6 points of nonlethal damage. For the next minute, you gain a +4 circumstance bonus on Intimidate checks against the target.&lt;/p&gt;</t>
  </si>
  <si>
    <t>&lt;link rel="stylesheet"href="PF.css"&gt;&lt;div class="heading"&gt;&lt;p class="alignleft"&gt;Persuasive Goad&lt;/p&gt;&lt;div style="clear: both;"&gt;&lt;/div&gt;&lt;/div&gt;&lt;div&gt;&lt;h5&gt;&lt;b&gt;School &lt;/b&gt;necromancy [pain]; &lt;b&gt;Level &lt;/b&gt;inquisitor 1&lt;/h5&gt;&lt;/div&gt;&lt;hr/&gt;&lt;div&gt;&lt;h5&gt;&lt;b&gt;CASTING&lt;/b&gt;&lt;/h5&gt;&lt;/div&gt;&lt;hr/&gt;&lt;div&gt;&lt;h5&gt;&lt;b&gt;Casting Time &lt;/b&gt;1 standard action&lt;/h5&gt;&lt;h5&gt;&lt;b&gt;Components &lt;/b&gt;V, S&lt;/h5&gt;&lt;/div&gt;&lt;hr/&gt;&lt;div&gt;&lt;h5&gt;&lt;b&gt;EFFECT&lt;/b&gt;&lt;/h5&gt;&lt;/div&gt;&lt;hr/&gt;&lt;div&gt;&lt;h5&gt;&lt;b&gt;Range &lt;/b&gt;close (25 ft. +5 ft./2 levels)&lt;/h5&gt;&lt;h5&gt;&lt;b&gt;Targets &lt;/b&gt;one creature&lt;/h5&gt;&lt;h5&gt;&lt;b&gt;Duration &lt;/b&gt;instantaneous and 1 minute&lt;/h5&gt;&lt;h5&gt;&lt;b&gt;Saving Throw &lt;/b&gt;Fortitude negates; &lt;b&gt;Spell Resistance &lt;/b&gt;yes&lt;/h5&gt;&lt;/div&gt;&lt;hr/&gt;&lt;div&gt;&lt;h5&gt;&lt;b&gt;DESCRIPTION&lt;/b&gt;&lt;/h5&gt;&lt;/div&gt;&lt;hr/&gt;&lt;div&gt;&lt;h4&gt;&lt;p&gt;Your eyes flash and the target takes 1d6 points of nonlethal damage. For the next minute, you gain a +4 circumstance bonus on Intimidate checks against the target.&lt;/p&gt;&lt;/h4&gt;&lt;/div&gt;</t>
  </si>
  <si>
    <t>Target takes 1d6 nonlethal damage; you gain an Intimidate bonus.</t>
  </si>
  <si>
    <t>Piercing Shriek</t>
  </si>
  <si>
    <t>pain, sonic</t>
  </si>
  <si>
    <t>medium (100 ft. + 10ft./level)</t>
  </si>
  <si>
    <t>You emit an ear-splitting shriek which can be heard only by the target of this spell; all other observers merely see you screaming silently. The target suffers wracking pain from the scream, gaining the staggered condition. This spell has no effect on deaf creatures and cannot penetrate an area of silence.</t>
  </si>
  <si>
    <t>&lt;p&gt;You emit an ear-splitting shriek which can be heard only by the target of this spell; all other observers merely see you screaming silently. The target suffers wracking pain from the scream, gaining the staggered condition. This spell has no effect on deaf creatures and cannot penetrate an area of &lt;i&gt;silence&lt;/i&gt;.&lt;/p&gt;</t>
  </si>
  <si>
    <t>&lt;link rel="stylesheet"href="PF.css"&gt;&lt;div class="heading"&gt;&lt;p class="alignleft"&gt;Piercing Shriek&lt;/p&gt;&lt;div style="clear: both;"&gt;&lt;/div&gt;&lt;/div&gt;&lt;div&gt;&lt;h5&gt;&lt;b&gt;School &lt;/b&gt;evocation [pain, sonic]; &lt;b&gt;Level &lt;/b&gt;bard 2&lt;/h5&gt;&lt;/div&gt;&lt;hr/&gt;&lt;div&gt;&lt;h5&gt;&lt;b&gt;CASTING&lt;/b&gt;&lt;/h5&gt;&lt;/div&gt;&lt;hr/&gt;&lt;div&gt;&lt;h5&gt;&lt;b&gt;Casting Time &lt;/b&gt;1 standard action&lt;/h5&gt;&lt;h5&gt;&lt;b&gt;Components &lt;/b&gt;V&lt;/h5&gt;&lt;/div&gt;&lt;hr/&gt;&lt;div&gt;&lt;h5&gt;&lt;b&gt;EFFECT&lt;/b&gt;&lt;/h5&gt;&lt;/div&gt;&lt;hr/&gt;&lt;div&gt;&lt;h5&gt;&lt;b&gt;Range &lt;/b&gt;medium (100 ft. + 10ft./level)&lt;/h5&gt;&lt;h5&gt;&lt;b&gt;Targets &lt;/b&gt;one creature&lt;/h5&gt;&lt;h5&gt;&lt;b&gt;Duration &lt;/b&gt;1 round/level&lt;/h5&gt;&lt;h5&gt;&lt;b&gt;Saving Throw &lt;/b&gt;Fortitude negates; &lt;b&gt;Spell Resistance &lt;/b&gt;yes&lt;/h5&gt;&lt;/div&gt;&lt;hr/&gt;&lt;div&gt;&lt;h5&gt;&lt;b&gt;DESCRIPTION&lt;/b&gt;&lt;/h5&gt;&lt;/div&gt;&lt;hr/&gt;&lt;div&gt;&lt;h4&gt;&lt;p&gt;You emit an ear-splitting shriek which can be heard only by the target of this spell; all other observers merely see you screaming silently. The target suffers wracking pain from the scream, gaining the staggered condition. This spell has no effect on deaf creatures and cannot penetrate an area of &lt;i&gt;silence&lt;/i&gt;.&lt;/p&gt;&lt;/h4&gt;&lt;/div&gt;</t>
  </si>
  <si>
    <t>Target is staggered by a painful sound.</t>
  </si>
  <si>
    <t>Plague Carrier</t>
  </si>
  <si>
    <t>cleric 4/oracle 4, druid 4, sorcerer/wizard 5, witch 5</t>
  </si>
  <si>
    <t>The target's natural attacks carry filth fever (DC 10 + 1/2 of the creature's Hit Dice + creature's Con modifier)</t>
  </si>
  <si>
    <t>&lt;p&gt;The target's natural attacks carry filth fever (DC 10 + 1/2 of the creature's Hit Dice + creature's Con modifier)&lt;/p&gt;</t>
  </si>
  <si>
    <t>&lt;link rel="stylesheet"href="PF.css"&gt;&lt;div class="heading"&gt;&lt;p class="alignleft"&gt;Plague Carrier&lt;/p&gt;&lt;div style="clear: both;"&gt;&lt;/div&gt;&lt;/div&gt;&lt;div&gt;&lt;h5&gt;&lt;b&gt;School &lt;/b&gt;necromancy [disease, evil]; &lt;b&gt;Level &lt;/b&gt;cleric 4/oracle 4, druid 4, sorcerer/wizard 5, witch 5&lt;/h5&gt;&lt;/div&gt;&lt;hr/&gt;&lt;div&gt;&lt;h5&gt;&lt;b&gt;CASTING&lt;/b&gt;&lt;/h5&gt;&lt;/div&gt;&lt;hr/&gt;&lt;div&gt;&lt;h5&gt;&lt;b&gt;Casting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hour/level&lt;/h5&gt;&lt;h5&gt;&lt;b&gt;Saving Throw &lt;/b&gt;Fortitude negates (harmless); &lt;b&gt;Spell Resistance &lt;/b&gt;yes&lt;/h5&gt;&lt;/div&gt;&lt;hr/&gt;&lt;div&gt;&lt;h5&gt;&lt;b&gt;DESCRIPTION&lt;/b&gt;&lt;/h5&gt;&lt;/div&gt;&lt;hr/&gt;&lt;div&gt;&lt;h4&gt;&lt;p&gt;The target's natural attacks carry filth fever (DC 10 + 1/2 of the creature's Hit Dice + creature's Con modifier)&lt;/p&gt;&lt;/h4&gt;&lt;/div&gt;</t>
  </si>
  <si>
    <t>Target's attacks carry filth fever.</t>
  </si>
  <si>
    <t>Plague Storm</t>
  </si>
  <si>
    <t>1 minute/level and instantaneous (see text)</t>
  </si>
  <si>
    <t>You create a hideous gray cloud, similar to fog cloud, that occasionally crackles with foul-smelling bolts of sickly green lightning. Creatures in the area must save or contract one of the following diseases: blinding sickness, bubonic plague, cackle fever, demon fever, devil chills, filth fever, leprosy, mindfire, red ache, shakes, or slimy doom (the disease is chosen by you when you cast the spell and applies to all creatures that fail the save). The disease is contracted immediately (the onset period does not apply) and is an instantaneous effect. Use the disease's listed frequency to determine further effects, but the disease's save DC increases by +2. For more information see page 557 of the Core Rulebook. Unlike a fog cloud, the plague storm moves away from you at 10 feet per round, rolling along the surface of the ground. Figure out the cloud's new spread each round based on its new point of origin, which is 10 feet farther away from the point of origin where you cast the spell. Because the vapors are heavier than air, they sink to the lowest level of the terrain, even pouring down den or sinkhole openings. The cloud cannot penetrate liquids, nor can it be cast underwater.</t>
  </si>
  <si>
    <t>&lt;p&gt;You create a hideous gray cloud, similar to &lt;i&gt;fog cloud&lt;/i&gt;, that occasionally crackles with foul-smelling bolts of sickly green lightning. Creatures in the area must save or contract one of the following diseases: blinding sickness, bubonic plague, cackle fever, demon fever, devil chills, filth fever, leprosy, mindfire, red ache, shakes, or slimy doom (the disease is chosen by you when you cast the spell and applies to all creatures that fail the save). The disease is contracted immediately (the onset period does not apply) and is an instantaneous effect. Use the disease's listed frequency to determine further effects, but the disease's save DC increases by +2. For more information see page 557 of the &lt;i&gt;Core Rulebook&lt;/i&gt;.&lt;/p&gt;&lt;p&gt;Unlike a &lt;i&gt;fog cloud&lt;/i&gt;, the &lt;i&gt;plague storm&lt;/i&gt; moves away from you at 10 feet per round, rolling along the surface of the ground.&lt;/p&gt;&lt;p&gt;Figure out the cloud's new spread each round based on its new point of origin, which is 10 feet farther away from the point of origin where you cast the spell.&lt;/p&gt;&lt;p&gt;Because the vapors are heavier than air, they sink to the lowest level of the terrain, even pouring down den or sinkhole openings. The cloud cannot penetrate liquids, nor can it be cast underwater.&lt;/p&gt;</t>
  </si>
  <si>
    <t>&lt;link rel="stylesheet"href="PF.css"&gt;&lt;div class="heading"&gt;&lt;p class="alignleft"&gt;Plague Storm&lt;/p&gt;&lt;div style="clear: both;"&gt;&lt;/div&gt;&lt;/div&gt;&lt;div&gt;&lt;h5&gt;&lt;b&gt;School &lt;/b&gt;necromancy [disease, evil]; &lt;b&gt;Level &lt;/b&gt;cleric 6/oracle 6, druid 6, sorcerer/wizard 7, witch 6&lt;/h5&gt;&lt;/div&gt;&lt;hr/&gt;&lt;div&gt;&lt;h5&gt;&lt;b&gt;CASTING&lt;/b&gt;&lt;/h5&gt;&lt;/div&gt;&lt;hr/&gt;&lt;div&gt;&lt;h5&gt;&lt;b&gt;Casting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ft./level)&lt;/h5&gt;&lt;h5&gt;&lt;b&gt;Effect &lt;/b&gt;cloud spreads in 20-ft. radius, 20 ft. high&lt;/h5&gt;&lt;h5&gt;&lt;b&gt;Duration &lt;/b&gt;1 minute/level and instantaneous (see text)&lt;/h5&gt;&lt;h5&gt;&lt;b&gt;Saving Throw &lt;/b&gt;Fortitude negates; &lt;b&gt;Spell Resistance &lt;/b&gt;no&lt;/h5&gt;&lt;/div&gt;&lt;hr/&gt;&lt;div&gt;&lt;h5&gt;&lt;b&gt;DESCRIPTION&lt;/b&gt;&lt;/h5&gt;&lt;/div&gt;&lt;hr/&gt;&lt;div&gt;&lt;h4&gt;&lt;p&gt;You create a hideous gray cloud, similar to &lt;i&gt;fog cloud&lt;/i&gt;, that occasionally crackles with foul-smelling bolts of sickly green lightning. Creatures in the area must save or contract one of the following diseases: blinding sickness, bubonic plague, cackle fever, demon fever, devil chills, filth fever, leprosy, mindfire, red ache, shakes, or slimy doom (the disease is chosen by you when you cast the spell and applies to all creatures that fail the save). The disease is contracted immediately (the onset period does not apply) and is an instantaneous effect. Use the disease's listed frequency to determine further effects, but the disease's save DC increases by +2. For more information see page 557 of the &lt;i&gt;Core Rulebook&lt;/i&gt;.&lt;/p&gt;&lt;p&gt;Unlike a &lt;i&gt;fog cloud&lt;/i&gt;, the &lt;i&gt;plague storm&lt;/i&gt; moves away from you at 10 feet per round, rolling along the surface of the ground.&lt;/p&gt;&lt;p&gt;Figure out the cloud's new spread each round based on its new point of origin, which is 10 feet farther away from the point of origin where you cast the spell.&lt;/p&gt;&lt;p&gt;Because the vapors are heavier than air, they sink to the lowest level of the terrain, even pouring down den or sinkhole openings. The cloud cannot penetrate liquids, nor can it be cast underwater.&lt;/p&gt;&lt;/h4&gt;&lt;/div&gt;</t>
  </si>
  <si>
    <t>Cloud infects creatures like contagion.</t>
  </si>
  <si>
    <t>Play Instrument</t>
  </si>
  <si>
    <t>You may play one instrument of your choice as if you had 1 rank in the appropriate Perform skill. Instead of a conventional instrument, you may use an object as an improvised instrument, such as using a barrel as a drum or a bow as a harp, playing it as if it were crafted to make music.</t>
  </si>
  <si>
    <t>&lt;p&gt;You may play one instrument of your choice as if you had 1 rank in the appropriate Perform skill. Instead of a conventional instrument, you may use an object as an improvised instrument, such as using a barrel as a drum or a bow as a harp, playing it as if it were crafted to make music.&lt;/p&gt;</t>
  </si>
  <si>
    <t>&lt;link rel="stylesheet"href="PF.css"&gt;&lt;div class="heading"&gt;&lt;p class="alignleft"&gt;Play Instrument&lt;/p&gt;&lt;div style="clear: both;"&gt;&lt;/div&gt;&lt;/div&gt;&lt;div&gt;&lt;h5&gt;&lt;b&gt;School &lt;/b&gt;divination; &lt;b&gt;Level &lt;/b&gt;bard 1&lt;/h5&gt;&lt;/div&gt;&lt;hr/&gt;&lt;div&gt;&lt;h5&gt;&lt;b&gt;CASTING&lt;/b&gt;&lt;/h5&gt;&lt;/div&gt;&lt;hr/&gt;&lt;div&gt;&lt;h5&gt;&lt;b&gt;Casting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&lt;/b&gt;10 minute/level&lt;/h5&gt;&lt;/div&gt;&lt;hr/&gt;&lt;div&gt;&lt;h5&gt;&lt;b&gt;DESCRIPTION&lt;/b&gt;&lt;/h5&gt;&lt;/div&gt;&lt;hr/&gt;&lt;div&gt;&lt;h4&gt;&lt;p&gt;You may play one instrument of your choice as if you had 1 rank in the appropriate Perform skill. Instead of a conventional instrument, you may use an object as an improvised instrument, such as using a barrel as a drum or a bow as a harp, playing it as if it were crafted to make music.&lt;/p&gt;&lt;/h4&gt;&lt;/div&gt;</t>
  </si>
  <si>
    <t>Play instrument as if you were skilled.</t>
  </si>
  <si>
    <t>Polar Midnight</t>
  </si>
  <si>
    <t>cold, darkness</t>
  </si>
  <si>
    <t>cleric 9/oracle 9, druid 9, witch 9</t>
  </si>
  <si>
    <t>30-ft. spread</t>
  </si>
  <si>
    <t>You plunge an area into the brutal chill of the arctic night. Illumination conditions are dropped by two steps (though only to darkness, not supernatural darkness), and all creatures in the area take 5d6 points of cold damage and 1d6 points of Dexterity damage per round. A successful Fortitude save each round negates the Dexterity damage but not the cold damage. Any creature that doesn't move on its turn becomes encased in a sheath of ice equivalent to wall of ice, is helpless, and cannot breathe. Corpses in the area for longer than 1 round are transmuted into solid ice; reviving the icy corpse requires true resurrection, miracle, or wish. As a move action, you may move the area of effect up to 10 feet in any direction.</t>
  </si>
  <si>
    <t>&lt;p&gt;You plunge an area into the brutal chill of the arctic night.&lt;/p&gt;&lt;p&gt;Illumination conditions are dropped by two steps (though only to darkness, not supernatural darkness), and all creatures in the area take 5d6 points of cold damage and 1d6 points of Dexterity damage per round. A successful Fortitude save each round negates the Dexterity damage but not the cold damage.&lt;/p&gt;&lt;p&gt;Any creature that doesn't move on its turn becomes encased in a sheath of ice equivalent to &lt;i&gt;wall of ice&lt;/i&gt;, is helpless, and cannot breathe. Corpses in the area for longer than 1 round are transmuted into solid ice; reviving the icy corpse requires &lt;i&gt;true resurrection&lt;/i&gt;, &lt;i&gt;miracle&lt;/i&gt;, or &lt;i&gt;wish&lt;/i&gt;. As a move action, you may move the area of effect up to 10 feet in any direction.&lt;/p&gt;</t>
  </si>
  <si>
    <t>&lt;link rel="stylesheet"href="PF.css"&gt;&lt;div class="heading"&gt;&lt;p class="alignleft"&gt;Polar Midnight&lt;/p&gt;&lt;div style="clear: both;"&gt;&lt;/div&gt;&lt;/div&gt;&lt;div&gt;&lt;h5&gt;&lt;b&gt;School &lt;/b&gt;transmutation [cold, darkness]; &lt;b&gt;Level &lt;/b&gt;cleric 9/oracle 9, druid 9, witch 9&lt;/h5&gt;&lt;/div&gt;&lt;hr/&gt;&lt;div&gt;&lt;h5&gt;&lt;b&gt;CASTING&lt;/b&gt;&lt;/h5&gt;&lt;/div&gt;&lt;hr/&gt;&lt;div&gt;&lt;h5&gt;&lt;b&gt;Casting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levels)&lt;/h5&gt;&lt;h5&gt;&lt;b&gt;Effect &lt;/b&gt;30-ft. spread&lt;/h5&gt;&lt;h5&gt;&lt;b&gt;Duration &lt;/b&gt;1 round/level&lt;/h5&gt;&lt;h5&gt;&lt;b&gt;Saving Throw &lt;/b&gt;Fortitude partial; &lt;b&gt;Spell Resistance &lt;/b&gt;yes&lt;/h5&gt;&lt;/div&gt;&lt;hr/&gt;&lt;div&gt;&lt;h5&gt;&lt;b&gt;DESCRIPTION&lt;/b&gt;&lt;/h5&gt;&lt;/div&gt;&lt;hr/&gt;&lt;div&gt;&lt;h4&gt;&lt;p&gt;You plunge an area into the brutal chill of the arctic night.&lt;/p&gt;&lt;p&gt;Illumination conditions are dropped by two steps (though only to darkness, not supernatural darkness), and all creatures in the area take 5d6 points of cold damage and 1d6 points of Dexterity damage per round. A successful Fortitude save each round negates the Dexterity damage but not the cold damage.&lt;/p&gt;&lt;p&gt;Any creature that doesn't move on its turn becomes encased in a sheath of ice equivalent to &lt;i&gt;wall of ice&lt;/i&gt;, is helpless, and cannot breathe. Corpses in the area for longer than 1 round are transmuted into solid ice; reviving the icy corpse requires &lt;i&gt;true resurrection&lt;/i&gt;, &lt;i&gt;miracle&lt;/i&gt;, or &lt;i&gt;wish&lt;/i&gt;. As a move action, you may move the area of effect up to 10 feet in any direction.&lt;/p&gt;&lt;/h4&gt;&lt;/div&gt;</t>
  </si>
  <si>
    <t>Cold darkness paralyzes and deals damage.</t>
  </si>
  <si>
    <t>Polypurpose Panacea</t>
  </si>
  <si>
    <t>This creates one of several cantrip-level effects relating to your health, well-being, and entertainment. The panacea has no side effects (for example, the intoxication panacea does not cause a hangover). When you use polypurpose panacea, choose one of the following effects. Analgesic: You do not feel minor aches and pains, such as from arthritis, a cold, or a hangover, for 1 hour. For the duration, you gain a +2 resistance bonus against pain-related spells. Clarity: You get a +1 competence bonus on a single attack roll, saving throw, or skill check within 1 minute. You must choose to use the bonus before making the roll to which it applies. Hallucination: You have pleasant hallucinations for 1 hour, such as wandering lights, music, playful surreal animals, and so on. You can tell these are not real, but they are distracting, and you take a -2 penalty on Perception checks for the duration. Intoxication: You feel comfortably intoxicated for 1 hour, as if you had a few alcoholic beverages. Lucid Dream: If you take this panacea within 1 hour of going to sleep, you have a lucid dream that is under your control and lasts for an hour. Resistance: You gain a +1 resistance bonus on saves for 1 minute. Sleep: You enter a pleasant and restful sleep for at least 1 hour unless wakened. If you would normally begin sleeping at this time, when the panacea ends you continue sleeping normally. Sobriety: You become completely sober for 1 hour, negating any penalties to your actions for being drunk (GameMastery Guide 237). Magical and alchemical methods (such as detect poison) still detect you as inebriated. Time spent under the effect of this panacea do not count toward the time necessary to sober up (it merely delays your intoxication). Tenacity: You gain 1 temporary hit point for 1 minute. Wakefulness: You remain awake for 2 hours without feeling sleepy, and without side effects such as jitteriness. You gain a +5 resistance bonus against sleep-related spells such as lullaby and sleep. This use of the panacea merely delays your need for sleep and does not count as rest or sleep. You can use it multiple times in succession, but as each effect wears off, you are as tired as you would be had you not used the panacea.</t>
  </si>
  <si>
    <t>&lt;p&gt;This creates one of several cantrip-level effects relating to your health, well-being, and entertainment. The panacea has no side effects (for example, the intoxication panacea does not cause a hangover). When you use &lt;i&gt;polypurpose panacea&lt;/i&gt;, choose one of the following effects.&lt;/p&gt;&lt;p&gt;Analgesic: You do not feel minor aches and pains, such as from arthritis, a cold, or a hangover, for 1 hour. For the duration, you gain a +2 resistance bonus against pain-related spells.&lt;/p&gt;&lt;p&gt;Clarity: You get a +1 competence bonus on a single attack roll, saving throw, or skill check within 1 minute. You must choose to use the bonus before making the roll to which it applies.&lt;/p&gt;&lt;p&gt;Hallucination: You have pleasant hallucinations for 1 hour, such as wandering lights, music, playful surreal animals, and so on. You can tell these are not real, but they are distracting, and you take a -2 penalty on Perception checks for the duration.&lt;/p&gt;&lt;p&gt;Intoxication: You feel comfortably intoxicated for 1 hour, as if you had a few alcoholic beverages.&lt;/p&gt;&lt;p&gt;&lt;i&gt;Lucid&lt;/i&gt; Dream: If you take this panacea within 1 hour of going to &lt;i&gt;sleep&lt;/i&gt;, you have a lucid dream that is under your control and lasts for an hour.&lt;/p&gt;&lt;p&gt;Resistance: You gain a +1 resistance bonus on saves for 1 minute.&lt;/p&gt;&lt;p&gt;Sleep: You enter a pleasant and restful &lt;i&gt;sleep&lt;/i&gt; for at least 1 hour unless wakened. If you would normally begin &lt;i&gt;sleep&lt;/i&gt;ing at this time, when the panacea ends you continue &lt;i&gt;sleep&lt;/i&gt;ing normally.&lt;/p&gt;&lt;p&gt;Sobriety: You become completely sober for 1 hour, negating any penalties to your actions for being drunk (&lt;i&gt;GameMastery Guide&lt;/i&gt; 237). Magical and alchemical methods (such as &lt;i&gt;detect&lt;/i&gt; poison) still &lt;i&gt;detect&lt;/i&gt; you as inebriated. Time spent under the effect of this panacea do not count toward the time necessary to sober up (it merely delays your intoxication).&lt;/p&gt;&lt;p&gt;Tenacity: You gain 1 temporary hit point for 1 minute.&lt;/p&gt;&lt;p&gt;Wakefulness: You remain awake for 2 hours without feeling &lt;i&gt;sleep&lt;/i&gt;y, and without side effects such as jitteriness. You gain a +5 resistance bonus against &lt;i&gt;sleep&lt;/i&gt;-related spells such as &lt;i&gt;lullaby&lt;/i&gt; and &lt;i&gt;sleep&lt;/i&gt;. This use of the panacea merely delays your need for &lt;i&gt;sleep&lt;/i&gt; and does not count as rest or &lt;i&gt;sleep&lt;/i&gt;. You can use it multiple times in succession, but as each effect wears off, you are as tired as you would be had you not used the panacea.&lt;/p&gt;</t>
  </si>
  <si>
    <t>&lt;link rel="stylesheet"href="PF.css"&gt;&lt;div class="heading"&gt;&lt;p class="alignleft"&gt;Polypurpose Panacea&lt;/p&gt;&lt;div style="clear: both;"&gt;&lt;/div&gt;&lt;/div&gt;&lt;div&gt;&lt;h5&gt;&lt;b&gt;School &lt;/b&gt;transmutation; &lt;b&gt;Level &lt;/b&gt;alchemist 1, sorcerer/wizard 1&lt;/h5&gt;&lt;/div&gt;&lt;hr/&gt;&lt;div&gt;&lt;h5&gt;&lt;b&gt;CASTING&lt;/b&gt;&lt;/h5&gt;&lt;/div&gt;&lt;hr/&gt;&lt;div&gt;&lt;h5&gt;&lt;b&gt;Casting Time &lt;/b&gt;1 standard action&lt;/h5&gt;&lt;h5&gt;&lt;b&gt;Components &lt;/b&gt;S&lt;/h5&gt;&lt;/div&gt;&lt;hr/&gt;&lt;div&gt;&lt;h5&gt;&lt;b&gt;EFFECT&lt;/b&gt;&lt;/h5&gt;&lt;/div&gt;&lt;hr/&gt;&lt;div&gt;&lt;h5&gt;&lt;b&gt;Range &lt;/b&gt;personal&lt;/h5&gt;&lt;h5&gt;&lt;b&gt;Targets &lt;/b&gt;you&lt;/h5&gt;&lt;h5&gt;&lt;b&gt;Duration &lt;/b&gt;see below&lt;/h5&gt;&lt;/div&gt;&lt;hr/&gt;&lt;div&gt;&lt;h5&gt;&lt;b&gt;DESCRIPTION&lt;/b&gt;&lt;/h5&gt;&lt;/div&gt;&lt;hr/&gt;&lt;div&gt;&lt;h4&gt;&lt;p&gt;This creates one of several cantrip-level effects relating to your health, well-being, and entertainment. The panacea has no side effects (for example, the intoxication panacea does not cause a hangover). When you use &lt;i&gt;polypurpose panacea&lt;/i&gt;, choose one of the following effects.&lt;/p&gt;&lt;p&gt;Analgesic: You do not feel minor aches and pains, such as from arthritis, a cold, or a hangover, for 1 hour. For the duration, you gain a +2 resistance bonus against pain-related spells.&lt;/p&gt;&lt;p&gt;Clarity: You get a +1 competence bonus on a single attack roll, saving throw, or skill check within 1 minute. You must choose to use the bonus before making the roll to which it applies.&lt;/p&gt;&lt;p&gt;Hallucination: You have pleasant hallucinations for 1 hour, such as wandering lights, music, playful surreal animals, and so on. You can tell these are not real, but they are distracting, and you take a -2 penalty on Perception checks for the duration.&lt;/p&gt;&lt;p&gt;Intoxication: You feel comfortably intoxicated for 1 hour, as if you had a few alcoholic beverages.&lt;/p&gt;&lt;p&gt;&lt;i&gt;Lucid&lt;/i&gt; Dream: If you take this panacea within 1 hour of going to &lt;i&gt;sleep&lt;/i&gt;, you have a lucid dream that is under your control and lasts for an hour.&lt;/p&gt;&lt;p&gt;Resistance: You gain a +1 resistance bonus on saves for 1 minute.&lt;/p&gt;&lt;p&gt;Sleep: You enter a pleasant and restful &lt;i&gt;sleep&lt;/i&gt; for at least 1 hour unless wakened. If you would normally begin &lt;i&gt;sleep&lt;/i&gt;ing at this time, when the panacea ends you continue &lt;i&gt;sleep&lt;/i&gt;ing normally.&lt;/p&gt;&lt;p&gt;Sobriety: You become completely sober for 1 hour, negating any penalties to your actions for being drunk (&lt;i&gt;GameMastery Guide&lt;/i&gt; 237). Magical and alchemical methods (such as &lt;i&gt;detect&lt;/i&gt; poison) still &lt;i&gt;detect&lt;/i&gt; you as inebriated. Time spent under the effect of this panacea do not count toward the time necessary to sober up (it merely delays your intoxication).&lt;/p&gt;&lt;p&gt;Tenacity: You gain 1 temporary hit point for 1 minute.&lt;/p&gt;&lt;p&gt;Wakefulness: You remain awake for 2 hours without feeling &lt;i&gt;sleep&lt;/i&gt;y, and without side effects such as jitteriness. You gain a +5 resistance bonus against &lt;i&gt;sleep&lt;/i&gt;-related spells such as &lt;i&gt;lullaby&lt;/i&gt; and &lt;i&gt;sleep&lt;/i&gt;. This use of the panacea merely delays your need for &lt;i&gt;sleep&lt;/i&gt; and does not count as rest or &lt;i&gt;sleep&lt;/i&gt;. You can use it multiple times in succession, but as each effect wears off, you are as tired as you would be had you not used the panacea.&lt;/p&gt;&lt;/h4&gt;&lt;/div&gt;</t>
  </si>
  <si>
    <t>Gain a relaxing or entertaining effect.</t>
  </si>
  <si>
    <t>Possess Object</t>
  </si>
  <si>
    <t>one object; see text</t>
  </si>
  <si>
    <t>This spell functions as magic jar, except you transfer your mind to a single object, animating it as if using animate objects, except your mind controls the object as if it were your own body. You cannot speak or cast spells while possessing the object. Because your original body is effectively dead while under the effect of this spell, this temporarily suspends disease, poisons, and other afflictions affecting you.</t>
  </si>
  <si>
    <t>&lt;p&gt;This spell functions as &lt;i&gt;magic jar&lt;/i&gt;, except you transfer your mind to a single object, animating it as if using &lt;i&gt;animate objects&lt;/i&gt;, except your mind controls the object as if it were your own body. You cannot speak or cast spells while possessing the object. Because your original body is effectively dead while under the effect of this spell, this temporarily suspends disease, poisons, and other afflictions affecting you.&lt;/p&gt;</t>
  </si>
  <si>
    <t>&lt;link rel="stylesheet"href="PF.css"&gt;&lt;div class="heading"&gt;&lt;p class="alignleft"&gt;Possess Object&lt;/p&gt;&lt;div style="clear: both;"&gt;&lt;/div&gt;&lt;/div&gt;&lt;div&gt;&lt;h5&gt;&lt;b&gt;School &lt;/b&gt;necromancy; &lt;b&gt;Level &lt;/b&gt;sorcerer/wizard 5, witch 5&lt;/h5&gt;&lt;/div&gt;&lt;hr/&gt;&lt;div&gt;&lt;h5&gt;&lt;b&gt;CASTING&lt;/b&gt;&lt;/h5&gt;&lt;/div&gt;&lt;hr/&gt;&lt;div&gt;&lt;h5&gt;&lt;b&gt;Casting Time &lt;/b&gt;1 standard action&lt;/h5&gt;&lt;h5&gt;&lt;b&gt;Components &lt;/b&gt;V, S, F (a gem or crystal worth at least 100 gp)&lt;/h5&gt;&lt;/div&gt;&lt;hr/&gt;&lt;div&gt;&lt;h5&gt;&lt;b&gt;EFFECT&lt;/b&gt;&lt;/h5&gt;&lt;/div&gt;&lt;hr/&gt;&lt;div&gt;&lt;h5&gt;&lt;b&gt;Range &lt;/b&gt;medium (100 ft. + 10 ft./level)&lt;/h5&gt;&lt;h5&gt;&lt;b&gt;Targets &lt;/b&gt;one object; see text&lt;/h5&gt;&lt;h5&gt;&lt;b&gt;Duration &lt;/b&gt;1 hour/level or until you return to your body&lt;/h5&gt;&lt;/div&gt;&lt;hr/&gt;&lt;div&gt;&lt;h5&gt;&lt;b&gt;DESCRIPTION&lt;/b&gt;&lt;/h5&gt;&lt;/div&gt;&lt;hr/&gt;&lt;div&gt;&lt;h4&gt;&lt;p&gt;This spell functions as &lt;i&gt;magic jar&lt;/i&gt;, except you transfer your mind to a single object, animating it as if using &lt;i&gt;animate objects&lt;/i&gt;, except your mind controls the object as if it were your own body. You cannot speak or cast spells while possessing the object. Because your original body is effectively dead while under the effect of this spell, this temporarily suspends disease, poisons, and other afflictions affecting you.&lt;/p&gt;&lt;/h4&gt;&lt;/div&gt;</t>
  </si>
  <si>
    <t>Possess and animate one object.</t>
  </si>
  <si>
    <t>Prediction of Failure</t>
  </si>
  <si>
    <t>curse, fear, mind-affecting</t>
  </si>
  <si>
    <t>permanent or 1 round/level (see text)</t>
  </si>
  <si>
    <t>You wrack the target's body and mind with the anguish and suffering of every bitter failure it will ever experience, rendering it permanently shaken and sickened. A successful Will save reduces the duration to 1 round per level. If the target is a spellcaster, failing this saving throw means it also gains a random minor spellblight (see page 95).</t>
  </si>
  <si>
    <t>&lt;p&gt;You wrack the target's body and mind with the anguish and suffering of every bitter failure it will ever experience, rendering it permanently shaken and sickened. A successful Will save reduces the duration to 1 round per level. If the target is a spellcaster, failing this saving throw means it also gains a random minor spellblight (see page 95).&lt;/p&gt;</t>
  </si>
  <si>
    <t>&lt;link rel="stylesheet"href="PF.css"&gt;&lt;div class="heading"&gt;&lt;p class="alignleft"&gt;Prediction of Failure&lt;/p&gt;&lt;div style="clear: both;"&gt;&lt;/div&gt;&lt;/div&gt;&lt;div&gt;&lt;h5&gt;&lt;b&gt;School &lt;/b&gt;divination [curse, fear, mind-affecting]; &lt;b&gt;Level &lt;/b&gt;sorcerer/wizard 8, witch 8&lt;/h5&gt;&lt;/div&gt;&lt;hr/&gt;&lt;div&gt;&lt;h5&gt;&lt;b&gt;CASTING&lt;/b&gt;&lt;/h5&gt;&lt;/div&gt;&lt;hr/&gt;&lt;div&gt;&lt;h5&gt;&lt;b&gt;Casting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&lt;/b&gt;permanent or 1 round/level (see text)&lt;/h5&gt;&lt;h5&gt;&lt;b&gt;Saving Throw &lt;/b&gt;Will partial; &lt;b&gt;Spell Resistance &lt;/b&gt;yes&lt;/h5&gt;&lt;/div&gt;&lt;hr/&gt;&lt;div&gt;&lt;h5&gt;&lt;b&gt;DESCRIPTION&lt;/b&gt;&lt;/h5&gt;&lt;/div&gt;&lt;hr/&gt;&lt;div&gt;&lt;h4&gt;&lt;p&gt;You wrack the target's body and mind with the anguish and suffering of every bitter failure it will ever experience, rendering it permanently shaken and sickened. A successful Will save reduces the duration to 1 round per level. If the target is a spellcaster, failing this saving throw means it also gains a random minor spellblight (see page 95).&lt;/p&gt;&lt;/h4&gt;&lt;/div&gt;</t>
  </si>
  <si>
    <t>Target is permanently shaken and sickened, and may gain a spellblight.</t>
  </si>
  <si>
    <t>Primal Scream</t>
  </si>
  <si>
    <t>You voice a mighty yell from the depths of your soul, invigorating yourself and dispelling enchantment and paralysis effects. This functions as break enchantment, except it only affects you and only frees you from enchantment and paralysis effects. If the caster level check to break the hostile effect succeeds, you give voice to your scream and the spell takes effect normally; if not, this spell fails without further effect. You can cast this spell even when paralyzed or unable to speak because of an enchantment effect, but not in an area of silence , if you are unable to speak for reasons other than enchantments or paralysis (for example, if you are gagged), or if cast in an environment where speaking is not possible.</t>
  </si>
  <si>
    <t>&lt;p&gt;You voice a mighty yell from the depths of your soul, invigorating yourself and dispelling enchantment and paralysis effects. This functions as &lt;i&gt;break enchantment&lt;/i&gt;, except it only affects you and only frees you from enchantment and paralysis effects. If the caster level check to break the hostile effect succeeds, you give voice to your scream and the spell takes effect normally; if not, this spell fails without further effect. You can cast this spell even when paralyzed or unable to speak because of an enchantment effect, but not in an area of silence , if you are unable to speak for reasons other than enchantments or paralysis (for example, if you are gagged), or if cast in an environment where speaking is not possible.&lt;/p&gt;</t>
  </si>
  <si>
    <t>&lt;link rel="stylesheet"href="PF.css"&gt;&lt;div class="heading"&gt;&lt;p class="alignleft"&gt;Primal Scream&lt;/p&gt;&lt;div style="clear: both;"&gt;&lt;/div&gt;&lt;/div&gt;&lt;div&gt;&lt;h5&gt;&lt;b&gt;School &lt;/b&gt;abjuration [mind-affecting, sonic]; &lt;b&gt;Level &lt;/b&gt;bard 4&lt;/h5&gt;&lt;/div&gt;&lt;hr/&gt;&lt;div&gt;&lt;h5&gt;&lt;b&gt;CASTING&lt;/b&gt;&lt;/h5&gt;&lt;/div&gt;&lt;hr/&gt;&lt;div&gt;&lt;h5&gt;&lt;b&gt;Casting Time &lt;/b&gt;1 standard action&lt;/h5&gt;&lt;h5&gt;&lt;b&gt;Components &lt;/b&gt;V&lt;/h5&gt;&lt;/div&gt;&lt;hr/&gt;&lt;div&gt;&lt;h5&gt;&lt;b&gt;EFFECT&lt;/b&gt;&lt;/h5&gt;&lt;/div&gt;&lt;hr/&gt;&lt;div&gt;&lt;h5&gt;&lt;b&gt;Range &lt;/b&gt;personal&lt;/h5&gt;&lt;h5&gt;&lt;b&gt;Targets &lt;/b&gt;you&lt;/h5&gt;&lt;h5&gt;&lt;b&gt;Duration &lt;/b&gt;1 round/level&lt;/h5&gt;&lt;/div&gt;&lt;hr/&gt;&lt;div&gt;&lt;h5&gt;&lt;b&gt;DESCRIPTION&lt;/b&gt;&lt;/h5&gt;&lt;/div&gt;&lt;hr/&gt;&lt;div&gt;&lt;h4&gt;&lt;p&gt;You voice a mighty yell from the depths of your soul, invigorating yourself and dispelling enchantment and paralysis effects. This functions as &lt;i&gt;break enchantment&lt;/i&gt;, except it only affects you and only frees you from enchantment and paralysis effects. If the caster level check to break the hostile effect succeeds, you give voice to your scream and the spell takes effect normally; if not, this spell fails without further effect. You can cast this spell even when paralyzed or unable to speak because of an enchantment effect, but not in an area of silence , if you are unable to speak for reasons other than enchantments or paralysis (for example, if you are gagged), or if cast in an environment where speaking is not possible.&lt;/p&gt;&lt;/h4&gt;&lt;/div&gt;</t>
  </si>
  <si>
    <t>Free yourself from enchantments and paralysis effects.</t>
  </si>
  <si>
    <t>Protective Penumbra</t>
  </si>
  <si>
    <t>cleric 2/oracle 2, sorcerer/wizard 2, witch 2</t>
  </si>
  <si>
    <t>This spell keeps the target slightly in shadow. A target with light blindness, light sensitivity, or vulnerability to sunlight (such as vampires and wraiths) may ignore penalties from those qualities. The spell gives the target a +2 bonus on saving throws against nonmagical hazards related to bright light, such as glare or sunburn.</t>
  </si>
  <si>
    <t>&lt;p&gt;This spell keeps the target slightly in shadow. A target with light blindness, light sensitivity, or vulnerability to sunlight (such as vampires and wraiths) may ignore penalties from those qualities. The spell gives the target a +2 bonus on saving throws against nonmagical hazards related to bright light, such as glare or sunburn.&lt;/p&gt;</t>
  </si>
  <si>
    <t>&lt;link rel="stylesheet"href="PF.css"&gt;&lt;div class="heading"&gt;&lt;p class="alignleft"&gt;Protective Penumbra&lt;/p&gt;&lt;div style="clear: both;"&gt;&lt;/div&gt;&lt;/div&gt;&lt;div&gt;&lt;h5&gt;&lt;b&gt;School &lt;/b&gt;evocation [darkness]; &lt;b&gt;Level &lt;/b&gt;cleric 2/oracle 2, sorcerer/wizard 2, witch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&lt;/b&gt;10 minutes/level&lt;/h5&gt;&lt;h5&gt;&lt;b&gt;Saving Throw &lt;/b&gt;Will negates (harmless); &lt;b&gt;Spell Resistance &lt;/b&gt;yes&lt;/h5&gt;&lt;/div&gt;&lt;hr/&gt;&lt;div&gt;&lt;h5&gt;&lt;b&gt;DESCRIPTION&lt;/b&gt;&lt;/h5&gt;&lt;/div&gt;&lt;hr/&gt;&lt;div&gt;&lt;h4&gt;&lt;p&gt;This spell keeps the target slightly in shadow. A target with light blindness, light sensitivity, or vulnerability to sunlight (such as vampires and wraiths) may ignore penalties from those qualities. The spell gives the target a +2 bonus on saving throws against nonmagical hazards related to bright light, such as glare or sunburn.&lt;/p&gt;&lt;/h4&gt;&lt;/div&gt;</t>
  </si>
  <si>
    <t>Shadow protects the target from light.</t>
  </si>
  <si>
    <t>Rain of Frogs</t>
  </si>
  <si>
    <t>bard 3, druid 3, sorcerer/wizard 3, summoner 3, witch 3</t>
  </si>
  <si>
    <t>one swarm of poisonous frogs</t>
  </si>
  <si>
    <t>This spell functions as summon swarm, except you summon a swarm of poisonous frogs. This swarm has the statistics of a centipede swarm (Bestiary 43), except it has the animal type and its poison deals Constitution damage instead of Dexterity damage.</t>
  </si>
  <si>
    <t>&lt;p&gt;This spell functions as &lt;i&gt;summon swarm&lt;/i&gt;, except you summon a swarm of poisonous frogs. This swarm has the statistics of a centipede swarm (&lt;i&gt;Bestiary&lt;/i&gt; 43), except it has the animal type and its poison deals Constitution damage instead of Dexterity damage.&lt;/p&gt;</t>
  </si>
  <si>
    <t>&lt;link rel="stylesheet"href="PF.css"&gt;&lt;div class="heading"&gt;&lt;p class="alignleft"&gt;Rain of Frogs&lt;/p&gt;&lt;div style="clear: both;"&gt;&lt;/div&gt;&lt;/div&gt;&lt;div&gt;&lt;h5&gt;&lt;b&gt;School &lt;/b&gt;conjuration (summoning); &lt;b&gt;Level &lt;/b&gt;bard 3, druid 3, sorcerer/wizard 3, summoner 3, witch 3&lt;/h5&gt;&lt;/div&gt;&lt;hr/&gt;&lt;div&gt;&lt;h5&gt;&lt;b&gt;CASTING&lt;/b&gt;&lt;/h5&gt;&lt;/div&gt;&lt;hr/&gt;&lt;div&gt;&lt;h5&gt;&lt;b&gt;Casting Time &lt;/b&gt;1 round&lt;/h5&gt;&lt;h5&gt;&lt;b&gt;Components &lt;/b&gt;V, S, M/DF (a square of red cloth)&lt;/h5&gt;&lt;/div&gt;&lt;hr/&gt;&lt;div&gt;&lt;h5&gt;&lt;b&gt;EFFECT&lt;/b&gt;&lt;/h5&gt;&lt;/div&gt;&lt;hr/&gt;&lt;div&gt;&lt;h5&gt;&lt;b&gt;Range &lt;/b&gt;close (25 ft. + 5 ft./2 levels)&lt;/h5&gt;&lt;h5&gt;&lt;b&gt;Effect &lt;/b&gt;one swarm of poisonous frogs&lt;/h5&gt;&lt;h5&gt;&lt;b&gt;Duration &lt;/b&gt;concentration + 2 rounds&lt;/h5&gt;&lt;h5&gt;&lt;b&gt;Saving Throw &lt;/b&gt;none; &lt;b&gt;Spell Resistance &lt;/b&gt;no&lt;/h5&gt;&lt;/div&gt;&lt;hr/&gt;&lt;div&gt;&lt;h5&gt;&lt;b&gt;DESCRIPTION&lt;/b&gt;&lt;/h5&gt;&lt;/div&gt;&lt;hr/&gt;&lt;div&gt;&lt;h4&gt;&lt;p&gt;This spell functions as &lt;i&gt;summon swarm&lt;/i&gt;, except you summon a swarm of poisonous frogs. This swarm has the statistics of a centipede swarm (&lt;i&gt;Bestiary&lt;/i&gt; 43), except it has the animal type and its poison deals Constitution damage instead of Dexterity damage.&lt;/p&gt;&lt;/h4&gt;&lt;/div&gt;</t>
  </si>
  <si>
    <t>Summon a swarm of poisonous frogs.</t>
  </si>
  <si>
    <t>Raise Animal Companion</t>
  </si>
  <si>
    <t>druid 5, paladin 4, ranger 4</t>
  </si>
  <si>
    <t>V, S, M (a diamond worth 1,000 gp)</t>
  </si>
  <si>
    <t>dead animal companion or bonded mount</t>
  </si>
  <si>
    <t>This spell functions as raise dead, but it only affects an animal companion, familiar, or paladin's bonded mount.</t>
  </si>
  <si>
    <t>&lt;p&gt;This spell functions as &lt;i&gt;raise dead&lt;/i&gt;, but it only affects an animal companion, familiar, or paladin's bonded mount.&lt;/p&gt;</t>
  </si>
  <si>
    <t>&lt;link rel="stylesheet"href="PF.css"&gt;&lt;div class="heading"&gt;&lt;p class="alignleft"&gt;Raise Animal Companion&lt;/p&gt;&lt;div style="clear: both;"&gt;&lt;/div&gt;&lt;/div&gt;&lt;div&gt;&lt;h5&gt;&lt;b&gt;School &lt;/b&gt;conjuration (healing); &lt;b&gt;Level &lt;/b&gt;druid 5, paladin 4, ranger 4&lt;/h5&gt;&lt;/div&gt;&lt;hr/&gt;&lt;div&gt;&lt;h5&gt;&lt;b&gt;CASTING&lt;/b&gt;&lt;/h5&gt;&lt;/div&gt;&lt;hr/&gt;&lt;div&gt;&lt;h5&gt;&lt;b&gt;Casting Time &lt;/b&gt;1 minute&lt;/h5&gt;&lt;h5&gt;&lt;b&gt;Components &lt;/b&gt;V, S, M (a diamond worth 1,000 gp)&lt;/h5&gt;&lt;/div&gt;&lt;hr/&gt;&lt;div&gt;&lt;h5&gt;&lt;b&gt;EFFECT&lt;/b&gt;&lt;/h5&gt;&lt;/div&gt;&lt;hr/&gt;&lt;div&gt;&lt;h5&gt;&lt;b&gt;Range &lt;/b&gt;touch&lt;/h5&gt;&lt;h5&gt;&lt;b&gt;Targets &lt;/b&gt;dead animal companion or bonded mount&lt;/h5&gt;&lt;h5&gt;&lt;b&gt;Duration &lt;/b&gt;instantaneous&lt;/h5&gt;&lt;h5&gt;&lt;b&gt;Saving Throw &lt;/b&gt;none, see text; &lt;b&gt;Spell Resistance &lt;/b&gt;yes (harmless)&lt;/h5&gt;&lt;/div&gt;&lt;hr/&gt;&lt;div&gt;&lt;h5&gt;&lt;b&gt;DESCRIPTION&lt;/b&gt;&lt;/h5&gt;&lt;/div&gt;&lt;hr/&gt;&lt;div&gt;&lt;h4&gt;&lt;p&gt;This spell functions as &lt;i&gt;raise dead&lt;/i&gt;, but it only affects an animal companion, familiar, or paladin's bonded mount.&lt;/p&gt;&lt;/h4&gt;&lt;/div&gt;</t>
  </si>
  <si>
    <t>As raise dead, but on an animal.</t>
  </si>
  <si>
    <t>Rapid Repair</t>
  </si>
  <si>
    <t>The targeted construct gains fast healing 5. This does not stack with any fast healing the construct already has. Fast healing has no effect on a construct that has been brought to 0 hit points or destroyed.</t>
  </si>
  <si>
    <t>&lt;p&gt;The targeted construct gains fast healing 5. This does not stack with any fast healing the construct already has. Fast healing has no effect on a construct that has been brought to 0 hit points or destroyed.&lt;/p&gt;</t>
  </si>
  <si>
    <t>&lt;link rel="stylesheet"href="PF.css"&gt;&lt;div class="heading"&gt;&lt;p class="alignleft"&gt;Rapid Repair&lt;/p&gt;&lt;div style="clear: both;"&gt;&lt;/div&gt;&lt;/div&gt;&lt;div&gt;&lt;h5&gt;&lt;b&gt;School &lt;/b&gt;transmutation; &lt;b&gt;Level &lt;/b&gt;cleric 5/oracle 5, sorcerer/wizard 5&lt;/h5&gt;&lt;/div&gt;&lt;hr/&gt;&lt;div&gt;&lt;h5&gt;&lt;b&gt;CASTING&lt;/b&gt;&lt;/h5&gt;&lt;/div&gt;&lt;hr/&gt;&lt;div&gt;&lt;h5&gt;&lt;b&gt;Casting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&lt;/b&gt;construct touched&lt;/h5&gt;&lt;h5&gt;&lt;b&gt;Duration &lt;/b&gt;1 round/level&lt;/h5&gt;&lt;h5&gt;&lt;b&gt;Saving Throw &lt;/b&gt;Fortitude negates (harmless); &lt;b&gt;Spell Resistance &lt;/b&gt;yes (harmless)&lt;/h5&gt;&lt;/div&gt;&lt;hr/&gt;&lt;div&gt;&lt;h5&gt;&lt;b&gt;DESCRIPTION&lt;/b&gt;&lt;/h5&gt;&lt;/div&gt;&lt;hr/&gt;&lt;div&gt;&lt;h4&gt;&lt;p&gt;The targeted construct gains fast healing 5. This does not stack with any fast healing the construct already has. Fast healing has no effect on a construct that has been brought to 0 hit points or destroyed.&lt;/p&gt;&lt;/h4&gt;&lt;/div&gt;</t>
  </si>
  <si>
    <t>Construct gains fast healing 5.</t>
  </si>
  <si>
    <t>Ray of Sickening</t>
  </si>
  <si>
    <t>cleric 1/oracle 1, druid 1, sorcerer/wizard 1, summoner 1, witch 1</t>
  </si>
  <si>
    <t>This spell functions as ray of exhaustion, except the target is sickened if it fails its save and unaffected if it makes its save.</t>
  </si>
  <si>
    <t>&lt;p&gt;This spell functions as &lt;i&gt;ray of exhaustion&lt;/i&gt;, except the target is sickened if it fails its save and unaffected if it makes its save.&lt;/p&gt;</t>
  </si>
  <si>
    <t>&lt;link rel="stylesheet"href="PF.css"&gt;&lt;div class="heading"&gt;&lt;p class="alignleft"&gt;Ray of Sickening&lt;/p&gt;&lt;div style="clear: both;"&gt;&lt;/div&gt;&lt;/div&gt;&lt;div&gt;&lt;h5&gt;&lt;b&gt;School &lt;/b&gt;necromancy; &lt;b&gt;Level &lt;/b&gt;cleric 1/oracle 1, druid 1, sorcerer/wizard 1, summoner 1, witch 1&lt;/h5&gt;&lt;/div&gt;&lt;hr/&gt;&lt;div&gt;&lt;h5&gt;&lt;b&gt;CASTING&lt;/b&gt;&lt;/h5&gt;&lt;/div&gt;&lt;hr/&gt;&lt;div&gt;&lt;h5&gt;&lt;b&gt;Casting Time &lt;/b&gt;1 standard action&lt;/h5&gt;&lt;h5&gt;&lt;b&gt;Components &lt;/b&gt;V, S, M (a drop of sweat)&lt;/h5&gt;&lt;/div&gt;&lt;hr/&gt;&lt;div&gt;&lt;h5&gt;&lt;b&gt;EFFECT&lt;/b&gt;&lt;/h5&gt;&lt;/div&gt;&lt;hr/&gt;&lt;div&gt;&lt;h5&gt;&lt;b&gt;Range &lt;/b&gt;close (25 ft. + 5 ft./2 levels)&lt;/h5&gt;&lt;h5&gt;&lt;b&gt;Effect &lt;/b&gt;ray&lt;/h5&gt;&lt;h5&gt;&lt;b&gt;Duration &lt;/b&gt;1 min./level&lt;/h5&gt;&lt;h5&gt;&lt;b&gt;Saving Throw &lt;/b&gt;Fortitude partial; see text; &lt;b&gt;Spell Resistance &lt;/b&gt;yes&lt;/h5&gt;&lt;/div&gt;&lt;hr/&gt;&lt;div&gt;&lt;h5&gt;&lt;b&gt;DESCRIPTION&lt;/b&gt;&lt;/h5&gt;&lt;/div&gt;&lt;hr/&gt;&lt;div&gt;&lt;h4&gt;&lt;p&gt;This spell functions as &lt;i&gt;ray of exhaustion&lt;/i&gt;, except the target is sickened if it fails its save and unaffected if it makes its save.&lt;/p&gt;&lt;/h4&gt;&lt;/div&gt;</t>
  </si>
  <si>
    <t>Ray makes the subject sickened.</t>
  </si>
  <si>
    <t>Reckless Infatuation</t>
  </si>
  <si>
    <t>You fill your target with feelings of intense infatuation for a specific individual known to the target. At the time of the casting, you designate a single creature as the focus of the target's desire. Thereafter, the target does all it can to remain within 30 feet of the object of its desire. If the target moves outside this range, it gains the staggered condition until it is again near the focus of its desire. If remaining within 30 feet of the focus of its affection would place the target in obvious physical danger, the target can attempt a second save to break the spell's effect. Reckless infatuation counters unadulterated loathing.</t>
  </si>
  <si>
    <t>&lt;p&gt;You fill your target with feelings of intense infatuation for a specific individual known to the target. At the time of the casting, you designate a single creature as the focus of the target's desire.&lt;/p&gt;&lt;p&gt;Thereafter, the target does all it can to remain within 30 feet of the object of its desire. If the target moves outside this range, it gains the staggered condition until it is again near the focus of its desire. If remaining within 30 feet of the focus of its affection would place the target in obvious physical danger, the target can attempt a second save to break the spell's effect.&lt;/p&gt;&lt;p&gt;&lt;i&gt;Reckless infatuation&lt;/i&gt; counters &lt;i&gt;unadulterated loathing&lt;/i&gt;.&lt;/p&gt;</t>
  </si>
  <si>
    <t>&lt;link rel="stylesheet"href="PF.css"&gt;&lt;div class="heading"&gt;&lt;p class="alignleft"&gt;Reckless Infatuation&lt;/p&gt;&lt;div style="clear: both;"&gt;&lt;/div&gt;&lt;/div&gt;&lt;div&gt;&lt;h5&gt;&lt;b&gt;School &lt;/b&gt;enchantment (compulsion) [emotion, mind-affecting]; &lt;b&gt;Level &lt;/b&gt;bard 2, sorcerer/wizard 3, witch 3&lt;/h5&gt;&lt;/div&gt;&lt;hr/&gt;&lt;div&gt;&lt;h5&gt;&lt;b&gt;CASTING&lt;/b&gt;&lt;/h5&gt;&lt;/div&gt;&lt;hr/&gt;&lt;div&gt;&lt;h5&gt;&lt;b&gt;Casting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&lt;/b&gt;1 day/level&lt;/h5&gt;&lt;h5&gt;&lt;b&gt;Saving Throw &lt;/b&gt;Will negates; &lt;b&gt;Spell Resistance &lt;/b&gt;yes&lt;/h5&gt;&lt;/div&gt;&lt;hr/&gt;&lt;div&gt;&lt;h5&gt;&lt;b&gt;DESCRIPTION&lt;/b&gt;&lt;/h5&gt;&lt;/div&gt;&lt;hr/&gt;&lt;div&gt;&lt;h4&gt;&lt;p&gt;You fill your target with feelings of intense infatuation for a specific individual known to the target. At the time of the casting, you designate a single creature as the focus of the target's desire.&lt;/p&gt;&lt;p&gt;Thereafter, the target does all it can to remain within 30 feet of the object of its desire. If the target moves outside this range, it gains the staggered condition until it is again near the focus of its desire. If remaining within 30 feet of the focus of its affection would place the target in obvious physical danger, the target can attempt a second save to break the spell's effect.&lt;/p&gt;&lt;p&gt;&lt;i&gt;Reckless infatuation&lt;/i&gt; counters &lt;i&gt;unadulterated loathing&lt;/i&gt;.&lt;/p&gt;&lt;/h4&gt;&lt;/div&gt;</t>
  </si>
  <si>
    <t>Target is compelled to stay near another.</t>
  </si>
  <si>
    <t>Remove Sickness</t>
  </si>
  <si>
    <t>cleric 1/oracle 1, druid 1, witch 1</t>
  </si>
  <si>
    <t>You quell feelings of illness and nausea in the target, giving it a +4 morale bonus on saving throws against disease, nausea, and sickened effects. If the subject is already under the influence of one of these effects when receiving the spell, that effect is suppressed for the duration of the spell.</t>
  </si>
  <si>
    <t>&lt;p&gt;You quell feelings of illness and nausea in the target, giving it a +4 morale bonus on saving throws against disease, nausea, and sickened effects. If the subject is already under the influence of one of these effects when receiving the spell, that effect is suppressed for the duration of the spell.&lt;/p&gt;</t>
  </si>
  <si>
    <t>&lt;link rel="stylesheet"href="PF.css"&gt;&lt;div class="heading"&gt;&lt;p class="alignleft"&gt;Remove Sickness&lt;/p&gt;&lt;div style="clear: both;"&gt;&lt;/div&gt;&lt;/div&gt;&lt;div&gt;&lt;h5&gt;&lt;b&gt;School &lt;/b&gt;conjuration (healing); &lt;b&gt;Level &lt;/b&gt;cleric 1/oracle 1, druid 1, witch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&lt;/b&gt;10 minutes/level; see text&lt;/h5&gt;&lt;h5&gt;&lt;b&gt;Saving Throw &lt;/b&gt;Fortitude negates (harmless); &lt;b&gt;Spell Resistance &lt;/b&gt;yes (harmless)&lt;/h5&gt;&lt;/div&gt;&lt;hr/&gt;&lt;div&gt;&lt;h5&gt;&lt;b&gt;DESCRIPTION&lt;/b&gt;&lt;/h5&gt;&lt;/div&gt;&lt;hr/&gt;&lt;div&gt;&lt;h4&gt;&lt;p&gt;You quell feelings of illness and nausea in the target, giving it a +4 morale bonus on saving throws against disease, nausea, and sickened effects. If the subject is already under the influence of one of these effects when receiving the spell, that effect is suppressed for the duration of the spell.&lt;/p&gt;&lt;/h4&gt;&lt;/div&gt;</t>
  </si>
  <si>
    <t>Suppress disease, nausea, and the sickened condition.</t>
  </si>
  <si>
    <t>Reprobation</t>
  </si>
  <si>
    <t>curse, see text</t>
  </si>
  <si>
    <t>cleric 5/oracle 5, druid 5, inquisitor 4, paladin 4</t>
  </si>
  <si>
    <t>one creature of your faith</t>
  </si>
  <si>
    <t>You cast the target out of your religion as a curse and punishment for acts or misdeeds against the tenets of your faith. This has three effects. First, the target is marked with a magical symbol visible only to members of your faith. This symbol indicates that the target has transgressed and that the faithful should not help it. Likewise, the target is not to be persecuted because of the mark (though this would not keep members of a lawful faith from imprisoning a known criminal if these crimes were known to have taken place after he gained the mark). Second, the target is no longer affected by helpful spells cast by the faithful and is always treated as an enemy for the purpose of other spells cast by those of your faith. For example, cure light wounds cast by a member of your faith has no effect on the target. If the target were traveling with a cleric of your faith who cast prayer, that spell would penalize rather than aid the target, despite the target's friendship with the cleric. Third, if the target is a divine spellcaster, a member of a prestige class of your faith, or otherwise has some ability because the target belongs to your faith, it cannot use those abilities while the mark remains in place. For example, a paladin of your faith would be unable to cast paladin spells or use lay on hands or other class abilities. The target can join another faith to regain the use of these abilities, but the mark remains visible to those of your faith, even if those of the new faith accept the target. This powerful spell with no saving throw is used to punish severe transgressions that do not deserve death or when you prefer to be merciful rather than meting out a more severe punishment. However, the spell has one drawback that prevents it from being overused. If the target did not commit any acts or misdeeds against your faith, the spell does not affect it but affects you instead, even if you are innocent of the charges. This potential backlash prevents inquisitions run by corrupt members of the faith, and it means that most accusations of misconduct are carefully investigated (and usually verified with magic) before this sentence is handed down. This mark can be removed like any other curse effect. In addition, a member of your faith can use atonement to break the curse if he makes a caster level check against your caster level; remove curse also requires a caster of your faith and a caster level check to end the reprobation.</t>
  </si>
  <si>
    <t>&lt;p&gt;You cast the target out of your religion as a curse and punishment for acts or misdeeds against the tenets of your faith. This has three effects.&lt;/p&gt;&lt;p&gt;First, the target is marked with a magical symbol visible only to members of your faith. This symbol indicates that the target has transgressed and that the faithful should not help it. Likewise, the target is not to be persecuted because of the mark (though this would not keep members of a lawful faith from imprisoning a known criminal if these crimes were known to have taken place after he gained the mark).&lt;/p&gt;&lt;p&gt;Second, the target is no longer affected by helpful spells cast by the faithful and is always treated as an enemy for the purpose of other spells cast by those of your faith. For example, &lt;i&gt;cure light wounds&lt;/i&gt; cast by a member of your faith has no effect on the target. If the target were traveling with a cleric of your faith who cast &lt;i&gt;prayer&lt;/i&gt;, that spell would penalize rather than aid the target, despite the target's friendship with the cleric.&lt;/p&gt;&lt;p&gt;Third, if the target is a divine spellcaster, a member of a prestige class of your faith, or otherwise has some ability because the target belongs to your faith, it cannot use those abilities while the mark remains in place. For example, a paladin of your faith would be unable to cast paladin spells or use lay on hands or other class abilities. The target can join another faith to regain the use of these abilities, but the mark remains visible to those of your faith, even if those of the new faith accept the target.&lt;/p&gt;&lt;p&gt;This powerful spell with no saving throw is used to punish severe transgressions that do not deserve death or when you prefer to be merciful rather than meting out a more severe punishment. However, the spell has one drawback that prevents it from being overused. If the target did not commit any acts or misdeeds against your faith, the spell does not affect it but affects you instead, even if you are innocent of the charges.&lt;/p&gt;&lt;p&gt;This potential backlash prevents inquisitions run by corrupt members of the faith, and it means that most accusations of misconduct are carefully investigated (and usually verified with magic) before this sentence is handed down.&lt;/p&gt;&lt;p&gt;This mark can be removed like any other curse effect. In addition, a member of your faith can use &lt;i&gt;atonement&lt;/i&gt; to break the curse if he makes a caster level check against your caster level; &lt;i&gt;remove curse&lt;/i&gt; also requires a caster of your faith and a caster level check to end the &lt;i&gt;reprobation&lt;/i&gt;.&lt;/p&gt;</t>
  </si>
  <si>
    <t>&lt;link rel="stylesheet"href="PF.css"&gt;&lt;div class="heading"&gt;&lt;p class="alignleft"&gt;Reprobation&lt;/p&gt;&lt;div style="clear: both;"&gt;&lt;/div&gt;&lt;/div&gt;&lt;div&gt;&lt;h5&gt;&lt;b&gt;School &lt;/b&gt;transmutation [curse, see text]; &lt;b&gt;Level &lt;/b&gt;cleric 5/oracle 5, druid 5, inquisitor 4, paladin 4&lt;/h5&gt;&lt;/div&gt;&lt;hr/&gt;&lt;div&gt;&lt;h5&gt;&lt;b&gt;CASTING&lt;/b&gt;&lt;/h5&gt;&lt;/div&gt;&lt;hr/&gt;&lt;div&gt;&lt;h5&gt;&lt;b&gt;Casting Time &lt;/b&gt;1 minute&lt;/h5&gt;&lt;h5&gt;&lt;b&gt;Components &lt;/b&gt;V, S, DF&lt;/h5&gt;&lt;/div&gt;&lt;hr/&gt;&lt;div&gt;&lt;h5&gt;&lt;b&gt;EFFECT&lt;/b&gt;&lt;/h5&gt;&lt;/div&gt;&lt;hr/&gt;&lt;div&gt;&lt;h5&gt;&lt;b&gt;Range &lt;/b&gt;close (25 ft. + 5 ft./2 levels)&lt;/h5&gt;&lt;h5&gt;&lt;b&gt;Targets &lt;/b&gt;one creature of your faith&lt;/h5&gt;&lt;h5&gt;&lt;b&gt;Duration &lt;/b&gt;permanent&lt;/h5&gt;&lt;h5&gt;&lt;b&gt;Saving Throw &lt;/b&gt;none; &lt;b&gt;Spell Resistance &lt;/b&gt;yes&lt;/h5&gt;&lt;/div&gt;&lt;hr/&gt;&lt;div&gt;&lt;h5&gt;&lt;b&gt;DESCRIPTION&lt;/b&gt;&lt;/h5&gt;&lt;/div&gt;&lt;hr/&gt;&lt;div&gt;&lt;h4&gt;&lt;p&gt;You cast the target out of your religion as a curse and punishment for acts or misdeeds against the tenets of your faith. This has three effects.&lt;/p&gt;&lt;p&gt;First, the target is marked with a magical symbol visible only to members of your faith. This symbol indicates that the target has transgressed and that the faithful should not help it. Likewise, the target is not to be persecuted because of the mark (though this would not keep members of a lawful faith from imprisoning a known criminal if these crimes were known to have taken place after he gained the mark).&lt;/p&gt;&lt;p&gt;Second, the target is no longer affected by helpful spells cast by the faithful and is always treated as an enemy for the purpose of other spells cast by those of your faith. For example, &lt;i&gt;cure light wounds&lt;/i&gt; cast by a member of your faith has no effect on the target. If the target were traveling with a cleric of your faith who cast &lt;i&gt;prayer&lt;/i&gt;, that spell would penalize rather than aid the target, despite the target's friendship with the cleric.&lt;/p&gt;&lt;p&gt;Third, if the target is a divine spellcaster, a member of a prestige class of your faith, or otherwise has some ability because the target belongs to your faith, it cannot use those abilities while the mark remains in place. For example, a paladin of your faith would be unable to cast paladin spells or use lay on hands or other class abilities. The target can join another faith to regain the use of these abilities, but the mark remains visible to those of your faith, even if those of the new faith accept the target.&lt;/p&gt;&lt;p&gt;This powerful spell with no saving throw is used to punish severe transgressions that do not deserve death or when you prefer to be merciful rather than meting out a more severe punishment. However, the spell has one drawback that prevents it from being overused. If the target did not commit any acts or misdeeds against your faith, the spell does not affect it but affects you instead, even if you are innocent of the charges.&lt;/p&gt;&lt;p&gt;This potential backlash prevents inquisitions run by corrupt members of the faith, and it means that most accusations of misconduct are carefully investigated (and usually verified with magic) before this sentence is handed down.&lt;/p&gt;&lt;p&gt;This mark can be removed like any other curse effect. In addition, a member of your faith can use &lt;i&gt;atonement&lt;/i&gt; to break the curse if he makes a caster level check against your caster level; &lt;i&gt;remove curse&lt;/i&gt; also requires a caster of your faith and a caster level check to end the &lt;i&gt;reprobation&lt;/i&gt;.&lt;/p&gt;&lt;/h4&gt;&lt;/div&gt;</t>
  </si>
  <si>
    <t>Marked target is shunned by your religion.</t>
  </si>
  <si>
    <t>Resonating Word</t>
  </si>
  <si>
    <t>You speak a terrible word of power, setting up potentially lethal vibrations in the chosen target. The target must save once each round on your turn, and the effects grow stronger for each saving throw the creature fails. On the first round, the target takes 5d6 points of sonic damage and is staggered for 1 round. A successful save halves the damage and negates the staggered effect. On the second round, the target takes 5d6 points of damage and is stunned for 1 round. A successful save halves the damage and negates the stunning effect. On the third round, the target takes 10d6 points of damage and is stunned for 1d4+1 rounds. A successful save halves the damage and negates the stunning effect. The resonating word has no power after the third round, even if the spell's duration is increased.</t>
  </si>
  <si>
    <t>&lt;p&gt;You speak a terrible word of power, setting up potentially lethal vibrations in the chosen target. The target must save once each round on your turn, and the effects grow stronger for each saving throw the creature fails. On the first round, the target takes 5d6 points of sonic damage and is staggered for 1 round. A successful save halves the damage and negates the staggered effect. On the second round, the target takes 5d6 points of damage and is stunned for 1 round. A successful save halves the damage and negates the stunning effect. On the third round, the target takes 10d6 points of damage and is stunned for 1d4+1 rounds. A successful save halves the damage and negates the stunning effect. The resonating word has no power after the third round, even if the spell's duration is increased.&lt;/p&gt;</t>
  </si>
  <si>
    <t>&lt;link rel="stylesheet"href="PF.css"&gt;&lt;div class="heading"&gt;&lt;p class="alignleft"&gt;Resonating Word&lt;/p&gt;&lt;div style="clear: both;"&gt;&lt;/div&gt;&lt;/div&gt;&lt;div&gt;&lt;h5&gt;&lt;b&gt;School &lt;/b&gt;transmutation [sonic]; &lt;b&gt;Level &lt;/b&gt;bard 5, sorcerer/wizard 7&lt;/h5&gt;&lt;/div&gt;&lt;hr/&gt;&lt;div&gt;&lt;h5&gt;&lt;b&gt;CASTING&lt;/b&gt;&lt;/h5&gt;&lt;/div&gt;&lt;hr/&gt;&lt;div&gt;&lt;h5&gt;&lt;b&gt;Casting Time &lt;/b&gt;1 standard action&lt;/h5&gt;&lt;h5&gt;&lt;b&gt;Components &lt;/b&gt;V&lt;/h5&gt;&lt;/div&gt;&lt;hr/&gt;&lt;div&gt;&lt;h5&gt;&lt;b&gt;EFFECT&lt;/b&gt;&lt;/h5&gt;&lt;/div&gt;&lt;hr/&gt;&lt;div&gt;&lt;h5&gt;&lt;b&gt;Range &lt;/b&gt;medium (100 ft. + 10 ft./level)&lt;/h5&gt;&lt;h5&gt;&lt;b&gt;Targets &lt;/b&gt;one creature&lt;/h5&gt;&lt;h5&gt;&lt;b&gt;Duration &lt;/b&gt;3 rounds&lt;/h5&gt;&lt;h5&gt;&lt;b&gt;Saving Throw &lt;/b&gt;Fortitude partial; &lt;b&gt;Spell Resistance &lt;/b&gt;yes&lt;/h5&gt;&lt;/div&gt;&lt;hr/&gt;&lt;div&gt;&lt;h5&gt;&lt;b&gt;DESCRIPTION&lt;/b&gt;&lt;/h5&gt;&lt;/div&gt;&lt;hr/&gt;&lt;div&gt;&lt;h4&gt;&lt;p&gt;You speak a terrible word of power, setting up potentially lethal vibrations in the chosen target. The target must save once each round on your turn, and the effects grow stronger for each saving throw the creature fails. On the first round, the target takes 5d6 points of sonic damage and is staggered for 1 round. A successful save halves the damage and negates the staggered effect. On the second round, the target takes 5d6 points of damage and is stunned for 1 round. A successful save halves the damage and negates the stunning effect. On the third round, the target takes 10d6 points of damage and is stunned for 1d4+1 rounds. A successful save halves the damage and negates the stunning effect. The resonating word has no power after the third round, even if the spell's duration is increased.&lt;/p&gt;&lt;/h4&gt;&lt;h5&gt;&lt;b&gt;Mythic: &lt;/b&gt;The damage dealt increases to 8d6 points on the 1st and 2nd rounds and 15d6 on the 3rd round. The target takes a -4 penalty on saving throws against all sonic effects.&lt;/h5&gt;&lt;/div&gt;</t>
  </si>
  <si>
    <t>Target is damaged, staggered, and stunned.</t>
  </si>
  <si>
    <t>The damage dealt increases to 8d6 points on the 1st and 2nd rounds and 15d6 on the 3rd round. The target takes a -4 penalty on saving throws against all sonic effects.</t>
  </si>
  <si>
    <t>Restore Corpse</t>
  </si>
  <si>
    <t>You grow flesh on a decomposed or skeletonized corpse of a Medium or smaller creature, providing it with sufficient flesh that it can be animated as a zombie rather than a skeleton. The corpse looks as it did when the creature died. The new flesh is somewhat rotted and not fit for eating.</t>
  </si>
  <si>
    <t>&lt;p&gt;You grow flesh on a decomposed or skeletonized corpse of a Medium or smaller creature, providing it with sufficient flesh that it can be animated as a zombie rather than a skeleton. The corpse looks as it did when the creature died. The new flesh is somewhat rotted and not fit for eating.&lt;/p&gt;</t>
  </si>
  <si>
    <t>&lt;link rel="stylesheet"href="PF.css"&gt;&lt;div class="heading"&gt;&lt;p class="alignleft"&gt;Restore Corpse&lt;/p&gt;&lt;div style="clear: both;"&gt;&lt;/div&gt;&lt;/div&gt;&lt;div&gt;&lt;h5&gt;&lt;b&gt;School &lt;/b&gt;necromancy; &lt;b&gt;Level &lt;/b&gt;cleric 1/oracle 1, druid 1, sorcerer/wizard 1, witch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&lt;/b&gt;corpse touched&lt;/h5&gt;&lt;h5&gt;&lt;b&gt;Duration &lt;/b&gt;instantaneous&lt;/h5&gt;&lt;h5&gt;&lt;b&gt;Saving Throw &lt;/b&gt;none; &lt;b&gt;Spell Resistance &lt;/b&gt;no&lt;/h5&gt;&lt;/div&gt;&lt;hr/&gt;&lt;div&gt;&lt;h5&gt;&lt;b&gt;DESCRIPTION&lt;/b&gt;&lt;/h5&gt;&lt;/div&gt;&lt;hr/&gt;&lt;div&gt;&lt;h4&gt;&lt;p&gt;You grow flesh on a decomposed or skeletonized corpse of a Medium or smaller creature, providing it with sufficient flesh that it can be animated as a zombie rather than a skeleton. The corpse looks as it did when the creature died. The new flesh is somewhat rotted and not fit for eating.&lt;/p&gt;&lt;/h4&gt;&lt;/div&gt;</t>
  </si>
  <si>
    <t>Skeletal corpse grows flesh.</t>
  </si>
  <si>
    <t>Restore Eidolon</t>
  </si>
  <si>
    <t>This spell functions as restoration, except it only affects an eidolon.</t>
  </si>
  <si>
    <t>&lt;p&gt;This spell functions as &lt;i&gt;restoration&lt;/i&gt;, except it only affects an eidolon.&lt;/p&gt;</t>
  </si>
  <si>
    <t>&lt;link rel="stylesheet"href="PF.css"&gt;&lt;div class="heading"&gt;&lt;p class="alignleft"&gt;Restore Eidolon&lt;/p&gt;&lt;div style="clear: both;"&gt;&lt;/div&gt;&lt;/div&gt;&lt;div&gt;&lt;h5&gt;&lt;b&gt;School &lt;/b&gt;conjuration (healing); &lt;b&gt;Level &lt;/b&gt;summoner 3&lt;/h5&gt;&lt;/div&gt;&lt;hr/&gt;&lt;div&gt;&lt;h5&gt;&lt;b&gt;CASTING&lt;/b&gt;&lt;/h5&gt;&lt;/div&gt;&lt;hr/&gt;&lt;div&gt;&lt;h5&gt;&lt;b&gt;Casting Time &lt;/b&gt;1 minute&lt;/h5&gt;&lt;h5&gt;&lt;b&gt;Components &lt;/b&gt;V, S, M (diamond dust worth 100 gp or 1,000 gp, see text)&lt;/h5&gt;&lt;/div&gt;&lt;hr/&gt;&lt;div&gt;&lt;h5&gt;&lt;b&gt;EFFECT&lt;/b&gt;&lt;/h5&gt;&lt;/div&gt;&lt;hr/&gt;&lt;div&gt;&lt;h5&gt;&lt;b&gt;Range &lt;/b&gt;touch&lt;/h5&gt;&lt;h5&gt;&lt;b&gt;Targets &lt;/b&gt;eidolon touched&lt;/h5&gt;&lt;h5&gt;&lt;b&gt;Duration &lt;/b&gt;instantaneous&lt;/h5&gt;&lt;h5&gt;&lt;b&gt;Saving Throw &lt;/b&gt;Will negates (harmless); &lt;b&gt;Spell Resistance &lt;/b&gt;yes (harmless)&lt;/h5&gt;&lt;/div&gt;&lt;hr/&gt;&lt;div&gt;&lt;h5&gt;&lt;b&gt;DESCRIPTION&lt;/b&gt;&lt;/h5&gt;&lt;/div&gt;&lt;hr/&gt;&lt;div&gt;&lt;h4&gt;&lt;p&gt;This spell functions as &lt;i&gt;restoration&lt;/i&gt;, except it only affects an eidolon.&lt;/p&gt;&lt;/h4&gt;&lt;/div&gt;</t>
  </si>
  <si>
    <t>Restoration for an eidolon.</t>
  </si>
  <si>
    <t>Restore Eidolon, Lesser</t>
  </si>
  <si>
    <t>This spell functions as lesser restoration, except it only affects an eidolon.</t>
  </si>
  <si>
    <t>&lt;p&gt;This spell functions as &lt;i&gt;lesser restoration&lt;/i&gt;, except it only affects an eidolon.&lt;/p&gt;</t>
  </si>
  <si>
    <t>&lt;link rel="stylesheet"href="PF.css"&gt;&lt;div class="heading"&gt;&lt;p class="alignleft"&gt;Restore Eidolon, Lesser&lt;/p&gt;&lt;div style="clear: both;"&gt;&lt;/div&gt;&lt;/div&gt;&lt;div&gt;&lt;h5&gt;&lt;b&gt;School &lt;/b&gt;conjuration (healing); &lt;b&gt;Level &lt;/b&gt;summoner 2&lt;/h5&gt;&lt;/div&gt;&lt;hr/&gt;&lt;div&gt;&lt;h5&gt;&lt;b&gt;CASTING&lt;/b&gt;&lt;/h5&gt;&lt;/div&gt;&lt;hr/&gt;&lt;div&gt;&lt;h5&gt;&lt;b&gt;Casting Time &lt;/b&gt;3 rounds&lt;/h5&gt;&lt;h5&gt;&lt;b&gt;Components &lt;/b&gt;V, S&lt;/h5&gt;&lt;/div&gt;&lt;hr/&gt;&lt;div&gt;&lt;h5&gt;&lt;b&gt;EFFECT&lt;/b&gt;&lt;/h5&gt;&lt;/div&gt;&lt;hr/&gt;&lt;div&gt;&lt;h5&gt;&lt;b&gt;Range &lt;/b&gt;touch&lt;/h5&gt;&lt;h5&gt;&lt;b&gt;Targets &lt;/b&gt;eidolon touched&lt;/h5&gt;&lt;h5&gt;&lt;b&gt;Duration &lt;/b&gt;instantaneous&lt;/h5&gt;&lt;h5&gt;&lt;b&gt;Saving Throw &lt;/b&gt;Will negates (harmless); &lt;b&gt;Spell Resistance &lt;/b&gt;yes (harmless)&lt;/h5&gt;&lt;/div&gt;&lt;hr/&gt;&lt;div&gt;&lt;h5&gt;&lt;b&gt;DESCRIPTION&lt;/b&gt;&lt;/h5&gt;&lt;/div&gt;&lt;hr/&gt;&lt;div&gt;&lt;h4&gt;&lt;p&gt;This spell functions as &lt;i&gt;lesser restoration&lt;/i&gt;, except it only affects an eidolon.&lt;/p&gt;&lt;/h4&gt;&lt;/div&gt;</t>
  </si>
  <si>
    <t>Lesser restoration for an eidolon.</t>
  </si>
  <si>
    <t>Ride the Lightning</t>
  </si>
  <si>
    <t>You may transform into lightning as a standard action and instantly travel in a straight line to a distance of up to 120 feet, rematerializing in the new location as a free action. This movement does not provoke attacks of opportunity. Creatures in this line take 10d6 points of electrical damage and are staggered for 1 round (a successful Reflex save halves the damage and negates the staggered condition, spell resistance applies). Objects in your path are damaged as well, with combustible objects being set ablaze and metals with low melting points melted. If your path is interrupted by a barrier or otherwise deflected, you materialize short of your final destination in the nearest open space; targets in the line to that point take damage as normal. You are immune to electricity while this spell lasts.</t>
  </si>
  <si>
    <t>&lt;p&gt;You may transform into lightning as a standard action and instantly travel in a straight line to a distance of up to 120 feet, rematerializing in the new location as a free action. This movement does not provoke attacks of opportunity. Creatures in this line take 10d6 points of electrical damage and are staggered for 1 round (a successful Reflex save halves the damage and negates the staggered condition, spell resistance applies).&lt;/p&gt;&lt;p&gt;Objects in your path are damaged as well, with combustible objects being set ablaze and metals with low melting points melted. If your path is interrupted by a barrier or otherwise deflected, you materialize short of your final destination in the nearest open space; targets in the line to that point take damage as normal. You are immune to electricity while this spell lasts.&lt;/p&gt;</t>
  </si>
  <si>
    <t>&lt;link rel="stylesheet"href="PF.css"&gt;&lt;div class="heading"&gt;&lt;p class="alignleft"&gt;Ride the Lightning&lt;/p&gt;&lt;div style="clear: both;"&gt;&lt;/div&gt;&lt;/div&gt;&lt;div&gt;&lt;h5&gt;&lt;b&gt;School &lt;/b&gt;evocation [electricity]; &lt;b&gt;Level &lt;/b&gt;sorcerer/wizard 9&lt;/h5&gt;&lt;/div&gt;&lt;hr/&gt;&lt;div&gt;&lt;h5&gt;&lt;b&gt;CASTING&lt;/b&gt;&lt;/h5&gt;&lt;/div&gt;&lt;hr/&gt;&lt;div&gt;&lt;h5&gt;&lt;b&gt;Casting Time &lt;/b&gt;1 swift action&lt;/h5&gt;&lt;h5&gt;&lt;b&gt;Components &lt;/b&gt;V, S&lt;/h5&gt;&lt;/div&gt;&lt;hr/&gt;&lt;div&gt;&lt;h5&gt;&lt;b&gt;EFFECT&lt;/b&gt;&lt;/h5&gt;&lt;/div&gt;&lt;hr/&gt;&lt;div&gt;&lt;h5&gt;&lt;b&gt;Range &lt;/b&gt;personal&lt;/h5&gt;&lt;h5&gt;&lt;b&gt;Targets &lt;/b&gt;you&lt;/h5&gt;&lt;h5&gt;&lt;b&gt;Duration &lt;/b&gt;1 round/level (D)&lt;/h5&gt;&lt;/div&gt;&lt;hr/&gt;&lt;div&gt;&lt;h5&gt;&lt;b&gt;DESCRIPTION&lt;/b&gt;&lt;/h5&gt;&lt;/div&gt;&lt;hr/&gt;&lt;div&gt;&lt;h4&gt;&lt;p&gt;You may transform into lightning as a standard action and instantly travel in a straight line to a distance of up to 120 feet, rematerializing in the new location as a free action. This movement does not provoke attacks of opportunity. Creatures in this line take 10d6 points of electrical damage and are staggered for 1 round (a successful Reflex save halves the damage and negates the staggered condition, spell resistance applies).&lt;/p&gt;&lt;p&gt;Objects in your path are damaged as well, with combustible objects being set ablaze and metals with low melting points melted. If your path is interrupted by a barrier or otherwise deflected, you materialize short of your final destination in the nearest open space; targets in the line to that point take damage as normal. You are immune to electricity while this spell lasts.&lt;/p&gt;&lt;/h4&gt;&lt;/div&gt;</t>
  </si>
  <si>
    <t>Transform into electricity.</t>
  </si>
  <si>
    <t>Ride The Waves</t>
  </si>
  <si>
    <t>cleric 4/oracle 4, druid 4, sorcerer/wizard 4, witch 4</t>
  </si>
  <si>
    <t>The target gains the ability to breathe water and a swim speed of 30 feet. This swim speed means the target also gains the standard +8 bonus on Swim checks and the ability to take 10 on Swim checks even while distracted or endangered. The target can use the run action while swimming, provided it swims in a straight line. The spell does not make the target unable to breathe air.</t>
  </si>
  <si>
    <t>&lt;p&gt;The target gains the ability to breathe water and a swim speed of 30 feet. This swim speed means the target also gains the standard +8 bonus on Swim checks and the ability to take 10 on Swim checks even while distracted or endangered. The target can use the run action while swimming, provided it swims in a straight line. The spell does not make the target unable to breathe air.&lt;/p&gt;</t>
  </si>
  <si>
    <t>&lt;link rel="stylesheet"href="PF.css"&gt;&lt;div class="heading"&gt;&lt;p class="alignleft"&gt;Ride The Waves&lt;/p&gt;&lt;div style="clear: both;"&gt;&lt;/div&gt;&lt;/div&gt;&lt;div&gt;&lt;h5&gt;&lt;b&gt;School &lt;/b&gt;transmutation [water]; &lt;b&gt;Level &lt;/b&gt;cleric 4/oracle 4, druid 4, sorcerer/wizard 4, witch 4&lt;/h5&gt;&lt;/div&gt;&lt;hr/&gt;&lt;div&gt;&lt;h5&gt;&lt;b&gt;CASTING&lt;/b&gt;&lt;/h5&gt;&lt;/div&gt;&lt;hr/&gt;&lt;div&gt;&lt;h5&gt;&lt;b&gt;Casting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hour/level (D)&lt;/h5&gt;&lt;h5&gt;&lt;b&gt;Saving Throw &lt;/b&gt;Will negates (harmless); &lt;b&gt;Spell Resistance &lt;/b&gt;yes (harmless)&lt;/h5&gt;&lt;/div&gt;&lt;hr/&gt;&lt;div&gt;&lt;h5&gt;&lt;b&gt;DESCRIPTION&lt;/b&gt;&lt;/h5&gt;&lt;/div&gt;&lt;hr/&gt;&lt;div&gt;&lt;h4&gt;&lt;p&gt;The target gains the ability to breathe water and a swim speed of 30 feet. This swim speed means the target also gains the standard +8 bonus on Swim checks and the ability to take 10 on Swim checks even while distracted or endangered. The target can use the run action while swimming, provided it swims in a straight line. The spell does not make the target unable to breathe air.&lt;/p&gt;&lt;/h4&gt;&lt;/div&gt;</t>
  </si>
  <si>
    <t>Target can breathe water and swim.</t>
  </si>
  <si>
    <t>Sanctify Corpse</t>
  </si>
  <si>
    <t>cleric 1/oracle 1, inquisitor 1, paladin 1, witch 1</t>
  </si>
  <si>
    <t>V, S, DF, M (a pinch of silver dust)</t>
  </si>
  <si>
    <t>This spell blesses a corpse with positive energy, preventing it from being turned into an undead creature. Attempts to raise the corpse as an undead automatically fail. If the corpse is of a person slain by a creature that creates undead out of its slain foes (such as a shadow, vampire, or wraith), that is delayed until the end of this spell. It is possible to protect a corpse for an extended time by casting this spell each day. Sanctify corpse can be made permanent with a permanency spell by a caster of 9th level or higher for the cost of 500 gp.</t>
  </si>
  <si>
    <t>&lt;p&gt;This spell blesses a corpse with positive energy, preventing it from being turned into an undead creature. Attempts to raise the corpse as an undead automatically fail. If the corpse is of a person slain by a creature that creates undead out of its slain foes (such as a shadow, vampire, or wraith), that is delayed until the end of this spell. It is possible to protect a corpse for an extended time by casting this spell each day.&lt;/p&gt;&lt;p&gt;&lt;i&gt;Sanctify corpse&lt;/i&gt; can be made permanent with a &lt;i&gt;permanency&lt;/i&gt; spell by a caster of 9th level or higher for the cost of 500 gp.&lt;/p&gt;</t>
  </si>
  <si>
    <t>&lt;link rel="stylesheet"href="PF.css"&gt;&lt;div class="heading"&gt;&lt;p class="alignleft"&gt;Sanctify Corpse&lt;/p&gt;&lt;div style="clear: both;"&gt;&lt;/div&gt;&lt;/div&gt;&lt;div&gt;&lt;h5&gt;&lt;b&gt;School &lt;/b&gt;evocation [good]; &lt;b&gt;Level &lt;/b&gt;cleric 1/oracle 1, inquisitor 1, paladin 1, witch 1&lt;/h5&gt;&lt;/div&gt;&lt;hr/&gt;&lt;div&gt;&lt;h5&gt;&lt;b&gt;CASTING&lt;/b&gt;&lt;/h5&gt;&lt;/div&gt;&lt;hr/&gt;&lt;div&gt;&lt;h5&gt;&lt;b&gt;Casting Time &lt;/b&gt;1 standard action&lt;/h5&gt;&lt;h5&gt;&lt;b&gt;Components &lt;/b&gt;V, S, DF, M (a pinch of silver dust)&lt;/h5&gt;&lt;/div&gt;&lt;hr/&gt;&lt;div&gt;&lt;h5&gt;&lt;b&gt;EFFECT&lt;/b&gt;&lt;/h5&gt;&lt;/div&gt;&lt;hr/&gt;&lt;div&gt;&lt;h5&gt;&lt;b&gt;Range &lt;/b&gt;touch&lt;/h5&gt;&lt;h5&gt;&lt;b&gt;Area &lt;/b&gt;corpse touched&lt;/h5&gt;&lt;h5&gt;&lt;b&gt;Duration &lt;/b&gt;24 hours&lt;/h5&gt;&lt;h5&gt;&lt;b&gt;Saving Throw &lt;/b&gt;none; &lt;b&gt;Spell Resistance &lt;/b&gt;no&lt;/h5&gt;&lt;/div&gt;&lt;hr/&gt;&lt;div&gt;&lt;h5&gt;&lt;b&gt;DESCRIPTION&lt;/b&gt;&lt;/h5&gt;&lt;/div&gt;&lt;hr/&gt;&lt;div&gt;&lt;h4&gt;&lt;p&gt;This spell blesses a corpse with positive energy, preventing it from being turned into an undead creature. Attempts to raise the corpse as an undead automatically fail. If the corpse is of a person slain by a creature that creates undead out of its slain foes (such as a shadow, vampire, or wraith), that is delayed until the end of this spell. It is possible to protect a corpse for an extended time by casting this spell each day.&lt;/p&gt;&lt;p&gt;&lt;i&gt;Sanctify corpse&lt;/i&gt; can be made permanent with a &lt;i&gt;permanency&lt;/i&gt; spell by a caster of 9th level or higher for the cost of 500 gp.&lt;/p&gt;&lt;/h4&gt;&lt;/div&gt;</t>
  </si>
  <si>
    <t>Prevent a corpse from becoming an undead creature.</t>
  </si>
  <si>
    <t>Sands of Time</t>
  </si>
  <si>
    <t>touched creature or object</t>
  </si>
  <si>
    <t>10 minutes/level or instantaneous (see text)</t>
  </si>
  <si>
    <t>You temporarily age the target, immediately advancing it to the next age category. The target immediately takes the age penalties to Strength, Dexterity, and Constitution for its new age category, but does not gain the bonuses for that category. A creature whose age is unknown is treated as if the spell advances it to middle age. Ageless or immortal creatures are immune to this spell. If you cast this on an object, construct, or undead creature, it takes 3d6 points of damage + 1 point per caster level (maximum +15) as time weathers and corrodes it. This version of the spell has an instantaneous duration.</t>
  </si>
  <si>
    <t>&lt;p&gt;You temporarily age the target, immediately advancing it to the next age category. The target immediately takes the age penalties to Strength, Dexterity, and Constitution for its new age category, but does not gain the bonuses for that category.&lt;/p&gt;&lt;p&gt;A creature whose age is unknown is treated as if the spell advances it to middle age. Ageless or immortal creatures are immune to this spell.&lt;/p&gt;&lt;p&gt;If you cast this on an object, construct, or undead creature, it takes 3d6 points of damage + 1 point per caster level (maximum +15) as time weathers and corrodes it. This version of the spell has an instantaneous duration.&lt;/p&gt;</t>
  </si>
  <si>
    <t>&lt;link rel="stylesheet"href="PF.css"&gt;&lt;div class="heading"&gt;&lt;p class="alignleft"&gt;Sands of Time&lt;/p&gt;&lt;div style="clear: both;"&gt;&lt;/div&gt;&lt;/div&gt;&lt;div&gt;&lt;h5&gt;&lt;b&gt;School &lt;/b&gt;necromancy; &lt;b&gt;Level &lt;/b&gt;cleric 3/oracle 3, sorcerer/wizard 3, witch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&lt;/b&gt;touched creature or object&lt;/h5&gt;&lt;h5&gt;&lt;b&gt;Duration &lt;/b&gt;10 minutes/level or instantaneous (see text)&lt;/h5&gt;&lt;h5&gt;&lt;b&gt;Saving Throw &lt;/b&gt;none; &lt;b&gt;Spell Resistance &lt;/b&gt;yes&lt;/h5&gt;&lt;/div&gt;&lt;hr/&gt;&lt;div&gt;&lt;h5&gt;&lt;b&gt;DESCRIPTION&lt;/b&gt;&lt;/h5&gt;&lt;/div&gt;&lt;hr/&gt;&lt;div&gt;&lt;h4&gt;&lt;p&gt;You temporarily age the target, immediately advancing it to the next age category. The target immediately takes the age penalties to Strength, Dexterity, and Constitution for its new age category, but does not gain the bonuses for that category.&lt;/p&gt;&lt;p&gt;A creature whose age is unknown is treated as if the spell advances it to middle age. Ageless or immortal creatures are immune to this spell.&lt;/p&gt;&lt;p&gt;If you cast this on an object, construct, or undead creature, it takes 3d6 points of damage + 1 point per caster level (maximum +15) as time weathers and corrodes it. This version of the spell has an instantaneous duration.&lt;/p&gt;&lt;/h4&gt;&lt;/div&gt;</t>
  </si>
  <si>
    <t>Target temporarily ages.</t>
  </si>
  <si>
    <t>Scouring Winds</t>
  </si>
  <si>
    <t>air, earth</t>
  </si>
  <si>
    <t>druid 7, sorcerer/wizard 7, witch 7</t>
  </si>
  <si>
    <t>sandstorm in 20-ft. radius, 20 ft. high</t>
  </si>
  <si>
    <t>This spell brings forth a windstorm of stinging sand that blocks all vision. You can move the storm up to 30 feet each round as a move action. Any creature in the area takes 3d6 points of piercing damage each round. The area is considered a windstorm (see Table 13-10: Wind Effects, Core Rulebook 439). If a creature with spell resistance successfully resists this spell, it is unaffected by the winds and sand, but still unable to see within the area of the spell.</t>
  </si>
  <si>
    <t>&lt;p&gt;This spell brings forth a windstorm of stinging sand that blocks all vision. You can move the storm up to 30 feet each round as a move action. Any creature in the area takes 3d6 points of piercing damage each round. The area is considered a windstorm (see Table 13-10: Wind &lt;b&gt;Effect&lt;/b&gt;s, &lt;i&gt;Core Rulebook&lt;/i&gt; 439). If a creature with spell resistance successfully resists this spell, it is unaffected by the winds and sand, but still unable to see within the area of the spell.&lt;/p&gt;</t>
  </si>
  <si>
    <t>&lt;link rel="stylesheet"href="PF.css"&gt;&lt;div class="heading"&gt;&lt;p class="alignleft"&gt;Scouring Winds&lt;/p&gt;&lt;div style="clear: both;"&gt;&lt;/div&gt;&lt;/div&gt;&lt;div&gt;&lt;h5&gt;&lt;b&gt;School &lt;/b&gt;evocation [air, earth]; &lt;b&gt;Level &lt;/b&gt;druid 7, sorcerer/wizard 7, witch 7&lt;/h5&gt;&lt;/div&gt;&lt;hr/&gt;&lt;div&gt;&lt;h5&gt;&lt;b&gt;CASTING&lt;/b&gt;&lt;/h5&gt;&lt;/div&gt;&lt;hr/&gt;&lt;div&gt;&lt;h5&gt;&lt;b&gt;Casting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ft./level)&lt;/h5&gt;&lt;h5&gt;&lt;b&gt;Effect &lt;/b&gt;sandstorm in 20-ft. radius, 20 ft. high&lt;/h5&gt;&lt;h5&gt;&lt;b&gt;Duration &lt;/b&gt;1 round/level (D)&lt;/h5&gt;&lt;h5&gt;&lt;b&gt;Saving Throw &lt;/b&gt;none; &lt;b&gt;Spell Resistance &lt;/b&gt;yes (see text)&lt;/h5&gt;&lt;/div&gt;&lt;hr/&gt;&lt;div&gt;&lt;h5&gt;&lt;b&gt;DESCRIPTION&lt;/b&gt;&lt;/h5&gt;&lt;/div&gt;&lt;hr/&gt;&lt;div&gt;&lt;h4&gt;&lt;p&gt;This spell brings forth a windstorm of stinging sand that blocks all vision. You can move the storm up to 30 feet each round as a move action. Any creature in the area takes 3d6 points of piercing damage each round. The area is considered a windstorm (see Table 13-10: Wind &lt;b&gt;Effect&lt;/b&gt;s, &lt;i&gt;Core Rulebook&lt;/i&gt; 439). If a creature with spell resistance successfully resists this spell, it is unaffected by the winds and sand, but still unable to see within the area of the spell.&lt;/p&gt;&lt;/h4&gt;&lt;h5&gt;&lt;b&gt;Mythic: &lt;/b&gt;The spell's damage increases to 4d8 points of piercing damage. Any creature in the area at the start of your turn must succeed at a Reflex save or be blinded for as long as it remains in the area and for 1d4 rounds after it leaves.&lt;/h5&gt;&lt;h5&gt;&lt;b&gt;Augmented (5th)&lt;/b&gt;: If you expend two uses of mythic power, the sandstorm's radius and height each increase to 40 feet, and the damage dealt increases to 6d8 points of piercing damage. Each round, you can either move the storm up to 50 feet as a move action or up to 10 feet as a swift action.&lt;/h5&gt;&lt;/div&gt;</t>
  </si>
  <si>
    <t>Winds block vision and deal 3d6 damage.</t>
  </si>
  <si>
    <t>The spell's damage increases to 4d8 points of piercing damage. Any creature in the area at the start of your turn must succeed at a Reflex save or be blinded for as long as it remains in the area and for 1d4 rounds after it leaves.</t>
  </si>
  <si>
    <t>Augmented (5th): If you expend two uses of mythic power, the sandstorm's radius and height each increase to 40 feet, and the damage dealt increases to 6d8 points of piercing damage. Each round, you can either move the storm up to 50 feet as a move action or up to 10 feet as a swift action.</t>
  </si>
  <si>
    <t>Sculpt Simulacrum</t>
  </si>
  <si>
    <t>simulacrum touched</t>
  </si>
  <si>
    <t>You create cosmetic changes to a simulacrum, similar to disguise self, except the changes are physical rather than illusory. This does not change any of the simulacrum's abilities.</t>
  </si>
  <si>
    <t>&lt;p&gt;You create cosmetic changes to a simulacrum, similar to &lt;i&gt;disguise self&lt;/i&gt;, except the changes are physical rather than illusory. This does not change any of the simulacrum's abilities.&lt;/p&gt;</t>
  </si>
  <si>
    <t>&lt;link rel="stylesheet"href="PF.css"&gt;&lt;div class="heading"&gt;&lt;p class="alignleft"&gt;Sculpt Simulacrum&lt;/p&gt;&lt;div style="clear: both;"&gt;&lt;/div&gt;&lt;/div&gt;&lt;div&gt;&lt;h5&gt;&lt;b&gt;School &lt;/b&gt;transmutation; &lt;b&gt;Level &lt;/b&gt;sorcerer/wizard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&lt;/b&gt;simulacrum touched&lt;/h5&gt;&lt;h5&gt;&lt;b&gt;Duration &lt;/b&gt;instantaneous&lt;/h5&gt;&lt;h5&gt;&lt;b&gt;Saving Throw &lt;/b&gt;Fortitude negates; &lt;b&gt;Spell Resistance &lt;/b&gt;yes&lt;/h5&gt;&lt;/div&gt;&lt;hr/&gt;&lt;div&gt;&lt;h5&gt;&lt;b&gt;DESCRIPTION&lt;/b&gt;&lt;/h5&gt;&lt;/div&gt;&lt;hr/&gt;&lt;div&gt;&lt;h4&gt;&lt;p&gt;You create cosmetic changes to a simulacrum, similar to &lt;i&gt;disguise self&lt;/i&gt;, except the changes are physical rather than illusory. This does not change any of the simulacrum's abilities.&lt;/p&gt;&lt;/h4&gt;&lt;/div&gt;</t>
  </si>
  <si>
    <t>Alter a simulacrum's appearance.</t>
  </si>
  <si>
    <t>Serenity</t>
  </si>
  <si>
    <t>bard 4, cleric 5/oracle 5, sorcerer/wizard 6</t>
  </si>
  <si>
    <t>You fill the targets' minds with feelings of tranquility. Those attempting to commit violence become stricken with wracking pain and take 3d6 points of nonlethal damage each round they attempt to harm another creature. If attacked, affected individuals can defend themselves and may participate in combat by using Combat Expertise, fighting defensively, or taking the total defense action without triggering the spell's nonlethal damage.</t>
  </si>
  <si>
    <t>&lt;p&gt;You fill the targets' minds with feelings of tranquility. Those attempting to commit violence become stricken with wracking pain and take 3d6 points of nonlethal damage each round they attempt to harm another creature. If attacked, affected individuals can defend themselves and may participate in combat by using Combat Expertise, fighting defensively, or taking the total defense action without triggering the spell's nonlethal damage.&lt;/p&gt;</t>
  </si>
  <si>
    <t>&lt;link rel="stylesheet"href="PF.css"&gt;&lt;div class="heading"&gt;&lt;p class="alignleft"&gt;Serenity&lt;/p&gt;&lt;div style="clear: both;"&gt;&lt;/div&gt;&lt;/div&gt;&lt;div&gt;&lt;h5&gt;&lt;b&gt;School &lt;/b&gt;enchantment (compulsion) [emotion, mind-affecting]; &lt;b&gt;Level &lt;/b&gt;bard 4, cleric 5/oracle 5, sorcerer/wizard 6&lt;/h5&gt;&lt;/div&gt;&lt;hr/&gt;&lt;div&gt;&lt;h5&gt;&lt;b&gt;CASTING&lt;/b&gt;&lt;/h5&gt;&lt;/div&gt;&lt;hr/&gt;&lt;div&gt;&lt;h5&gt;&lt;b&gt;Casting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ft./level)&lt;/h5&gt;&lt;h5&gt;&lt;b&gt;Targets &lt;/b&gt;one creature/level, no two of which can be more than 30 ft. apart&lt;/h5&gt;&lt;h5&gt;&lt;b&gt;Duration &lt;/b&gt;1 round/level&lt;/h5&gt;&lt;h5&gt;&lt;b&gt;Saving Throw &lt;/b&gt;Will negates; &lt;b&gt;Spell Resistance &lt;/b&gt;yes&lt;/h5&gt;&lt;/div&gt;&lt;hr/&gt;&lt;div&gt;&lt;h5&gt;&lt;b&gt;DESCRIPTION&lt;/b&gt;&lt;/h5&gt;&lt;/div&gt;&lt;hr/&gt;&lt;div&gt;&lt;h4&gt;&lt;p&gt;You fill the targets' minds with feelings of tranquility. Those attempting to commit violence become stricken with wracking pain and take 3d6 points of nonlethal damage each round they attempt to harm another creature. If attacked, affected individuals can defend themselves and may participate in combat by using Combat Expertise, fighting defensively, or taking the total defense action without triggering the spell's nonlethal damage.&lt;/p&gt;&lt;/h4&gt;&lt;/div&gt;</t>
  </si>
  <si>
    <t>Peaceful feelings harm those attempting violence.</t>
  </si>
  <si>
    <t>Shadowbard</t>
  </si>
  <si>
    <t>phantom singer</t>
  </si>
  <si>
    <t>You conjure up a quasi-real phantom singer that is visible as a shifting, shadowy duplicate of yourself. The singer follows you automatically, moving as you move even if you teleport. The singer cannot be damaged, but can be dispelled. When a shadowbard comes into being, it immediately begins a bardic performance of your choice-it has access to all of the bardic performances that you do. It continues that bardic performance until you direct it as a move action to switch to a different performance. Rounds spent by a shadowbard creating a bardic performance do not decrease the number of rounds you can use your own bardic performance, nor can a shadowbard's bardic performance be used to trigger spells that require you to begin or cease a bardic performance.</t>
  </si>
  <si>
    <t>&lt;p&gt;You conjure up a quasi-real phantom singer that is visible as a shifting, shadowy duplicate of yourself. The singer follows you automatically, moving as you move even if you teleport.&lt;/p&gt;&lt;p&gt;The singer cannot be damaged, but can be dispelled. When a &lt;i&gt;shadowbard&lt;/i&gt; comes into being, it immediately begins a bardic performance of your choice-it has access to all of the bardic performances that you do. It continues that bardic performance until you direct it as a move action to switch to a different performance. Rounds spent by a &lt;i&gt;shadowbard&lt;/i&gt; creating a bardic performance do not decrease the number of rounds you can use your own bardic performance, nor can a &lt;i&gt;shadowbard&lt;/i&gt;'s bardic performance be used to trigger spells that require you to begin or cease a bardic performance.&lt;/p&gt;</t>
  </si>
  <si>
    <t>&lt;link rel="stylesheet"href="PF.css"&gt;&lt;div class="heading"&gt;&lt;p class="alignleft"&gt;Shadowbard&lt;/p&gt;&lt;div style="clear: both;"&gt;&lt;/div&gt;&lt;/div&gt;&lt;div&gt;&lt;h5&gt;&lt;b&gt;School &lt;/b&gt;illusion (shadow) [shadow]; &lt;b&gt;Level &lt;/b&gt;bard 5&lt;/h5&gt;&lt;/div&gt;&lt;hr/&gt;&lt;div&gt;&lt;h5&gt;&lt;b&gt;CASTING&lt;/b&gt;&lt;/h5&gt;&lt;/div&gt;&lt;hr/&gt;&lt;div&gt;&lt;h5&gt;&lt;b&gt;Casting Time &lt;/b&gt;1 standard action&lt;/h5&gt;&lt;h5&gt;&lt;b&gt;Components &lt;/b&gt;V, S, M&lt;/h5&gt;&lt;/div&gt;&lt;hr/&gt;&lt;div&gt;&lt;h5&gt;&lt;b&gt;EFFECT&lt;/b&gt;&lt;/h5&gt;&lt;/div&gt;&lt;hr/&gt;&lt;div&gt;&lt;h5&gt;&lt;b&gt;Range &lt;/b&gt;close (25 ft. +5 ft./2 levels)&lt;/h5&gt;&lt;h5&gt;&lt;b&gt;Effect &lt;/b&gt;phantom singer&lt;/h5&gt;&lt;h5&gt;&lt;b&gt;Duration &lt;/b&gt;1 round/level (D)&lt;/h5&gt;&lt;h5&gt;&lt;b&gt;Saving Throw &lt;/b&gt;none; &lt;b&gt;Spell Resistance &lt;/b&gt;no&lt;/h5&gt;&lt;/div&gt;&lt;hr/&gt;&lt;div&gt;&lt;h5&gt;&lt;b&gt;DESCRIPTION&lt;/b&gt;&lt;/h5&gt;&lt;/div&gt;&lt;hr/&gt;&lt;div&gt;&lt;h4&gt;&lt;p&gt;You conjure up a quasi-real phantom singer that is visible as a shifting, shadowy duplicate of yourself. The singer follows you automatically, moving as you move even if you teleport.&lt;/p&gt;&lt;p&gt;The singer cannot be damaged, but can be dispelled. When a &lt;i&gt;shadowbard&lt;/i&gt; comes into being, it immediately begins a bardic performance of your choice-it has access to all of the bardic performances that you do. It continues that bardic performance until you direct it as a move action to switch to a different performance. Rounds spent by a &lt;i&gt;shadowbard&lt;/i&gt; creating a bardic performance do not decrease the number of rounds you can use your own bardic performance, nor can a &lt;i&gt;shadowbard&lt;/i&gt;'s bardic performance be used to trigger spells that require you to begin or cease a bardic performance.&lt;/p&gt;&lt;/h4&gt;&lt;/div&gt;</t>
  </si>
  <si>
    <t>Shadowy duplicate starts a bardic performance.</t>
  </si>
  <si>
    <t>Shadow Step</t>
  </si>
  <si>
    <t>To use this spell, you must be in an area of dim light or darkness. You enter a shadow or area of darkness, which transports you along a coiling path of shadowstuff to another dim or dark location within range.</t>
  </si>
  <si>
    <t>&lt;p&gt;To use this spell, you must be in an area of dim light or darkness. You enter a shadow or area of darkness, which transports you along a coiling path of shadowstuff to another dim or dark location within range.&lt;/p&gt;</t>
  </si>
  <si>
    <t>&lt;link rel="stylesheet"href="PF.css"&gt;&lt;div class="heading"&gt;&lt;p class="alignleft"&gt;Shadow Step&lt;/p&gt;&lt;div style="clear: both;"&gt;&lt;/div&gt;&lt;/div&gt;&lt;div&gt;&lt;h5&gt;&lt;b&gt;School &lt;/b&gt;illusion (shadow) [shadow]; &lt;b&gt;Level &lt;/b&gt;bard 4, sorcerer/wizard 4, witch 4&lt;/h5&gt;&lt;/div&gt;&lt;hr/&gt;&lt;div&gt;&lt;h5&gt;&lt;b&gt;CASTING&lt;/b&gt;&lt;/h5&gt;&lt;/div&gt;&lt;hr/&gt;&lt;div&gt;&lt;h5&gt;&lt;b&gt;Casting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ft./level)&lt;/h5&gt;&lt;h5&gt;&lt;b&gt;Targets &lt;/b&gt;you&lt;/h5&gt;&lt;h5&gt;&lt;b&gt;Duration &lt;/b&gt;instantaneous&lt;/h5&gt;&lt;h5&gt;&lt;b&gt;Saving Throw &lt;/b&gt;none; &lt;b&gt;Spell Resistance &lt;/b&gt;no&lt;/h5&gt;&lt;/div&gt;&lt;hr/&gt;&lt;div&gt;&lt;h5&gt;&lt;b&gt;DESCRIPTION&lt;/b&gt;&lt;/h5&gt;&lt;/div&gt;&lt;hr/&gt;&lt;div&gt;&lt;h4&gt;&lt;p&gt;To use this spell, you must be in an area of dim light or darkness. You enter a shadow or area of darkness, which transports you along a coiling path of shadowstuff to another dim or dark location within range.&lt;/p&gt;&lt;/h4&gt;&lt;/div&gt;</t>
  </si>
  <si>
    <t>Teleport from one shadow to another.</t>
  </si>
  <si>
    <t>Shadow Weapon</t>
  </si>
  <si>
    <t>one shadow weapon</t>
  </si>
  <si>
    <t>Drawing upon the Plane of Shadow, you shape a quasi-real masterwork melee weapon of a type you are proficient with. You may use this weapon to make attacks as if it were a real weapon, dealing normal damage for a weapon of its type. The first time you hit a creature with the weapon, it may make a Will save to disbelieve; failure means the weapon deals damage normally, success means it only takes 1 point of damage from the weapon's attacks. The weapon only deals 1 point of damage to objects. If an attacked creature has spell resistance, you make a caster level check (1d20 + caster level) against that spell resistance the first time the shadow weapon strikes it. If the weapon is successfully resisted, the spell is dispelled. If not, the target may save to disbelieve as normal. At 5th level, the weapon gains a +1 enhancement bonus. At 10th-level, you may increase the enhancement bonus to +2 or add the frost or keen weapon property. The frost and keen properties have no effect if the target makes its disbelief save. The spell ends if the weapon leaves your possession.</t>
  </si>
  <si>
    <t>&lt;p&gt;Drawing upon the Plane of Shadow, you shape a quasi-real masterwork melee weapon of a type you are proficient with. You may use this weapon to make attacks as if it were a real weapon, dealing normal damage for a weapon of its type. The first time you hit a creature with the weapon, it may make a Will save to disbelieve; failure means the weapon deals damage normally, success means it only takes 1 point of damage from the weapon's attacks. The weapon only deals 1 point of damage to objects. If an attacked creature has spell resistance, you make a caster level check (1d20 + caster level) against that spell resistance the first time the &lt;i&gt;shadow weapon&lt;/i&gt; strikes it. If the weapon is successfully resisted, the spell is dispelled. If not, the target may save to disbelieve as normal. At 5th level, the weapon gains a +1 enhancement bonus. At 10th-level, you may increase the enhancement bonus to +2 or add the &lt;i&gt;frost&lt;/i&gt; or &lt;i&gt;keen&lt;/i&gt; weapon property. The &lt;i&gt;frost&lt;/i&gt; and &lt;i&gt;keen&lt;/i&gt; properties have no effect if the target makes its disbelief save. The spell ends if the weapon leaves your possession.&lt;/p&gt;</t>
  </si>
  <si>
    <t>&lt;link rel="stylesheet"href="PF.css"&gt;&lt;div class="heading"&gt;&lt;p class="alignleft"&gt;Shadow Weapon&lt;/p&gt;&lt;div style="clear: both;"&gt;&lt;/div&gt;&lt;/div&gt;&lt;div&gt;&lt;h5&gt;&lt;b&gt;School &lt;/b&gt;illusion (shadow) [shadow]; &lt;b&gt;Level &lt;/b&gt;sorcerer/wizard 1, witch 1&lt;/h5&gt;&lt;/div&gt;&lt;hr/&gt;&lt;div&gt;&lt;h5&gt;&lt;b&gt;CASTING&lt;/b&gt;&lt;/h5&gt;&lt;/div&gt;&lt;hr/&gt;&lt;div&gt;&lt;h5&gt;&lt;b&gt;Casting Time &lt;/b&gt;1 standard action&lt;/h5&gt;&lt;h5&gt;&lt;b&gt;Components &lt;/b&gt;V, S&lt;/h5&gt;&lt;/div&gt;&lt;hr/&gt;&lt;div&gt;&lt;h5&gt;&lt;b&gt;EFFECT&lt;/b&gt;&lt;/h5&gt;&lt;/div&gt;&lt;hr/&gt;&lt;div&gt;&lt;h5&gt;&lt;b&gt;Range &lt;/b&gt;0 ft.&lt;/h5&gt;&lt;h5&gt;&lt;b&gt;Effect &lt;/b&gt;one shadow weapon&lt;/h5&gt;&lt;h5&gt;&lt;b&gt;Duration &lt;/b&gt;1 minute/level&lt;/h5&gt;&lt;h5&gt;&lt;b&gt;Saving Throw &lt;/b&gt;Will disbelief (if interacted with); &lt;b&gt;Spell Resistance &lt;/b&gt;yes&lt;/h5&gt;&lt;/div&gt;&lt;hr/&gt;&lt;div&gt;&lt;h5&gt;&lt;b&gt;DESCRIPTION&lt;/b&gt;&lt;/h5&gt;&lt;/div&gt;&lt;hr/&gt;&lt;div&gt;&lt;h4&gt;&lt;p&gt;Drawing upon the Plane of Shadow, you shape a quasi-real masterwork melee weapon of a type you are proficient with. You may use this weapon to make attacks as if it were a real weapon, dealing normal damage for a weapon of its type. The first time you hit a creature with the weapon, it may make a Will save to disbelieve; failure means the weapon deals damage normally, success means it only takes 1 point of damage from the weapon's attacks. The weapon only deals 1 point of damage to objects. If an attacked creature has spell resistance, you make a caster level check (1d20 + caster level) against that spell resistance the first time the &lt;i&gt;shadow weapon&lt;/i&gt; strikes it. If the weapon is successfully resisted, the spell is dispelled. If not, the target may save to disbelieve as normal. At 5th level, the weapon gains a +1 enhancement bonus. At 10th-level, you may increase the enhancement bonus to +2 or add the &lt;i&gt;frost&lt;/i&gt; or &lt;i&gt;keen&lt;/i&gt; weapon property. The &lt;i&gt;frost&lt;/i&gt; and &lt;i&gt;keen&lt;/i&gt; properties have no effect if the target makes its disbelief save. The spell ends if the weapon leaves your possession.&lt;/p&gt;&lt;/h4&gt;&lt;h5&gt;&lt;b&gt;Mythic: &lt;/b&gt;Add your tier to your caster level when determining what enhancement bonus or weapon special abilities the weapon can have. The weapon deals half damage to creatures that disbelieve in it and to objects, instead of only 1 point. You can spend a swift action to transform the weapon into a dull black metal ring on your finger, or to return it from its ring form to its weapon form in your hand.&lt;/h5&gt;&lt;/div&gt;</t>
  </si>
  <si>
    <t>Create a quasi-real masterwork weapon.</t>
  </si>
  <si>
    <t>Add your tier to your caster level when determining what enhancement bonus or weapon special abilities the weapon can have. The weapon deals half damage to creatures that disbelieve in it and to objects, instead of only 1 point. You can spend a swift action to transform the weapon into a dull black metal ring on your finger, or to return it from its ring form to its weapon form in your hand.</t>
  </si>
  <si>
    <t>Shard of Chaos</t>
  </si>
  <si>
    <t>chaos</t>
  </si>
  <si>
    <t>dart-shaped projectile of chaotic energy</t>
  </si>
  <si>
    <t>instantaneous (1d6 rounds)</t>
  </si>
  <si>
    <t>You hurl a multicolored shard of congealed chaos from your holy symbol, affecting any one target in range as a ranged touch attack. A lawful creature struck by the shard takes 1d8 points of damage per two caster levels (maximum 5d8). A lawful outsider instead takes 1d6 points of damage per caster level (maximum 10d6) and is slowed (as slow) for 1 round. A successful Will save reduces the damage to half and negates the slow effect. The bolt has no effect on chaotic creatures. This spell deals only half damage to creatures that are neither lawful nor chaotic, and they are not slowed.</t>
  </si>
  <si>
    <t>&lt;p&gt;You hurl a multicolored shard of congealed chaos from your holy symbol, affecting any one target in range as a ranged touch attack.&lt;/p&gt;&lt;p&gt;A lawful creature struck by the shard takes 1d8 points of damage per two caster levels (maximum 5d8). A lawful outsider instead takes 1d6 points of damage per caster level (maximum 10d6) and is slowed (as slow) for 1 round. A successful Will save reduces the damage to half and negates the slow effect. The bolt has no effect on chaotic creatures. This spell deals only half damage to creatures that are neither lawful nor chaotic, and they are not slowed.&lt;/p&gt;</t>
  </si>
  <si>
    <t>&lt;link rel="stylesheet"href="PF.css"&gt;&lt;div class="heading"&gt;&lt;p class="alignleft"&gt;Shard of Chaos&lt;/p&gt;&lt;div style="clear: both;"&gt;&lt;/div&gt;&lt;/div&gt;&lt;div&gt;&lt;h5&gt;&lt;b&gt;School &lt;/b&gt;evocation [chaos]; &lt;b&gt;Level &lt;/b&gt;cleric 2/oracle 2&lt;/h5&gt;&lt;/div&gt;&lt;hr/&gt;&lt;div&gt;&lt;h5&gt;&lt;b&gt;CASTING&lt;/b&gt;&lt;/h5&gt;&lt;/div&gt;&lt;hr/&gt;&lt;div&gt;&lt;h5&gt;&lt;b&gt;Casting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levels)&lt;/h5&gt;&lt;h5&gt;&lt;b&gt;Effect &lt;/b&gt;dart-shaped projectile of chaotic energy&lt;/h5&gt;&lt;h5&gt;&lt;b&gt;Duration &lt;/b&gt;instantaneous (1d6 rounds)&lt;/h5&gt;&lt;h5&gt;&lt;b&gt;Saving Throw &lt;/b&gt;Will partial (see text); &lt;b&gt;Spell Resistance &lt;/b&gt;yes&lt;/h5&gt;&lt;/div&gt;&lt;hr/&gt;&lt;div&gt;&lt;h5&gt;&lt;b&gt;DESCRIPTION&lt;/b&gt;&lt;/h5&gt;&lt;/div&gt;&lt;hr/&gt;&lt;div&gt;&lt;h4&gt;&lt;p&gt;You hurl a multicolored shard of congealed chaos from your holy symbol, affecting any one target in range as a ranged touch attack.&lt;/p&gt;&lt;p&gt;A lawful creature struck by the shard takes 1d8 points of damage per two caster levels (maximum 5d8). A lawful outsider instead takes 1d6 points of damage per caster level (maximum 10d6) and is slowed (as slow) for 1 round. A successful Will save reduces the damage to half and negates the slow effect. The bolt has no effect on chaotic creatures. This spell deals only half damage to creatures that are neither lawful nor chaotic, and they are not slowed.&lt;/p&gt;&lt;/h4&gt;&lt;/div&gt;</t>
  </si>
  <si>
    <t>Harm and possibly slow lawful creatures.</t>
  </si>
  <si>
    <t>Share Memory</t>
  </si>
  <si>
    <t>you and one creature touched</t>
  </si>
  <si>
    <t>You momentarily link your mind with the target and share a single memory of no longer than 1 minute. You can show the target one of your memories, show the target one of its own memories, or view one of the target's memories.</t>
  </si>
  <si>
    <t>&lt;p&gt;You momentarily link your mind with the target and share a single memory of no longer than 1 minute. You can show the target one of your memories, show the target one of its own memories, or view one of the target's memories.&lt;/p&gt;</t>
  </si>
  <si>
    <t>&lt;link rel="stylesheet"href="PF.css"&gt;&lt;div class="heading"&gt;&lt;p class="alignleft"&gt;Share Memory&lt;/p&gt;&lt;div style="clear: both;"&gt;&lt;/div&gt;&lt;/div&gt;&lt;div&gt;&lt;h5&gt;&lt;b&gt;School &lt;/b&gt;divination; &lt;b&gt;Level &lt;/b&gt;bard 2, sorcerer/wizard 2, witch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&lt;/b&gt;you and one creature touched&lt;/h5&gt;&lt;h5&gt;&lt;b&gt;Duration &lt;/b&gt;instantaneous&lt;/h5&gt;&lt;h5&gt;&lt;b&gt;Saving Throw &lt;/b&gt;Will negates; &lt;b&gt;Spell Resistance &lt;/b&gt;yes&lt;/h5&gt;&lt;/div&gt;&lt;hr/&gt;&lt;div&gt;&lt;h5&gt;&lt;b&gt;DESCRIPTION&lt;/b&gt;&lt;/h5&gt;&lt;/div&gt;&lt;hr/&gt;&lt;div&gt;&lt;h4&gt;&lt;p&gt;You momentarily link your mind with the target and share a single memory of no longer than 1 minute. You can show the target one of your memories, show the target one of its own memories, or view one of the target's memories.&lt;/p&gt;&lt;/h4&gt;&lt;/div&gt;</t>
  </si>
  <si>
    <t>Share one memory with the target.</t>
  </si>
  <si>
    <t>Simulacrum, Lesser</t>
  </si>
  <si>
    <t>V, S, M (an ice sculpture of the target plus powdered rubies worth 50 gp per HD of the simulacrum)</t>
  </si>
  <si>
    <t>This spell functions as simulacrum, except you can't create a simulacrum of a creature whose HD or levels exceed your caster level, and it has no magical abilities. The creature is not under your control, though it recognizes you are its creator.</t>
  </si>
  <si>
    <t>&lt;p&gt;This spell functions as &lt;i&gt;simulacrum&lt;/i&gt;, except you can't create a &lt;i&gt;simulacrum&lt;/i&gt; of a creature whose HD or levels exceed your caster level, and it has no magical abilities. The creature is not under your control, though it recognizes you are its creator.&lt;/p&gt;</t>
  </si>
  <si>
    <t>&lt;link rel="stylesheet"href="PF.css"&gt;&lt;div class="heading"&gt;&lt;p class="alignleft"&gt;Simulacrum, Lesser&lt;/p&gt;&lt;div style="clear: both;"&gt;&lt;/div&gt;&lt;/div&gt;&lt;div&gt;&lt;h5&gt;&lt;b&gt;School &lt;/b&gt;illusion (shadow); &lt;b&gt;Level &lt;/b&gt;sorcerer/wizard 4&lt;/h5&gt;&lt;/div&gt;&lt;hr/&gt;&lt;div&gt;&lt;h5&gt;&lt;b&gt;CASTING&lt;/b&gt;&lt;/h5&gt;&lt;/div&gt;&lt;hr/&gt;&lt;div&gt;&lt;h5&gt;&lt;b&gt;Casting Time &lt;/b&gt;1 hour&lt;/h5&gt;&lt;h5&gt;&lt;b&gt;Components &lt;/b&gt;V, S, M (an ice sculpture of the target plus powdered rubies worth 50 gp per HD of the simulacrum)&lt;/h5&gt;&lt;/div&gt;&lt;hr/&gt;&lt;div&gt;&lt;h5&gt;&lt;b&gt;EFFECT&lt;/b&gt;&lt;/h5&gt;&lt;/div&gt;&lt;hr/&gt;&lt;div&gt;&lt;h5&gt;&lt;b&gt;Range &lt;/b&gt;0 ft.&lt;/h5&gt;&lt;h5&gt;&lt;b&gt;Effect &lt;/b&gt;one duplicate creature&lt;/h5&gt;&lt;h5&gt;&lt;b&gt;Duration &lt;/b&gt;1 hour/level&lt;/h5&gt;&lt;h5&gt;&lt;b&gt;Saving Throw &lt;/b&gt;none; &lt;b&gt;Spell Resistance &lt;/b&gt;no&lt;/h5&gt;&lt;/div&gt;&lt;hr/&gt;&lt;div&gt;&lt;h5&gt;&lt;b&gt;DESCRIPTION&lt;/b&gt;&lt;/h5&gt;&lt;/div&gt;&lt;hr/&gt;&lt;div&gt;&lt;h4&gt;&lt;p&gt;This spell functions as &lt;i&gt;simulacrum&lt;/i&gt;, except you can't create a &lt;i&gt;simulacrum&lt;/i&gt; of a creature whose HD or levels exceed your caster level, and it has no magical abilities. The creature is not under your control, though it recognizes you are its creator.&lt;/p&gt;&lt;/h4&gt;&lt;/div&gt;</t>
  </si>
  <si>
    <t>Creates a double of a weak creature.</t>
  </si>
  <si>
    <t>Skinsend</t>
  </si>
  <si>
    <t>alchemist 2, sorcerer/wizard 2, witch 2</t>
  </si>
  <si>
    <t>You cause your own skin to peel off your body and animate as a magical creature you control. You may project your consciousness to your animated skin or return it to your actual body as a standard action. When your consciousness is in your body, you are helpless (except for transferring your will to your skin, or dismissing the spell). Your possessed skin is identical to you in all ways, except the following: It has only half the number of hit points you had at the time you cast the spell, and cannot be healed above this maximum; construct type, traits, and immunities; Str 3, Con -; DR 10/piercing or slashing; and compression (as the universal monster ability, Bestiary 2 295). Your skin can take any actions you could normally take in your own body (such as to fight or cast spells). When your skin leaves your body, your body's hit points drop to 0. Your body cannot heal damage naturally while you have no skin, nor do spells that cure hit point damage work on your body; only regeneration (from a regenerate spell, ring of regeneration, the regeneration monster ability, or any other effect that can regrow missing limbs) or heal can regrow your skin and allow you heal above 0 hit points. If your body is regenerated before your skin returns to it, the skin dies and your consciousness returns automatically to your body. Your skin can be preserved with gentle repose and is suitable for any purpose that requires some of your flesh (such as a resurrection spell) or any magic or ritual that requires a creature's skin. When your skin returns to your body, you regain hit points equal to your skin's remaining hit points. If the spell ends before you reunite with your skin or if your skin is killed while you are in your body, you remain helpless and at 0 hit points until your full body is restored to you (requiring powerful magic, as described above). If your body dies while you are possessing your skin, you die when the spell ends, regardless of how many hit points the skin has left. If your body or skin is slain with your consciousness in it, the spell ends and you are instantly killed. This spell leaves long scars on your skin where it split apart, although these fade normally with the use of healing magic.</t>
  </si>
  <si>
    <t>&lt;p&gt;You cause your own skin to peel off your body and animate as a magical creature you control. You may project your consciousness to your animated skin or return it to your actual body as a standard action. When your consciousness is in your body, you are helpless (except for transferring your will to your skin, or dismissing the spell).&lt;/p&gt;&lt;p&gt;Your possessed skin is identical to you in all ways, except the following: It has only half the number of hit points you had at the time you cast the spell, and cannot be &lt;i&gt;heal&lt;/i&gt;ed above this maximum; construct type, traits, and immunities; Str 3, Con -; DR 10/piercing or slashing; and compression (as the universal monster ability, &lt;i&gt;Bestiary&lt;/i&gt; 2 295). Your skin can take any actions you could normally take in your own body (such as to fight or cast spells).&lt;/p&gt;&lt;p&gt;When your skin leaves your body, your body's hit points drop to 0. Your body cannot &lt;i&gt;heal&lt;/i&gt; damage naturally while you have no skin, nor do spells that cure hit point damage work on your body; only regeneration (from a &lt;i&gt;regenerate&lt;/i&gt; spell, &lt;i&gt;ring of regeneration&lt;/i&gt;, the regeneration monster ability, or any other effect that can regrow missing limbs) or &lt;i&gt;heal&lt;/i&gt; can regrow your skin and allow you &lt;i&gt;heal&lt;/i&gt; above 0 hit points.&lt;/p&gt;&lt;p&gt;If your body is &lt;i&gt;regenerate&lt;/i&gt;d before your skin returns to it, the skin dies and your consciousness returns automatically to your body. Your skin can be preserved with &lt;i&gt;gentle repose&lt;/i&gt; and is suitable for any purpose that requires some of your flesh (such as a &lt;i&gt;resurrection&lt;/i&gt; spell) or any magic or ritual that requires a creature's skin.&lt;/p&gt;&lt;p&gt;When your skin returns to your body, you regain hit points equal to your skin's remaining hit points. If the spell ends before you reunite with your skin or if your skin is killed while you are in your body, you remain helpless and at 0 hit points until your full body is restored to you (requiring powerful magic, as described above). If your body dies while you are possessing your skin, you die when the spell ends, regardless of how many hit points the skin has left. If your body or skin is slain with your consciousness in it, the spell ends and you are instantly killed.&lt;/p&gt;&lt;p&gt;This spell leaves long scars on your skin where it split apart, although these fade normally with the use of &lt;i&gt;heal&lt;/i&gt;ing magic.&lt;/p&gt;</t>
  </si>
  <si>
    <t>&lt;link rel="stylesheet"href="PF.css"&gt;&lt;div class="heading"&gt;&lt;p class="alignleft"&gt;Skinsend&lt;/p&gt;&lt;div style="clear: both;"&gt;&lt;/div&gt;&lt;/div&gt;&lt;div&gt;&lt;h5&gt;&lt;b&gt;School &lt;/b&gt;necromancy; &lt;b&gt;Level &lt;/b&gt;alchemist 2, sorcerer/wizard 2, witch 2&lt;/h5&gt;&lt;/div&gt;&lt;hr/&gt;&lt;div&gt;&lt;h5&gt;&lt;b&gt;CASTING&lt;/b&gt;&lt;/h5&gt;&lt;/div&gt;&lt;hr/&gt;&lt;div&gt;&lt;h5&gt;&lt;b&gt;Casting Time &lt;/b&gt;1 minute&lt;/h5&gt;&lt;h5&gt;&lt;b&gt;Components &lt;/b&gt;V, S&lt;/h5&gt;&lt;/div&gt;&lt;hr/&gt;&lt;div&gt;&lt;h5&gt;&lt;b&gt;EFFECT&lt;/b&gt;&lt;/h5&gt;&lt;/div&gt;&lt;hr/&gt;&lt;div&gt;&lt;h5&gt;&lt;b&gt;Range &lt;/b&gt;personal&lt;/h5&gt;&lt;h5&gt;&lt;b&gt;Targets &lt;/b&gt;you&lt;/h5&gt;&lt;h5&gt;&lt;b&gt;Duration &lt;/b&gt;1 hour/level (D)&lt;/h5&gt;&lt;/div&gt;&lt;hr/&gt;&lt;div&gt;&lt;h5&gt;&lt;b&gt;DESCRIPTION&lt;/b&gt;&lt;/h5&gt;&lt;/div&gt;&lt;hr/&gt;&lt;div&gt;&lt;h4&gt;&lt;p&gt;You cause your own skin to peel off your body and animate as a magical creature you control. You may project your consciousness to your animated skin or return it to your actual body as a standard action. When your consciousness is in your body, you are helpless (except for transferring your will to your skin, or dismissing the spell).&lt;/p&gt;&lt;p&gt;Your possessed skin is identical to you in all ways, except the following: It has only half the number of hit points you had at the time you cast the spell, and cannot be &lt;i&gt;heal&lt;/i&gt;ed above this maximum; construct type, traits, and immunities; Str 3, Con -; DR 10/piercing or slashing; and compression (as the universal monster ability, &lt;i&gt;Bestiary&lt;/i&gt; 2 295). Your skin can take any actions you could normally take in your own body (such as to fight or cast spells).&lt;/p&gt;&lt;p&gt;When your skin leaves your body, your body's hit points drop to 0. Your body cannot &lt;i&gt;heal&lt;/i&gt; damage naturally while you have no skin, nor do spells that cure hit point damage work on your body; only regeneration (from a &lt;i&gt;regenerate&lt;/i&gt; spell, &lt;i&gt;ring of regeneration&lt;/i&gt;, the regeneration monster ability, or any other effect that can regrow missing limbs) or &lt;i&gt;heal&lt;/i&gt; can regrow your skin and allow you &lt;i&gt;heal&lt;/i&gt; above 0 hit points.&lt;/p&gt;&lt;p&gt;If your body is &lt;i&gt;regenerate&lt;/i&gt;d before your skin returns to it, the skin dies and your consciousness returns automatically to your body. Your skin can be preserved with &lt;i&gt;gentle repose&lt;/i&gt; and is suitable for any purpose that requires some of your flesh (such as a &lt;i&gt;resurrection&lt;/i&gt; spell) or any magic or ritual that requires a creature's skin.&lt;/p&gt;&lt;p&gt;When your skin returns to your body, you regain hit points equal to your skin's remaining hit points. If the spell ends before you reunite with your skin or if your skin is killed while you are in your body, you remain helpless and at 0 hit points until your full body is restored to you (requiring powerful magic, as described above). If your body dies while you are possessing your skin, you die when the spell ends, regardless of how many hit points the skin has left. If your body or skin is slain with your consciousness in it, the spell ends and you are instantly killed.&lt;/p&gt;&lt;p&gt;This spell leaves long scars on your skin where it split apart, although these fade normally with the use of &lt;i&gt;heal&lt;/i&gt;ing magic.&lt;/p&gt;&lt;/h4&gt;&lt;/div&gt;</t>
  </si>
  <si>
    <t>Animate and possess your own skin as if it were a separate creature.</t>
  </si>
  <si>
    <t>Smug Narcissism</t>
  </si>
  <si>
    <t>V, S, M (a tiny shard of a mirror)</t>
  </si>
  <si>
    <t>You cause your target to become overwhelmed by its own importance, talents, and attractiveness. The target cannot help but look at itself in every reflective surface at every possible opportunity. In social situations, the target always tries to comment about how attractive it is or how ugly someone else is by comparison. The target remains constantly distracted, always looking for a reflective surface to gaze upon (such as a mirror, pool of water, a polished shield, and so on). The distraction gives the target a -2 penalty on all skill checks. In combat, the target worries about enemies damaging its appearance, and focuses on defense rather than offense (casting defensive spells rather than offensive spells, using the fight defensively or total defense action, and so on).</t>
  </si>
  <si>
    <t>&lt;p&gt;You cause your target to become overwhelmed by its own importance, talents, and attractiveness. The target cannot help but look at itself in every reflective surface at every possible opportunity. In social situations, the target always tries to comment about how attractive it is or how ugly someone else is by comparison. The target remains constantly distracted, always looking for a reflective surface to gaze upon (such as a mirror, pool of water, a polished shield, and so on). The distraction gives the target a -2 penalty on all skill checks. In combat, the target worries about enemies damaging its appearance, and focuses on defense rather than offense (casting defensive spells rather than offensive spells, using the fight defensively or total defense action, and so on).&lt;/p&gt;</t>
  </si>
  <si>
    <t>&lt;link rel="stylesheet"href="PF.css"&gt;&lt;div class="heading"&gt;&lt;p class="alignleft"&gt;Smug Narcissism&lt;/p&gt;&lt;div style="clear: both;"&gt;&lt;/div&gt;&lt;/div&gt;&lt;div&gt;&lt;h5&gt;&lt;b&gt;School &lt;/b&gt;enchantment (compulsion) [emotion, mind-affecting]; &lt;b&gt;Level &lt;/b&gt;bard 3, sorcerer/wizard 5, witch 5&lt;/h5&gt;&lt;/div&gt;&lt;hr/&gt;&lt;div&gt;&lt;h5&gt;&lt;b&gt;CASTING&lt;/b&gt;&lt;/h5&gt;&lt;/div&gt;&lt;hr/&gt;&lt;div&gt;&lt;h5&gt;&lt;b&gt;Casting Time &lt;/b&gt;1 standard action&lt;/h5&gt;&lt;h5&gt;&lt;b&gt;Components &lt;/b&gt;V, S, M (a tiny shard of a mirror)&lt;/h5&gt;&lt;/div&gt;&lt;hr/&gt;&lt;div&gt;&lt;h5&gt;&lt;b&gt;EFFECT&lt;/b&gt;&lt;/h5&gt;&lt;/div&gt;&lt;hr/&gt;&lt;div&gt;&lt;h5&gt;&lt;b&gt;Range &lt;/b&gt;close (25 ft. + 5 ft./2 levels)&lt;/h5&gt;&lt;h5&gt;&lt;b&gt;Targets &lt;/b&gt;one creature&lt;/h5&gt;&lt;h5&gt;&lt;b&gt;Duration &lt;/b&gt;10 minute/level (D)&lt;/h5&gt;&lt;h5&gt;&lt;b&gt;Saving Throw &lt;/b&gt;Will negates; &lt;b&gt;Spell Resistance &lt;/b&gt;yes&lt;/h5&gt;&lt;/div&gt;&lt;hr/&gt;&lt;div&gt;&lt;h5&gt;&lt;b&gt;DESCRIPTION&lt;/b&gt;&lt;/h5&gt;&lt;/div&gt;&lt;hr/&gt;&lt;div&gt;&lt;h4&gt;&lt;p&gt;You cause your target to become overwhelmed by its own importance, talents, and attractiveness. The target cannot help but look at itself in every reflective surface at every possible opportunity. In social situations, the target always tries to comment about how attractive it is or how ugly someone else is by comparison. The target remains constantly distracted, always looking for a reflective surface to gaze upon (such as a mirror, pool of water, a polished shield, and so on). The distraction gives the target a -2 penalty on all skill checks. In combat, the target worries about enemies damaging its appearance, and focuses on defense rather than offense (casting defensive spells rather than offensive spells, using the fight defensively or total defense action, and so on).&lt;/p&gt;&lt;/h4&gt;&lt;/div&gt;</t>
  </si>
  <si>
    <t>Target is distracted by its sense of self.</t>
  </si>
  <si>
    <t>Snapdragon Fireworks</t>
  </si>
  <si>
    <t>bard 2, sorcerer/wizard 1</t>
  </si>
  <si>
    <t>S, V, M (a bundle of sulfur wrapped in cloth)</t>
  </si>
  <si>
    <t>dragon-shaped fireworks</t>
  </si>
  <si>
    <t>A favorite display at halfling midsummer festivals, this spell lets you create fireworks in the shape of tiny dragons. Once per round, as a move action, you may designate a target 5-foot-square within range and launch a pyrotechnic in that direction. The pyrotechnic takes a zigzag path from you to that square, always missing creatures and objects in its path, and detonates in that square with a bang and a colorful burst of fire and light. Creatures in the target square take 1d4 points of fire damage and are dazzled for 1 round (Reflex half, a successful save negates the dazzled condition). Normally when this spell is used as part of a festival, the chosen target is high in the sky to increase visibility and protect observers.</t>
  </si>
  <si>
    <t>&lt;p&gt;A favorite display at halfling midsummer festivals, this spell lets you create fireworks in the shape of tiny dragons.&lt;/p&gt;&lt;p&gt;Once per round, as a move action, you may designate a target 5-foot-square within range and launch a pyrotechnic in that direction. The pyrotechnic takes a zigzag path from you to that square, always missing creatures and objects in its path, and detonates in that square with a bang and a colorful burst of fire and light. Creatures in the target square take 1d4 points of fire damage and are dazzled for 1 round (Reflex half, a successful save negates the dazzled condition).&lt;/p&gt;&lt;p&gt;Normally when this spell is used as part of a festival, the chosen target is high in the sky to increase visibility and protect observers.&lt;/p&gt;</t>
  </si>
  <si>
    <t>&lt;link rel="stylesheet"href="PF.css"&gt;&lt;div class="heading"&gt;&lt;p class="alignleft"&gt;Snapdragon Fireworks&lt;/p&gt;&lt;div style="clear: both;"&gt;&lt;/div&gt;&lt;/div&gt;&lt;div&gt;&lt;h5&gt;&lt;b&gt;School &lt;/b&gt;transmutation [fire, light]; &lt;b&gt;Level &lt;/b&gt;bard 2, sorcerer/wizard 1&lt;/h5&gt;&lt;/div&gt;&lt;hr/&gt;&lt;div&gt;&lt;h5&gt;&lt;b&gt;CASTING&lt;/b&gt;&lt;/h5&gt;&lt;/div&gt;&lt;hr/&gt;&lt;div&gt;&lt;h5&gt;&lt;b&gt;Casting Time &lt;/b&gt;1 standard action&lt;/h5&gt;&lt;h5&gt;&lt;b&gt;Components &lt;/b&gt;S, V, M (a bundle of sulfur wrapped in cloth)&lt;/h5&gt;&lt;/div&gt;&lt;hr/&gt;&lt;div&gt;&lt;h5&gt;&lt;b&gt;EFFECT&lt;/b&gt;&lt;/h5&gt;&lt;/div&gt;&lt;hr/&gt;&lt;div&gt;&lt;h5&gt;&lt;b&gt;Range &lt;/b&gt;long (400 ft. + 40 ft./level)&lt;/h5&gt;&lt;h5&gt;&lt;b&gt;Effect &lt;/b&gt;dragon-shaped fireworks&lt;/h5&gt;&lt;h5&gt;&lt;b&gt;Duration &lt;/b&gt;1 round/level&lt;/h5&gt;&lt;h5&gt;&lt;b&gt;Saving Throw &lt;/b&gt;Reflex negates; &lt;b&gt;Spell Resistance &lt;/b&gt;yes&lt;/h5&gt;&lt;/div&gt;&lt;hr/&gt;&lt;div&gt;&lt;h5&gt;&lt;b&gt;DESCRIPTION&lt;/b&gt;&lt;/h5&gt;&lt;/div&gt;&lt;hr/&gt;&lt;div&gt;&lt;h4&gt;&lt;p&gt;A favorite display at halfling midsummer festivals, this spell lets you create fireworks in the shape of tiny dragons.&lt;/p&gt;&lt;p&gt;Once per round, as a move action, you may designate a target 5-foot-square within range and launch a pyrotechnic in that direction. The pyrotechnic takes a zigzag path from you to that square, always missing creatures and objects in its path, and detonates in that square with a bang and a colorful burst of fire and light. Creatures in the target square take 1d4 points of fire damage and are dazzled for 1 round (Reflex half, a successful save negates the dazzled condition).&lt;/p&gt;&lt;p&gt;Normally when this spell is used as part of a festival, the chosen target is high in the sky to increase visibility and protect observers.&lt;/p&gt;&lt;/h4&gt;&lt;/div&gt;</t>
  </si>
  <si>
    <t>Create 1 dragon firework/level.</t>
  </si>
  <si>
    <t>Sonic Thrust</t>
  </si>
  <si>
    <t>bard 4, sorcerer/wizard 5</t>
  </si>
  <si>
    <t>Will negates (object) or none (see text)</t>
  </si>
  <si>
    <t>yes (object) (see text)</t>
  </si>
  <si>
    <t>You produce a sweeping rush of sound that can hurl creatures or objects away from you, like the violent thrust version of telekinesis. You can hurl one object or creature per caster level (maximum 15) that is within range; it flies in a straight line away from you. Any objects of creatures thrown must be within 10 feet of each other. You can hurl a total weight of up to 25 pounds per caster level (maximum 375 pounds at 15th level). You can use this spell to hurl an object or creature toward a particular target. You must succeed on attack rolls (one per creature or object thrown) to hit the target with the items, using your base attack bonus + your Intelligence modifier (if a wizard) or Charisma modifier (if a bard or sorcerer). Hurled weapons cause standard damage (with no Strength bonus; note that arrows or bolts deal damage as daggers of their size when used in this manner). Other objects cause damage ranging from 1 point per 25 pounds (for less dangerous objects) to 1d6 points of damage per 25 pounds (for hard, dense objects). Objects and creatures that miss their target land in a square adjacent to the target. Creatures that fall within the weight capacity of the spell can be hurled, but they are allowed Will saves (and spell resistance) to negate the effect, as are those whose held possessions are targeted by the spell. If a hurled creature is thrown against a solid surface, it takes damage as if it had fallen 10 feet (1d6 points).</t>
  </si>
  <si>
    <t>&lt;p&gt;You produce a sweeping rush of sound that can hurl creatures or objects away from you, like the violent thrust version of &lt;i&gt;telekinesis&lt;/i&gt;. You can hurl one object or creature per caster level (maximum 15) that is within range; it flies in a straight line away from you. Any objects of creatures thrown must be within 10 feet of each other. You can hurl a total weight of up to 25 pounds per caster level (maximum 375 pounds at 15th level).&lt;/p&gt;&lt;p&gt;You can use this spell to hurl an object or creature toward a particular target. You must succeed on attack rolls (one per creature or object thrown) to hit the target with the items, using your base attack bonus + your Intelligence modifier (if a wizard) or Charisma modifier (if a bard or sorcerer). Hurled weapons cause standard damage (with no Strength bonus; note that arrows or bolts deal damage as daggers of their size when used in this manner). Other objects cause damage ranging from 1 point per 25 pounds (for less dangerous objects) to 1d6 points of damage per 25 pounds (for hard, dense objects). Objects and creatures that miss their target land in a square adjacent to the target.&lt;/p&gt;&lt;p&gt;Creatures that fall within the weight capacity of the spell can be hurled, but they are allowed Will saves (and spell resistance) to negate the effect, as are those whose held possessions are targeted by the spell.&lt;/p&gt;&lt;p&gt;If a hurled creature is thrown against a solid surface, it takes damage as if it had fallen 10 feet (1d6 points).&lt;/p&gt;</t>
  </si>
  <si>
    <t>&lt;link rel="stylesheet"href="PF.css"&gt;&lt;div class="heading"&gt;&lt;p class="alignleft"&gt;Sonic Thrust&lt;/p&gt;&lt;div style="clear: both;"&gt;&lt;/div&gt;&lt;/div&gt;&lt;div&gt;&lt;h5&gt;&lt;b&gt;School &lt;/b&gt;evocation [sonic]; &lt;b&gt;Level &lt;/b&gt;bard 4, sorcerer/wizard 5&lt;/h5&gt;&lt;/div&gt;&lt;hr/&gt;&lt;div&gt;&lt;h5&gt;&lt;b&gt;CASTING&lt;/b&gt;&lt;/h5&gt;&lt;/div&gt;&lt;hr/&gt;&lt;div&gt;&lt;h5&gt;&lt;b&gt;Casting Time &lt;/b&gt;1 standard action&lt;/h5&gt;&lt;h5&gt;&lt;b&gt;Components &lt;/b&gt;V, S&lt;/h5&gt;&lt;/div&gt;&lt;hr/&gt;&lt;div&gt;&lt;h5&gt;&lt;b&gt;EFFECT&lt;/b&gt;&lt;/h5&gt;&lt;/div&gt;&lt;hr/&gt;&lt;div&gt;&lt;h5&gt;&lt;b&gt;Range &lt;/b&gt;long (400 ft. + 40 ft./level)&lt;/h5&gt;&lt;h5&gt;&lt;b&gt;Targets &lt;/b&gt;see text&lt;/h5&gt;&lt;h5&gt;&lt;b&gt;Duration &lt;/b&gt;instantaneous&lt;/h5&gt;&lt;h5&gt;&lt;b&gt;Saving Throw &lt;/b&gt;Will negates (object) or none (see text); &lt;b&gt;Spell Resistance &lt;/b&gt;yes (object) (see text)&lt;/h5&gt;&lt;/div&gt;&lt;hr/&gt;&lt;div&gt;&lt;h5&gt;&lt;b&gt;DESCRIPTION&lt;/b&gt;&lt;/h5&gt;&lt;/div&gt;&lt;hr/&gt;&lt;div&gt;&lt;h4&gt;&lt;p&gt;You produce a sweeping rush of sound that can hurl creatures or objects away from you, like the violent thrust version of &lt;i&gt;telekinesis&lt;/i&gt;. You can hurl one object or creature per caster level (maximum 15) that is within range; it flies in a straight line away from you. Any objects of creatures thrown must be within 10 feet of each other. You can hurl a total weight of up to 25 pounds per caster level (maximum 375 pounds at 15th level).&lt;/p&gt;&lt;p&gt;You can use this spell to hurl an object or creature toward a particular target. You must succeed on attack rolls (one per creature or object thrown) to hit the target with the items, using your base attack bonus + your Intelligence modifier (if a wizard) or Charisma modifier (if a bard or sorcerer). Hurled weapons cause standard damage (with no Strength bonus; note that arrows or bolts deal damage as daggers of their size when used in this manner). Other objects cause damage ranging from 1 point per 25 pounds (for less dangerous objects) to 1d6 points of damage per 25 pounds (for hard, dense objects). Objects and creatures that miss their target land in a square adjacent to the target.&lt;/p&gt;&lt;p&gt;Creatures that fall within the weight capacity of the spell can be hurled, but they are allowed Will saves (and spell resistance) to negate the effect, as are those whose held possessions are targeted by the spell.&lt;/p&gt;&lt;p&gt;If a hurled creature is thrown against a solid surface, it takes damage as if it had fallen 10 feet (1d6 points).&lt;/p&gt;&lt;/h4&gt;&lt;/div&gt;</t>
  </si>
  <si>
    <t>Sound moves targets away from you.</t>
  </si>
  <si>
    <t>Soothe Construct</t>
  </si>
  <si>
    <t>cleric 4/oracle 4, sorcerer/wizard 5</t>
  </si>
  <si>
    <t>You soothe the elemental spirit of a targeted construct, reducing its chance of going berserk by 1d4% per four caster levels (maximum 5d4%). If cast on a construct that has already gone berserk and you are its master, you may immediately roll d% to end the construct's berserk state, it returns to normal functioning, and its berserk chance returns to 0%.</t>
  </si>
  <si>
    <t>&lt;p&gt;You soothe the elemental spirit of a targeted construct, reducing its chance of going berserk by 1d4% per four caster levels (maximum 5d4%). If cast on a construct that has already gone berserk and you are its master, you may immediately roll d% to end the construct's berserk state, it returns to normal functioning, and its berserk chance returns to 0%.&lt;/p&gt;</t>
  </si>
  <si>
    <t>&lt;link rel="stylesheet"href="PF.css"&gt;&lt;div class="heading"&gt;&lt;p class="alignleft"&gt;Soothe Construct&lt;/p&gt;&lt;div style="clear: both;"&gt;&lt;/div&gt;&lt;/div&gt;&lt;div&gt;&lt;h5&gt;&lt;b&gt;School &lt;/b&gt;abjuration; &lt;b&gt;Level &lt;/b&gt;cleric 4/oracle 4, sorcerer/wizard 5&lt;/h5&gt;&lt;/div&gt;&lt;hr/&gt;&lt;div&gt;&lt;h5&gt;&lt;b&gt;CASTING&lt;/b&gt;&lt;/h5&gt;&lt;/div&gt;&lt;hr/&gt;&lt;div&gt;&lt;h5&gt;&lt;b&gt;Casting Time &lt;/b&gt;1 round&lt;/h5&gt;&lt;h5&gt;&lt;b&gt;Components &lt;/b&gt;V, S&lt;/h5&gt;&lt;/div&gt;&lt;hr/&gt;&lt;div&gt;&lt;h5&gt;&lt;b&gt;EFFECT&lt;/b&gt;&lt;/h5&gt;&lt;/div&gt;&lt;hr/&gt;&lt;div&gt;&lt;h5&gt;&lt;b&gt;Range &lt;/b&gt;close (25 ft. + 5 ft./2 levels)&lt;/h5&gt;&lt;h5&gt;&lt;b&gt;Targets &lt;/b&gt;one construct&lt;/h5&gt;&lt;h5&gt;&lt;b&gt;Duration &lt;/b&gt;instantaneous&lt;/h5&gt;&lt;h5&gt;&lt;b&gt;Saving Throw &lt;/b&gt;none; &lt;b&gt;Spell Resistance &lt;/b&gt;no&lt;/h5&gt;&lt;/div&gt;&lt;hr/&gt;&lt;div&gt;&lt;h5&gt;&lt;b&gt;DESCRIPTION&lt;/b&gt;&lt;/h5&gt;&lt;/div&gt;&lt;hr/&gt;&lt;div&gt;&lt;h4&gt;&lt;p&gt;You soothe the elemental spirit of a targeted construct, reducing its chance of going berserk by 1d4% per four caster levels (maximum 5d4%). If cast on a construct that has already gone berserk and you are its master, you may immediately roll d% to end the construct's berserk state, it returns to normal functioning, and its berserk chance returns to 0%.&lt;/p&gt;&lt;/h4&gt;&lt;/div&gt;</t>
  </si>
  <si>
    <t>Reduce the berserk chance of a construct.</t>
  </si>
  <si>
    <t>Spear Of Purity</t>
  </si>
  <si>
    <t>spear-shaped projectile of good energy</t>
  </si>
  <si>
    <t>instantaneous (1 round)</t>
  </si>
  <si>
    <t>You hurl a pure white or golden spear of light from your holy symbol, affecting any one target within range as a ranged touch attack. An evil creature struck by the spear takes 1d8 points of damage per two caster levels (maximum 5d8). An evil outsider instead takes 1d6 points of damage per caster level (maximum 10d6) and is blinded for 1 round. A successful Will save reduces the damage to half and negates the blinded effect. This spell deals only half damage to creatures that are neither evil nor good, and they are not blinded. The spear has no effect on good creatures.</t>
  </si>
  <si>
    <t>&lt;p&gt;You hurl a pure white or golden spear of light from your holy symbol, affecting any one target within range as a ranged touch attack. An evil creature struck by the spear takes 1d8 points of damage per two caster levels (maximum 5d8). An evil outsider instead takes 1d6 points of damage per caster level (maximum 10d6) and is blinded for 1 round. A successful Will save reduces the damage to half and negates the blinded effect. This spell deals only half damage to creatures that are neither evil nor good, and they are not blinded. The spear has no effect on good creatures.&lt;/p&gt;</t>
  </si>
  <si>
    <t>&lt;link rel="stylesheet"href="PF.css"&gt;&lt;div class="heading"&gt;&lt;p class="alignleft"&gt;Spear Of Purity&lt;/p&gt;&lt;div style="clear: both;"&gt;&lt;/div&gt;&lt;/div&gt;&lt;div&gt;&lt;h5&gt;&lt;b&gt;School &lt;/b&gt;evocation [good]; &lt;b&gt;Level &lt;/b&gt;cleric/oracle 2&lt;/h5&gt;&lt;/div&gt;&lt;hr/&gt;&lt;div&gt;&lt;h5&gt;&lt;b&gt;CASTING&lt;/b&gt;&lt;/h5&gt;&lt;/div&gt;&lt;hr/&gt;&lt;div&gt;&lt;h5&gt;&lt;b&gt;Casting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levels)&lt;/h5&gt;&lt;h5&gt;&lt;b&gt;Effect &lt;/b&gt;spear-shaped projectile of good energy&lt;/h5&gt;&lt;h5&gt;&lt;b&gt;Duration &lt;/b&gt;instantaneous (1 round)&lt;/h5&gt;&lt;h5&gt;&lt;b&gt;Saving Throw &lt;/b&gt;Will partial (see text); &lt;b&gt;Spell Resistance &lt;/b&gt;yes&lt;/h5&gt;&lt;/div&gt;&lt;hr/&gt;&lt;div&gt;&lt;h5&gt;&lt;b&gt;DESCRIPTION&lt;/b&gt;&lt;/h5&gt;&lt;/div&gt;&lt;hr/&gt;&lt;div&gt;&lt;h4&gt;&lt;p&gt;You hurl a pure white or golden spear of light from your holy symbol, affecting any one target within range as a ranged touch attack. An evil creature struck by the spear takes 1d8 points of damage per two caster levels (maximum 5d8). An evil outsider instead takes 1d6 points of damage per caster level (maximum 10d6) and is blinded for 1 round. A successful Will save reduces the damage to half and negates the blinded effect. This spell deals only half damage to creatures that are neither evil nor good, and they are not blinded. The spear has no effect on good creatures.&lt;/p&gt;&lt;/h4&gt;&lt;/div&gt;</t>
  </si>
  <si>
    <t>Harm and possibly blind evil creatures.</t>
  </si>
  <si>
    <t>Spit Venom</t>
  </si>
  <si>
    <t>cleric 4/oracle 4, druid 3, witch 3</t>
  </si>
  <si>
    <t>one stream of venom</t>
  </si>
  <si>
    <t>You spit a stream of venom at a target using a ranged touch attack. If the venom hits, it causes blindness for 1 round. The target must also save or be poisoned by black adder venom; the DC in successive rounds of the poison is equal to the spell's DC.</t>
  </si>
  <si>
    <t>&lt;p&gt;You spit a stream of venom at a target using a ranged touch attack. If the venom hits, it causes blindness for 1 round. The target must also save or be poisoned by black adder venom; the DC in successive rounds of the poison is equal to the spell's DC.&lt;/p&gt;</t>
  </si>
  <si>
    <t>&lt;link rel="stylesheet"href="PF.css"&gt;&lt;div class="heading"&gt;&lt;p class="alignleft"&gt;Spit Venom&lt;/p&gt;&lt;div style="clear: both;"&gt;&lt;/div&gt;&lt;/div&gt;&lt;div&gt;&lt;h5&gt;&lt;b&gt;School &lt;/b&gt;transmutation [poison]; &lt;b&gt;Level &lt;/b&gt;cleric 4/oracle 4, druid 3, witch 3&lt;/h5&gt;&lt;/div&gt;&lt;hr/&gt;&lt;div&gt;&lt;h5&gt;&lt;b&gt;CASTING&lt;/b&gt;&lt;/h5&gt;&lt;/div&gt;&lt;hr/&gt;&lt;div&gt;&lt;h5&gt;&lt;b&gt;Casting Time &lt;/b&gt;1 standard action&lt;/h5&gt;&lt;h5&gt;&lt;b&gt;Components &lt;/b&gt;V&lt;/h5&gt;&lt;/div&gt;&lt;hr/&gt;&lt;div&gt;&lt;h5&gt;&lt;b&gt;EFFECT&lt;/b&gt;&lt;/h5&gt;&lt;/div&gt;&lt;hr/&gt;&lt;div&gt;&lt;h5&gt;&lt;b&gt;Range &lt;/b&gt;close (25 ft. + 5 ft./2 levels)&lt;/h5&gt;&lt;h5&gt;&lt;b&gt;Effect &lt;/b&gt;one stream of venom&lt;/h5&gt;&lt;h5&gt;&lt;b&gt;Duration &lt;/b&gt;instantaneous; see text&lt;/h5&gt;&lt;h5&gt;&lt;b&gt;Saving Throw &lt;/b&gt;Fortitude partial; &lt;b&gt;Spell Resistance &lt;/b&gt;no&lt;/h5&gt;&lt;/div&gt;&lt;hr/&gt;&lt;div&gt;&lt;h5&gt;&lt;b&gt;DESCRIPTION&lt;/b&gt;&lt;/h5&gt;&lt;/div&gt;&lt;hr/&gt;&lt;div&gt;&lt;h4&gt;&lt;p&gt;You spit a stream of venom at a target using a ranged touch attack. If the venom hits, it causes blindness for 1 round. The target must also save or be poisoned by black adder venom; the DC in successive rounds of the poison is equal to the spell's DC.&lt;/p&gt;&lt;/h4&gt;&lt;/div&gt;</t>
  </si>
  <si>
    <t>Spit blinding black adder venom.</t>
  </si>
  <si>
    <t>Steal Voice</t>
  </si>
  <si>
    <t>The target's throat constricts, giving it the caster croak spellblight (see page 95).</t>
  </si>
  <si>
    <t>&lt;p&gt;The target's throat constricts, giving it the caster croak spellblight (see page 95).&lt;/p&gt;</t>
  </si>
  <si>
    <t>&lt;link rel="stylesheet"href="PF.css"&gt;&lt;div class="heading"&gt;&lt;p class="alignleft"&gt;Steal Voice&lt;/p&gt;&lt;div style="clear: both;"&gt;&lt;/div&gt;&lt;/div&gt;&lt;div&gt;&lt;h5&gt;&lt;b&gt;School &lt;/b&gt;necromancy; &lt;b&gt;Level &lt;/b&gt;bard 2, sorcerer/wizard 2, witch 2&lt;/h5&gt;&lt;/div&gt;&lt;hr/&gt;&lt;div&gt;&lt;h5&gt;&lt;b&gt;CASTING&lt;/b&gt;&lt;/h5&gt;&lt;/div&gt;&lt;hr/&gt;&lt;div&gt;&lt;h5&gt;&lt;b&gt;Casting Time &lt;/b&gt;1 standard action&lt;/h5&gt;&lt;h5&gt;&lt;b&gt;Components &lt;/b&gt;V&lt;/h5&gt;&lt;/div&gt;&lt;hr/&gt;&lt;div&gt;&lt;h5&gt;&lt;b&gt;EFFECT&lt;/b&gt;&lt;/h5&gt;&lt;/div&gt;&lt;hr/&gt;&lt;div&gt;&lt;h5&gt;&lt;b&gt;Range &lt;/b&gt;medium (100 ft. + 10 ft./level)&lt;/h5&gt;&lt;h5&gt;&lt;b&gt;Targets &lt;/b&gt;one creature&lt;/h5&gt;&lt;h5&gt;&lt;b&gt;Duration &lt;/b&gt;permanent (D)&lt;/h5&gt;&lt;h5&gt;&lt;b&gt;Saving Throw &lt;/b&gt;Fortitude negates; &lt;b&gt;Spell Resistance &lt;/b&gt;yes&lt;/h5&gt;&lt;/div&gt;&lt;hr/&gt;&lt;div&gt;&lt;h5&gt;&lt;b&gt;DESCRIPTION&lt;/b&gt;&lt;/h5&gt;&lt;/div&gt;&lt;hr/&gt;&lt;div&gt;&lt;h4&gt;&lt;p&gt;The target's throat constricts, giving it the caster croak spellblight (see page 95).&lt;/p&gt;&lt;/h4&gt;&lt;/div&gt;</t>
  </si>
  <si>
    <t>Target gains the croaking spellblight.</t>
  </si>
  <si>
    <t>Strangling Hair</t>
  </si>
  <si>
    <t>Your hair animates and extends to grapple and constrict an opponent. Make a grapple check against the target using your caster level as the base attack bonus plus a bonus equal to your Intelligence bonus (if a witch or wizard) or Charisma bonus (if a sorcerer). This grapple check does not provoke attacks of opportunity. If your hair succeeds in grappling a foe, that creature takes 1d6 points of damage or your unarmed strike damage, whichever is greater, and gains the grappled condition. Your hair receives a +5 bonus on grapple checks made against opponents it is already grappling, but cannot move foes or pin foes. Each round that your hair succeeds on a grapple check, it deals an additional 1d6 points of damage. The CMD of your hair, for the purposes of escaping the grapple, is equal to 10 + its CMB. Once you choose a target, your hair continues to attack that target independently of your own actions. You may designate a new target as a move action, which causes your hair to release its current target (if any) and attack the new target that round. Your hair cannot be targeted as a separate creature, but it can be dispelled.</t>
  </si>
  <si>
    <t>&lt;p&gt;Your hair animates and extends to grapple and constrict an opponent. Make a grapple check against the target using your caster level as the base attack bonus plus a bonus equal to your Intelligence bonus (if a witch or wizard) or Charisma bonus (if a sorcerer). This grapple check does not provoke attacks of opportunity. If your hair succeeds in grappling a foe, that creature takes 1d6 points of damage or your unarmed strike damage, whichever is greater, and gains the grappled condition. Your hair receives a +5 bonus on grapple checks made against opponents it is already grappling, but cannot move foes or pin foes. Each round that your hair succeeds on a grapple check, it deals an additional 1d6 points of damage. The CMD of your hair, for the purposes of escaping the grapple, is equal to 10 + its CMB. Once you choose a target, your hair continues to attack that target independently of your own actions. You may designate a new target as a move action, which causes your hair to release its current target (if any) and attack the new target that round. Your hair cannot be targeted as a separate creature, but it can be dispelled.&lt;/p&gt;</t>
  </si>
  <si>
    <t>&lt;link rel="stylesheet"href="PF.css"&gt;&lt;div class="heading"&gt;&lt;p class="alignleft"&gt;Strangling Hair&lt;/p&gt;&lt;div style="clear: both;"&gt;&lt;/div&gt;&lt;/div&gt;&lt;div&gt;&lt;h5&gt;&lt;b&gt;School &lt;/b&gt;transmutation; &lt;b&gt;Level &lt;/b&gt;sorcerer/wizard 3, witch 3&lt;/h5&gt;&lt;/div&gt;&lt;hr/&gt;&lt;div&gt;&lt;h5&gt;&lt;b&gt;CASTING&lt;/b&gt;&lt;/h5&gt;&lt;/div&gt;&lt;hr/&gt;&lt;div&gt;&lt;h5&gt;&lt;b&gt;Casting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&lt;/b&gt;concentration, up to 1 round/level&lt;/h5&gt;&lt;h5&gt;&lt;b&gt;Saving Throw &lt;/b&gt;none; &lt;b&gt;Spell Resistance &lt;/b&gt;yes&lt;/h5&gt;&lt;/div&gt;&lt;hr/&gt;&lt;div&gt;&lt;h5&gt;&lt;b&gt;DESCRIPTION&lt;/b&gt;&lt;/h5&gt;&lt;/div&gt;&lt;hr/&gt;&lt;div&gt;&lt;h4&gt;&lt;p&gt;Your hair animates and extends to grapple and constrict an opponent. Make a grapple check against the target using your caster level as the base attack bonus plus a bonus equal to your Intelligence bonus (if a witch or wizard) or Charisma bonus (if a sorcerer). This grapple check does not provoke attacks of opportunity. If your hair succeeds in grappling a foe, that creature takes 1d6 points of damage or your unarmed strike damage, whichever is greater, and gains the grappled condition. Your hair receives a +5 bonus on grapple checks made against opponents it is already grappling, but cannot move foes or pin foes. Each round that your hair succeeds on a grapple check, it deals an additional 1d6 points of damage. The CMD of your hair, for the purposes of escaping the grapple, is equal to 10 + its CMB. Once you choose a target, your hair continues to attack that target independently of your own actions. You may designate a new target as a move action, which causes your hair to release its current target (if any) and attack the new target that round. Your hair cannot be targeted as a separate creature, but it can be dispelled.&lt;/p&gt;&lt;/h4&gt;&lt;h5&gt;&lt;b&gt;Mythic: &lt;/b&gt;You may use your hair to attempt dirty trick, disarm, steal, or trip combat maneuvers instead of grapple combat maneuvers. Add your tier to combat maneuver checks attempted with your hair and to your hair's damage rolls made as part of a grapple.&lt;/h5&gt;&lt;/div&gt;</t>
  </si>
  <si>
    <t>Your hair animates and grapples.</t>
  </si>
  <si>
    <t>You may use your hair to attempt dirty trick, disarm, steal, or trip combat maneuvers instead of grapple combat maneuvers. Add your tier to combat maneuver checks attempted with your hair and to your hair's damage rolls made as part of a grapple.</t>
  </si>
  <si>
    <t>Summon Elder Worm</t>
  </si>
  <si>
    <t>This spell functions as summon nature's ally VIII, except you summon a purple worm with the giant creature simple template (Bestiary 295).</t>
  </si>
  <si>
    <t>&lt;p&gt;This spell functions as summon nature's ally VIII, except you summon a purple worm with the giant creature simple template (&lt;i&gt;Bestiary&lt;/i&gt; 295).&lt;/p&gt;</t>
  </si>
  <si>
    <t>&lt;link rel="stylesheet"href="PF.css"&gt;&lt;div class="heading"&gt;&lt;p class="alignleft"&gt;Summon Elder Worm&lt;/p&gt;&lt;div style="clear: both;"&gt;&lt;/div&gt;&lt;/div&gt;&lt;div&gt;&lt;h5&gt;&lt;b&gt;School &lt;/b&gt;conjuration (summoning); &lt;b&gt;Level &lt;/b&gt;druid 9&lt;/h5&gt;&lt;/div&gt;&lt;hr/&gt;&lt;div&gt;&lt;h5&gt;&lt;b&gt;CASTING&lt;/b&gt;&lt;/h5&gt;&lt;/div&gt;&lt;hr/&gt;&lt;div&gt;&lt;h5&gt;&lt;b&gt;Casting Time &lt;/b&gt;1 round&lt;/h5&gt;&lt;h5&gt;&lt;b&gt;Components &lt;/b&gt;V, S&lt;/h5&gt;&lt;/div&gt;&lt;hr/&gt;&lt;div&gt;&lt;h5&gt;&lt;b&gt;EFFECT&lt;/b&gt;&lt;/h5&gt;&lt;/div&gt;&lt;hr/&gt;&lt;div&gt;&lt;h5&gt;&lt;b&gt;Range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as summon nature's ally VIII, except you summon a purple worm with the giant creature simple template (&lt;i&gt;Bestiary&lt;/i&gt; 295).&lt;/p&gt;&lt;/h4&gt;&lt;/div&gt;</t>
  </si>
  <si>
    <t>Summon a giant purple worm.</t>
  </si>
  <si>
    <t>Summon Froghemoth</t>
  </si>
  <si>
    <t>This spell functions as summon nature's ally IX, except you summon a froghemoth (Bestiary 136).</t>
  </si>
  <si>
    <t>&lt;p&gt;This spell functions as summon nature's ally IX, except you summon a froghemoth (&lt;i&gt;Bestiary&lt;/i&gt; 136).&lt;/p&gt;</t>
  </si>
  <si>
    <t>&lt;link rel="stylesheet"href="PF.css"&gt;&lt;div class="heading"&gt;&lt;p class="alignleft"&gt;Summon Froghemoth&lt;/p&gt;&lt;div style="clear: both;"&gt;&lt;/div&gt;&lt;/div&gt;&lt;div&gt;&lt;h5&gt;&lt;b&gt;School &lt;/b&gt;conjuration (summoning); &lt;b&gt;Level &lt;/b&gt;druid 9&lt;/h5&gt;&lt;/div&gt;&lt;hr/&gt;&lt;div&gt;&lt;h5&gt;&lt;b&gt;CASTING&lt;/b&gt;&lt;/h5&gt;&lt;/div&gt;&lt;hr/&gt;&lt;div&gt;&lt;h5&gt;&lt;b&gt;Casting Time &lt;/b&gt;1 round&lt;/h5&gt;&lt;h5&gt;&lt;b&gt;Components &lt;/b&gt;V, S&lt;/h5&gt;&lt;/div&gt;&lt;hr/&gt;&lt;div&gt;&lt;h5&gt;&lt;b&gt;EFFECT&lt;/b&gt;&lt;/h5&gt;&lt;/div&gt;&lt;hr/&gt;&lt;div&gt;&lt;h5&gt;&lt;b&gt;Range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as summon nature's ally IX, except you summon a froghemoth (&lt;i&gt;Bestiary&lt;/i&gt; 136).&lt;/p&gt;&lt;/h4&gt;&lt;/div&gt;</t>
  </si>
  <si>
    <t>Summon a froghemoth.</t>
  </si>
  <si>
    <t>Summon Minor Ally</t>
  </si>
  <si>
    <t>1d3 summoned creatures</t>
  </si>
  <si>
    <t>This spell functions as summon nature's ally I, except you can summon 1d3 Tiny or smaller animals, such as bats, lizards, monkeys, rats, ravens, toads, or weasels. The summoned animals must all be the same type of creature.</t>
  </si>
  <si>
    <t>&lt;p&gt;This spell functions as summon nature's ally I, except you can summon 1d3 Tiny or smaller animals, such as bats, lizards, monkeys, rats, ravens, toads, or weasels. The summoned animals must all be the same type of creature.&lt;/p&gt;</t>
  </si>
  <si>
    <t>&lt;link rel="stylesheet"href="PF.css"&gt;&lt;div class="heading"&gt;&lt;p class="alignleft"&gt;Summon Minor Ally&lt;/p&gt;&lt;div style="clear: both;"&gt;&lt;/div&gt;&lt;/div&gt;&lt;div&gt;&lt;h5&gt;&lt;b&gt;School &lt;/b&gt;conjuration (summoning); &lt;b&gt;Level &lt;/b&gt;druid 1, ranger 1&lt;/h5&gt;&lt;/div&gt;&lt;hr/&gt;&lt;div&gt;&lt;h5&gt;&lt;b&gt;CASTING&lt;/b&gt;&lt;/h5&gt;&lt;/div&gt;&lt;hr/&gt;&lt;div&gt;&lt;h5&gt;&lt;b&gt;Casting Time &lt;/b&gt;1 round&lt;/h5&gt;&lt;h5&gt;&lt;b&gt;Components &lt;/b&gt;V, S, DF&lt;/h5&gt;&lt;/div&gt;&lt;hr/&gt;&lt;div&gt;&lt;h5&gt;&lt;b&gt;EFFECT&lt;/b&gt;&lt;/h5&gt;&lt;/div&gt;&lt;hr/&gt;&lt;div&gt;&lt;h5&gt;&lt;b&gt;Range &lt;/b&gt;close (25 ft. + 5 ft./2 levels)&lt;/h5&gt;&lt;h5&gt;&lt;b&gt;Effect &lt;/b&gt;1d3 summoned creatures&lt;/h5&gt;&lt;h5&gt;&lt;b&gt;Duration &lt;/b&gt;1 round/level (D)&lt;/h5&gt;&lt;h5&gt;&lt;b&gt;Saving Throw &lt;/b&gt;none; &lt;b&gt;Spell Resistance &lt;/b&gt;no&lt;/h5&gt;&lt;/div&gt;&lt;hr/&gt;&lt;div&gt;&lt;h5&gt;&lt;b&gt;DESCRIPTION&lt;/b&gt;&lt;/h5&gt;&lt;/div&gt;&lt;hr/&gt;&lt;div&gt;&lt;h4&gt;&lt;p&gt;This spell functions as summon nature's ally I, except you can summon 1d3 Tiny or smaller animals, such as bats, lizards, monkeys, rats, ravens, toads, or weasels. The summoned animals must all be the same type of creature.&lt;/p&gt;&lt;/h4&gt;&lt;/div&gt;</t>
  </si>
  <si>
    <t>Summon 1d3 Tiny animals.</t>
  </si>
  <si>
    <t>Summon Minor Monster</t>
  </si>
  <si>
    <t>antipaladin 1, bard 1, cleric 1/oracle 1, sorcerer/wizard 1, summoner 1, witch 1</t>
  </si>
  <si>
    <t>This spell functions as summon monster I, except you can summon 1d3 Tiny or smaller animals, such as bats, lizards, monkeys, rats, ravens, toads, or weasels. The summoned animals must all be the same type of creature. As with animals summoned with summon monster I, you may apply one alignment-appropriate template to these animals.</t>
  </si>
  <si>
    <t>&lt;p&gt;This spell functions as &lt;i&gt;summon monster I&lt;/i&gt;, except you can summon 1d3 Tiny or smaller animals, such as bats, lizards, monkeys, rats, ravens, toads, or weasels. The summoned animals must all be the same type of creature. As with animals summoned with &lt;i&gt;summon monster I&lt;/i&gt;, you may apply one alignment-appropriate template to these animals.&lt;/p&gt;</t>
  </si>
  <si>
    <t>&lt;link rel="stylesheet"href="PF.css"&gt;&lt;div class="heading"&gt;&lt;p class="alignleft"&gt;Summon Minor Monster&lt;/p&gt;&lt;div style="clear: both;"&gt;&lt;/div&gt;&lt;/div&gt;&lt;div&gt;&lt;h5&gt;&lt;b&gt;School &lt;/b&gt;conjuration (summoning); &lt;b&gt;Level &lt;/b&gt;antipaladin 1, bard 1, cleric 1/oracle 1, sorcerer/wizard 1, summoner 1, witch 1&lt;/h5&gt;&lt;/div&gt;&lt;hr/&gt;&lt;div&gt;&lt;h5&gt;&lt;b&gt;CASTING&lt;/b&gt;&lt;/h5&gt;&lt;/div&gt;&lt;hr/&gt;&lt;div&gt;&lt;h5&gt;&lt;b&gt;Casting Time &lt;/b&gt;1 round&lt;/h5&gt;&lt;h5&gt;&lt;b&gt;Components &lt;/b&gt;V, S, F/DF (a tiny bag and a small candle)&lt;/h5&gt;&lt;/div&gt;&lt;hr/&gt;&lt;div&gt;&lt;h5&gt;&lt;b&gt;EFFECT&lt;/b&gt;&lt;/h5&gt;&lt;/div&gt;&lt;hr/&gt;&lt;div&gt;&lt;h5&gt;&lt;b&gt;Range &lt;/b&gt;close (25 ft. + 5 ft./2 levels)&lt;/h5&gt;&lt;h5&gt;&lt;b&gt;Effect &lt;/b&gt;1d3 summoned creatures&lt;/h5&gt;&lt;h5&gt;&lt;b&gt;Duration &lt;/b&gt;1 round/level (D)&lt;/h5&gt;&lt;h5&gt;&lt;b&gt;Saving Throw &lt;/b&gt;none; &lt;b&gt;Spell Resistance &lt;/b&gt;no&lt;/h5&gt;&lt;/div&gt;&lt;hr/&gt;&lt;div&gt;&lt;h5&gt;&lt;b&gt;DESCRIPTION&lt;/b&gt;&lt;/h5&gt;&lt;/div&gt;&lt;hr/&gt;&lt;div&gt;&lt;h4&gt;&lt;p&gt;This spell functions as &lt;i&gt;summon monster I&lt;/i&gt;, except you can summon 1d3 Tiny or smaller animals, such as bats, lizards, monkeys, rats, ravens, toads, or weasels. The summoned animals must all be the same type of creature. As with animals summoned with &lt;i&gt;summon monster I&lt;/i&gt;, you may apply one alignment-appropriate template to these animals.&lt;/p&gt;&lt;/h4&gt;&lt;/div&gt;</t>
  </si>
  <si>
    <t>Surmount Affliction</t>
  </si>
  <si>
    <t>You temporarily overcome one harmful condition. This does not end the effect causing the condition; it just suspends that condition's effect for the duration of the spell. You can surmount any one of the following conditions: blinded, confused, dazed, dazzled, deafened, fatigued, frightened, paralyzed, shaken, or sickened.</t>
  </si>
  <si>
    <t>&lt;p&gt;You temporarily overcome one harmful condition. This does not end the effect causing the condition; it just suspends that condition's effect for the duration of the spell. You can surmount any one of the following conditions: blinded, confused, dazed, dazzled, deafened, fatigued, frightened, paralyzed, shaken, or sickened.&lt;/p&gt;</t>
  </si>
  <si>
    <t>&lt;link rel="stylesheet"href="PF.css"&gt;&lt;div class="heading"&gt;&lt;p class="alignleft"&gt;Surmount Affliction&lt;/p&gt;&lt;div style="clear: both;"&gt;&lt;/div&gt;&lt;/div&gt;&lt;div&gt;&lt;h5&gt;&lt;b&gt;School &lt;/b&gt;abjuration; &lt;b&gt;Level &lt;/b&gt;cleric/oracle 2, inquisitor 2&lt;/h5&gt;&lt;/div&gt;&lt;hr/&gt;&lt;div&gt;&lt;h5&gt;&lt;b&gt;CASTING&lt;/b&gt;&lt;/h5&gt;&lt;/div&gt;&lt;hr/&gt;&lt;div&gt;&lt;h5&gt;&lt;b&gt;Casting Time &lt;/b&gt;1 standard action&lt;/h5&gt;&lt;h5&gt;&lt;b&gt;Components &lt;/b&gt;V, S&lt;/h5&gt;&lt;/div&gt;&lt;hr/&gt;&lt;div&gt;&lt;h5&gt;&lt;b&gt;EFFECT&lt;/b&gt;&lt;/h5&gt;&lt;/div&gt;&lt;hr/&gt;&lt;div&gt;&lt;h5&gt;&lt;b&gt;Range &lt;/b&gt;you&lt;/h5&gt;&lt;h5&gt;&lt;b&gt;Targets &lt;/b&gt;personal&lt;/h5&gt;&lt;h5&gt;&lt;b&gt;Duration &lt;/b&gt;1 round/level&lt;/h5&gt;&lt;/div&gt;&lt;hr/&gt;&lt;div&gt;&lt;h5&gt;&lt;b&gt;DESCRIPTION&lt;/b&gt;&lt;/h5&gt;&lt;/div&gt;&lt;hr/&gt;&lt;div&gt;&lt;h4&gt;&lt;p&gt;You temporarily overcome one harmful condition. This does not end the effect causing the condition; it just suspends that condition's effect for the duration of the spell. You can surmount any one of the following conditions: blinded, confused, dazed, dazzled, deafened, fatigued, frightened, paralyzed, shaken, or sickened.&lt;/p&gt;&lt;/h4&gt;&lt;h5&gt;&lt;b&gt;Mythic: &lt;/b&gt;You can cast this spell with no verbal or somatic component, and even if you're helpless (but not unconscious). You temporarily overcome a number of additional harmful conditions equal to half your tier.&lt;/h5&gt;&lt;h5&gt;&lt;b&gt;Augmented (7th)&lt;/b&gt;: If you expend three uses of mythic power, you become immune to all afflictions the spell can normally overcome. In addition, you overcome (but do not become immune to) one of the following conditions: exhausted, nauseated, panicked, petrified, staggered, and stunned.&lt;/h5&gt;&lt;/div&gt;</t>
  </si>
  <si>
    <t>Temporarily suppress one condition.</t>
  </si>
  <si>
    <t>You can cast this spell with no verbal or somatic component, and even if you're helpless (but not unconscious). You temporarily overcome a number of additional harmful conditions equal to half your tier.</t>
  </si>
  <si>
    <t>Augmented (7th): If you expend three uses of mythic power, you become immune to all afflictions the spell can normally overcome. In addition, you overcome (but do not become immune to) one of the following conditions: exhausted, nauseated, panicked, petrified, staggered, and stunned.</t>
  </si>
  <si>
    <t>Symbol of Healing</t>
  </si>
  <si>
    <t>cleric 3/oracle 3, paladin 4, witch 4</t>
  </si>
  <si>
    <t>V, S, M (mercury and phosphorous, plus powdered diamond and opal worth a total of 500 gp)</t>
  </si>
  <si>
    <t>Will half (harmless) (see text)</t>
  </si>
  <si>
    <t>yes (harmless) (see text)</t>
  </si>
  <si>
    <t>This spell functions as symbol of death, except all creatures within 60 feet of the symbol of healing instead are bathed in positive energy and heal 2d8 points + 1 point of damage per caster level (maximum +15). Undead and other creatures harmed by positive energy instead take 2d8 points of damage + 1 point per caster level (maximum +15); a Will save reduces this damage by half. A creature can only be healed or harmed by the symbol once in any 24-hour period. Once triggered, the symbol remains active for 10 minutes per caster level. Symbol of healing can be made permanent with a permanency spell by a caster of 10th level or higher for the cost of 10,000 gp.</t>
  </si>
  <si>
    <t>&lt;p&gt;This spell functions as &lt;i&gt;symbol of death&lt;/i&gt;, except all creatures within 60 feet of the &lt;i&gt;symbol of healing&lt;/i&gt; instead are bathed in positive energy and heal 2d8 points + 1 point of damage per caster level (maximum +15). Undead and other creatures harmed by positive energy instead take 2d8 points of damage + 1 point per caster level (maximum +15); a Will save reduces this damage by half. A creature can only be healed or harmed by the symbol once in any 24-hour period. Once triggered, the symbol remains active for 10 minutes per caster level.&lt;/p&gt;&lt;p&gt;&lt;i&gt;Symbol of healing&lt;/i&gt; can be made permanent with a &lt;i&gt;permanency&lt;/i&gt; spell by a caster of 10th level or higher for the cost of 10,000 gp.&lt;/p&gt;</t>
  </si>
  <si>
    <t>&lt;link rel="stylesheet"href="PF.css"&gt;&lt;div class="heading"&gt;&lt;p class="alignleft"&gt;Symbol of Healing&lt;/p&gt;&lt;div style="clear: both;"&gt;&lt;/div&gt;&lt;/div&gt;&lt;div&gt;&lt;h5&gt;&lt;b&gt;School &lt;/b&gt;conjuration (healing); &lt;b&gt;Level &lt;/b&gt;cleric 3/oracle 3, paladin 4, witch 4&lt;/h5&gt;&lt;/div&gt;&lt;hr/&gt;&lt;div&gt;&lt;h5&gt;&lt;b&gt;CASTING&lt;/b&gt;&lt;/h5&gt;&lt;/div&gt;&lt;hr/&gt;&lt;div&gt;&lt;h5&gt;&lt;b&gt;Casting Time &lt;/b&gt;10 minutes&lt;/h5&gt;&lt;h5&gt;&lt;b&gt;Components &lt;/b&gt;V, S, M (mercury and phosphorous, plus powdered diamond and opal worth a total of 500 gp)&lt;/h5&gt;&lt;/div&gt;&lt;hr/&gt;&lt;div&gt;&lt;h5&gt;&lt;b&gt;EFFECT&lt;/b&gt;&lt;/h5&gt;&lt;/div&gt;&lt;hr/&gt;&lt;div&gt;&lt;h5&gt;&lt;b&gt;Range &lt;/b&gt;0 ft.; see text&lt;/h5&gt;&lt;h5&gt;&lt;b&gt;Effect &lt;/b&gt;one symbol&lt;/h5&gt;&lt;h5&gt;&lt;b&gt;Duration &lt;/b&gt;see text&lt;/h5&gt;&lt;h5&gt;&lt;b&gt;Saving Throw &lt;/b&gt;Will half (harmless) (see text); &lt;b&gt;Spell Resistance &lt;/b&gt;yes (harmless) (see text)&lt;/h5&gt;&lt;/div&gt;&lt;hr/&gt;&lt;div&gt;&lt;h5&gt;&lt;b&gt;DESCRIPTION&lt;/b&gt;&lt;/h5&gt;&lt;/div&gt;&lt;hr/&gt;&lt;div&gt;&lt;h4&gt;&lt;p&gt;This spell functions as &lt;i&gt;symbol of death&lt;/i&gt;, except all creatures within 60 feet of the &lt;i&gt;symbol of healing&lt;/i&gt; instead are bathed in positive energy and heal 2d8 points + 1 point of damage per caster level (maximum +15). Undead and other creatures harmed by positive energy instead take 2d8 points of damage + 1 point per caster level (maximum +15); a Will save reduces this damage by half. A creature can only be healed or harmed by the symbol once in any 24-hour period. Once triggered, the symbol remains active for 10 minutes per caster level.&lt;/p&gt;&lt;p&gt;&lt;i&gt;Symbol of healing&lt;/i&gt; can be made permanent with a &lt;i&gt;permanency&lt;/i&gt; spell by a caster of 10th level or higher for the cost of 10,000 gp.&lt;/p&gt;&lt;/h4&gt;&lt;/div&gt;</t>
  </si>
  <si>
    <t>Triggered rune heals living creatures.</t>
  </si>
  <si>
    <t>Symbol of Mirroring</t>
  </si>
  <si>
    <t>V, S, M (mercury and phosphorous, plus powdered diamond and opal worth a total of 100 gp)</t>
  </si>
  <si>
    <t>Will partial (harmless)</t>
  </si>
  <si>
    <t>This spell functions as symbol of death, except it instead creates one illusory duplicate of each creature within 60 feet of the symbol. These duplicates function as mirror image, moving with the original creatures and mimicking their movements, sounds, and actions exactly. If an illusory double is destroyed, a new one appears on the creature's turn. The images last for as long as a creature remains within 60 feet of the symbol, and for 1 round/level thereafter. Once triggered, the symbol remains active for 10 minutes per caster level. Symbol of mirroring can be made permanent with a permanency spell by a caster of 10th level or higher for the cost of 5,000 gp.</t>
  </si>
  <si>
    <t>&lt;p&gt;This spell functions as &lt;i&gt;symbol of death&lt;/i&gt;, except it instead creates one illusory duplicate of each creature within 60 feet of the symbol. These duplicates function as &lt;i&gt;mirror image&lt;/i&gt;, moving with the original creatures and mimicking their movements, sounds, and actions exactly. If an illusory double is destroyed, a new one appears on the creature's turn. The images last for as long as a creature remains within 60 feet of the symbol, and for 1 round/level thereafter. Once triggered, the symbol remains active for 10 minutes per caster level.&lt;/p&gt;&lt;p&gt;&lt;i&gt;Symbol of mirroring&lt;/i&gt; can be made permanent with a &lt;i&gt;permanency&lt;/i&gt; spell by a caster of 10th level or higher for the cost of 5,000 gp.&lt;/p&gt;</t>
  </si>
  <si>
    <t>&lt;link rel="stylesheet"href="PF.css"&gt;&lt;div class="heading"&gt;&lt;p class="alignleft"&gt;Symbol of Mirroring&lt;/p&gt;&lt;div style="clear: both;"&gt;&lt;/div&gt;&lt;/div&gt;&lt;div&gt;&lt;h5&gt;&lt;b&gt;School &lt;/b&gt;illusion (figment); &lt;b&gt;Level &lt;/b&gt;sorcerer/wizard 2, witch 2&lt;/h5&gt;&lt;/div&gt;&lt;hr/&gt;&lt;div&gt;&lt;h5&gt;&lt;b&gt;CASTING&lt;/b&gt;&lt;/h5&gt;&lt;/div&gt;&lt;hr/&gt;&lt;div&gt;&lt;h5&gt;&lt;b&gt;Casting Time &lt;/b&gt;10 minutes&lt;/h5&gt;&lt;h5&gt;&lt;b&gt;Components &lt;/b&gt;V, S, M (mercury and phosphorous, plus powdered diamond and opal worth a total of 100 gp)&lt;/h5&gt;&lt;/div&gt;&lt;hr/&gt;&lt;div&gt;&lt;h5&gt;&lt;b&gt;EFFECT&lt;/b&gt;&lt;/h5&gt;&lt;/div&gt;&lt;hr/&gt;&lt;div&gt;&lt;h5&gt;&lt;b&gt;Range &lt;/b&gt;0 ft.; see text&lt;/h5&gt;&lt;h5&gt;&lt;b&gt;Effect &lt;/b&gt;one symbol&lt;/h5&gt;&lt;h5&gt;&lt;b&gt;Duration &lt;/b&gt;see text&lt;/h5&gt;&lt;h5&gt;&lt;b&gt;Saving Throw &lt;/b&gt;Will partial (harmless); &lt;b&gt;Spell Resistance &lt;/b&gt;yes&lt;/h5&gt;&lt;/div&gt;&lt;hr/&gt;&lt;div&gt;&lt;h5&gt;&lt;b&gt;DESCRIPTION&lt;/b&gt;&lt;/h5&gt;&lt;/div&gt;&lt;hr/&gt;&lt;div&gt;&lt;h4&gt;&lt;p&gt;This spell functions as &lt;i&gt;symbol of death&lt;/i&gt;, except it instead creates one illusory duplicate of each creature within 60 feet of the symbol. These duplicates function as &lt;i&gt;mirror image&lt;/i&gt;, moving with the original creatures and mimicking their movements, sounds, and actions exactly. If an illusory double is destroyed, a new one appears on the creature's turn. The images last for as long as a creature remains within 60 feet of the symbol, and for 1 round/level thereafter. Once triggered, the symbol remains active for 10 minutes per caster level.&lt;/p&gt;&lt;p&gt;&lt;i&gt;Symbol of mirroring&lt;/i&gt; can be made permanent with a &lt;i&gt;permanency&lt;/i&gt; spell by a caster of 10th level or higher for the cost of 5,000 gp.&lt;/p&gt;&lt;/h4&gt;&lt;/div&gt;</t>
  </si>
  <si>
    <t>Triggered rune creates mirror images.</t>
  </si>
  <si>
    <t>Symbol of Revelation</t>
  </si>
  <si>
    <t>cleric 4/oracle 4, sorcerer/wizard 4, witch 4</t>
  </si>
  <si>
    <t>V, S, M (mercury and phosphorous, plus powdered diamond and opal worth a total of 1,000 gp)</t>
  </si>
  <si>
    <t>This spell functions as symbol of death, except it is only activated by invisible creatures, creatures affected by an illusion (glamer) effect, creatures with the shapechanger subtype, or creatures that have magically changed their shape. These creatures are outlined by a pale light that functions like faerie fire, except it lasts for 10 minutes per caster level; the symbol does not otherwise reveal their true form. Once triggered, a symbol of revelation remains active for 10 minutes per caster level. Symbol of revelation can be made permanent with a permanency spell by a caster of 12th level or higher for the cost of 10,000 gp.</t>
  </si>
  <si>
    <t>&lt;p&gt;This spell functions as &lt;i&gt;symbol of death&lt;/i&gt;, except it is only activated by invisible creatures, creatures affected by an illusion (glamer) effect, creatures with the shapechanger subtype, or creatures that have magically changed their shape. These creatures are outlined by a pale light that functions like &lt;i&gt;faerie fire&lt;/i&gt;, except it lasts for 10 minutes per caster level; the symbol does not otherwise reveal their true form. Once triggered, a &lt;i&gt;symbol of revelation&lt;/i&gt; remains active for 10 minutes per caster level.&lt;/p&gt;&lt;p&gt;&lt;i&gt;Symbol of revelation&lt;/i&gt; can be made permanent with a &lt;i&gt;permanency&lt;/i&gt; spell by a caster of 12th level or higher for the cost of 10,000 gp.&lt;/p&gt;</t>
  </si>
  <si>
    <t>&lt;link rel="stylesheet"href="PF.css"&gt;&lt;div class="heading"&gt;&lt;p class="alignleft"&gt;Symbol of Revelation&lt;/p&gt;&lt;div style="clear: both;"&gt;&lt;/div&gt;&lt;/div&gt;&lt;div&gt;&lt;h5&gt;&lt;b&gt;School &lt;/b&gt;divination; &lt;b&gt;Level &lt;/b&gt;cleric 4/oracle 4, sorcerer/wizard 4, witch 4&lt;/h5&gt;&lt;/div&gt;&lt;hr/&gt;&lt;div&gt;&lt;h5&gt;&lt;b&gt;CASTING&lt;/b&gt;&lt;/h5&gt;&lt;/div&gt;&lt;hr/&gt;&lt;div&gt;&lt;h5&gt;&lt;b&gt;Casting Time &lt;/b&gt;10 minutes&lt;/h5&gt;&lt;h5&gt;&lt;b&gt;Components &lt;/b&gt;V, S, M (mercury and phosphorous, plus powdered diamond and opal worth a total of 1,000 gp)&lt;/h5&gt;&lt;/div&gt;&lt;hr/&gt;&lt;div&gt;&lt;h5&gt;&lt;b&gt;EFFECT&lt;/b&gt;&lt;/h5&gt;&lt;/div&gt;&lt;hr/&gt;&lt;div&gt;&lt;h5&gt;&lt;b&gt;Range &lt;/b&gt;0 ft.; see text&lt;/h5&gt;&lt;h5&gt;&lt;b&gt;Effect &lt;/b&gt;one symbol&lt;/h5&gt;&lt;h5&gt;&lt;b&gt;Duration &lt;/b&gt;see text&lt;/h5&gt;&lt;h5&gt;&lt;b&gt;Saving Throw &lt;/b&gt;none; &lt;b&gt;Spell Resistance &lt;/b&gt;yes&lt;/h5&gt;&lt;/div&gt;&lt;hr/&gt;&lt;div&gt;&lt;h5&gt;&lt;b&gt;DESCRIPTION&lt;/b&gt;&lt;/h5&gt;&lt;/div&gt;&lt;hr/&gt;&lt;div&gt;&lt;h4&gt;&lt;p&gt;This spell functions as &lt;i&gt;symbol of death&lt;/i&gt;, except it is only activated by invisible creatures, creatures affected by an illusion (glamer) effect, creatures with the shapechanger subtype, or creatures that have magically changed their shape. These creatures are outlined by a pale light that functions like &lt;i&gt;faerie fire&lt;/i&gt;, except it lasts for 10 minutes per caster level; the symbol does not otherwise reveal their true form. Once triggered, a &lt;i&gt;symbol of revelation&lt;/i&gt; remains active for 10 minutes per caster level.&lt;/p&gt;&lt;p&gt;&lt;i&gt;Symbol of revelation&lt;/i&gt; can be made permanent with a &lt;i&gt;permanency&lt;/i&gt; spell by a caster of 12th level or higher for the cost of 10,000 gp.&lt;/p&gt;&lt;/h4&gt;&lt;/div&gt;</t>
  </si>
  <si>
    <t>Triggered symbol reveals illusions.</t>
  </si>
  <si>
    <t>Symbol of Scrying</t>
  </si>
  <si>
    <t>This spell functions as symbol of death, except that, when triggered, it creates a scrying sensor linked to you and centered on the symbol, even if you are on a different plane than the symbol. You are immediately aware that the symbol has been triggered if you are conscious, and are awakened from normal sleep if sleeping. The symbol does not otherwise disturb your concentration. You may observe the area through the symbol as if using a scrying spell with the sensor as the target creature. Once triggered, the symbol remains active for 10 minutes per caster level. Unlike symbol of death, a symbol of scrying is not considered a magical trap. Symbol of scrying can be made permanent with a permanency spell by a caster of 13th level or higher for the cost of 10,000 gp.</t>
  </si>
  <si>
    <t>&lt;p&gt;This spell functions as &lt;i&gt;symbol of death&lt;/i&gt;, except that, when triggered, it creates a &lt;i&gt;scrying&lt;/i&gt; sensor linked to you and centered on the symbol, even if you are on a different plane than the symbol. You are immediately aware that the symbol has been triggered if you are conscious, and are awakened from normal sleep if sleeping. The symbol does not otherwise disturb your concentration. You may observe the area through the symbol as if using a &lt;i&gt;scrying&lt;/i&gt; spell with the sensor as the target creature. Once triggered, the symbol remains active for 10 minutes per caster level.&lt;/p&gt;&lt;p&gt;Unlike &lt;i&gt;symbol of death&lt;/i&gt;, a symbol of &lt;i&gt;scrying&lt;/i&gt; is not considered a magical trap. Symbol of &lt;i&gt;scrying&lt;/i&gt; can be made permanent with a &lt;i&gt;permanency&lt;/i&gt; spell by a caster of 13th level or higher for the cost of 10,000 gp.&lt;/p&gt;</t>
  </si>
  <si>
    <t>&lt;link rel="stylesheet"href="PF.css"&gt;&lt;div class="heading"&gt;&lt;p class="alignleft"&gt;Symbol of Scrying&lt;/p&gt;&lt;div style="clear: both;"&gt;&lt;/div&gt;&lt;/div&gt;&lt;div&gt;&lt;h5&gt;&lt;b&gt;School &lt;/b&gt;divination (scrying); &lt;b&gt;Level &lt;/b&gt;cleric 5/oracle 5, sorcerer/wizard 5, witch 5&lt;/h5&gt;&lt;/div&gt;&lt;hr/&gt;&lt;div&gt;&lt;h5&gt;&lt;b&gt;CASTING&lt;/b&gt;&lt;/h5&gt;&lt;/div&gt;&lt;hr/&gt;&lt;div&gt;&lt;h5&gt;&lt;b&gt;Casting Time &lt;/b&gt;10 minutes&lt;/h5&gt;&lt;h5&gt;&lt;b&gt;Components &lt;/b&gt;V, S, M (mercury and phosphorous, plus powdered diamond and opal worth a total of 1,000 gp)&lt;/h5&gt;&lt;/div&gt;&lt;hr/&gt;&lt;div&gt;&lt;h5&gt;&lt;b&gt;EFFECT&lt;/b&gt;&lt;/h5&gt;&lt;/div&gt;&lt;hr/&gt;&lt;div&gt;&lt;h5&gt;&lt;b&gt;Range &lt;/b&gt;0 ft.; see text&lt;/h5&gt;&lt;h5&gt;&lt;b&gt;Effect &lt;/b&gt;one symbol&lt;/h5&gt;&lt;h5&gt;&lt;b&gt;Duration &lt;/b&gt;see text&lt;/h5&gt;&lt;h5&gt;&lt;b&gt;Saving Throw &lt;/b&gt;none; &lt;b&gt;Spell Resistance &lt;/b&gt;no&lt;/h5&gt;&lt;/div&gt;&lt;hr/&gt;&lt;div&gt;&lt;h5&gt;&lt;b&gt;DESCRIPTION&lt;/b&gt;&lt;/h5&gt;&lt;/div&gt;&lt;hr/&gt;&lt;div&gt;&lt;h4&gt;&lt;p&gt;This spell functions as &lt;i&gt;symbol of death&lt;/i&gt;, except that, when triggered, it creates a &lt;i&gt;scrying&lt;/i&gt; sensor linked to you and centered on the symbol, even if you are on a different plane than the symbol. You are immediately aware that the symbol has been triggered if you are conscious, and are awakened from normal sleep if sleeping. The symbol does not otherwise disturb your concentration. You may observe the area through the symbol as if using a &lt;i&gt;scrying&lt;/i&gt; spell with the sensor as the target creature. Once triggered, the symbol remains active for 10 minutes per caster level.&lt;/p&gt;&lt;p&gt;Unlike &lt;i&gt;symbol of death&lt;/i&gt;, a symbol of &lt;i&gt;scrying&lt;/i&gt; is not considered a magical trap. Symbol of &lt;i&gt;scrying&lt;/i&gt; can be made permanent with a &lt;i&gt;permanency&lt;/i&gt; spell by a caster of 13th level or higher for the cost of 10,000 gp.&lt;/p&gt;&lt;/h4&gt;&lt;/div&gt;</t>
  </si>
  <si>
    <t>Triggered rune activates scrying sensor.</t>
  </si>
  <si>
    <t>Symbol of Sealing</t>
  </si>
  <si>
    <t>V, S, M (mercury and phosphorous, plus powdered diamond and opal worth a total of 5,000 gp)</t>
  </si>
  <si>
    <t>This spell allows you to scribe a potent rune of power upon or above a door or other opening measuring no more than 20 square feet/level in size. When the casting is completed, the symbol immediately triggers, glowing visibly and sealing the door or opening with an invisible barrier of force equivalent to a wall of force. Destroying the symbol ends the effect, though destroying it once the symbol has been activated requires destroying the wall of force first. Once triggered, the wall remains for 10 minutes per caster level. When scribing a symbol of sealing, you can specify a password or phrase that allows a creature speaking it to bypass the seal and pass through the opening. You can also attune any number of creatures to the symbol of sealing, but doing this extends the casting time as described under symbol of death (Core Rulebook 355). However, the force wall created by the symbol blocks attacks and line of effect even for creatures that know the password or are attuned-the password only prevents them from triggering the symbol, not from ignoring its effects if triggered. A disintegrate spell or similar effect can destroy the wall of force created by the symbol if the caster makes a caster level check against a DC of 11 + your caster level. A knock spell has no effect on a symbol of sealing or its force wall. A symbol of sealing cannot be dispelled, but mage's disjunction automatically destroys it.</t>
  </si>
  <si>
    <t>&lt;p&gt;This spell allows you to scribe a potent rune of power upon or above a door or other opening measuring no more than 20 square feet/level in size. When the casting is completed, the symbol immediately triggers, glowing visibly and sealing the door or opening with an invisible barrier of force equivalent to a &lt;i&gt;wall of force&lt;/i&gt;. Destroying the symbol ends the effect, though destroying it once the symbol has been activated requires destroying the &lt;i&gt;wall of force&lt;/i&gt; first. Once triggered, the wall remains for 10 minutes per caster level.&lt;/p&gt;&lt;p&gt;When scribing a &lt;i&gt;symbol of sealing&lt;/i&gt;, you can specify a password or phrase that allows a creature speaking it to bypass the seal and pass through the opening. You can also attune any number of creatures to the &lt;i&gt;symbol of sealing&lt;/i&gt;, but doing this extends the casting time as described under &lt;i&gt;symbol of death&lt;/i&gt; (Core &lt;i&gt;Rulebook&lt;/i&gt; 355). However, the force wall created by the symbol blocks attacks and line of effect even for creatures that know the password or are attuned-the password only prevents them from triggering the symbol, not from ignoring its effects if triggered.&lt;/p&gt;&lt;p&gt;A &lt;i&gt;disintegrate&lt;/i&gt; spell or similar effect can destroy the &lt;i&gt;wall of force&lt;/i&gt; created by the symbol if the caster makes a caster level check against a DC of 11 + your caster level. A &lt;i&gt;knock&lt;/i&gt; spell has no effect on a &lt;i&gt;symbol of sealing&lt;/i&gt; or its force wall. A &lt;i&gt;symbol of sealing&lt;/i&gt; cannot be dispelled, but mage's disjunction automatically destroys it.&lt;/p&gt;</t>
  </si>
  <si>
    <t>&lt;link rel="stylesheet"href="PF.css"&gt;&lt;div class="heading"&gt;&lt;p class="alignleft"&gt;Symbol of Sealing&lt;/p&gt;&lt;div style="clear: both;"&gt;&lt;/div&gt;&lt;/div&gt;&lt;div&gt;&lt;h5&gt;&lt;b&gt;School &lt;/b&gt;abjuration [force]; &lt;b&gt;Level &lt;/b&gt;cleric 6/oracle 6, sorcerer/wizard 6, witch 6&lt;/h5&gt;&lt;/div&gt;&lt;hr/&gt;&lt;div&gt;&lt;h5&gt;&lt;b&gt;CASTING&lt;/b&gt;&lt;/h5&gt;&lt;/div&gt;&lt;hr/&gt;&lt;div&gt;&lt;h5&gt;&lt;b&gt;Casting Time &lt;/b&gt;10 minutes&lt;/h5&gt;&lt;h5&gt;&lt;b&gt;Components &lt;/b&gt;V, S, M (mercury and phosphorous, plus powdered diamond and opal worth a total of 5,000 gp)&lt;/h5&gt;&lt;/div&gt;&lt;hr/&gt;&lt;div&gt;&lt;h5&gt;&lt;b&gt;EFFECT&lt;/b&gt;&lt;/h5&gt;&lt;/div&gt;&lt;hr/&gt;&lt;div&gt;&lt;h5&gt;&lt;b&gt;Range &lt;/b&gt;0 ft.; see text&lt;/h5&gt;&lt;h5&gt;&lt;b&gt;Effect &lt;/b&gt;one symbol&lt;/h5&gt;&lt;h5&gt;&lt;b&gt;Duration &lt;/b&gt;permanent&lt;/h5&gt;&lt;h5&gt;&lt;b&gt;Saving Throw &lt;/b&gt;none; &lt;b&gt;Spell Resistance &lt;/b&gt;no&lt;/h5&gt;&lt;/div&gt;&lt;hr/&gt;&lt;div&gt;&lt;h5&gt;&lt;b&gt;DESCRIPTION&lt;/b&gt;&lt;/h5&gt;&lt;/div&gt;&lt;hr/&gt;&lt;div&gt;&lt;h4&gt;&lt;p&gt;This spell allows you to scribe a potent rune of power upon or above a door or other opening measuring no more than 20 square feet/level in size. When the casting is completed, the symbol immediately triggers, glowing visibly and sealing the door or opening with an invisible barrier of force equivalent to a &lt;i&gt;wall of force&lt;/i&gt;. Destroying the symbol ends the effect, though destroying it once the symbol has been activated requires destroying the &lt;i&gt;wall of force&lt;/i&gt; first. Once triggered, the wall remains for 10 minutes per caster level.&lt;/p&gt;&lt;p&gt;When scribing a &lt;i&gt;symbol of sealing&lt;/i&gt;, you can specify a password or phrase that allows a creature speaking it to bypass the seal and pass through the opening. You can also attune any number of creatures to the &lt;i&gt;symbol of sealing&lt;/i&gt;, but doing this extends the casting time as described under &lt;i&gt;symbol of death&lt;/i&gt; (Core &lt;i&gt;Rulebook&lt;/i&gt; 355). However, the force wall created by the symbol blocks attacks and line of effect even for creatures that know the password or are attuned-the password only prevents them from triggering the symbol, not from ignoring its effects if triggered.&lt;/p&gt;&lt;p&gt;A &lt;i&gt;disintegrate&lt;/i&gt; spell or similar effect can destroy the &lt;i&gt;wall of force&lt;/i&gt; created by the symbol if the caster makes a caster level check against a DC of 11 + your caster level. A &lt;i&gt;knock&lt;/i&gt; spell has no effect on a &lt;i&gt;symbol of sealing&lt;/i&gt; or its force wall. A &lt;i&gt;symbol of sealing&lt;/i&gt; cannot be dispelled, but mage's disjunction automatically destroys it.&lt;/p&gt;&lt;/h4&gt;&lt;/div&gt;</t>
  </si>
  <si>
    <t>Create triggered wall of force.</t>
  </si>
  <si>
    <t>Symbol of Slowing</t>
  </si>
  <si>
    <t>This spell functions as symbol of death, except all creatures within 60 feet of a symbol of slowing are slowed (as the slow spell) for 1 round per caster level. Symbol of slowing can be made permanent with a permanency spell by a caster of 11th level or higher for the cost of 10,000 gp.</t>
  </si>
  <si>
    <t>&lt;p&gt;This spell functions as &lt;i&gt;symbol of death&lt;/i&gt;, except all creatures within 60 feet of a &lt;i&gt;symbol of &lt;i&gt;slow&lt;/i&gt;ing&lt;/i&gt; are &lt;i&gt;slow&lt;/i&gt;ed (as the &lt;i&gt;slow&lt;/i&gt; spell) for 1 round per caster level.&lt;/p&gt;&lt;p&gt;Symbol of &lt;i&gt;slow&lt;/i&gt;ing can be made permanent with a &lt;i&gt;permanency&lt;/i&gt; spell by a caster of 11th level or higher for the cost of 10,000 gp.&lt;/p&gt;</t>
  </si>
  <si>
    <t>&lt;link rel="stylesheet"href="PF.css"&gt;&lt;div class="heading"&gt;&lt;p class="alignleft"&gt;Symbol of Slowing&lt;/p&gt;&lt;div style="clear: both;"&gt;&lt;/div&gt;&lt;/div&gt;&lt;div&gt;&lt;h5&gt;&lt;b&gt;School &lt;/b&gt;transmutation; &lt;b&gt;Level &lt;/b&gt;cleric 4/oracle 4, sorcerer/wizard 4, witch 4&lt;/h5&gt;&lt;/div&gt;&lt;hr/&gt;&lt;div&gt;&lt;h5&gt;&lt;b&gt;CASTING&lt;/b&gt;&lt;/h5&gt;&lt;/div&gt;&lt;hr/&gt;&lt;div&gt;&lt;h5&gt;&lt;b&gt;Casting Time &lt;/b&gt;10 minutes&lt;/h5&gt;&lt;h5&gt;&lt;b&gt;Components &lt;/b&gt;V, S, M (mercury and phosphorous, plus powdered diamond and opal worth a total of 1,000 gp)&lt;/h5&gt;&lt;/div&gt;&lt;hr/&gt;&lt;div&gt;&lt;h5&gt;&lt;b&gt;EFFECT&lt;/b&gt;&lt;/h5&gt;&lt;/div&gt;&lt;hr/&gt;&lt;div&gt;&lt;h5&gt;&lt;b&gt;Range &lt;/b&gt;0 ft.; see text&lt;/h5&gt;&lt;h5&gt;&lt;b&gt;Effect &lt;/b&gt;one symbol&lt;/h5&gt;&lt;h5&gt;&lt;b&gt;Duration &lt;/b&gt;see text&lt;/h5&gt;&lt;h5&gt;&lt;b&gt;Saving Throw &lt;/b&gt;Will negates; &lt;b&gt;Spell Resistance &lt;/b&gt;yes&lt;/h5&gt;&lt;/div&gt;&lt;hr/&gt;&lt;div&gt;&lt;h5&gt;&lt;b&gt;DESCRIPTION&lt;/b&gt;&lt;/h5&gt;&lt;/div&gt;&lt;hr/&gt;&lt;div&gt;&lt;h4&gt;&lt;p&gt;This spell functions as &lt;i&gt;symbol of death&lt;/i&gt;, except all creatures within 60 feet of a &lt;i&gt;symbol of &lt;i&gt;slow&lt;/i&gt;ing&lt;/i&gt; are &lt;i&gt;slow&lt;/i&gt;ed (as the &lt;i&gt;slow&lt;/i&gt; spell) for 1 round per caster level.&lt;/p&gt;&lt;p&gt;Symbol of &lt;i&gt;slow&lt;/i&gt;ing can be made permanent with a &lt;i&gt;permanency&lt;/i&gt; spell by a caster of 11th level or higher for the cost of 10,000 gp.&lt;/p&gt;&lt;/h4&gt;&lt;/div&gt;</t>
  </si>
  <si>
    <t>Triggered rune slows creatures.</t>
  </si>
  <si>
    <t>Symbol of Strife</t>
  </si>
  <si>
    <t>V, S, M (mercury and phosphorous, plus powdered diamond and opal worth a total of 15,000 gp)</t>
  </si>
  <si>
    <t>This spell functions as symbol of death, except all creatures within the radius of a symbol of strife are compelled to attack the nearest conscious creaturefor 1 round per caster level (similar to the "attack nearest creature" result of the confusion spell), even after leaving the symbol's area of effect. If no other creatures are visible, an affected creature can act normally. Once triggered, the symbol remains active for 10 minutes per caster level. Symbol of strife can be made permanent with a permanency spell by a caster of 18th level or higher for the cost of 25,000 gp.</t>
  </si>
  <si>
    <t>&lt;p&gt;This spell functions as &lt;i&gt;symbol of death&lt;/i&gt;, except all creatures within the radius of a &lt;i&gt;symbol of strife&lt;/i&gt; are compelled to attack the nearest conscious creaturefor 1 round per caster level (similar to the "attack nearest creature" result of the &lt;i&gt;confusion&lt;/i&gt; spell), even after leaving the symbol's area of effect. If no other creatures are visible, an affected creature can act normally. Once triggered, the symbol remains active for 10 minutes per caster level.&lt;/p&gt;&lt;p&gt;&lt;i&gt;Symbol of strife&lt;/i&gt; can be made permanent with a &lt;i&gt;permanency&lt;/i&gt; spell by a caster of 18th level or higher for the cost of 25,000 gp.&lt;/p&gt;</t>
  </si>
  <si>
    <t>&lt;link rel="stylesheet"href="PF.css"&gt;&lt;div class="heading"&gt;&lt;p class="alignleft"&gt;Symbol of Strife&lt;/p&gt;&lt;div style="clear: both;"&gt;&lt;/div&gt;&lt;/div&gt;&lt;div&gt;&lt;h5&gt;&lt;b&gt;School &lt;/b&gt;enchantment (compulsion) [mind-affecting]; &lt;b&gt;Level &lt;/b&gt;cleric 9/oracle 9, sorcerer/wizard 9, witch 9&lt;/h5&gt;&lt;/div&gt;&lt;hr/&gt;&lt;div&gt;&lt;h5&gt;&lt;b&gt;CASTING&lt;/b&gt;&lt;/h5&gt;&lt;/div&gt;&lt;hr/&gt;&lt;div&gt;&lt;h5&gt;&lt;b&gt;Casting Time &lt;/b&gt;10 minutes&lt;/h5&gt;&lt;h5&gt;&lt;b&gt;Components &lt;/b&gt;V, S, M (mercury and phosphorous, plus powdered diamond and opal worth a total of 15,000 gp)&lt;/h5&gt;&lt;/div&gt;&lt;hr/&gt;&lt;div&gt;&lt;h5&gt;&lt;b&gt;EFFECT&lt;/b&gt;&lt;/h5&gt;&lt;/div&gt;&lt;hr/&gt;&lt;div&gt;&lt;h5&gt;&lt;b&gt;Range &lt;/b&gt;0 ft.; see text&lt;/h5&gt;&lt;h5&gt;&lt;b&gt;Effect &lt;/b&gt;one symbol&lt;/h5&gt;&lt;h5&gt;&lt;b&gt;Duration &lt;/b&gt;see text&lt;/h5&gt;&lt;h5&gt;&lt;b&gt;Saving Throw &lt;/b&gt;Will negates; &lt;b&gt;Spell Resistance &lt;/b&gt;yes&lt;/h5&gt;&lt;/div&gt;&lt;hr/&gt;&lt;div&gt;&lt;h5&gt;&lt;b&gt;DESCRIPTION&lt;/b&gt;&lt;/h5&gt;&lt;/div&gt;&lt;hr/&gt;&lt;div&gt;&lt;h4&gt;&lt;p&gt;This spell functions as &lt;i&gt;symbol of death&lt;/i&gt;, except all creatures within the radius of a &lt;i&gt;symbol of strife&lt;/i&gt; are compelled to attack the nearest conscious creaturefor 1 round per caster level (similar to the "attack nearest creature" result of the &lt;i&gt;confusion&lt;/i&gt; spell), even after leaving the symbol's area of effect. If no other creatures are visible, an affected creature can act normally. Once triggered, the symbol remains active for 10 minutes per caster level.&lt;/p&gt;&lt;p&gt;&lt;i&gt;Symbol of strife&lt;/i&gt; can be made permanent with a &lt;i&gt;permanency&lt;/i&gt; spell by a caster of 18th level or higher for the cost of 25,000 gp.&lt;/p&gt;&lt;/h4&gt;&lt;/div&gt;</t>
  </si>
  <si>
    <t>Triggered rune makes creatures attack.</t>
  </si>
  <si>
    <t>Symbol of Vulnerability</t>
  </si>
  <si>
    <t>This spell functions as symbol of death, except it saps the defenses of all creatures within 60 feet. Affected creatures receive a -4 penalty to spell resistance and a -4 penalty on saving throws, and energy resistances and damage reduction (if any) are reduced by 10 each (to a minimum of 0). Once triggered, the symbol remains active for 10 minutes per level. The effects last as long as the creature is within 60 feet of the symbol, and for 1 round per caster level afterward. Symbol of vulnerability can be made permanent with a permanency spell by a caster of 18h level or higher for the cost of 25,000 gp.</t>
  </si>
  <si>
    <t>&lt;p&gt;This spell functions as &lt;i&gt;symbol of death&lt;/i&gt;, except it saps the defenses of all creatures within 60 feet. Affected creatures receive a -4 penalty to spell resistance and a -4 penalty on saving throws, and energy resistances and damage reduction (if any) are reduced by 10 each (to a minimum of 0). Once triggered, the symbol remains active for 10 minutes per level.&lt;/p&gt;&lt;p&gt;The effects last as long as the creature is within 60 feet of the symbol, and for 1 round per caster level afterward.&lt;/p&gt;&lt;p&gt;&lt;i&gt;Symbol of vulnerability&lt;/i&gt; can be made permanent with a &lt;i&gt;permanency&lt;/i&gt; spell by a caster of 18h level or higher for the cost of 25,000 gp.&lt;/p&gt;</t>
  </si>
  <si>
    <t>&lt;link rel="stylesheet"href="PF.css"&gt;&lt;div class="heading"&gt;&lt;p class="alignleft"&gt;Symbol of Vulnerability&lt;/p&gt;&lt;div style="clear: both;"&gt;&lt;/div&gt;&lt;/div&gt;&lt;div&gt;&lt;h5&gt;&lt;b&gt;School &lt;/b&gt;abjuration; &lt;b&gt;Level &lt;/b&gt;cleric 9/oracle 9, sorcerer/wizard 9, witch 9&lt;/h5&gt;&lt;/div&gt;&lt;hr/&gt;&lt;div&gt;&lt;h5&gt;&lt;b&gt;CASTING&lt;/b&gt;&lt;/h5&gt;&lt;/div&gt;&lt;hr/&gt;&lt;div&gt;&lt;h5&gt;&lt;b&gt;Casting Time &lt;/b&gt;10 minutes&lt;/h5&gt;&lt;h5&gt;&lt;b&gt;Components &lt;/b&gt;V, S, M (mercury and phosphorous, plus powdered diamond and opal worth a total of 15,000 gp)&lt;/h5&gt;&lt;/div&gt;&lt;hr/&gt;&lt;div&gt;&lt;h5&gt;&lt;b&gt;EFFECT&lt;/b&gt;&lt;/h5&gt;&lt;/div&gt;&lt;hr/&gt;&lt;div&gt;&lt;h5&gt;&lt;b&gt;Range &lt;/b&gt;0 ft.; see text&lt;/h5&gt;&lt;h5&gt;&lt;b&gt;Effect &lt;/b&gt;one symbol&lt;/h5&gt;&lt;h5&gt;&lt;b&gt;Duration &lt;/b&gt;see text&lt;/h5&gt;&lt;h5&gt;&lt;b&gt;Saving Throw &lt;/b&gt;none; &lt;b&gt;Spell Resistance &lt;/b&gt;no&lt;/h5&gt;&lt;/div&gt;&lt;hr/&gt;&lt;div&gt;&lt;h5&gt;&lt;b&gt;DESCRIPTION&lt;/b&gt;&lt;/h5&gt;&lt;/div&gt;&lt;hr/&gt;&lt;div&gt;&lt;h4&gt;&lt;p&gt;This spell functions as &lt;i&gt;symbol of death&lt;/i&gt;, except it saps the defenses of all creatures within 60 feet. Affected creatures receive a -4 penalty to spell resistance and a -4 penalty on saving throws, and energy resistances and damage reduction (if any) are reduced by 10 each (to a minimum of 0). Once triggered, the symbol remains active for 10 minutes per level.&lt;/p&gt;&lt;p&gt;The effects last as long as the creature is within 60 feet of the symbol, and for 1 round per caster level afterward.&lt;/p&gt;&lt;p&gt;&lt;i&gt;Symbol of vulnerability&lt;/i&gt; can be made permanent with a &lt;i&gt;permanency&lt;/i&gt; spell by a caster of 18h level or higher for the cost of 25,000 gp.&lt;/p&gt;&lt;/h4&gt;&lt;/div&gt;</t>
  </si>
  <si>
    <t>Triggered rune gives penalties.</t>
  </si>
  <si>
    <t>Tar Ball</t>
  </si>
  <si>
    <t>V, S, M (a tiny ball of bitumen)</t>
  </si>
  <si>
    <t>ranged attack</t>
  </si>
  <si>
    <t>You create a sticky ball of burning tar that you can hurl at your enemies as a ranged attack. If the tar ball strikes, it deals 1d4 points of fire damage + your Strength modifier, and splashes the target with hot, sticky tar. The tar deals 1d4 points of fire damage each round on the creature's turn for the next 1d4 rounds and gives the target a -2 penalty to Dexterity for that duration. If desired, the target can use a full-round action to attempt to extinguish or cool the tar before taking this additional damage. Extinguishing or cooling the tar requires a DC 15 Reflex save or at least 1 gallon of nonflammable liquid. Rolling on the ground provides the target a +2 bonus on the save. Leaping into a lake or magically cooling the target automatically ends the effect.</t>
  </si>
  <si>
    <t>&lt;p&gt;You create a sticky ball of burning tar that you can hurl at your enemies as a ranged attack. If the tar ball strikes, it deals 1d4 points of fire damage + your Strength modifier, and splashes the target with hot, sticky tar. The tar deals 1d4 points of fire damage each round on the creature's turn for the next 1d4 rounds and gives the target a -2 penalty to Dexterity for that duration. If desired, the target can use a full-round action to attempt to extinguish or cool the tar before taking this additional damage.&lt;/p&gt;&lt;p&gt;Extinguishing or cooling the tar requires a DC 15 Reflex save or at least 1 gallon of nonflammable liquid. Rolling on the ground provides the target a +2 bonus on the save. Leaping into a lake or magically cooling the target automatically ends the effect.&lt;/p&gt;</t>
  </si>
  <si>
    <t>&lt;link rel="stylesheet"href="PF.css"&gt;&lt;div class="heading"&gt;&lt;p class="alignleft"&gt;Tar Ball&lt;/p&gt;&lt;div style="clear: both;"&gt;&lt;/div&gt;&lt;/div&gt;&lt;div&gt;&lt;h5&gt;&lt;b&gt;School &lt;/b&gt;transmutation; &lt;b&gt;Level &lt;/b&gt;druid 2&lt;/h5&gt;&lt;/div&gt;&lt;hr/&gt;&lt;div&gt;&lt;h5&gt;&lt;b&gt;CASTING&lt;/b&gt;&lt;/h5&gt;&lt;/div&gt;&lt;hr/&gt;&lt;div&gt;&lt;h5&gt;&lt;b&gt;Casting Time &lt;/b&gt;1 standard action&lt;/h5&gt;&lt;h5&gt;&lt;b&gt;Components &lt;/b&gt;V, S, M (a tiny ball of bitumen)&lt;/h5&gt;&lt;/div&gt;&lt;hr/&gt;&lt;div&gt;&lt;h5&gt;&lt;b&gt;EFFECT&lt;/b&gt;&lt;/h5&gt;&lt;/div&gt;&lt;hr/&gt;&lt;div&gt;&lt;h5&gt;&lt;b&gt;Range &lt;/b&gt;close (25 ft. + 5 ft./2 levels)&lt;/h5&gt;&lt;h5&gt;&lt;b&gt;Effect &lt;/b&gt;ranged attack&lt;/h5&gt;&lt;h5&gt;&lt;b&gt;Duration &lt;/b&gt;instantaneous&lt;/h5&gt;&lt;h5&gt;&lt;b&gt;Saving Throw &lt;/b&gt;none; &lt;b&gt;Spell Resistance &lt;/b&gt;no&lt;/h5&gt;&lt;/div&gt;&lt;hr/&gt;&lt;div&gt;&lt;h5&gt;&lt;b&gt;DESCRIPTION&lt;/b&gt;&lt;/h5&gt;&lt;/div&gt;&lt;hr/&gt;&lt;div&gt;&lt;h4&gt;&lt;p&gt;You create a sticky ball of burning tar that you can hurl at your enemies as a ranged attack. If the tar ball strikes, it deals 1d4 points of fire damage + your Strength modifier, and splashes the target with hot, sticky tar. The tar deals 1d4 points of fire damage each round on the creature's turn for the next 1d4 rounds and gives the target a -2 penalty to Dexterity for that duration. If desired, the target can use a full-round action to attempt to extinguish or cool the tar before taking this additional damage.&lt;/p&gt;&lt;p&gt;Extinguishing or cooling the tar requires a DC 15 Reflex save or at least 1 gallon of nonflammable liquid. Rolling on the ground provides the target a +2 bonus on the save. Leaping into a lake or magically cooling the target automatically ends the effect.&lt;/p&gt;&lt;/h4&gt;&lt;/div&gt;</t>
  </si>
  <si>
    <t>Burning tar harms target and penalizes its Dex.</t>
  </si>
  <si>
    <t>Temporary Resurrection</t>
  </si>
  <si>
    <t>V, S, M (diamond dust worth 500 gp)</t>
  </si>
  <si>
    <t>You restore temporary life to a body that has been dead for less than 48 hours. The spell lasts for 24 hours, after which the target dies again. The target gains 1 permanent negative level while under the effect of this spell; this negative level goes away when the target dies or is permanently raised from the dead (such as with raise dead). The target still counts as a dead corpse (but not undead) for the purpose of spells that revive dead creatures, so a cleric can cast raise dead or a similar spell on the target even while this spell is active. Once a creature has been revived with temporary resurrection, this spell cannot be used on it again until it is permanently raised from the dead.</t>
  </si>
  <si>
    <t>&lt;p&gt;You restore temporary life to a body that has been dead for less than 48 hours. The spell lasts for 24 hours, after which the target dies again. The target gains 1 permanent negative level while under the effect of this spell; this negative level goes away when the target dies or is permanently &lt;i&gt;raise&lt;/i&gt;d from the dead (such as with &lt;i&gt;raise&lt;/i&gt; dead). The target still counts as a dead corpse (but not undead) for the purpose of spells that revive dead creatures, so a cleric can cast &lt;i&gt;raise&lt;/i&gt; dead or a similar spell on the target even while this spell is active. Once a creature has been revived with &lt;i&gt;temporary resurrection&lt;/i&gt;, this spell cannot be used on it again until it is permanently &lt;i&gt;raise&lt;/i&gt;d from the dead.&lt;/p&gt;</t>
  </si>
  <si>
    <t>&lt;link rel="stylesheet"href="PF.css"&gt;&lt;div class="heading"&gt;&lt;p class="alignleft"&gt;Temporary Resurrection&lt;/p&gt;&lt;div style="clear: both;"&gt;&lt;/div&gt;&lt;/div&gt;&lt;div&gt;&lt;h5&gt;&lt;b&gt;School &lt;/b&gt;necromancy; &lt;b&gt;Level &lt;/b&gt;sorcerer/wizard 7, witch 7&lt;/h5&gt;&lt;/div&gt;&lt;hr/&gt;&lt;div&gt;&lt;h5&gt;&lt;b&gt;CASTING&lt;/b&gt;&lt;/h5&gt;&lt;/div&gt;&lt;hr/&gt;&lt;div&gt;&lt;h5&gt;&lt;b&gt;Casting Time &lt;/b&gt;10 minutes&lt;/h5&gt;&lt;h5&gt;&lt;b&gt;Components &lt;/b&gt;V, S, M (diamond dust worth 500 gp)&lt;/h5&gt;&lt;/div&gt;&lt;hr/&gt;&lt;div&gt;&lt;h5&gt;&lt;b&gt;EFFECT&lt;/b&gt;&lt;/h5&gt;&lt;/div&gt;&lt;hr/&gt;&lt;div&gt;&lt;h5&gt;&lt;b&gt;Range &lt;/b&gt;touch&lt;/h5&gt;&lt;h5&gt;&lt;b&gt;Targets &lt;/b&gt;dead creature touched&lt;/h5&gt;&lt;h5&gt;&lt;b&gt;Duration &lt;/b&gt;24 hours&lt;/h5&gt;&lt;/div&gt;&lt;hr/&gt;&lt;div&gt;&lt;h5&gt;&lt;b&gt;DESCRIPTION&lt;/b&gt;&lt;/h5&gt;&lt;/div&gt;&lt;hr/&gt;&lt;div&gt;&lt;h4&gt;&lt;p&gt;You restore temporary life to a body that has been dead for less than 48 hours. The spell lasts for 24 hours, after which the target dies again. The target gains 1 permanent negative level while under the effect of this spell; this negative level goes away when the target dies or is permanently &lt;i&gt;raise&lt;/i&gt;d from the dead (such as with &lt;i&gt;raise&lt;/i&gt; dead). The target still counts as a dead corpse (but not undead) for the purpose of spells that revive dead creatures, so a cleric can cast &lt;i&gt;raise&lt;/i&gt; dead or a similar spell on the target even while this spell is active. Once a creature has been revived with &lt;i&gt;temporary resurrection&lt;/i&gt;, this spell cannot be used on it again until it is permanently &lt;i&gt;raise&lt;/i&gt;d from the dead.&lt;/p&gt;&lt;/h4&gt;&lt;/div&gt;</t>
  </si>
  <si>
    <t>Bring a creature to life for 24 hours, after which it dies again.</t>
  </si>
  <si>
    <t>Terrible Remorse</t>
  </si>
  <si>
    <t>bard 3, cleric/oracle 4, inquisitor 3, sorcerer/wizard 4</t>
  </si>
  <si>
    <t>1 living creature</t>
  </si>
  <si>
    <t>You fill a target with such profound remorse that it begins to harm itself. Each round, the target must save or deal 1d8 points of damage + its Strength modifier to itself using an item held in its hand or with unarmed attacks. If the creature saves, it is staggered for 1 round and takes a -2 penalty to Armor Class, after which the spell ends.</t>
  </si>
  <si>
    <t>&lt;p&gt;You fill a target with such profound remorse that it begins to harm itself. Each round, the target must save or deal 1d8 points of damage + its Strength modifier to itself using an item held in its hand or with unarmed attacks. If the creature saves, it is staggered for 1 round and takes a -2 penalty to Armor Class, after which the spell ends.&lt;/p&gt;</t>
  </si>
  <si>
    <t>&lt;link rel="stylesheet"href="PF.css"&gt;&lt;div class="heading"&gt;&lt;p class="alignleft"&gt;Terrible Remorse&lt;/p&gt;&lt;div style="clear: both;"&gt;&lt;/div&gt;&lt;/div&gt;&lt;div&gt;&lt;h5&gt;&lt;b&gt;School &lt;/b&gt;enchantment (compulsion) [emotion, mind-affecting]; &lt;b&gt;Level &lt;/b&gt;bard 3, cleric/oracle 4, inquisitor 3, sorcerer/wizard 4&lt;/h5&gt;&lt;/div&gt;&lt;hr/&gt;&lt;div&gt;&lt;h5&gt;&lt;b&gt;CASTING&lt;/b&gt;&lt;/h5&gt;&lt;/div&gt;&lt;hr/&gt;&lt;div&gt;&lt;h5&gt;&lt;b&gt;Casting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&lt;/b&gt;1 living creature&lt;/h5&gt;&lt;h5&gt;&lt;b&gt;Duration &lt;/b&gt;1 round/level&lt;/h5&gt;&lt;h5&gt;&lt;b&gt;Saving Throw &lt;/b&gt;Will partial (see text); &lt;b&gt;Spell Resistance &lt;/b&gt;yes&lt;/h5&gt;&lt;/div&gt;&lt;hr/&gt;&lt;div&gt;&lt;h5&gt;&lt;b&gt;DESCRIPTION&lt;/b&gt;&lt;/h5&gt;&lt;/div&gt;&lt;hr/&gt;&lt;div&gt;&lt;h4&gt;&lt;p&gt;You fill a target with such profound remorse that it begins to harm itself. Each round, the target must save or deal 1d8 points of damage + its Strength modifier to itself using an item held in its hand or with unarmed attacks. If the creature saves, it is staggered for 1 round and takes a -2 penalty to Armor Class, after which the spell ends.&lt;/p&gt;&lt;/h4&gt;&lt;/div&gt;</t>
  </si>
  <si>
    <t>Creature is compelled to harm itself.</t>
  </si>
  <si>
    <t>Touch of Slime</t>
  </si>
  <si>
    <t>alchemist 4, druid 4, sorcerer/wizard 4, witch 4</t>
  </si>
  <si>
    <t>V, S, M (a drop of acid and a black glass sphere)</t>
  </si>
  <si>
    <t>You create a coating of slime on your hand. When you make a successful melee touch attack with the slime, it pulls free of you and sticks to the target, at which point it acts like green slime (Core Rulebook 416), dealing 1d3 points of Constitution damage per round. Anything that destroys green slime (scraping, freezing, burning, cutting, sunlight, or remove disease) destroys this slime. If the slime kills a creature, it consumes the body and then dies. It cannot transfer to a creature other than the original target, and dies if separated from the original target.</t>
  </si>
  <si>
    <t>&lt;p&gt;You create a coating of slime on your hand. When you make a successful melee touch attack with the slime, it pulls free of you and sticks to the target, at which point it acts like green slime (&lt;i&gt;Core Rulebook&lt;/i&gt; 416), dealing 1d3 points of Constitution damage per round. Anything that destroys green slime (scraping, freezing, burning, cutting, sunlight, or &lt;i&gt;remove&lt;/i&gt; disease) destroys this slime. If the slime kills a creature, it consumes the body and then dies. It cannot transfer to a creature other than the original target, and dies if separated from the original target.&lt;/p&gt;</t>
  </si>
  <si>
    <t>&lt;link rel="stylesheet"href="PF.css"&gt;&lt;div class="heading"&gt;&lt;p class="alignleft"&gt;Touch of Slime&lt;/p&gt;&lt;div style="clear: both;"&gt;&lt;/div&gt;&lt;/div&gt;&lt;div&gt;&lt;h5&gt;&lt;b&gt;School &lt;/b&gt;conjuration (creation) [disease]; &lt;b&gt;Level &lt;/b&gt;alchemist 4, druid 4, sorcerer/wizard 4, witch 4&lt;/h5&gt;&lt;/div&gt;&lt;hr/&gt;&lt;div&gt;&lt;h5&gt;&lt;b&gt;CASTING&lt;/b&gt;&lt;/h5&gt;&lt;/div&gt;&lt;hr/&gt;&lt;div&gt;&lt;h5&gt;&lt;b&gt;Casting Time &lt;/b&gt;1 standard action&lt;/h5&gt;&lt;h5&gt;&lt;b&gt;Components &lt;/b&gt;V, S, M (a drop of acid and a black glass sphere)&lt;/h5&gt;&lt;/div&gt;&lt;hr/&gt;&lt;div&gt;&lt;h5&gt;&lt;b&gt;EFFECT&lt;/b&gt;&lt;/h5&gt;&lt;/div&gt;&lt;hr/&gt;&lt;div&gt;&lt;h5&gt;&lt;b&gt;Range &lt;/b&gt;touch&lt;/h5&gt;&lt;h5&gt;&lt;b&gt;Targets &lt;/b&gt;living creature touched&lt;/h5&gt;&lt;h5&gt;&lt;b&gt;Duration &lt;/b&gt;instantaneous&lt;/h5&gt;&lt;h5&gt;&lt;b&gt;Saving Throw &lt;/b&gt;Fortitude negates; &lt;b&gt;Spell Resistance &lt;/b&gt;yes&lt;/h5&gt;&lt;/div&gt;&lt;hr/&gt;&lt;div&gt;&lt;h5&gt;&lt;b&gt;DESCRIPTION&lt;/b&gt;&lt;/h5&gt;&lt;/div&gt;&lt;hr/&gt;&lt;div&gt;&lt;h4&gt;&lt;p&gt;You create a coating of slime on your hand. When you make a successful melee touch attack with the slime, it pulls free of you and sticks to the target, at which point it acts like green slime (&lt;i&gt;Core Rulebook&lt;/i&gt; 416), dealing 1d3 points of Constitution damage per round. Anything that destroys green slime (scraping, freezing, burning, cutting, sunlight, or &lt;i&gt;remove&lt;/i&gt; disease) destroys this slime. If the slime kills a creature, it consumes the body and then dies. It cannot transfer to a creature other than the original target, and dies if separated from the original target.&lt;/p&gt;&lt;/h4&gt;&lt;/div&gt;</t>
  </si>
  <si>
    <t>Touch infests a target with green slime.</t>
  </si>
  <si>
    <t>Toxic Gift</t>
  </si>
  <si>
    <t>antipaladin 2, sorcerer/wizard 3</t>
  </si>
  <si>
    <t>You can cast this spell only if you are currently poisoned. You draw upon the poison in your body and duplicate its effects in the target, which is affected by the same poison you are, except it uses this spell's DC instead of the poison's normal DC. If you are affected by more than one poison, you must choose one to afflict upon the target.</t>
  </si>
  <si>
    <t>&lt;p&gt;You can cast this spell only if you are currently poisoned. You draw upon the poison in your body and duplicate its effects in the target, which is affected by the same poison you are, except it uses this spell's DC instead of the poison's normal DC. If you are affected by more than one poison, you must choose one to afflict upon the target.&lt;/p&gt;</t>
  </si>
  <si>
    <t>&lt;link rel="stylesheet"href="PF.css"&gt;&lt;div class="heading"&gt;&lt;p class="alignleft"&gt;Toxic Gift&lt;/p&gt;&lt;div style="clear: both;"&gt;&lt;/div&gt;&lt;/div&gt;&lt;div&gt;&lt;h5&gt;&lt;b&gt;School &lt;/b&gt;necromancy [poison]; &lt;b&gt;Level &lt;/b&gt;antipaladin 2, sorcerer/wizard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&lt;/b&gt;living creature touched&lt;/h5&gt;&lt;h5&gt;&lt;b&gt;Duration &lt;/b&gt;instantaneous; see text&lt;/h5&gt;&lt;h5&gt;&lt;b&gt;Saving Throw &lt;/b&gt;Fortitude negates (see text); &lt;b&gt;Spell Resistance &lt;/b&gt;yes&lt;/h5&gt;&lt;/div&gt;&lt;hr/&gt;&lt;div&gt;&lt;h5&gt;&lt;b&gt;DESCRIPTION&lt;/b&gt;&lt;/h5&gt;&lt;/div&gt;&lt;hr/&gt;&lt;div&gt;&lt;h4&gt;&lt;p&gt;You can cast this spell only if you are currently poisoned. You draw upon the poison in your body and duplicate its effects in the target, which is affected by the same poison you are, except it uses this spell's DC instead of the poison's normal DC. If you are affected by more than one poison, you must choose one to afflict upon the target.&lt;/p&gt;&lt;/h4&gt;&lt;/div&gt;</t>
  </si>
  <si>
    <t>Target suffers the effect of the poison in you.</t>
  </si>
  <si>
    <t>Transmute Blood To Acid</t>
  </si>
  <si>
    <t>acid, pain</t>
  </si>
  <si>
    <t>V, S, M (a wax doll and a vial of acid worth 10 gp)</t>
  </si>
  <si>
    <t>concentration (maximum 1 round/5 levels)</t>
  </si>
  <si>
    <t>You transmute blood in the target's body to acid, dealing 1d6 points of acid damage/2 levels (maximum 12d6) each round. The creature is staggered and sickened by the debilitating pain. A successful Fortitude save each round halves the damage and negates the staggered condition for 1 round. If this damage reduces the creature to 0 or fewer hit points, it dissolves, leaving only the barest trace of remains. A dissolved creature's equipment is unaffected. Anyone who strikes the target with a non-reach melee weapon, natural weapon, or unarmed attack takes 3d6 points of acid damage as the acidic blood sprays on the attacker. If the attack is from a piercing or slashing manufactured weapon, the weapon also takes this damage. This spell has no effect on creatures immune to critical hits or bleed effects.</t>
  </si>
  <si>
    <t>&lt;p&gt;You transmute blood in the target's body to acid, dealing 1d6 points of acid damage/2 levels (maximum 12d6) each round.&lt;/p&gt;&lt;p&gt;The creature is staggered and sickened by the debilitating pain. A successful Fortitude save each round halves the damage and negates the staggered condition for 1 round. If this damage reduces the creature to 0 or fewer hit points, it dissolves, leaving only the barest trace of remains. A dissolved creature's equipment is unaffected.&lt;/p&gt;&lt;p&gt;Anyone who strikes the target with a non-reach melee weapon, natural weapon, or unarmed attack takes 3d6 points of acid damage as the acidic blood sprays on the attacker. If the attack is from a piercing or slashing manufactured weapon, the weapon also takes this damage.&lt;/p&gt;&lt;p&gt;This spell has no effect on creatures immune to critical hits or bleed effects.&lt;/p&gt;</t>
  </si>
  <si>
    <t>&lt;link rel="stylesheet"href="PF.css"&gt;&lt;div class="heading"&gt;&lt;p class="alignleft"&gt;Transmute Blood To Acid&lt;/p&gt;&lt;div style="clear: both;"&gt;&lt;/div&gt;&lt;/div&gt;&lt;div&gt;&lt;h5&gt;&lt;b&gt;School &lt;/b&gt;transmutation [acid, pain]; &lt;b&gt;Level &lt;/b&gt;sorcerer/wizard 9&lt;/h5&gt;&lt;/div&gt;&lt;hr/&gt;&lt;div&gt;&lt;h5&gt;&lt;b&gt;CASTING&lt;/b&gt;&lt;/h5&gt;&lt;/div&gt;&lt;hr/&gt;&lt;div&gt;&lt;h5&gt;&lt;b&gt;Casting Time &lt;/b&gt;1 standard action&lt;/h5&gt;&lt;h5&gt;&lt;b&gt;Components &lt;/b&gt;V, S, M (a wax doll and a vial of acid worth 10 gp)&lt;/h5&gt;&lt;/div&gt;&lt;hr/&gt;&lt;div&gt;&lt;h5&gt;&lt;b&gt;EFFECT&lt;/b&gt;&lt;/h5&gt;&lt;/div&gt;&lt;hr/&gt;&lt;div&gt;&lt;h5&gt;&lt;b&gt;Range &lt;/b&gt;close (25 ft. + 5 ft./2 levels)&lt;/h5&gt;&lt;h5&gt;&lt;b&gt;Targets &lt;/b&gt;one living creature&lt;/h5&gt;&lt;h5&gt;&lt;b&gt;Duration &lt;/b&gt;concentration (maximum 1 round/5 levels)&lt;/h5&gt;&lt;h5&gt;&lt;b&gt;Saving Throw &lt;/b&gt;Fortitude half; &lt;b&gt;Spell Resistance &lt;/b&gt;yes&lt;/h5&gt;&lt;/div&gt;&lt;hr/&gt;&lt;div&gt;&lt;h5&gt;&lt;b&gt;DESCRIPTION&lt;/b&gt;&lt;/h5&gt;&lt;/div&gt;&lt;hr/&gt;&lt;div&gt;&lt;h4&gt;&lt;p&gt;You transmute blood in the target's body to acid, dealing 1d6 points of acid damage/2 levels (maximum 12d6) each round.&lt;/p&gt;&lt;p&gt;The creature is staggered and sickened by the debilitating pain. A successful Fortitude save each round halves the damage and negates the staggered condition for 1 round. If this damage reduces the creature to 0 or fewer hit points, it dissolves, leaving only the barest trace of remains. A dissolved creature's equipment is unaffected.&lt;/p&gt;&lt;p&gt;Anyone who strikes the target with a non-reach melee weapon, natural weapon, or unarmed attack takes 3d6 points of acid damage as the acidic blood sprays on the attacker. If the attack is from a piercing or slashing manufactured weapon, the weapon also takes this damage.&lt;/p&gt;&lt;p&gt;This spell has no effect on creatures immune to critical hits or bleed effects.&lt;/p&gt;&lt;/h4&gt;&lt;/div&gt;</t>
  </si>
  <si>
    <t>Target takes acid damage each round, and its attackers take acid damage.</t>
  </si>
  <si>
    <t>Unadulterated Loathing</t>
  </si>
  <si>
    <t>antipaladin 2, bard 2, sorcerer/wizard 3, witch 3</t>
  </si>
  <si>
    <t>You fill the target with a terrible loathing aimed at a specific creature. At the time of the casting, you designate a single creature as the object of the target's revulsion. Thereafter, the target does all it can to remain at least 60 feet away from the object of its loathing. As soon as the target moves within this range, it becomes nauseated until it can again get away from the object of its revulsion. If traveling beyond 60 feet of the object of its loathing would place the target in obvious physical danger, the target can attempt a second save to break the spell's effect. Unadulterated loathing counters reckless infatuation.</t>
  </si>
  <si>
    <t>&lt;p&gt;You fill the target with a terrible loathing aimed at a specific creature. At the time of the casting, you designate a single creature as the object of the target's revulsion. Thereafter, the target does all it can to remain at least 60 feet away from the object of its loathing. As soon as the target moves within this range, it becomes nauseated until it can again get away from the object of its revulsion. If traveling beyond 60 feet of the object of its loathing would place the target in obvious physical danger, the target can attempt a second save to break the spell's effect.&lt;/p&gt;&lt;p&gt;&lt;i&gt;Unadulterated loathing&lt;/i&gt; counters &lt;i&gt;reckless infatuation&lt;/i&gt;.&lt;/p&gt;</t>
  </si>
  <si>
    <t>&lt;link rel="stylesheet"href="PF.css"&gt;&lt;div class="heading"&gt;&lt;p class="alignleft"&gt;Unadulterated Loathing&lt;/p&gt;&lt;div style="clear: both;"&gt;&lt;/div&gt;&lt;/div&gt;&lt;div&gt;&lt;h5&gt;&lt;b&gt;School &lt;/b&gt;enchantment (compulsion) [emotion, mind-affecting]; &lt;b&gt;Level &lt;/b&gt;antipaladin 2, bard 2, sorcerer/wizard 3, witch 3&lt;/h5&gt;&lt;/div&gt;&lt;hr/&gt;&lt;div&gt;&lt;h5&gt;&lt;b&gt;CASTING&lt;/b&gt;&lt;/h5&gt;&lt;/div&gt;&lt;hr/&gt;&lt;div&gt;&lt;h5&gt;&lt;b&gt;Casting Time &lt;/b&gt;1 standard action&lt;/h5&gt;&lt;h5&gt;&lt;b&gt;Components &lt;/b&gt;V, S, M&lt;/h5&gt;&lt;/div&gt;&lt;hr/&gt;&lt;div&gt;&lt;h5&gt;&lt;b&gt;EFFECT&lt;/b&gt;&lt;/h5&gt;&lt;/div&gt;&lt;hr/&gt;&lt;div&gt;&lt;h5&gt;&lt;b&gt;Range &lt;/b&gt;close (25 ft. + 5 ft./2 levels)&lt;/h5&gt;&lt;h5&gt;&lt;b&gt;Targets &lt;/b&gt;one creature&lt;/h5&gt;&lt;h5&gt;&lt;b&gt;Duration &lt;/b&gt;1 day/level&lt;/h5&gt;&lt;h5&gt;&lt;b&gt;Saving Throw &lt;/b&gt;Will negates; &lt;b&gt;Spell Resistance &lt;/b&gt;yes&lt;/h5&gt;&lt;/div&gt;&lt;hr/&gt;&lt;div&gt;&lt;h5&gt;&lt;b&gt;DESCRIPTION&lt;/b&gt;&lt;/h5&gt;&lt;/div&gt;&lt;hr/&gt;&lt;div&gt;&lt;h4&gt;&lt;p&gt;You fill the target with a terrible loathing aimed at a specific creature. At the time of the casting, you designate a single creature as the object of the target's revulsion. Thereafter, the target does all it can to remain at least 60 feet away from the object of its loathing. As soon as the target moves within this range, it becomes nauseated until it can again get away from the object of its revulsion. If traveling beyond 60 feet of the object of its loathing would place the target in obvious physical danger, the target can attempt a second save to break the spell's effect.&lt;/p&gt;&lt;p&gt;&lt;i&gt;Unadulterated loathing&lt;/i&gt; counters &lt;i&gt;reckless infatuation&lt;/i&gt;.&lt;/p&gt;&lt;/h4&gt;&lt;/div&gt;</t>
  </si>
  <si>
    <t>Target is compelled to avoid another creature.</t>
  </si>
  <si>
    <t>Unbreakable Construct</t>
  </si>
  <si>
    <t>V, S, M (powdered adamantine worth 100 gp)</t>
  </si>
  <si>
    <t>This spell increases the target's DR/adamantine by 5 or its hardness by 5. If the target does not have DR/adamantine or hardness, this spell has no effect.</t>
  </si>
  <si>
    <t>&lt;p&gt;This spell increases the target's DR/adamantine by 5 or its hardness by 5. If the target does not have DR/adamantine or hardness, this spell has no effect.&lt;/p&gt;</t>
  </si>
  <si>
    <t>&lt;link rel="stylesheet"href="PF.css"&gt;&lt;div class="heading"&gt;&lt;p class="alignleft"&gt;Unbreakable Construct&lt;/p&gt;&lt;div style="clear: both;"&gt;&lt;/div&gt;&lt;/div&gt;&lt;div&gt;&lt;h5&gt;&lt;b&gt;School &lt;/b&gt;abjuration; &lt;b&gt;Level &lt;/b&gt;sorcerer/wizard 5&lt;/h5&gt;&lt;/div&gt;&lt;hr/&gt;&lt;div&gt;&lt;h5&gt;&lt;b&gt;CASTING&lt;/b&gt;&lt;/h5&gt;&lt;/div&gt;&lt;hr/&gt;&lt;div&gt;&lt;h5&gt;&lt;b&gt;Casting Time &lt;/b&gt;1 standard action&lt;/h5&gt;&lt;h5&gt;&lt;b&gt;Components &lt;/b&gt;V, S, M (powdered adamantine worth 100 gp)&lt;/h5&gt;&lt;/div&gt;&lt;hr/&gt;&lt;div&gt;&lt;h5&gt;&lt;b&gt;EFFECT&lt;/b&gt;&lt;/h5&gt;&lt;/div&gt;&lt;hr/&gt;&lt;div&gt;&lt;h5&gt;&lt;b&gt;Range &lt;/b&gt;close (25 ft. + 5 ft./2 levels)&lt;/h5&gt;&lt;h5&gt;&lt;b&gt;Targets &lt;/b&gt;one construct&lt;/h5&gt;&lt;h5&gt;&lt;b&gt;Duration &lt;/b&gt;1 round/level&lt;/h5&gt;&lt;h5&gt;&lt;b&gt;Saving Throw &lt;/b&gt;Will negates (harmless); &lt;b&gt;Spell Resistance &lt;/b&gt;no&lt;/h5&gt;&lt;/div&gt;&lt;hr/&gt;&lt;div&gt;&lt;h5&gt;&lt;b&gt;DESCRIPTION&lt;/b&gt;&lt;/h5&gt;&lt;/div&gt;&lt;hr/&gt;&lt;div&gt;&lt;h4&gt;&lt;p&gt;This spell increases the target's DR/adamantine by 5 or its hardness by 5. If the target does not have DR/adamantine or hardness, this spell has no effect.&lt;/p&gt;&lt;/h4&gt;&lt;/div&gt;</t>
  </si>
  <si>
    <t>Increase construct hardness or DR.</t>
  </si>
  <si>
    <t>Undead Anatomy I</t>
  </si>
  <si>
    <t>When you cast this spell, you can assume the form of any Small or Medium corporeal creature of the undead type, which must be vaguely humanoid-shaped (like a ghoul, skeleton, or zombie). You gain a bite attack (1d6 for Medium forms, 1d4 for Small forms), two claw or slam attacks (1d6 for Medium forms, 1d4 for Small forms), and darkvision 60 feet. If the form you assume has any of the following abilities, you gain the listed ability: climb 30 feet, fly 30 feet (average maneuverability), swim 30 feet, low-light vision, and scent. In this form, you detect as an undead creature (such as with detect undead, but not with magic that reveals your true form, such as true seeing) and are treated as undead for the purposes of channeled energy, cure spells, and inflict spells, but not for other effects that specifically target or react differently to undead (such as searing light). Small undead: If the form you take is that of a Small undead, you gain a +2 size bonus to your Dexterity and a +1 natural armor bonus. Medium undead: If the form you take is that of a Medium undead, you gain a +2 size bonus to your Strength and a +2 natural armor bonus.</t>
  </si>
  <si>
    <t>&lt;p&gt;When you cast this spell, you can assume the form of any &lt;i&gt;Small&lt;/i&gt; or &lt;i&gt;Medium&lt;/i&gt; corporeal creature of the undead type, which must be vaguely humanoid-shaped (like a ghoul, skeleton, or zombie). You gain a bite attack (1d6 for &lt;i&gt;Medium&lt;/i&gt; forms, 1d4 for &lt;i&gt;Small&lt;/i&gt; forms), two claw or slam attacks (1d6 for &lt;i&gt;Medium&lt;/i&gt; forms, 1d4 for &lt;i&gt;Small&lt;/i&gt; forms), and darkvision 60 feet. If the form you assume has any of the following abilities, you gain the listed ability: climb 30 feet, fly 30 feet (average maneuverability), swim 30 feet, low-light vision, and scent.&lt;/p&gt;&lt;p&gt;In this form, you detect as an undead creature (such as with &lt;i&gt;detect undead&lt;/i&gt;, but not with magic that reveals your &lt;i&gt;true&lt;/i&gt; form, such as &lt;i&gt;true&lt;/i&gt; seeing) and are treated as undead for the purposes of channeled energy, &lt;i&gt;cure&lt;/i&gt; spells, and &lt;i&gt;inflict&lt;/i&gt; spells, but not for other effects that specifically target or react differently to undead (such as &lt;i&gt;searing&lt;/i&gt; light).&lt;/p&gt;&lt;p&gt;&lt;i&gt;Small&lt;/i&gt; undead: If the form you take is that of a &lt;i&gt;Small&lt;/i&gt; undead, you gain a +2 size bonus to your Dexterity and a +1 natural armor bonus.&lt;/p&gt;&lt;p&gt;&lt;i&gt;Medium&lt;/i&gt; undead: If the form you take is that of a &lt;i&gt;Medium&lt;/i&gt; undead, you gain a +2 size bonus to your Strength and a +2 natural armor bonus.&lt;/p&gt;</t>
  </si>
  <si>
    <t>&lt;link rel="stylesheet"href="PF.css"&gt;&lt;div class="heading"&gt;&lt;p class="alignleft"&gt;Undead Anatomy I&lt;/p&gt;&lt;div style="clear: both;"&gt;&lt;/div&gt;&lt;/div&gt;&lt;div&gt;&lt;h5&gt;&lt;b&gt;School &lt;/b&gt;transmutation (polymorph); &lt;b&gt;Level &lt;/b&gt;alchemist 3, magus 3, sorcerer/wizard 3&lt;/h5&gt;&lt;/div&gt;&lt;hr/&gt;&lt;div&gt;&lt;h5&gt;&lt;b&gt;CASTING&lt;/b&gt;&lt;/h5&gt;&lt;/div&gt;&lt;hr/&gt;&lt;div&gt;&lt;h5&gt;&lt;b&gt;Casting Time &lt;/b&gt;1 standard action&lt;/h5&gt;&lt;h5&gt;&lt;b&gt;Components &lt;/b&gt;V, S, M (a piece of the creature whose form you plan to assume)&lt;/h5&gt;&lt;/div&gt;&lt;hr/&gt;&lt;div&gt;&lt;h5&gt;&lt;b&gt;EFFECT&lt;/b&gt;&lt;/h5&gt;&lt;/div&gt;&lt;hr/&gt;&lt;div&gt;&lt;h5&gt;&lt;b&gt;Range &lt;/b&gt;personal&lt;/h5&gt;&lt;h5&gt;&lt;b&gt;Targets &lt;/b&gt;you&lt;/h5&gt;&lt;h5&gt;&lt;b&gt;Duration &lt;/b&gt;1 minute/level (D)&lt;/h5&gt;&lt;/div&gt;&lt;hr/&gt;&lt;div&gt;&lt;h5&gt;&lt;b&gt;DESCRIPTION&lt;/b&gt;&lt;/h5&gt;&lt;/div&gt;&lt;hr/&gt;&lt;div&gt;&lt;h4&gt;&lt;p&gt;When you cast this spell, you can assume the form of any &lt;i&gt;Small&lt;/i&gt; or &lt;i&gt;Medium&lt;/i&gt; corporeal creature of the undead type, which must be vaguely humanoid-shaped (like a ghoul, skeleton, or zombie). You gain a bite attack (1d6 for &lt;i&gt;Medium&lt;/i&gt; forms, 1d4 for &lt;i&gt;Small&lt;/i&gt; forms), two claw or slam attacks (1d6 for &lt;i&gt;Medium&lt;/i&gt; forms, 1d4 for &lt;i&gt;Small&lt;/i&gt; forms), and darkvision 60 feet. If the form you assume has any of the following abilities, you gain the listed ability: climb 30 feet, fly 30 feet (average maneuverability), swim 30 feet, low-light vision, and scent.&lt;/p&gt;&lt;p&gt;In this form, you detect as an undead creature (such as with &lt;i&gt;detect undead&lt;/i&gt;, but not with magic that reveals your &lt;i&gt;true&lt;/i&gt; form, such as &lt;i&gt;true&lt;/i&gt; seeing) and are treated as undead for the purposes of channeled energy, &lt;i&gt;cure&lt;/i&gt; spells, and &lt;i&gt;inflict&lt;/i&gt; spells, but not for other effects that specifically target or react differently to undead (such as &lt;i&gt;searing&lt;/i&gt; light).&lt;/p&gt;&lt;p&gt;&lt;i&gt;Small&lt;/i&gt; undead: If the form you take is that of a &lt;i&gt;Small&lt;/i&gt; undead, you gain a +2 size bonus to your Dexterity and a +1 natural armor bonus.&lt;/p&gt;&lt;p&gt;&lt;i&gt;Medium&lt;/i&gt; undead: If the form you take is that of a &lt;i&gt;Medium&lt;/i&gt; undead, you gain a +2 size bonus to your Strength and a +2 natural armor bonus.&lt;/p&gt;&lt;/h4&gt;&lt;/div&gt;</t>
  </si>
  <si>
    <t>Take the form and some of the powers of a Small or Medium undead.</t>
  </si>
  <si>
    <t>Undead Anatomy II</t>
  </si>
  <si>
    <t>This spell functions as undead anatomy I, except it also allows you to assume the form of a Tiny or Large corporeal creature of the undead type. If the form you assume has any of the following abilities, you gain the listed ability: climb 60 feet, fly 60 feet (good maneuverability), swim 60 feet, darkvision 60 feet, low-light vision, blood drain, DR 5/bludgeoning, scent, freeze, grab, mimicry, pounce, shadowless, sound mimicry, and trip. In this form, you gain a +4 bonus on saves against mindaffecting effects, disease, poison, sleep, and stunning. If the form has a vulnerability to an attack (such as sunlight), you gain that vulnerability. Tiny undead: If the form you take is that of a Tiny undead, you gain a +4 size bonus to your Dexterity, a -2 penalty to your Strength, and a +1 natural armor bonus. Large undead: If the form you take is that of a Large undead, you gain a +4 size bonus to your Strength, a -2 penalty to your Dexterity, and a +4 natural armor bonus.</t>
  </si>
  <si>
    <t>&lt;p&gt;This spell functions as &lt;i&gt;undead anatomy I&lt;/i&gt;, except it also allows you to assume the form of a &lt;i&gt;Tiny&lt;/i&gt; or &lt;i&gt;Large&lt;/i&gt; corporeal creature of the undead type. If the form you assume has any of the following abilities, you gain the listed ability: climb 60 feet, fly 60 feet (good maneuverability), swim 60 feet, darkvision 60 feet, low-light vision, blood drain, DR 5/bludgeoning, scent, freeze, grab, mimicry, pounce, shadowless, sound mimicry, and trip.&lt;/p&gt;&lt;p&gt;In this form, you gain a +4 bonus on saves against mindaffecting effects, disease, poison, sleep, and stunning. If the form has a vulnerability to an attack (such as sunlight), you gain that vulnerability.&lt;/p&gt;&lt;p&gt;&lt;i&gt;Tiny&lt;/i&gt; undead: If the form you take is that of a &lt;i&gt;Tiny&lt;/i&gt; undead, you gain a +4 size bonus to your Dexterity, a -2 penalty to your Strength, and a +1 natural armor bonus.&lt;/p&gt;&lt;p&gt;&lt;i&gt;Large&lt;/i&gt; undead: If the form you take is that of a &lt;i&gt;Large&lt;/i&gt; undead, you gain a +4 size bonus to your Strength, a -2 penalty to your Dexterity, and a +4 natural armor bonus.&lt;/p&gt;</t>
  </si>
  <si>
    <t>&lt;link rel="stylesheet"href="PF.css"&gt;&lt;div class="heading"&gt;&lt;p class="alignleft"&gt;Undead Anatomy II&lt;/p&gt;&lt;div style="clear: both;"&gt;&lt;/div&gt;&lt;/div&gt;&lt;div&gt;&lt;h5&gt;&lt;b&gt;School &lt;/b&gt;transmutation (polymorph); &lt;b&gt;Level &lt;/b&gt;alchemist 5, magus 5, sorcerer/wizard 5&lt;/h5&gt;&lt;/div&gt;&lt;hr/&gt;&lt;div&gt;&lt;h5&gt;&lt;b&gt;CASTING&lt;/b&gt;&lt;/h5&gt;&lt;/div&gt;&lt;hr/&gt;&lt;div&gt;&lt;h5&gt;&lt;b&gt;Casting Time &lt;/b&gt;1 standard action&lt;/h5&gt;&lt;h5&gt;&lt;b&gt;Components &lt;/b&gt;V, S, M (a piece of the creature whose form you plan to assume)&lt;/h5&gt;&lt;/div&gt;&lt;hr/&gt;&lt;div&gt;&lt;h5&gt;&lt;b&gt;EFFECT&lt;/b&gt;&lt;/h5&gt;&lt;/div&gt;&lt;hr/&gt;&lt;div&gt;&lt;h5&gt;&lt;b&gt;Range &lt;/b&gt;personal&lt;/h5&gt;&lt;h5&gt;&lt;b&gt;Targets &lt;/b&gt;you&lt;/h5&gt;&lt;h5&gt;&lt;b&gt;Duration &lt;/b&gt;1 minute/level (D)&lt;/h5&gt;&lt;/div&gt;&lt;hr/&gt;&lt;div&gt;&lt;h5&gt;&lt;b&gt;DESCRIPTION&lt;/b&gt;&lt;/h5&gt;&lt;/div&gt;&lt;hr/&gt;&lt;div&gt;&lt;h4&gt;&lt;p&gt;This spell functions as &lt;i&gt;undead anatomy I&lt;/i&gt;, except it also allows you to assume the form of a &lt;i&gt;Tiny&lt;/i&gt; or &lt;i&gt;Large&lt;/i&gt; corporeal creature of the undead type. If the form you assume has any of the following abilities, you gain the listed ability: climb 60 feet, fly 60 feet (good maneuverability), swim 60 feet, darkvision 60 feet, low-light vision, blood drain, DR 5/bludgeoning, scent, freeze, grab, mimicry, pounce, shadowless, sound mimicry, and trip.&lt;/p&gt;&lt;p&gt;In this form, you gain a +4 bonus on saves against mindaffecting effects, disease, poison, sleep, and stunning. If the form has a vulnerability to an attack (such as sunlight), you gain that vulnerability.&lt;/p&gt;&lt;p&gt;&lt;i&gt;Tiny&lt;/i&gt; undead: If the form you take is that of a &lt;i&gt;Tiny&lt;/i&gt; undead, you gain a +4 size bonus to your Dexterity, a -2 penalty to your Strength, and a +1 natural armor bonus.&lt;/p&gt;&lt;p&gt;&lt;i&gt;Large&lt;/i&gt; undead: If the form you take is that of a &lt;i&gt;Large&lt;/i&gt; undead, you gain a +4 size bonus to your Strength, a -2 penalty to your Dexterity, and a +4 natural armor bonus.&lt;/p&gt;&lt;/h4&gt;&lt;/div&gt;</t>
  </si>
  <si>
    <t>Take the form and some of the powers of a Tiny or Large undead.</t>
  </si>
  <si>
    <t>Undead Anatomy III</t>
  </si>
  <si>
    <t>This spell functions as undead anatomy II, except it also allows you to assume the form of a Diminutive or Huge corporeal creature of the undead type. If the form you assume has any of the following abilities, you gain the listed ability: burrow 30 feet, climb 90 feet, fly 90 feet (good maneuverability), swim 90 feet, all-around vision, blindsense 30 feet, darkvision 60 feet, low-light vision, scent, constrict, disease, DR 5/-, fear aura, grab, jet, natural cunning, overwhelming, poison, pounce, rake, trample, trip, unnatural aura, and web. If the creature has immunity or resistance to any energy types, you gain resistance 20 to those energy types. If the creature has vulnerability to an energy type, you gain that vulnerability. In this form, you gain a +8 bonus on saves against mind-affecting effects, disease, poison, sleep, and stunning. If the form has a vulnerability to an attack (such as sunlight), you gain that vulnerability. Diminutive undead: If the form you take is that of a Diminutive undead, you gain a +6 size bonus to your Dexterity, a -4 penalty to your Strength, and a +1 natural armor bonus. Huge undead: If the form you take is that of a Huge undead, you gain a +6 size bonus to your Strength, a -4 penalty to your Dexterity, and a +6 natural armor bonus.</t>
  </si>
  <si>
    <t>&lt;p&gt;This spell functions as &lt;i&gt;undead anatomy II&lt;/i&gt;, except it also allows you to assume the form of a &lt;i&gt;Diminutive&lt;/i&gt; or &lt;i&gt;Huge&lt;/i&gt; corporeal creature of the undead type. If the form you assume has any of the following abilities, you gain the listed ability: burrow 30 feet, climb 90 feet, fly 90 feet (good maneuverability), swim 90 feet, all-around vision, blindsense 30 feet, darkvision 60 feet, low-light vision, scent, constrict, disease, DR 5/-, fear aura, grab, jet, natural cunning, overwhelming, poison, pounce, rake, trample, trip, unnatural aura, and web.&lt;/p&gt;&lt;p&gt;If the creature has immunity or resistance to any energy types, you gain resistance 20 to those energy types. If the creature has vulnerability to an energy type, you gain that vulnerability. In this form, you gain a +8 bonus on saves against mind-affecting effects, disease, poison, sleep, and stunning. If the form has a vulnerability to an attack (such as sunlight), you gain that vulnerability.&lt;/p&gt;&lt;p&gt;&lt;i&gt;Diminutive&lt;/i&gt; undead: If the form you take is that of a &lt;i&gt;Diminutive&lt;/i&gt; undead, you gain a +6 size bonus to your Dexterity, a -4 penalty to your Strength, and a +1 natural armor bonus.&lt;/p&gt;&lt;p&gt;&lt;i&gt;Huge&lt;/i&gt; undead: If the form you take is that of a &lt;i&gt;Huge&lt;/i&gt; undead, you gain a +6 size bonus to your Strength, a -4 penalty to your Dexterity, and a +6 natural armor bonus.&lt;/p&gt;</t>
  </si>
  <si>
    <t>&lt;link rel="stylesheet"href="PF.css"&gt;&lt;div class="heading"&gt;&lt;p class="alignleft"&gt;Undead Anatomy III&lt;/p&gt;&lt;div style="clear: both;"&gt;&lt;/div&gt;&lt;/div&gt;&lt;div&gt;&lt;h5&gt;&lt;b&gt;School &lt;/b&gt;transmutation (polymorph); &lt;b&gt;Level &lt;/b&gt;alchemist 6, magus 6, sorcerer/wizard 6&lt;/h5&gt;&lt;/div&gt;&lt;hr/&gt;&lt;div&gt;&lt;h5&gt;&lt;b&gt;CASTING&lt;/b&gt;&lt;/h5&gt;&lt;/div&gt;&lt;hr/&gt;&lt;div&gt;&lt;h5&gt;&lt;b&gt;Casting Time &lt;/b&gt;1 standard action&lt;/h5&gt;&lt;h5&gt;&lt;b&gt;Components &lt;/b&gt;V, S, M (a piece of the creature whose form you plan to assume)&lt;/h5&gt;&lt;/div&gt;&lt;hr/&gt;&lt;div&gt;&lt;h5&gt;&lt;b&gt;EFFECT&lt;/b&gt;&lt;/h5&gt;&lt;/div&gt;&lt;hr/&gt;&lt;div&gt;&lt;h5&gt;&lt;b&gt;Range &lt;/b&gt;personal&lt;/h5&gt;&lt;h5&gt;&lt;b&gt;Targets &lt;/b&gt;you&lt;/h5&gt;&lt;h5&gt;&lt;b&gt;Duration &lt;/b&gt;1 minute/level (D)&lt;/h5&gt;&lt;/div&gt;&lt;hr/&gt;&lt;div&gt;&lt;h5&gt;&lt;b&gt;DESCRIPTION&lt;/b&gt;&lt;/h5&gt;&lt;/div&gt;&lt;hr/&gt;&lt;div&gt;&lt;h4&gt;&lt;p&gt;This spell functions as &lt;i&gt;undead anatomy II&lt;/i&gt;, except it also allows you to assume the form of a &lt;i&gt;Diminutive&lt;/i&gt; or &lt;i&gt;Huge&lt;/i&gt; corporeal creature of the undead type. If the form you assume has any of the following abilities, you gain the listed ability: burrow 30 feet, climb 90 feet, fly 90 feet (good maneuverability), swim 90 feet, all-around vision, blindsense 30 feet, darkvision 60 feet, low-light vision, scent, constrict, disease, DR 5/-, fear aura, grab, jet, natural cunning, overwhelming, poison, pounce, rake, trample, trip, unnatural aura, and web.&lt;/p&gt;&lt;p&gt;If the creature has immunity or resistance to any energy types, you gain resistance 20 to those energy types. If the creature has vulnerability to an energy type, you gain that vulnerability. In this form, you gain a +8 bonus on saves against mind-affecting effects, disease, poison, sleep, and stunning. If the form has a vulnerability to an attack (such as sunlight), you gain that vulnerability.&lt;/p&gt;&lt;p&gt;&lt;i&gt;Diminutive&lt;/i&gt; undead: If the form you take is that of a &lt;i&gt;Diminutive&lt;/i&gt; undead, you gain a +6 size bonus to your Dexterity, a -4 penalty to your Strength, and a +1 natural armor bonus.&lt;/p&gt;&lt;p&gt;&lt;i&gt;Huge&lt;/i&gt; undead: If the form you take is that of a &lt;i&gt;Huge&lt;/i&gt; undead, you gain a +6 size bonus to your Strength, a -4 penalty to your Dexterity, and a +6 natural armor bonus.&lt;/p&gt;&lt;/h4&gt;&lt;/div&gt;</t>
  </si>
  <si>
    <t>Take the form and some of the powers of a Diminutive or Huge undead.</t>
  </si>
  <si>
    <t>Undead Anatomy IV</t>
  </si>
  <si>
    <t>1 minute/level (D) (see text)</t>
  </si>
  <si>
    <t>This spell functions as undead anatomy III, except it allows you to use more abilities. If the form you assume has any of the following abilities, you gain the listed ability: burrow 60 feet, climb 90 feet, fly 120 feet (good maneuverability), swim 120 feet, blindsense 60 feet, darkvision 90 feet, lifesense 60 feet, low-light vision, scent, tremorsense 60 feet, breath weapon, constrict, DR 10/magic and silver, DR 15/bludgeoning and magic, fast healing 5, fiery death, fire aura, grab, incorporeal, jet, poison, pounce, rake, rend, roar, spikes, trample, trip, and web. If the creature's form is incorporeal, the spell's duration is in rounds per level instead of minutes per level, and your bite and claw (or slam) attacks are incorporeal touch attacks. If the creature has immunity or resistance to any energy types, you gain resistance 30 to those energy types. If the creature has vulnerability to an energy type, you gain that vulnerability. In this form, you gain a +8 bonus on saves against mindaffecting effects, disease, poison, sleep, and stunning. If the form has a vulnerability to an attack (such as sunlight), you gain that vulnerability. Tiny undead: If the form you take is that of a Tiny undead, you gain a -2 penalty to your Strength, a +8 size bonus to your Dexterity, and a +3 natural armor bonus. Large undead: If the form you take is that of a Large undead, you gain a +6 size bonus to your Strength, a -2 penalty on your Dexterity, a +2 size bonus to your Constitution, and a +6 natural armor bonus.</t>
  </si>
  <si>
    <t>&lt;p&gt;This spell functions as &lt;i&gt;undead anatomy III&lt;/i&gt;, except it allows you to use more abilities. If the form you assume has any of the following abilities, you gain the listed ability: burrow 60 feet, climb 90 feet, fly 120 feet (good maneuverability), swim 120 feet, blindsense 60 feet, darkvision 90 feet, lifesense 60 feet, low-light vision, scent, tremorsense 60 feet, breath weapon, constrict, DR 10/magic and silver, DR 15/bludgeoning and magic, fast healing 5, fiery death, fire aura, grab, incorporeal, jet, poison, pounce, rake, rend, roar, spikes, trample, trip, and web.&lt;/p&gt;&lt;p&gt;If the creature's form is incorporeal, the spell's duration is in rounds per level instead of minutes per level, and your bite and claw (or slam) attacks are incorporeal touch attacks. If the creature has immunity or resistance to any energy types, you gain resistance 30 to those energy types. If the creature has vulnerability to an energy type, you gain that vulnerability.&lt;/p&gt;&lt;p&gt;In this form, you gain a +8 bonus on saves against mindaffecting effects, disease, poison, sleep, and stunning. If the form has a vulnerability to an attack (such as sunlight), you gain that vulnerability.&lt;/p&gt;&lt;p&gt;&lt;i&gt;Tiny&lt;/i&gt; undead: If the form you take is that of a &lt;i&gt;Tiny&lt;/i&gt; undead, you gain a -2 penalty to your Strength, a +8 size bonus to your Dexterity, and a +3 natural armor bonus.&lt;/p&gt;&lt;p&gt;&lt;i&gt;Large&lt;/i&gt; undead: If the form you take is that of a &lt;i&gt;Large&lt;/i&gt; undead, you gain a +6 size bonus to your Strength, a -2 penalty on your Dexterity, a +2 size bonus to your Constitution, and a +6 natural armor bonus.&lt;/p&gt;</t>
  </si>
  <si>
    <t>&lt;link rel="stylesheet"href="PF.css"&gt;&lt;div class="heading"&gt;&lt;p class="alignleft"&gt;Undead Anatomy IV&lt;/p&gt;&lt;div style="clear: both;"&gt;&lt;/div&gt;&lt;/div&gt;&lt;div&gt;&lt;h5&gt;&lt;b&gt;School &lt;/b&gt;transmutation (polymorph); &lt;b&gt;Level &lt;/b&gt;sorcerer/wizard 8&lt;/h5&gt;&lt;/div&gt;&lt;hr/&gt;&lt;div&gt;&lt;h5&gt;&lt;b&gt;CASTING&lt;/b&gt;&lt;/h5&gt;&lt;/div&gt;&lt;hr/&gt;&lt;div&gt;&lt;h5&gt;&lt;b&gt;Casting Time &lt;/b&gt;1 standard action&lt;/h5&gt;&lt;h5&gt;&lt;b&gt;Components &lt;/b&gt;V, S, M (a piece of the creature whose form you plan to assume)&lt;/h5&gt;&lt;/div&gt;&lt;hr/&gt;&lt;div&gt;&lt;h5&gt;&lt;b&gt;EFFECT&lt;/b&gt;&lt;/h5&gt;&lt;/div&gt;&lt;hr/&gt;&lt;div&gt;&lt;h5&gt;&lt;b&gt;Range &lt;/b&gt;personal&lt;/h5&gt;&lt;h5&gt;&lt;b&gt;Targets &lt;/b&gt;you&lt;/h5&gt;&lt;h5&gt;&lt;b&gt;Duration &lt;/b&gt;1 minute/level (D) (see text)&lt;/h5&gt;&lt;/div&gt;&lt;hr/&gt;&lt;div&gt;&lt;h5&gt;&lt;b&gt;DESCRIPTION&lt;/b&gt;&lt;/h5&gt;&lt;/div&gt;&lt;hr/&gt;&lt;div&gt;&lt;h4&gt;&lt;p&gt;This spell functions as &lt;i&gt;undead anatomy III&lt;/i&gt;, except it allows you to use more abilities. If the form you assume has any of the following abilities, you gain the listed ability: burrow 60 feet, climb 90 feet, fly 120 feet (good maneuverability), swim 120 feet, blindsense 60 feet, darkvision 90 feet, lifesense 60 feet, low-light vision, scent, tremorsense 60 feet, breath weapon, constrict, DR 10/magic and silver, DR 15/bludgeoning and magic, fast healing 5, fiery death, fire aura, grab, incorporeal, jet, poison, pounce, rake, rend, roar, spikes, trample, trip, and web.&lt;/p&gt;&lt;p&gt;If the creature's form is incorporeal, the spell's duration is in rounds per level instead of minutes per level, and your bite and claw (or slam) attacks are incorporeal touch attacks. If the creature has immunity or resistance to any energy types, you gain resistance 30 to those energy types. If the creature has vulnerability to an energy type, you gain that vulnerability.&lt;/p&gt;&lt;p&gt;In this form, you gain a +8 bonus on saves against mindaffecting effects, disease, poison, sleep, and stunning. If the form has a vulnerability to an attack (such as sunlight), you gain that vulnerability.&lt;/p&gt;&lt;p&gt;&lt;i&gt;Tiny&lt;/i&gt; undead: If the form you take is that of a &lt;i&gt;Tiny&lt;/i&gt; undead, you gain a -2 penalty to your Strength, a +8 size bonus to your Dexterity, and a +3 natural armor bonus.&lt;/p&gt;&lt;p&gt;&lt;i&gt;Large&lt;/i&gt; undead: If the form you take is that of a &lt;i&gt;Large&lt;/i&gt; undead, you gain a +6 size bonus to your Strength, a -2 penalty on your Dexterity, a +2 size bonus to your Constitution, and a +6 natural armor bonus.&lt;/p&gt;&lt;/h4&gt;&lt;/div&gt;</t>
  </si>
  <si>
    <t>As undead anatomy III, but with more abilities.</t>
  </si>
  <si>
    <t>Unholy Ice</t>
  </si>
  <si>
    <t>cold, evil, water</t>
  </si>
  <si>
    <t>V, S, M (a flask of unholy water or 5 pounds of powdered silver worth 25 gp)</t>
  </si>
  <si>
    <t>This spell functions as holy ice, except it is made of frozen unholy water rather than holy water.</t>
  </si>
  <si>
    <t>&lt;p&gt;This spell functions as &lt;i&gt;holy ice&lt;/i&gt;, except it is made of frozen unholy water rather than holy water.&lt;/p&gt;</t>
  </si>
  <si>
    <t>&lt;link rel="stylesheet"href="PF.css"&gt;&lt;div class="heading"&gt;&lt;p class="alignleft"&gt;Unholy Ice&lt;/p&gt;&lt;div style="clear: both;"&gt;&lt;/div&gt;&lt;/div&gt;&lt;div&gt;&lt;h5&gt;&lt;b&gt;School &lt;/b&gt;transmutation [cold, evil, water]; &lt;b&gt;Level &lt;/b&gt;cleric 5/oracle 5&lt;/h5&gt;&lt;/div&gt;&lt;hr/&gt;&lt;div&gt;&lt;h5&gt;&lt;b&gt;CASTING&lt;/b&gt;&lt;/h5&gt;&lt;/div&gt;&lt;hr/&gt;&lt;div&gt;&lt;h5&gt;&lt;b&gt;Casting Time &lt;/b&gt;1 standard action&lt;/h5&gt;&lt;h5&gt;&lt;b&gt;Components &lt;/b&gt;V, S, M (a flask of unholy water or 5 pounds of powdered silver worth 25 gp)&lt;/h5&gt;&lt;/div&gt;&lt;hr/&gt;&lt;div&gt;&lt;h5&gt;&lt;b&gt;EFFECT&lt;/b&gt;&lt;/h5&gt;&lt;/div&gt;&lt;hr/&gt;&lt;div&gt;&lt;h5&gt;&lt;b&gt;Range &lt;/b&gt;medium (100 ft. + 10 ft./level)&lt;/h5&gt;&lt;h5&gt;&lt;b&gt;Effect &lt;/b&gt;wall of ice or flying ice javelins (see text)&lt;/h5&gt;&lt;h5&gt;&lt;b&gt;Duration &lt;/b&gt;1 minute/level, instantaneous, or until expended (see text)&lt;/h5&gt;&lt;h5&gt;&lt;b&gt;Saving Throw &lt;/b&gt;Reflex negates or none (see text); &lt;b&gt;Spell Resistance &lt;/b&gt;yes&lt;/h5&gt;&lt;/div&gt;&lt;hr/&gt;&lt;div&gt;&lt;h5&gt;&lt;b&gt;DESCRIPTION&lt;/b&gt;&lt;/h5&gt;&lt;/div&gt;&lt;hr/&gt;&lt;div&gt;&lt;h4&gt;&lt;p&gt;This spell functions as &lt;i&gt;holy ice&lt;/i&gt;, except it is made of frozen unholy water rather than holy water.&lt;/p&gt;&lt;/h4&gt;&lt;/div&gt;</t>
  </si>
  <si>
    <t>Create wall or javelins of frozen unholy water.</t>
  </si>
  <si>
    <t>Unholy Sword</t>
  </si>
  <si>
    <t>antipaladin 4</t>
  </si>
  <si>
    <t>This spell allows you to channel the powers of evil into your sword, or any other melee weapon you choose. The weapon acts as a +5 unholy weapon (+5 enhancement bonus on attack and damage rolls, extra 2d6 damage against good opponents). It also emits a magic circle against good effect (as the spell). If the magic circle ends, the sword creates a new one on your turn as a free action. The spell is automatically canceled 1 round after the weapon leaves your hand. You cannot have more than one unholy sword at a time. If this spell is cast on a magic weapon, the powers of the spell supersede any that the weapon normally has, rendering the normal enhancement bonus and powers of the weapon inoperative for the duration of the spell. This spell is not cumulative with any spells that modify the weapon in any way. This spell does not work on artifacts. A masterwork weapon's bonus to attack does not stack with this spell's enhancement bonus to attack.</t>
  </si>
  <si>
    <t>&lt;p&gt;This spell allows you to channel the powers of evil into your sword, or any other melee weapon you choose. The weapon acts as a &lt;i&gt;+5 unholy weapon&lt;/i&gt; (+5 enhancement bonus on attack and damage rolls, extra 2d6 damage against good opponents).&lt;/p&gt;&lt;p&gt;It also emits a &lt;i&gt;&lt;i&gt;magic circle&lt;/i&gt; against good&lt;/i&gt; effect (as the spell). If the &lt;i&gt;magic circle&lt;/i&gt; ends, the sword creates a new one on your turn as a free action. The spell is automatically canceled 1 round after the weapon leaves your hand. You cannot have more than one &lt;i&gt;unholy sword&lt;/i&gt; at a time.&lt;/p&gt;&lt;p&gt;If this spell is cast on a magic weapon, the powers of the spell supersede any that the weapon normally has, rendering the normal enhancement bonus and powers of the weapon inoperative for the duration of the spell. This spell is not cumulative with any spells that modify the weapon in any way.&lt;/p&gt;&lt;p&gt;This spell does not work on artifacts. A masterwork weapon's bonus to attack does not stack with this spell's enhancement bonus to attack.&lt;/p&gt;</t>
  </si>
  <si>
    <t>&lt;link rel="stylesheet"href="PF.css"&gt;&lt;div class="heading"&gt;&lt;p class="alignleft"&gt;Unholy Sword&lt;/p&gt;&lt;div style="clear: both;"&gt;&lt;/div&gt;&lt;/div&gt;&lt;div&gt;&lt;h5&gt;&lt;b&gt;School &lt;/b&gt;evocation [evil]; &lt;b&gt;Level &lt;/b&gt;antipaladin 4&lt;/h5&gt;&lt;/div&gt;&lt;hr/&gt;&lt;div&gt;&lt;h5&gt;&lt;b&gt;CASTING&lt;/b&gt;&lt;/h5&gt;&lt;/div&gt;&lt;hr/&gt;&lt;div&gt;&lt;h5&gt;&lt;b&gt;Casting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&lt;/b&gt;melee weapon touched&lt;/h5&gt;&lt;h5&gt;&lt;b&gt;Duration &lt;/b&gt;1 round/level&lt;/h5&gt;&lt;h5&gt;&lt;b&gt;Saving Throw &lt;/b&gt;none; &lt;b&gt;Spell Resistance &lt;/b&gt;no&lt;/h5&gt;&lt;/div&gt;&lt;hr/&gt;&lt;div&gt;&lt;h5&gt;&lt;b&gt;DESCRIPTION&lt;/b&gt;&lt;/h5&gt;&lt;/div&gt;&lt;hr/&gt;&lt;div&gt;&lt;h4&gt;&lt;p&gt;This spell allows you to channel the powers of evil into your sword, or any other melee weapon you choose. The weapon acts as a &lt;i&gt;+5 unholy weapon&lt;/i&gt; (+5 enhancement bonus on attack and damage rolls, extra 2d6 damage against good opponents).&lt;/p&gt;&lt;p&gt;It also emits a &lt;i&gt;&lt;i&gt;magic circle&lt;/i&gt; against good&lt;/i&gt; effect (as the spell). If the &lt;i&gt;magic circle&lt;/i&gt; ends, the sword creates a new one on your turn as a free action. The spell is automatically canceled 1 round after the weapon leaves your hand. You cannot have more than one &lt;i&gt;unholy sword&lt;/i&gt; at a time.&lt;/p&gt;&lt;p&gt;If this spell is cast on a magic weapon, the powers of the spell supersede any that the weapon normally has, rendering the normal enhancement bonus and powers of the weapon inoperative for the duration of the spell. This spell is not cumulative with any spells that modify the weapon in any way.&lt;/p&gt;&lt;p&gt;This spell does not work on artifacts. A masterwork weapon's bonus to attack does not stack with this spell's enhancement bonus to attack.&lt;/p&gt;&lt;/h4&gt;&lt;/div&gt;</t>
  </si>
  <si>
    <t>Weapon becomes +5, deals +2d6 damage vs. good.</t>
  </si>
  <si>
    <t>Unnatural Lust</t>
  </si>
  <si>
    <t>bard 1, sorcerer/wizard 2, witch 2</t>
  </si>
  <si>
    <t>Your target is filled with lust and desire for a single creature or object as designated by you at the time of casting. That creature or object must be within the spell's range and perceivable by the target of the spell. The target is filled with the compulsion to rush to the subject of its lust and passionately kiss or caress that subject on its next turn, taking no other actions. If the target would not normally have lustful feelings toward the designated creature or object, it receives a +4 bonus on its saving throw.</t>
  </si>
  <si>
    <t>&lt;p&gt;Your target is filled with lust and desire for a single creature or object as designated by you at the time of casting. That creature or object must be within the spell's range and perceivable by the target of the spell. The target is filled with the compulsion to rush to the subject of its lust and passionately kiss or caress that subject on its next turn, taking no other actions. If the target would not normally have lustful feelings toward the designated creature or object, it receives a +4 bonus on its saving throw.&lt;/p&gt;</t>
  </si>
  <si>
    <t>&lt;link rel="stylesheet"href="PF.css"&gt;&lt;div class="heading"&gt;&lt;p class="alignleft"&gt;Unnatural Lust&lt;/p&gt;&lt;div style="clear: both;"&gt;&lt;/div&gt;&lt;/div&gt;&lt;div&gt;&lt;h5&gt;&lt;b&gt;School &lt;/b&gt;enchantment (compulsion) [emotion, mind-affecting]; &lt;b&gt;Level &lt;/b&gt;bard 1, sorcerer/wizard 2, witch 2&lt;/h5&gt;&lt;/div&gt;&lt;hr/&gt;&lt;div&gt;&lt;h5&gt;&lt;b&gt;CASTING&lt;/b&gt;&lt;/h5&gt;&lt;/div&gt;&lt;hr/&gt;&lt;div&gt;&lt;h5&gt;&lt;b&gt;Casting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&lt;/b&gt;1 round&lt;/h5&gt;&lt;h5&gt;&lt;b&gt;Saving Throw &lt;/b&gt;Will negates; &lt;b&gt;Spell Resistance &lt;/b&gt;yes&lt;/h5&gt;&lt;/div&gt;&lt;hr/&gt;&lt;div&gt;&lt;h5&gt;&lt;b&gt;DESCRIPTION&lt;/b&gt;&lt;/h5&gt;&lt;/div&gt;&lt;hr/&gt;&lt;div&gt;&lt;h4&gt;&lt;p&gt;Your target is filled with lust and desire for a single creature or object as designated by you at the time of casting. That creature or object must be within the spell's range and perceivable by the target of the spell. The target is filled with the compulsion to rush to the subject of its lust and passionately kiss or caress that subject on its next turn, taking no other actions. If the target would not normally have lustful feelings toward the designated creature or object, it receives a +4 bonus on its saving throw.&lt;/p&gt;&lt;/h4&gt;&lt;/div&gt;</t>
  </si>
  <si>
    <t>Target is compelled to kiss or caress another.</t>
  </si>
  <si>
    <t>Unprepared Combatant</t>
  </si>
  <si>
    <t>The target takes a -4 penalty on initiative checks and Reflex saves.</t>
  </si>
  <si>
    <t>&lt;p&gt;The target takes a -4 penalty on initiative checks and Reflex saves.&lt;/p&gt;</t>
  </si>
  <si>
    <t>&lt;link rel="stylesheet"href="PF.css"&gt;&lt;div class="heading"&gt;&lt;p class="alignleft"&gt;Unprepared Combatant&lt;/p&gt;&lt;div style="clear: both;"&gt;&lt;/div&gt;&lt;/div&gt;&lt;div&gt;&lt;h5&gt;&lt;b&gt;School &lt;/b&gt;enchantment (compulsion) [emotion, mind-affecting]; &lt;b&gt;Level &lt;/b&gt;bard 1, sorcerer/wizard 1, witch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&lt;/b&gt;1 minute/level&lt;/h5&gt;&lt;h5&gt;&lt;b&gt;Saving Throw &lt;/b&gt;Will negates; &lt;b&gt;Spell Resistance &lt;/b&gt;yes&lt;/h5&gt;&lt;/div&gt;&lt;hr/&gt;&lt;div&gt;&lt;h5&gt;&lt;b&gt;DESCRIPTION&lt;/b&gt;&lt;/h5&gt;&lt;/div&gt;&lt;hr/&gt;&lt;div&gt;&lt;h4&gt;&lt;p&gt;The target takes a -4 penalty on initiative checks and Reflex saves.&lt;/p&gt;&lt;/h4&gt;&lt;/div&gt;</t>
  </si>
  <si>
    <t>Target takes –4 on initiative and Reflex saves.</t>
  </si>
  <si>
    <t>Unshakable Chill</t>
  </si>
  <si>
    <t>druid 2, sorcerer/wizard 2, witch 2</t>
  </si>
  <si>
    <t>The target is filled with an unshakable chill for the duration of the spell, and suffers from the effects of severe cold (Core Rulebook 442). Severe cold means if the initial saving throw fails, the target takes 1d6 points of nonlethal cold damage and must save every 10 minutes (using the DC of severe cold instead of this spell's DC) or take additional damage.</t>
  </si>
  <si>
    <t>&lt;p&gt;The target is filled with an unshakable chill for the duration of the spell, and suffers from the effects of severe cold (&lt;i&gt;Core Rulebook&lt;/i&gt; 442). Severe cold means if the initial saving throw fails, the target takes 1d6 points of nonlethal cold damage and must save every 10 minutes (using the DC of severe cold instead of this spell's DC) or take additional damage.&lt;/p&gt;</t>
  </si>
  <si>
    <t>&lt;link rel="stylesheet"href="PF.css"&gt;&lt;div class="heading"&gt;&lt;p class="alignleft"&gt;Unshakable Chill&lt;/p&gt;&lt;div style="clear: both;"&gt;&lt;/div&gt;&lt;/div&gt;&lt;div&gt;&lt;h5&gt;&lt;b&gt;School &lt;/b&gt;necromancy [cold]; &lt;b&gt;Level &lt;/b&gt;druid 2, sorcerer/wizard 2, witch 2&lt;/h5&gt;&lt;/div&gt;&lt;hr/&gt;&lt;div&gt;&lt;h5&gt;&lt;b&gt;CASTING&lt;/b&gt;&lt;/h5&gt;&lt;/div&gt;&lt;hr/&gt;&lt;div&gt;&lt;h5&gt;&lt;b&gt;Casting Time &lt;/b&gt;1 standard action&lt;/h5&gt;&lt;h5&gt;&lt;b&gt;Components &lt;/b&gt;V, S, M&lt;/h5&gt;&lt;/div&gt;&lt;hr/&gt;&lt;div&gt;&lt;h5&gt;&lt;b&gt;EFFECT&lt;/b&gt;&lt;/h5&gt;&lt;/div&gt;&lt;hr/&gt;&lt;div&gt;&lt;h5&gt;&lt;b&gt;Range &lt;/b&gt;close (25 ft. + 5 ft./2 levels)&lt;/h5&gt;&lt;h5&gt;&lt;b&gt;Targets &lt;/b&gt;one creature&lt;/h5&gt;&lt;h5&gt;&lt;b&gt;Duration &lt;/b&gt;10 minutes/level; see text&lt;/h5&gt;&lt;h5&gt;&lt;b&gt;Saving Throw &lt;/b&gt;Fortitude negates (see text); &lt;b&gt;Spell Resistance &lt;/b&gt;yes&lt;/h5&gt;&lt;/div&gt;&lt;hr/&gt;&lt;div&gt;&lt;h5&gt;&lt;b&gt;DESCRIPTION&lt;/b&gt;&lt;/h5&gt;&lt;/div&gt;&lt;hr/&gt;&lt;div&gt;&lt;h4&gt;&lt;p&gt;The target is filled with an unshakable chill for the duration of the spell, and suffers from the effects of severe cold (&lt;i&gt;Core Rulebook&lt;/i&gt; 442). Severe cold means if the initial saving throw fails, the target takes 1d6 points of nonlethal cold damage and must save every 10 minutes (using the DC of severe cold instead of this spell's DC) or take additional damage.&lt;/p&gt;&lt;/h4&gt;&lt;h5&gt;&lt;b&gt;Mythic: &lt;/b&gt;On a failed save, the target immediately takes 1d6 points of nonlethal cold damage per tier. Add your tier to the DC of any other Fortitude saves the target attempts to resist severe cold as part of the spell's effects. The target also takes a -4 penalty on saves against spells or effects with the cold descriptor.&lt;/h5&gt;&lt;h5&gt;&lt;b&gt;Augmented (5th)&lt;/b&gt;: If you expend two uses of mythic power, the target gains vulnerability to fire (Bestiary 305).&lt;/h5&gt;&lt;/div&gt;</t>
  </si>
  <si>
    <t>Target is afflicted with severe cold.</t>
  </si>
  <si>
    <t>On a failed save, the target immediately takes 1d6 points of nonlethal cold damage per tier. Add your tier to the DC of any other Fortitude saves the target attempts to resist severe cold as part of the spell's effects. The target also takes a -4 penalty on saves against spells or effects with the cold descriptor.</t>
  </si>
  <si>
    <t>Augmented (5th): If you expend two uses of mythic power, the target gains vulnerability to fire (Bestiary 305).</t>
  </si>
  <si>
    <t>Utter Contempt</t>
  </si>
  <si>
    <t>antipaladin 3, bard 4, sorcerer/wizard 6</t>
  </si>
  <si>
    <t>V, S, M (spittle)</t>
  </si>
  <si>
    <t>You fill the target's heart with malice for all other creatures. The target's attitude toward all creatures other than itself worsens by two steps.</t>
  </si>
  <si>
    <t>&lt;p&gt;You fill the target's heart with malice for all other creatures.&lt;/p&gt;&lt;p&gt;The target's attitude toward all creatures other than itself worsens by two steps.&lt;/p&gt;</t>
  </si>
  <si>
    <t>&lt;link rel="stylesheet"href="PF.css"&gt;&lt;div class="heading"&gt;&lt;p class="alignleft"&gt;Utter Contempt&lt;/p&gt;&lt;div style="clear: both;"&gt;&lt;/div&gt;&lt;/div&gt;&lt;div&gt;&lt;h5&gt;&lt;b&gt;School &lt;/b&gt;enchantment [emotion]; &lt;b&gt;Level &lt;/b&gt;antipaladin 3, bard 4, sorcerer/wizard 6&lt;/h5&gt;&lt;/div&gt;&lt;hr/&gt;&lt;div&gt;&lt;h5&gt;&lt;b&gt;CASTING&lt;/b&gt;&lt;/h5&gt;&lt;/div&gt;&lt;hr/&gt;&lt;div&gt;&lt;h5&gt;&lt;b&gt;Casting Time &lt;/b&gt;1 standard action&lt;/h5&gt;&lt;h5&gt;&lt;b&gt;Components &lt;/b&gt;V, S, M (spittle)&lt;/h5&gt;&lt;/div&gt;&lt;hr/&gt;&lt;div&gt;&lt;h5&gt;&lt;b&gt;EFFECT&lt;/b&gt;&lt;/h5&gt;&lt;/div&gt;&lt;hr/&gt;&lt;div&gt;&lt;h5&gt;&lt;b&gt;Range &lt;/b&gt;close (25 ft. + 5 ft./2 levels)&lt;/h5&gt;&lt;h5&gt;&lt;b&gt;Targets &lt;/b&gt;one creature&lt;/h5&gt;&lt;h5&gt;&lt;b&gt;Duration &lt;/b&gt;1 minute/level&lt;/h5&gt;&lt;h5&gt;&lt;b&gt;Saving Throw &lt;/b&gt;Will negates; &lt;b&gt;Spell Resistance &lt;/b&gt;yes&lt;/h5&gt;&lt;/div&gt;&lt;hr/&gt;&lt;div&gt;&lt;h5&gt;&lt;b&gt;DESCRIPTION&lt;/b&gt;&lt;/h5&gt;&lt;/div&gt;&lt;hr/&gt;&lt;div&gt;&lt;h4&gt;&lt;p&gt;You fill the target's heart with malice for all other creatures.&lt;/p&gt;&lt;p&gt;The target's attitude toward all creatures other than itself worsens by two steps.&lt;/p&gt;&lt;/h4&gt;&lt;/div&gt;</t>
  </si>
  <si>
    <t>Target's attitude worsens by two categories.</t>
  </si>
  <si>
    <t>Vengeful Outrage</t>
  </si>
  <si>
    <t>emotion, language-dependent, mind-affecting</t>
  </si>
  <si>
    <t>You place a magical command upon a creature to seek out and destroy a single enemy that has inflicted some perceived or actual harm to the target. You designate the enemy at the time of casting, which must be known by the target (such as "your brother's murderer") or can easily identify by sight (such as "the hill giant king"). The target is under the of a geas to find and capture or kill this enemy, and the target takes the penalties of that spell as long as it is not actively trying to reach the enemy. When the target enters combat with the enemy, it gains a +6 morale bonus to Strength and Constitution, a +3 morale bonus on Will saves, and is immune to the shaken and frightened conditions. If you designate one of the target's friends or loved ones as the enemy, the target gains another saving throw to overcome the spell as soon as it enters combat with the enemy.</t>
  </si>
  <si>
    <t>&lt;p&gt;You place a magical command upon a creature to seek out and destroy a single enemy that has inflicted some perceived or actual harm to the target. You designate the enemy at the time of casting, which must be known by the target (such as "your brother's murderer") or can easily identify by sight (such as "the hill giant king"). The target is under the of a &lt;i&gt;geas&lt;/i&gt; to find and capture or kill this enemy, and the target takes the penalties of that spell as long as it is not actively trying to reach the enemy. When the target enters combat with the enemy, it gains a +6 morale bonus to Strength and Constitution, a +3 morale bonus on Will saves, and is immune to the shaken and frightened conditions.&lt;/p&gt;&lt;p&gt;If you designate one of the target's friends or loved ones as the enemy, the target gains another saving throw to overcome the spell as soon as it enters combat with the enemy.&lt;/p&gt;</t>
  </si>
  <si>
    <t>&lt;link rel="stylesheet"href="PF.css"&gt;&lt;div class="heading"&gt;&lt;p class="alignleft"&gt;Vengeful Outrage&lt;/p&gt;&lt;div style="clear: both;"&gt;&lt;/div&gt;&lt;/div&gt;&lt;div&gt;&lt;h5&gt;&lt;b&gt;School &lt;/b&gt;enchantment (compulsion) [emotion, language-dependent, mind-affecting]; &lt;b&gt;Level &lt;/b&gt;bard 5, sorcerer/wizard 6, witch 6&lt;/h5&gt;&lt;/div&gt;&lt;hr/&gt;&lt;div&gt;&lt;h5&gt;&lt;b&gt;CASTING&lt;/b&gt;&lt;/h5&gt;&lt;/div&gt;&lt;hr/&gt;&lt;div&gt;&lt;h5&gt;&lt;b&gt;Casting Time &lt;/b&gt;1 round&lt;/h5&gt;&lt;h5&gt;&lt;b&gt;Components &lt;/b&gt;V, S&lt;/h5&gt;&lt;/div&gt;&lt;hr/&gt;&lt;div&gt;&lt;h5&gt;&lt;b&gt;EFFECT&lt;/b&gt;&lt;/h5&gt;&lt;/div&gt;&lt;hr/&gt;&lt;div&gt;&lt;h5&gt;&lt;b&gt;Range &lt;/b&gt;close (25 ft. + 5 ft./2 levels)&lt;/h5&gt;&lt;h5&gt;&lt;b&gt;Targets &lt;/b&gt;one creature&lt;/h5&gt;&lt;h5&gt;&lt;b&gt;Duration &lt;/b&gt;1 minute/level&lt;/h5&gt;&lt;h5&gt;&lt;b&gt;Saving Throw &lt;/b&gt;Will negates; &lt;b&gt;Spell Resistance &lt;/b&gt;yes&lt;/h5&gt;&lt;/div&gt;&lt;hr/&gt;&lt;div&gt;&lt;h5&gt;&lt;b&gt;DESCRIPTION&lt;/b&gt;&lt;/h5&gt;&lt;/div&gt;&lt;hr/&gt;&lt;div&gt;&lt;h4&gt;&lt;p&gt;You place a magical command upon a creature to seek out and destroy a single enemy that has inflicted some perceived or actual harm to the target. You designate the enemy at the time of casting, which must be known by the target (such as "your brother's murderer") or can easily identify by sight (such as "the hill giant king"). The target is under the of a &lt;i&gt;geas&lt;/i&gt; to find and capture or kill this enemy, and the target takes the penalties of that spell as long as it is not actively trying to reach the enemy. When the target enters combat with the enemy, it gains a +6 morale bonus to Strength and Constitution, a +3 morale bonus on Will saves, and is immune to the shaken and frightened conditions.&lt;/p&gt;&lt;p&gt;If you designate one of the target's friends or loved ones as the enemy, the target gains another saving throw to overcome the spell as soon as it enters combat with the enemy.&lt;/p&gt;&lt;/h4&gt;&lt;/div&gt;</t>
  </si>
  <si>
    <t>Target is compelled to destroy one enemy.</t>
  </si>
  <si>
    <t>Vermin Shape I</t>
  </si>
  <si>
    <t>alchemist 4, druid 3, magus 4, sorcerer/wizard 4, witch 3</t>
  </si>
  <si>
    <t>When you cast this spell, you assume the form of any Small or Medium creature of the vermin type. If the form you assume has any of the following abilities, you gain the listed ability: climb 30 feet, fly 30 feet (average maneuverability), swim 30 feet, darkvision 60 feet, low-light vision, scent, and lunge. You don't gain full immunity to mind-affecting effects, but you do gain a +2 resistance bonus on all saving throws against such effects. Small vermin: If you take the form of a Small vermin, you gain a +2 size bonus to your Dexterity and a +2 natural armor bonus. Medium vermin: If you take the form of a Medium vermin, you gain a +2 size bonus to your Strength and a +3 natural armor bonus.</t>
  </si>
  <si>
    <t>&lt;p&gt;When you cast this spell, you assume the form of any &lt;i&gt;Small&lt;/i&gt; or &lt;i&gt;Medium&lt;/i&gt; creature of the vermin type. If the form you assume has any of the following abilities, you gain the listed ability: climb 30 feet, fly 30 feet (average maneuverability), swim 30 feet, darkvision 60 feet, low-light vision, scent, and lunge. You don't gain full immunity to mind-affecting effects, but you do gain a +2 resistance bonus on all saving throws against such effects.&lt;/p&gt;&lt;p&gt;&lt;i&gt;Small&lt;/i&gt; vermin: If you take the form of a &lt;i&gt;Small&lt;/i&gt; vermin, you gain a +2 size bonus to your Dexterity and a +2 natural armor bonus.&lt;/p&gt;&lt;p&gt;&lt;i&gt;Medium&lt;/i&gt; vermin: If you take the form of a &lt;i&gt;Medium&lt;/i&gt; vermin, you gain a +2 size bonus to your Strength and a +3 natural armor bonus.&lt;/p&gt;</t>
  </si>
  <si>
    <t>&lt;link rel="stylesheet"href="PF.css"&gt;&lt;div class="heading"&gt;&lt;p class="alignleft"&gt;Vermin Shape I&lt;/p&gt;&lt;div style="clear: both;"&gt;&lt;/div&gt;&lt;/div&gt;&lt;div&gt;&lt;h5&gt;&lt;b&gt;School &lt;/b&gt;transmutation (polymorph); &lt;b&gt;Level &lt;/b&gt;alchemist 4, druid 3, magus 4, sorcerer/wizard 4, witch 3&lt;/h5&gt;&lt;/div&gt;&lt;hr/&gt;&lt;div&gt;&lt;h5&gt;&lt;b&gt;CASTING&lt;/b&gt;&lt;/h5&gt;&lt;/div&gt;&lt;hr/&gt;&lt;div&gt;&lt;h5&gt;&lt;b&gt;Casting Time &lt;/b&gt;1 standard action&lt;/h5&gt;&lt;h5&gt;&lt;b&gt;Components &lt;/b&gt;V, S, M (a piece of the creature whose form you plan to assume)&lt;/h5&gt;&lt;/div&gt;&lt;hr/&gt;&lt;div&gt;&lt;h5&gt;&lt;b&gt;EFFECT&lt;/b&gt;&lt;/h5&gt;&lt;/div&gt;&lt;hr/&gt;&lt;div&gt;&lt;h5&gt;&lt;b&gt;Range &lt;/b&gt;personal&lt;/h5&gt;&lt;h5&gt;&lt;b&gt;Targets &lt;/b&gt;you&lt;/h5&gt;&lt;h5&gt;&lt;b&gt;Duration &lt;/b&gt;1 minute/level&lt;/h5&gt;&lt;/div&gt;&lt;hr/&gt;&lt;div&gt;&lt;h5&gt;&lt;b&gt;DESCRIPTION&lt;/b&gt;&lt;/h5&gt;&lt;/div&gt;&lt;hr/&gt;&lt;div&gt;&lt;h4&gt;&lt;p&gt;When you cast this spell, you assume the form of any &lt;i&gt;Small&lt;/i&gt; or &lt;i&gt;Medium&lt;/i&gt; creature of the vermin type. If the form you assume has any of the following abilities, you gain the listed ability: climb 30 feet, fly 30 feet (average maneuverability), swim 30 feet, darkvision 60 feet, low-light vision, scent, and lunge. You don't gain full immunity to mind-affecting effects, but you do gain a +2 resistance bonus on all saving throws against such effects.&lt;/p&gt;&lt;p&gt;&lt;i&gt;Small&lt;/i&gt; vermin: If you take the form of a &lt;i&gt;Small&lt;/i&gt; vermin, you gain a +2 size bonus to your Dexterity and a +2 natural armor bonus.&lt;/p&gt;&lt;p&gt;&lt;i&gt;Medium&lt;/i&gt; vermin: If you take the form of a &lt;i&gt;Medium&lt;/i&gt; vermin, you gain a +2 size bonus to your Strength and a +3 natural armor bonus.&lt;/p&gt;&lt;/h4&gt;&lt;/div&gt;</t>
  </si>
  <si>
    <t>Take the form and some of the powers of a Small or Medium vermin.</t>
  </si>
  <si>
    <t>Vermin Shape II</t>
  </si>
  <si>
    <t>alchemist 5, druid 4, magus 5, sorcerer/wizard 5, witch 4</t>
  </si>
  <si>
    <t>This spell functions as vermin shape I, except it also allows you to assume the form of a Tiny or Large creature of the vermintype. If the form you assume has any of the following abilities, you gain the listed ability: burrow 30 feet, climb 60 feet, fly 60 feet (good maneuverability), swim 60 feet, darkvision 60 feet, low-light vision, tremorsense 30 feet, scent, blood drain, constrict, grab, lunge, poison, pull, trample, and web. You don't gain full immunity to mind-affecting effects, but you do gain a +4 bonus on all saving throws against such effects. Tiny vermin: If you take the form of a Tiny vermin, you gain a +4 size bonus to your Dexterity, a -2 penalty to your Strength, and a +1 natural armor bonus. Large vermin: If you take the form of a Large vermin, you gain a +4 size bonus to your Strength, a -2 penalty to your Dexterity, and a +5 natural armor bonus.</t>
  </si>
  <si>
    <t>&lt;p&gt;This spell functions as &lt;i&gt;vermin shape I&lt;/i&gt;, except it also allows you to assume the form of a &lt;i&gt;Tiny&lt;/i&gt; or &lt;i&gt;Large&lt;/i&gt; creature of the vermintype. If the form you assume has any of the following abilities, you gain the listed ability: burrow 30 feet, climb 60 feet, fly 60 feet (good maneuverability), swim 60 feet, darkvision 60 feet, low-light vision, tremorsense 30 feet, scent, blood drain, constrict, grab, lunge, poison, pull, trample, and web. You don't gain full immunity to mind-affecting effects, but you do gain a +4 bonus on all saving throws against such effects.&lt;/p&gt;&lt;p&gt;&lt;i&gt;Tiny&lt;/i&gt; vermin: If you take the form of a &lt;i&gt;Tiny&lt;/i&gt; vermin, you gain a +4 size bonus to your Dexterity, a -2 penalty to your Strength, and a +1 natural armor bonus.&lt;/p&gt;&lt;p&gt;&lt;i&gt;Large&lt;/i&gt; vermin: If you take the form of a &lt;i&gt;Large&lt;/i&gt; vermin, you gain a +4 size bonus to your Strength, a -2 penalty to your Dexterity, and a +5 natural armor bonus.&lt;/p&gt;</t>
  </si>
  <si>
    <t>&lt;link rel="stylesheet"href="PF.css"&gt;&lt;div class="heading"&gt;&lt;p class="alignleft"&gt;Vermin Shape II&lt;/p&gt;&lt;div style="clear: both;"&gt;&lt;/div&gt;&lt;/div&gt;&lt;div&gt;&lt;h5&gt;&lt;b&gt;School &lt;/b&gt;transmutation (polymorph); &lt;b&gt;Level &lt;/b&gt;alchemist 5, druid 4, magus 5, sorcerer/wizard 5, witch 4&lt;/h5&gt;&lt;/div&gt;&lt;hr/&gt;&lt;div&gt;&lt;h5&gt;&lt;b&gt;CASTING&lt;/b&gt;&lt;/h5&gt;&lt;/div&gt;&lt;hr/&gt;&lt;div&gt;&lt;h5&gt;&lt;b&gt;Casting Time &lt;/b&gt;1 standard action&lt;/h5&gt;&lt;h5&gt;&lt;b&gt;Components &lt;/b&gt;V, S, M (a piece of the creature whose form you plan to assume)&lt;/h5&gt;&lt;/div&gt;&lt;hr/&gt;&lt;div&gt;&lt;h5&gt;&lt;b&gt;EFFECT&lt;/b&gt;&lt;/h5&gt;&lt;/div&gt;&lt;hr/&gt;&lt;div&gt;&lt;h5&gt;&lt;b&gt;Range &lt;/b&gt;personal&lt;/h5&gt;&lt;h5&gt;&lt;b&gt;Targets &lt;/b&gt;you&lt;/h5&gt;&lt;h5&gt;&lt;b&gt;Duration &lt;/b&gt;1 minute/level&lt;/h5&gt;&lt;/div&gt;&lt;hr/&gt;&lt;div&gt;&lt;h5&gt;&lt;b&gt;DESCRIPTION&lt;/b&gt;&lt;/h5&gt;&lt;/div&gt;&lt;hr/&gt;&lt;div&gt;&lt;h4&gt;&lt;p&gt;This spell functions as &lt;i&gt;vermin shape I&lt;/i&gt;, except it also allows you to assume the form of a &lt;i&gt;Tiny&lt;/i&gt; or &lt;i&gt;Large&lt;/i&gt; creature of the vermintype. If the form you assume has any of the following abilities, you gain the listed ability: burrow 30 feet, climb 60 feet, fly 60 feet (good maneuverability), swim 60 feet, darkvision 60 feet, low-light vision, tremorsense 30 feet, scent, blood drain, constrict, grab, lunge, poison, pull, trample, and web. You don't gain full immunity to mind-affecting effects, but you do gain a +4 bonus on all saving throws against such effects.&lt;/p&gt;&lt;p&gt;&lt;i&gt;Tiny&lt;/i&gt; vermin: If you take the form of a &lt;i&gt;Tiny&lt;/i&gt; vermin, you gain a +4 size bonus to your Dexterity, a -2 penalty to your Strength, and a +1 natural armor bonus.&lt;/p&gt;&lt;p&gt;&lt;i&gt;Large&lt;/i&gt; vermin: If you take the form of a &lt;i&gt;Large&lt;/i&gt; vermin, you gain a +4 size bonus to your Strength, a -2 penalty to your Dexterity, and a +5 natural armor bonus.&lt;/p&gt;&lt;/h4&gt;&lt;/div&gt;</t>
  </si>
  <si>
    <t>As vermin shape, but Tiny or Large.</t>
  </si>
  <si>
    <t>Vestment of the Champion</t>
  </si>
  <si>
    <t>antipaladin 2, paladin 2</t>
  </si>
  <si>
    <t>This functions as magic vestment, except it only affects armor or a shield you are wearing or carrying. If the armor or shield is worn or carried by anyone other than you, the spell has no effect, but resumes its effect when you are wearing or carrying it again.</t>
  </si>
  <si>
    <t>&lt;p&gt;This functions as &lt;i&gt;magic vestment&lt;/i&gt;, except it only affects armor or a shield you are wearing or carrying. If the armor or shield is worn or carried by anyone other than you, the spell has no effect, but resumes its effect when you are wearing or carrying it again.&lt;/p&gt;</t>
  </si>
  <si>
    <t>&lt;link rel="stylesheet"href="PF.css"&gt;&lt;div class="heading"&gt;&lt;p class="alignleft"&gt;Vestment of the Champion&lt;/p&gt;&lt;div style="clear: both;"&gt;&lt;/div&gt;&lt;/div&gt;&lt;div&gt;&lt;h5&gt;&lt;b&gt;School &lt;/b&gt;abjuration; &lt;b&gt;Level &lt;/b&gt;antipaladin 2, paladin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&lt;/b&gt;armor or shield touched&lt;/h5&gt;&lt;h5&gt;&lt;b&gt;Duration &lt;/b&gt;1 minute/level&lt;/h5&gt;&lt;h5&gt;&lt;b&gt;Saving Throw &lt;/b&gt;none; &lt;b&gt;Spell Resistance &lt;/b&gt;no&lt;/h5&gt;&lt;/div&gt;&lt;hr/&gt;&lt;div&gt;&lt;h5&gt;&lt;b&gt;DESCRIPTION&lt;/b&gt;&lt;/h5&gt;&lt;/div&gt;&lt;hr/&gt;&lt;div&gt;&lt;h4&gt;&lt;p&gt;This functions as &lt;i&gt;magic vestment&lt;/i&gt;, except it only affects armor or a shield you are wearing or carrying. If the armor or shield is worn or carried by anyone other than you, the spell has no effect, but resumes its effect when you are wearing or carrying it again.&lt;/p&gt;&lt;/h4&gt;&lt;/div&gt;</t>
  </si>
  <si>
    <t>Armor or shield gains a</t>
  </si>
  <si>
    <t>Virtuoso Performance</t>
  </si>
  <si>
    <t>While this spell is active, you may start a second bardic performance while maintaining another. Starting the second performance costs 2 rounds of bardic performance instead of 1. Maintaining both performances costs a total of 3 rounds of bardic performance for each round they are maintained. When this spell ends, one of the performances ends immediately (your choice). Virtuoso performance does not stack with any other method of maintaining simultaneous bardic performances.</t>
  </si>
  <si>
    <t>&lt;p&gt;While this spell is active, you may start a second bardic performance while maintaining another. Starting the second performance costs 2 rounds of bardic performance instead of 1. Maintaining both performances costs a total of 3 rounds of bardic performance for each round they are maintained.&lt;/p&gt;&lt;p&gt;When this spell ends, one of the performances ends immediately (your choice).&lt;/p&gt;&lt;p&gt;Virtuoso performance does not stack with any other method of maintaining simultaneous bardic performances.&lt;/p&gt;</t>
  </si>
  <si>
    <t>&lt;link rel="stylesheet"href="PF.css"&gt;&lt;div class="heading"&gt;&lt;p class="alignleft"&gt;Virtuoso Performance&lt;/p&gt;&lt;div style="clear: both;"&gt;&lt;/div&gt;&lt;/div&gt;&lt;div&gt;&lt;h5&gt;&lt;b&gt;School &lt;/b&gt;transmutation; &lt;b&gt;Level &lt;/b&gt;bard 4&lt;/h5&gt;&lt;/div&gt;&lt;hr/&gt;&lt;div&gt;&lt;h5&gt;&lt;b&gt;CASTING&lt;/b&gt;&lt;/h5&gt;&lt;/div&gt;&lt;hr/&gt;&lt;div&gt;&lt;h5&gt;&lt;b&gt;Casting Time &lt;/b&gt;1 standard action&lt;/h5&gt;&lt;h5&gt;&lt;b&gt;Components &lt;/b&gt;V&lt;/h5&gt;&lt;/div&gt;&lt;hr/&gt;&lt;div&gt;&lt;h5&gt;&lt;b&gt;EFFECT&lt;/b&gt;&lt;/h5&gt;&lt;/div&gt;&lt;hr/&gt;&lt;div&gt;&lt;h5&gt;&lt;b&gt;Range &lt;/b&gt;personal&lt;/h5&gt;&lt;h5&gt;&lt;b&gt;Targets &lt;/b&gt;you&lt;/h5&gt;&lt;h5&gt;&lt;b&gt;Duration &lt;/b&gt;1 round/level&lt;/h5&gt;&lt;/div&gt;&lt;hr/&gt;&lt;div&gt;&lt;h5&gt;&lt;b&gt;DESCRIPTION&lt;/b&gt;&lt;/h5&gt;&lt;/div&gt;&lt;hr/&gt;&lt;div&gt;&lt;h4&gt;&lt;p&gt;While this spell is active, you may start a second bardic performance while maintaining another. Starting the second performance costs 2 rounds of bardic performance instead of 1. Maintaining both performances costs a total of 3 rounds of bardic performance for each round they are maintained.&lt;/p&gt;&lt;p&gt;When this spell ends, one of the performances ends immediately (your choice).&lt;/p&gt;&lt;p&gt;Virtuoso performance does not stack with any other method of maintaining simultaneous bardic performances.&lt;/p&gt;&lt;/h4&gt;&lt;/div&gt;</t>
  </si>
  <si>
    <t>Start a second bardic performance while maintaining the first.</t>
  </si>
  <si>
    <t>Vision of Hell</t>
  </si>
  <si>
    <t>evil, fear</t>
  </si>
  <si>
    <t>bard 3, cleric 3/oracle 3, sorcerer/wizard 3, witch 3</t>
  </si>
  <si>
    <t>V, M (a pinch of brimstone)</t>
  </si>
  <si>
    <t>50-ft.-radius emanation</t>
  </si>
  <si>
    <t>You overlay a realistic illusion of a terrifying hellscape upon an area. Structures, equipment, and creatures within the area are not hidden, though environmental features take on an infernal appearance. While you are prepared for these images and are not affected by them, any other creature within the area must make a Will save or become shaken and also take a -2 penalty on saves versus fear effects; the fear and penalty persists as long as the creature remains in the area. Devils and any lawful evil creatures suffer no negative effects from this spell.</t>
  </si>
  <si>
    <t>&lt;p&gt;You overlay a realistic illusion of a terrifying hellscape upon an area. Structures, equipment, and creatures within the area are not hidden, though environmental features take on an infernal appearance. While you are prepared for these images and are not affected by them, any other creature within the area must make a Will save or become shaken and also take a -2 penalty on saves versus fear effects; the fear and penalty persists as long as the creature remains in the area. Devils and any lawful evil creatures suffer no negative effects from this spell.&lt;/p&gt;</t>
  </si>
  <si>
    <t>&lt;link rel="stylesheet"href="PF.css"&gt;&lt;div class="heading"&gt;&lt;p class="alignleft"&gt;Vision of Hell&lt;/p&gt;&lt;div style="clear: both;"&gt;&lt;/div&gt;&lt;/div&gt;&lt;div&gt;&lt;h5&gt;&lt;b&gt;School &lt;/b&gt;illusion (glamer) [evil, fear]; &lt;b&gt;Level &lt;/b&gt;bard 3, cleric 3/oracle 3, sorcerer/wizard 3, witch 3&lt;/h5&gt;&lt;/div&gt;&lt;hr/&gt;&lt;div&gt;&lt;h5&gt;&lt;b&gt;CASTING&lt;/b&gt;&lt;/h5&gt;&lt;/div&gt;&lt;hr/&gt;&lt;div&gt;&lt;h5&gt;&lt;b&gt;Casting Time &lt;/b&gt;1 standard action&lt;/h5&gt;&lt;h5&gt;&lt;b&gt;Components &lt;/b&gt;V, M (a pinch of brimstone)&lt;/h5&gt;&lt;/div&gt;&lt;hr/&gt;&lt;div&gt;&lt;h5&gt;&lt;b&gt;EFFECT&lt;/b&gt;&lt;/h5&gt;&lt;/div&gt;&lt;hr/&gt;&lt;div&gt;&lt;h5&gt;&lt;b&gt;Range &lt;/b&gt;medium (100 ft. + 10 ft./level)&lt;/h5&gt;&lt;h5&gt;&lt;b&gt;Effect &lt;/b&gt;50-ft.-radius emanation&lt;/h5&gt;&lt;h5&gt;&lt;b&gt;Duration &lt;/b&gt;1 minute/level (D)&lt;/h5&gt;&lt;h5&gt;&lt;b&gt;Saving Throw &lt;/b&gt;Will negates; &lt;b&gt;Spell Resistance &lt;/b&gt;no&lt;/h5&gt;&lt;/div&gt;&lt;hr/&gt;&lt;div&gt;&lt;h5&gt;&lt;b&gt;DESCRIPTION&lt;/b&gt;&lt;/h5&gt;&lt;/div&gt;&lt;hr/&gt;&lt;div&gt;&lt;h4&gt;&lt;p&gt;You overlay a realistic illusion of a terrifying hellscape upon an area. Structures, equipment, and creatures within the area are not hidden, though environmental features take on an infernal appearance. While you are prepared for these images and are not affected by them, any other creature within the area must make a Will save or become shaken and also take a -2 penalty on saves versus fear effects; the fear and penalty persists as long as the creature remains in the area. Devils and any lawful evil creatures suffer no negative effects from this spell.&lt;/p&gt;&lt;/h4&gt;&lt;/div&gt;</t>
  </si>
  <si>
    <t>Illusory hellscape makes creatures shaken.</t>
  </si>
  <si>
    <t>Vitriolic Mist</t>
  </si>
  <si>
    <t>alchemist 4, sorcerer/wizard 4, summoner 4</t>
  </si>
  <si>
    <t>V, S, M (a piece of lemon rind)</t>
  </si>
  <si>
    <t>This functions as fire shield, except it wreathes you in yellow or green acidic mist instead of hot or cold flames. The spell deals acid damage to attackers and protects you against acid damage. This spell does not shed light.</t>
  </si>
  <si>
    <t>&lt;p&gt;This functions as &lt;i&gt;fire shield&lt;/i&gt;, except it wreathes you in yellow or green acidic mist instead of hot or cold flames. The spell deals acid damage to attackers and protects you against acid damage. This spell does not shed light.&lt;/p&gt;</t>
  </si>
  <si>
    <t>&lt;link rel="stylesheet"href="PF.css"&gt;&lt;div class="heading"&gt;&lt;p class="alignleft"&gt;Vitriolic Mist&lt;/p&gt;&lt;div style="clear: both;"&gt;&lt;/div&gt;&lt;/div&gt;&lt;div&gt;&lt;h5&gt;&lt;b&gt;School &lt;/b&gt;evocation [acid]; &lt;b&gt;Level &lt;/b&gt;alchemist 4, sorcerer/wizard 4, summoner 4&lt;/h5&gt;&lt;/div&gt;&lt;hr/&gt;&lt;div&gt;&lt;h5&gt;&lt;b&gt;CASTING&lt;/b&gt;&lt;/h5&gt;&lt;/div&gt;&lt;hr/&gt;&lt;div&gt;&lt;h5&gt;&lt;b&gt;Casting Time &lt;/b&gt;1 standard action&lt;/h5&gt;&lt;h5&gt;&lt;b&gt;Components &lt;/b&gt;V, S, M (a piece of lemon rind)&lt;/h5&gt;&lt;/div&gt;&lt;hr/&gt;&lt;div&gt;&lt;h5&gt;&lt;b&gt;EFFECT&lt;/b&gt;&lt;/h5&gt;&lt;/div&gt;&lt;hr/&gt;&lt;div&gt;&lt;h5&gt;&lt;b&gt;Range &lt;/b&gt;personal&lt;/h5&gt;&lt;h5&gt;&lt;b&gt;Targets &lt;/b&gt;you&lt;/h5&gt;&lt;h5&gt;&lt;b&gt;Duration &lt;/b&gt;1 round/level (D)&lt;/h5&gt;&lt;/div&gt;&lt;hr/&gt;&lt;div&gt;&lt;h5&gt;&lt;b&gt;DESCRIPTION&lt;/b&gt;&lt;/h5&gt;&lt;/div&gt;&lt;hr/&gt;&lt;div&gt;&lt;h4&gt;&lt;p&gt;This functions as &lt;i&gt;fire shield&lt;/i&gt;, except it wreathes you in yellow or green acidic mist instead of hot or cold flames. The spell deals acid damage to attackers and protects you against acid damage. This spell does not shed light.&lt;/p&gt;&lt;/h4&gt;&lt;/div&gt;</t>
  </si>
  <si>
    <t>As fire shield, except acid damage.</t>
  </si>
  <si>
    <t>Vocal Alteration</t>
  </si>
  <si>
    <t>alchemist 1, bard 1, inquisitor 1, sorcerer/wizard 1, witch 1</t>
  </si>
  <si>
    <t>You alter the target's voice to something else. For example, you could make the target's voice high-pitched, husky, or nasal, or change its accent to an accent you are familiar with. If this spell is used as part of a disguise, the target gets a +10 bonus on the Disguise check when trying to fool a listener. The target can vary the disguised voice just as it could its normal voice. For example, a halfling female given a male dwarf noble's voice and accent could speak in falsetto, with a rural halfling accent, and so on.</t>
  </si>
  <si>
    <t>&lt;p&gt;You alter the target's voice to something else. For example, you could make the target's voice high-pitched, husky, or nasal, or change its accent to an accent you are familiar with.&lt;/p&gt;&lt;p&gt;If this spell is used as part of a disguise, the target gets a +10 bonus on the Disguise check when trying to fool a listener.&lt;/p&gt;&lt;p&gt;The target can vary the disguised voice just as it could its normal voice. For example, a halfling female given a male dwarf noble's voice and accent could speak in falsetto, with a rural halfling accent, and so on.&lt;/p&gt;</t>
  </si>
  <si>
    <t>&lt;link rel="stylesheet"href="PF.css"&gt;&lt;div class="heading"&gt;&lt;p class="alignleft"&gt;Vocal Alteration&lt;/p&gt;&lt;div style="clear: both;"&gt;&lt;/div&gt;&lt;/div&gt;&lt;div&gt;&lt;h5&gt;&lt;b&gt;School &lt;/b&gt;transmutation; &lt;b&gt;Level &lt;/b&gt;alchemist 1, bard 1, inquisitor 1, sorcerer/wizard 1, witch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humanoid creature&lt;/h5&gt;&lt;h5&gt;&lt;b&gt;Duration &lt;/b&gt;1 minute/level&lt;/h5&gt;&lt;h5&gt;&lt;b&gt;Saving Throw &lt;/b&gt;Fortitude negates; &lt;b&gt;Spell Resistance &lt;/b&gt;yes&lt;/h5&gt;&lt;/div&gt;&lt;hr/&gt;&lt;div&gt;&lt;h5&gt;&lt;b&gt;DESCRIPTION&lt;/b&gt;&lt;/h5&gt;&lt;/div&gt;&lt;hr/&gt;&lt;div&gt;&lt;h4&gt;&lt;p&gt;You alter the target's voice to something else. For example, you could make the target's voice high-pitched, husky, or nasal, or change its accent to an accent you are familiar with.&lt;/p&gt;&lt;p&gt;If this spell is used as part of a disguise, the target gets a +10 bonus on the Disguise check when trying to fool a listener.&lt;/p&gt;&lt;p&gt;The target can vary the disguised voice just as it could its normal voice. For example, a halfling female given a male dwarf noble's voice and accent could speak in falsetto, with a rural halfling accent, and so on.&lt;/p&gt;&lt;/h4&gt;&lt;/div&gt;</t>
  </si>
  <si>
    <t>Disguise target's voice.</t>
  </si>
  <si>
    <t>Volcanic Storm</t>
  </si>
  <si>
    <t>V, S, M/DF (obsidian and ash)</t>
  </si>
  <si>
    <t>Chunks of hot volcanic rock and clumps of ash pound down when this spell is cast, dealing 3d6 points of bludgeoning damage and 2d6 points of fire damage to every creature in the area. This damage only occurs once, when the spell is cast. For the remaining duration of the spell, heavy ash rains down in the area. Creatures inside this area take a -4 penalty on Perception skill checks and the entire area is treated as difficult terrain. At the end of the duration, the rock and ash disappear, leaving no aftereffects (other than the damage dealt).</t>
  </si>
  <si>
    <t>&lt;p&gt;Chunks of hot volcanic rock and clumps of ash pound down when this spell is cast, dealing 3d6 points of bludgeoning damage and 2d6 points of fire damage to every creature in the area. This damage only occurs once, when the spell is cast.&lt;/p&gt;&lt;p&gt;For the remaining duration of the spell, heavy ash rains down in the area. Creatures inside this area take a -4 penalty on Perception skill checks and the entire area is treated as difficult terrain. At the end of the duration, the rock and ash disappear, leaving no aftereffects (other than the damage dealt).&lt;/p&gt;</t>
  </si>
  <si>
    <t>&lt;link rel="stylesheet"href="PF.css"&gt;&lt;div class="heading"&gt;&lt;p class="alignleft"&gt;Volcanic Storm&lt;/p&gt;&lt;div style="clear: both;"&gt;&lt;/div&gt;&lt;/div&gt;&lt;div&gt;&lt;h5&gt;&lt;b&gt;School &lt;/b&gt;evocation [fire]; &lt;b&gt;Level &lt;/b&gt;druid 4, sorcerer/wizard 4, witch 4&lt;/h5&gt;&lt;/div&gt;&lt;hr/&gt;&lt;div&gt;&lt;h5&gt;&lt;b&gt;CASTING&lt;/b&gt;&lt;/h5&gt;&lt;/div&gt;&lt;hr/&gt;&lt;div&gt;&lt;h5&gt;&lt;b&gt;Casting Time &lt;/b&gt;1 standard action&lt;/h5&gt;&lt;h5&gt;&lt;b&gt;Components &lt;/b&gt;V, S, M/DF (obsidian and ash)&lt;/h5&gt;&lt;/div&gt;&lt;hr/&gt;&lt;div&gt;&lt;h5&gt;&lt;b&gt;EFFECT&lt;/b&gt;&lt;/h5&gt;&lt;/div&gt;&lt;hr/&gt;&lt;div&gt;&lt;h5&gt;&lt;b&gt;Range &lt;/b&gt;long (400 ft. + 40 ft./level)&lt;/h5&gt;&lt;h5&gt;&lt;b&gt;Area &lt;/b&gt;cylinder (20-ft. radius, 40 ft. high)&lt;/h5&gt;&lt;h5&gt;&lt;b&gt;Duration &lt;/b&gt;1 round/level (D)&lt;/h5&gt;&lt;h5&gt;&lt;b&gt;Saving Throw &lt;/b&gt;none; &lt;b&gt;Spell Resistance &lt;/b&gt;yes&lt;/h5&gt;&lt;/div&gt;&lt;hr/&gt;&lt;div&gt;&lt;h5&gt;&lt;b&gt;DESCRIPTION&lt;/b&gt;&lt;/h5&gt;&lt;/div&gt;&lt;hr/&gt;&lt;div&gt;&lt;h4&gt;&lt;p&gt;Chunks of hot volcanic rock and clumps of ash pound down when this spell is cast, dealing 3d6 points of bludgeoning damage and 2d6 points of fire damage to every creature in the area. This damage only occurs once, when the spell is cast.&lt;/p&gt;&lt;p&gt;For the remaining duration of the spell, heavy ash rains down in the area. Creatures inside this area take a -4 penalty on Perception skill checks and the entire area is treated as difficult terrain. At the end of the duration, the rock and ash disappear, leaving no aftereffects (other than the damage dealt).&lt;/p&gt;&lt;/h4&gt;&lt;/div&gt;</t>
  </si>
  <si>
    <t>Hot rocks deal 5d6 damage.</t>
  </si>
  <si>
    <t>Wall of Sound</t>
  </si>
  <si>
    <t>bard 4, magus 4, sorcerer/wizard 5</t>
  </si>
  <si>
    <t>V, S, M (a tuning fork and a quartz crystal)</t>
  </si>
  <si>
    <t>translucent wall of sound up to 20 ft. long/level or a ring of sound with a radius of up to 5 ft./two levels; either form 20 ft. high</t>
  </si>
  <si>
    <t>A translucent barrier of pure sound springs into existence. This wall is silent except for a faint hum, but bursts with discordant noise when touched by an object or creature. The wall deflects arrows, bolts, loose debris, and Small or smaller flying creatures like a wind wall spell, except these things rebound harmlessly rather than being directed upward. The burst of discordant noise deals 2d4 points of sonic damage to creatures within 10 feet of the triggering object or creature; touching or passing through the wall deals 2d6 points of sonic damage + 1 point of sonic damage per caster level (maximum +20). If you evoke the wall so that it appears where creatures are, each creature takes damage as if passing through the wall. A silence spell suppresses the wall within its area, but the wall reappears when the silence ends.</t>
  </si>
  <si>
    <t>&lt;p&gt;A translucent barrier of pure sound springs into existence. This wall is silent except for a faint hum, but bursts with discordant noise when touched by an object or creature. The wall deflects arrows, bolts, loose debris, and Small or smaller flying creatures like a &lt;i&gt;wind wall&lt;/i&gt; spell, except these things rebound harmlessly rather than being directed upward. The burst of discordant noise deals 2d4 points of sonic damage to creatures within 10 feet of the triggering object or creature; touching or passing through the wall deals 2d6 points of sonic damage + 1 point of sonic damage per caster level (maximum +20). If you evoke the wall so that it appears where creatures are, each creature takes damage as if passing through the wall. A &lt;i&gt;silence&lt;/i&gt; spell suppresses the wall within its area, but the wall reappears when the &lt;i&gt;silence&lt;/i&gt; ends.&lt;/p&gt;</t>
  </si>
  <si>
    <t>&lt;link rel="stylesheet"href="PF.css"&gt;&lt;div class="heading"&gt;&lt;p class="alignleft"&gt;Wall of Sound&lt;/p&gt;&lt;div style="clear: both;"&gt;&lt;/div&gt;&lt;/div&gt;&lt;div&gt;&lt;h5&gt;&lt;b&gt;School &lt;/b&gt;evocation [sonic]; &lt;b&gt;Level &lt;/b&gt;bard 4, magus 4, sorcerer/wizard 5&lt;/h5&gt;&lt;/div&gt;&lt;hr/&gt;&lt;div&gt;&lt;h5&gt;&lt;b&gt;CASTING&lt;/b&gt;&lt;/h5&gt;&lt;/div&gt;&lt;hr/&gt;&lt;div&gt;&lt;h5&gt;&lt;b&gt;Casting Time &lt;/b&gt;1 standard action&lt;/h5&gt;&lt;h5&gt;&lt;b&gt;Components &lt;/b&gt;V, S, M (a tuning fork and a quartz crystal)&lt;/h5&gt;&lt;/div&gt;&lt;hr/&gt;&lt;div&gt;&lt;h5&gt;&lt;b&gt;EFFECT&lt;/b&gt;&lt;/h5&gt;&lt;/div&gt;&lt;hr/&gt;&lt;div&gt;&lt;h5&gt;&lt;b&gt;Range &lt;/b&gt;medium (100 ft. + 10 ft./level)&lt;/h5&gt;&lt;h5&gt;&lt;b&gt;Effect &lt;/b&gt;translucent wall of sound up to 20 ft. long/level or a ring of sound with a radius of up to 5 ft./two levels; either form 20 ft. high&lt;/h5&gt;&lt;h5&gt;&lt;b&gt;Duration &lt;/b&gt;concentration + 1 round/level&lt;/h5&gt;&lt;h5&gt;&lt;b&gt;Saving Throw &lt;/b&gt;none; &lt;b&gt;Spell Resistance &lt;/b&gt;yes&lt;/h5&gt;&lt;/div&gt;&lt;hr/&gt;&lt;div&gt;&lt;h5&gt;&lt;b&gt;DESCRIPTION&lt;/b&gt;&lt;/h5&gt;&lt;/div&gt;&lt;hr/&gt;&lt;div&gt;&lt;h4&gt;&lt;p&gt;A translucent barrier of pure sound springs into existence. This wall is silent except for a faint hum, but bursts with discordant noise when touched by an object or creature. The wall deflects arrows, bolts, loose debris, and Small or smaller flying creatures like a &lt;i&gt;wind wall&lt;/i&gt; spell, except these things rebound harmlessly rather than being directed upward. The burst of discordant noise deals 2d4 points of sonic damage to creatures within 10 feet of the triggering object or creature; touching or passing through the wall deals 2d6 points of sonic damage + 1 point of sonic damage per caster level (maximum +20). If you evoke the wall so that it appears where creatures are, each creature takes damage as if passing through the wall. A &lt;i&gt;silence&lt;/i&gt; spell suppresses the wall within its area, but the wall reappears when the &lt;i&gt;silence&lt;/i&gt; ends.&lt;/p&gt;&lt;/h4&gt;&lt;/div&gt;</t>
  </si>
  <si>
    <t>Sonic wall deflects and damages creatures.</t>
  </si>
  <si>
    <t>Wartrain Mount</t>
  </si>
  <si>
    <t>antipaladin 1, bard 2, druid 2, inquisitor 1, paladin 1, ranger 1</t>
  </si>
  <si>
    <t>V, S, M (a swatch of black cloth)</t>
  </si>
  <si>
    <t>one indifferent or friendly animal</t>
  </si>
  <si>
    <t>You instill the target animal with the combat training general purpose (see the Handle Animal skill, Core Rulebook 98). This supersedes the animal's previous trained purpose and any tricks it knows. When the spell ends, it reverts to its previous trained purpose and known tricks.</t>
  </si>
  <si>
    <t>&lt;p&gt;You instill the target animal with the combat training general purpose (see the Handle Animal skill, &lt;i&gt;Core Rulebook&lt;/i&gt; 98). This supersedes the animal's previous trained purpose and any tricks it knows. When the spell ends, it reverts to its previous trained purpose and known tricks.&lt;/p&gt;</t>
  </si>
  <si>
    <t>&lt;link rel="stylesheet"href="PF.css"&gt;&lt;div class="heading"&gt;&lt;p class="alignleft"&gt;Wartrain Mount&lt;/p&gt;&lt;div style="clear: both;"&gt;&lt;/div&gt;&lt;/div&gt;&lt;div&gt;&lt;h5&gt;&lt;b&gt;School &lt;/b&gt;enchantment (compulsion) [mind-affecting]; &lt;b&gt;Level &lt;/b&gt;antipaladin 1, bard 2, druid 2, inquisitor 1, paladin 1, ranger 1&lt;/h5&gt;&lt;/div&gt;&lt;hr/&gt;&lt;div&gt;&lt;h5&gt;&lt;b&gt;CASTING&lt;/b&gt;&lt;/h5&gt;&lt;/div&gt;&lt;hr/&gt;&lt;div&gt;&lt;h5&gt;&lt;b&gt;Casting Time &lt;/b&gt;1 minute&lt;/h5&gt;&lt;h5&gt;&lt;b&gt;Components &lt;/b&gt;V, S, M (a swatch of black cloth)&lt;/h5&gt;&lt;/div&gt;&lt;hr/&gt;&lt;div&gt;&lt;h5&gt;&lt;b&gt;EFFECT&lt;/b&gt;&lt;/h5&gt;&lt;/div&gt;&lt;hr/&gt;&lt;div&gt;&lt;h5&gt;&lt;b&gt;Range &lt;/b&gt;close (25 ft. + 5 ft./2 levels)&lt;/h5&gt;&lt;h5&gt;&lt;b&gt;Targets &lt;/b&gt;one indifferent or friendly animal&lt;/h5&gt;&lt;h5&gt;&lt;b&gt;Duration &lt;/b&gt;1 hour/level&lt;/h5&gt;&lt;h5&gt;&lt;b&gt;Saving Throw &lt;/b&gt;none; &lt;b&gt;Spell Resistance &lt;/b&gt;yes&lt;/h5&gt;&lt;/div&gt;&lt;hr/&gt;&lt;div&gt;&lt;h5&gt;&lt;b&gt;DESCRIPTION&lt;/b&gt;&lt;/h5&gt;&lt;/div&gt;&lt;hr/&gt;&lt;div&gt;&lt;h4&gt;&lt;p&gt;You instill the target animal with the combat training general purpose (see the Handle Animal skill, &lt;i&gt;Core Rulebook&lt;/i&gt; 98). This supersedes the animal's previous trained purpose and any tricks it knows. When the spell ends, it reverts to its previous trained purpose and known tricks.&lt;/p&gt;&lt;/h4&gt;&lt;/div&gt;</t>
  </si>
  <si>
    <t>Animal gains the combat training general purpose.</t>
  </si>
  <si>
    <t>Waves of Ecstasy</t>
  </si>
  <si>
    <t>bard 6, cleric 7/oracle 7, sorcerer/wizard 7, witch 7</t>
  </si>
  <si>
    <t>1 round/level; see text</t>
  </si>
  <si>
    <t>You emanate waves of intense pleasure that cause all targets within range to falter. Affected creatures are stunned for 1 round and are staggered for the remainder of the spell. A creature that makes its save is staggered for the first round and can act normally thereafter.</t>
  </si>
  <si>
    <t>&lt;p&gt;You emanate waves of intense pleasure that cause all targets within range to falter. Affected creatures are stunned for 1 round and are staggered for the remainder of the spell. A creature that makes its save is staggered for the first round and can act normally thereafter.&lt;/p&gt;</t>
  </si>
  <si>
    <t>&lt;link rel="stylesheet"href="PF.css"&gt;&lt;div class="heading"&gt;&lt;p class="alignleft"&gt;Waves of Ecstasy&lt;/p&gt;&lt;div style="clear: both;"&gt;&lt;/div&gt;&lt;/div&gt;&lt;div&gt;&lt;h5&gt;&lt;b&gt;School &lt;/b&gt;enchantment (compulsion) [emotion, mind-affecting]; &lt;b&gt;Level &lt;/b&gt;bard 6, cleric 7/oracle 7, sorcerer/wizard 7, witch 7&lt;/h5&gt;&lt;/div&gt;&lt;hr/&gt;&lt;div&gt;&lt;h5&gt;&lt;b&gt;CASTING&lt;/b&gt;&lt;/h5&gt;&lt;/div&gt;&lt;hr/&gt;&lt;div&gt;&lt;h5&gt;&lt;b&gt;Casting Time &lt;/b&gt;1 standard action&lt;/h5&gt;&lt;h5&gt;&lt;b&gt;Components &lt;/b&gt;V, S&lt;/h5&gt;&lt;/div&gt;&lt;hr/&gt;&lt;div&gt;&lt;h5&gt;&lt;b&gt;EFFECT&lt;/b&gt;&lt;/h5&gt;&lt;/div&gt;&lt;hr/&gt;&lt;div&gt;&lt;h5&gt;&lt;b&gt;Range &lt;/b&gt;30 ft.&lt;/h5&gt;&lt;h5&gt;&lt;b&gt;Area &lt;/b&gt;cone-shaped burst&lt;/h5&gt;&lt;h5&gt;&lt;b&gt;Duration &lt;/b&gt;1 round/level; see text&lt;/h5&gt;&lt;h5&gt;&lt;b&gt;Saving Throw &lt;/b&gt;Will partial (see text); &lt;b&gt;Spell Resistance &lt;/b&gt;yes&lt;/h5&gt;&lt;/div&gt;&lt;hr/&gt;&lt;div&gt;&lt;h5&gt;&lt;b&gt;DESCRIPTION&lt;/b&gt;&lt;/h5&gt;&lt;/div&gt;&lt;hr/&gt;&lt;div&gt;&lt;h4&gt;&lt;p&gt;You emanate waves of intense pleasure that cause all targets within range to falter. Affected creatures are stunned for 1 round and are staggered for the remainder of the spell. A creature that makes its save is staggered for the first round and can act normally thereafter.&lt;/p&gt;&lt;/h4&gt;&lt;/div&gt;</t>
  </si>
  <si>
    <t>Pleasure stuns and staggers creatures.</t>
  </si>
  <si>
    <t>Web Shelter</t>
  </si>
  <si>
    <t>cleric 2/oracle 2, druid 2, ranger 2, sorcerer/wizard 2, summoner 2, witch 2</t>
  </si>
  <si>
    <t>close (25 ft. + 5 ft./two levels)</t>
  </si>
  <si>
    <t>5 ft.-10 ft. diameter web sphere or 5 ft.-20 ft. hemisphere</t>
  </si>
  <si>
    <t>You create a shelter of slightly sticky webbing. The shelter has a hinged door large enough to accommodate a Medium creature. The opaque walls of the shelter measure 1 inch thick and provide total cover to anyone within it. Only Fine creatures with negligible Strength can be caught in the webbing (including swarms); all other creatures can pull themselves free without making a Strength check or taking an action. The webbing is sticky enough to hold twigs, leaves, dirt, and other light items, allowing you to conceal the shelter. The shelter is watertight and insulated when the door is closed. Its surface has a hardness of 0 and 2 hit points for every 5-foot square of web surface area. It takes normal damage from fire and burns as easily as wood. When the spell ends, the webbing decays rapidly and disappears.</t>
  </si>
  <si>
    <t>&lt;p&gt;You create a shelter of slightly sticky webbing. The shelter has a hinged door large enough to accommodate a Medium creature. The opaque walls of the shelter measure 1 inch thick and provide total cover to anyone within it.&lt;/p&gt;&lt;p&gt;Only Fine creatures with negligible Strength can be caught in the webbing (including swarms); all other creatures can pull themselves free without making a Strength check or taking an action. The webbing is sticky enough to hold twigs, leaves, dirt, and other light items, allowing you to conceal the shelter. The shelter is watertight and insulated when the door is closed. Its surface has a hardness of 0 and 2 hit points for every 5-foot square of web surface area. It takes normal damage from fire and burns as easily as wood. When the spell ends, the webbing decays rapidly and disappears.&lt;/p&gt;</t>
  </si>
  <si>
    <t>&lt;link rel="stylesheet"href="PF.css"&gt;&lt;div class="heading"&gt;&lt;p class="alignleft"&gt;Web Shelter&lt;/p&gt;&lt;div style="clear: both;"&gt;&lt;/div&gt;&lt;/div&gt;&lt;div&gt;&lt;h5&gt;&lt;b&gt;School &lt;/b&gt;conjuration (creation); &lt;b&gt;Level &lt;/b&gt;cleric 2/oracle 2, druid 2, ranger 2, sorcerer/wizard 2, summoner 2, witch 2&lt;/h5&gt;&lt;/div&gt;&lt;hr/&gt;&lt;div&gt;&lt;h5&gt;&lt;b&gt;CASTING&lt;/b&gt;&lt;/h5&gt;&lt;/div&gt;&lt;hr/&gt;&lt;div&gt;&lt;h5&gt;&lt;b&gt;Casting Time &lt;/b&gt;1 minute&lt;/h5&gt;&lt;h5&gt;&lt;b&gt;Components &lt;/b&gt;V, S, DF&lt;/h5&gt;&lt;/div&gt;&lt;hr/&gt;&lt;div&gt;&lt;h5&gt;&lt;b&gt;EFFECT&lt;/b&gt;&lt;/h5&gt;&lt;/div&gt;&lt;hr/&gt;&lt;div&gt;&lt;h5&gt;&lt;b&gt;Range &lt;/b&gt;close (25 ft. + 5 ft./two levels)&lt;/h5&gt;&lt;h5&gt;&lt;b&gt;Effect &lt;/b&gt;5 ft.-10 ft. diameter web sphere or 5 ft.-20 ft. hemisphere&lt;/h5&gt;&lt;h5&gt;&lt;b&gt;Duration &lt;/b&gt;1 hour/level (D)&lt;/h5&gt;&lt;h5&gt;&lt;b&gt;Saving Throw &lt;/b&gt;none; &lt;b&gt;Spell Resistance &lt;/b&gt;no&lt;/h5&gt;&lt;/div&gt;&lt;hr/&gt;&lt;div&gt;&lt;h5&gt;&lt;b&gt;DESCRIPTION&lt;/b&gt;&lt;/h5&gt;&lt;/div&gt;&lt;hr/&gt;&lt;div&gt;&lt;h4&gt;&lt;p&gt;You create a shelter of slightly sticky webbing. The shelter has a hinged door large enough to accommodate a Medium creature. The opaque walls of the shelter measure 1 inch thick and provide total cover to anyone within it.&lt;/p&gt;&lt;p&gt;Only Fine creatures with negligible Strength can be caught in the webbing (including swarms); all other creatures can pull themselves free without making a Strength check or taking an action. The webbing is sticky enough to hold twigs, leaves, dirt, and other light items, allowing you to conceal the shelter. The shelter is watertight and insulated when the door is closed. Its surface has a hardness of 0 and 2 hit points for every 5-foot square of web surface area. It takes normal damage from fire and burns as easily as wood. When the spell ends, the webbing decays rapidly and disappears.&lt;/p&gt;&lt;/h4&gt;&lt;/div&gt;</t>
  </si>
  <si>
    <t>Create a comfortable shelter made of webbing.</t>
  </si>
  <si>
    <t>Witness</t>
  </si>
  <si>
    <t>bard 3, inquisitor 3, witch 3</t>
  </si>
  <si>
    <t>You link your senses to the target, allowing you to see and hear through its eyes and ears. As a move action you can shift your senses from yourself to the target or back again. When using the target's senses, you are blind and deaf. When perceiving through the target, you use its normal and special senses (such as darkvision), not your own.</t>
  </si>
  <si>
    <t>&lt;p&gt;You link your senses to the target, allowing you to see and hear through its eyes and ears. As a move action you can shift your senses from yourself to the target or back again. When using the target's senses, you are blind and deaf. When perceiving through the target, you use its normal and special senses (such as darkvision), not your own.&lt;/p&gt;</t>
  </si>
  <si>
    <t>&lt;link rel="stylesheet"href="PF.css"&gt;&lt;div class="heading"&gt;&lt;p class="alignleft"&gt;Witness&lt;/p&gt;&lt;div style="clear: both;"&gt;&lt;/div&gt;&lt;/div&gt;&lt;div&gt;&lt;h5&gt;&lt;b&gt;School &lt;/b&gt;divination (scrying); &lt;b&gt;Level &lt;/b&gt;bard 3, inquisitor 3, witch 3&lt;/h5&gt;&lt;/div&gt;&lt;hr/&gt;&lt;div&gt;&lt;h5&gt;&lt;b&gt;CASTING&lt;/b&gt;&lt;/h5&gt;&lt;/div&gt;&lt;hr/&gt;&lt;div&gt;&lt;h5&gt;&lt;b&gt;Casting Time &lt;/b&gt;1 standard action&lt;/h5&gt;&lt;h5&gt;&lt;b&gt;Components &lt;/b&gt;V, S&lt;/h5&gt;&lt;/div&gt;&lt;hr/&gt;&lt;div&gt;&lt;h5&gt;&lt;b&gt;EFFECT&lt;/b&gt;&lt;/h5&gt;&lt;/div&gt;&lt;hr/&gt;&lt;div&gt;&lt;h5&gt;&lt;b&gt;Range &lt;/b&gt;long (400 ft. + 40 ft./level)&lt;/h5&gt;&lt;h5&gt;&lt;b&gt;Targets &lt;/b&gt;one living creature&lt;/h5&gt;&lt;h5&gt;&lt;b&gt;Duration &lt;/b&gt;1 minute/level (D)&lt;/h5&gt;&lt;h5&gt;&lt;b&gt;Saving Throw &lt;/b&gt;Will negates (harmless); &lt;b&gt;Spell Resistance &lt;/b&gt;yes (harmless)&lt;/h5&gt;&lt;/div&gt;&lt;hr/&gt;&lt;div&gt;&lt;h5&gt;&lt;b&gt;DESCRIPTION&lt;/b&gt;&lt;/h5&gt;&lt;/div&gt;&lt;hr/&gt;&lt;div&gt;&lt;h4&gt;&lt;p&gt;You link your senses to the target, allowing you to see and hear through its eyes and ears. As a move action you can shift your senses from yourself to the target or back again. When using the target's senses, you are blind and deaf. When perceiving through the target, you use its normal and special senses (such as darkvision), not your own.&lt;/p&gt;&lt;/h4&gt;&lt;/div&gt;</t>
  </si>
  <si>
    <t>See through the target's eyes and ears.</t>
  </si>
  <si>
    <t>Wooden Phalanx</t>
  </si>
  <si>
    <t>three or more wood golems, no two of which can be more than 30 ft. apart (see text)</t>
  </si>
  <si>
    <t>You create 1d4+2 wood golems with the advanced template (Bestiary 164, 294). The golems willingly aid you in combat or battle, perform a specific mission, or serve as bodyguards. You can only have one wooden phalanx spell in effect at one time. If you cast this spell while another casting is still in effect, the previous casting is dispelled.</t>
  </si>
  <si>
    <t>&lt;p&gt;You create 1d4+2 wood golems with the advanced template (&lt;i&gt;Bestiary&lt;/i&gt; 164, 294). The golems willingly aid you in combat or battle, perform a specific mission, or serve as bodyguards. You can only have one &lt;i&gt;wooden phalanx&lt;/i&gt; spell in effect at one time.&lt;/p&gt;&lt;p&gt;If you cast this spell while another casting is still in effect, the previous casting is dispelled.&lt;/p&gt;</t>
  </si>
  <si>
    <t>&lt;link rel="stylesheet"href="PF.css"&gt;&lt;div class="heading"&gt;&lt;p class="alignleft"&gt;Wooden Phalanx&lt;/p&gt;&lt;div style="clear: both;"&gt;&lt;/div&gt;&lt;/div&gt;&lt;div&gt;&lt;h5&gt;&lt;b&gt;School &lt;/b&gt;conjuration (creation); &lt;b&gt;Level &lt;/b&gt;cleric 9/oracle 9, sorcerer/wizard 9&lt;/h5&gt;&lt;/div&gt;&lt;hr/&gt;&lt;div&gt;&lt;h5&gt;&lt;b&gt;CASTING&lt;/b&gt;&lt;/h5&gt;&lt;/div&gt;&lt;hr/&gt;&lt;div&gt;&lt;h5&gt;&lt;b&gt;Casting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ft./level)&lt;/h5&gt;&lt;h5&gt;&lt;b&gt;Effect &lt;/b&gt;three or more wood golems, no two of which can be more than 30 ft. apart (see text)&lt;/h5&gt;&lt;h5&gt;&lt;b&gt;Duration &lt;/b&gt;1 hour/level (D)&lt;/h5&gt;&lt;h5&gt;&lt;b&gt;Saving Throw &lt;/b&gt;none; &lt;b&gt;Spell Resistance &lt;/b&gt;no&lt;/h5&gt;&lt;/div&gt;&lt;hr/&gt;&lt;div&gt;&lt;h5&gt;&lt;b&gt;DESCRIPTION&lt;/b&gt;&lt;/h5&gt;&lt;/div&gt;&lt;hr/&gt;&lt;div&gt;&lt;h4&gt;&lt;p&gt;You create 1d4+2 wood golems with the advanced template (&lt;i&gt;Bestiary&lt;/i&gt; 164, 294). The golems willingly aid you in combat or battle, perform a specific mission, or serve as bodyguards. You can only have one &lt;i&gt;wooden phalanx&lt;/i&gt; spell in effect at one time.&lt;/p&gt;&lt;p&gt;If you cast this spell while another casting is still in effect, the previous casting is dispelled.&lt;/p&gt;&lt;/h4&gt;&lt;/div&gt;</t>
  </si>
  <si>
    <t>Creates 1d4+2 temporary wood golems to fight for you.</t>
  </si>
  <si>
    <t>Word of Resolve</t>
  </si>
  <si>
    <t>Will negate (harmless)</t>
  </si>
  <si>
    <t>You focus your aura on one ally, allowing it to reroll a failed saving throw against a charm or fear effect with a +4 sacred bonus. If you do not have the aura of courage class ability, this spell has no effect on the target's fear. If you do not have the aura of resolve class ability, this spell has no effect on any charm effects on the target.</t>
  </si>
  <si>
    <t>&lt;p&gt;You focus your aura on one ally, allowing it to reroll a failed saving throw against a charm or fear effect with a +4 sacred bonus. If you do not have the aura of courage class ability, this spell has no effect on the target's fear. If you do not have the aura of resolve class ability, this spell has no effect on any charm effects on the target.&lt;/p&gt;</t>
  </si>
  <si>
    <t>&lt;link rel="stylesheet"href="PF.css"&gt;&lt;div class="heading"&gt;&lt;p class="alignleft"&gt;Word of Resolve&lt;/p&gt;&lt;div style="clear: both;"&gt;&lt;/div&gt;&lt;/div&gt;&lt;div&gt;&lt;h5&gt;&lt;b&gt;School &lt;/b&gt;abjuration; &lt;b&gt;Level &lt;/b&gt;paladin 1&lt;/h5&gt;&lt;/div&gt;&lt;hr/&gt;&lt;div&gt;&lt;h5&gt;&lt;b&gt;CASTING&lt;/b&gt;&lt;/h5&gt;&lt;/div&gt;&lt;hr/&gt;&lt;div&gt;&lt;h5&gt;&lt;b&gt;Casting Time &lt;/b&gt;1 immediate action&lt;/h5&gt;&lt;h5&gt;&lt;b&gt;Components &lt;/b&gt;V, DF&lt;/h5&gt;&lt;/div&gt;&lt;hr/&gt;&lt;div&gt;&lt;h5&gt;&lt;b&gt;EFFECT&lt;/b&gt;&lt;/h5&gt;&lt;/div&gt;&lt;hr/&gt;&lt;div&gt;&lt;h5&gt;&lt;b&gt;Range &lt;/b&gt;close (25 ft. + 5 ft./2 levels)&lt;/h5&gt;&lt;h5&gt;&lt;b&gt;Targets &lt;/b&gt;one ally&lt;/h5&gt;&lt;h5&gt;&lt;b&gt;Duration &lt;/b&gt;instantaneous&lt;/h5&gt;&lt;h5&gt;&lt;b&gt;Saving Throw &lt;/b&gt;Will negate (harmless); &lt;b&gt;Spell Resistance &lt;/b&gt;yes (harmless)&lt;/h5&gt;&lt;/div&gt;&lt;hr/&gt;&lt;div&gt;&lt;h5&gt;&lt;b&gt;DESCRIPTION&lt;/b&gt;&lt;/h5&gt;&lt;/div&gt;&lt;hr/&gt;&lt;div&gt;&lt;h4&gt;&lt;p&gt;You focus your aura on one ally, allowing it to reroll a failed saving throw against a charm or fear effect with a +4 sacred bonus. If you do not have the aura of courage class ability, this spell has no effect on the target's fear. If you do not have the aura of resolve class ability, this spell has no effect on any charm effects on the target.&lt;/p&gt;&lt;/h4&gt;&lt;/div&gt;</t>
  </si>
  <si>
    <t>Ally rerolls a save against charm or fear.</t>
  </si>
  <si>
    <t>Youthful Appearance</t>
  </si>
  <si>
    <t>You make your target look like a younger version of itself. You select how much younger it looks (for example, "10 years" or "as a young adult"). You cannot otherwise change details of the target's appearance other than those directly associated with aging (for example, gray hair returns to its original color). The target cannot appear so much younger that it changes size. This spell does not affect any age-based modifications to ability scores or other age-related effects.</t>
  </si>
  <si>
    <t>&lt;p&gt;You make your target look like a younger version of itself. You select how much younger it looks (for example, "10 years" or "as a young adult"). You cannot otherwise change details of the target's appearance other than those directly associated with aging (for example, gray hair returns to its original color). The target cannot appear so much younger that it changes size.&lt;/p&gt;&lt;p&gt;This spell does not affect any age-based modifications to ability scores or other age-related effects.&lt;/p&gt;</t>
  </si>
  <si>
    <t>&lt;link rel="stylesheet"href="PF.css"&gt;&lt;div class="heading"&gt;&lt;p class="alignleft"&gt;Youthful Appearance&lt;/p&gt;&lt;div style="clear: both;"&gt;&lt;/div&gt;&lt;/div&gt;&lt;div&gt;&lt;h5&gt;&lt;b&gt;School &lt;/b&gt;transmutation (polymorph); &lt;b&gt;Level &lt;/b&gt;alchemist 1, bard 1, sorcerer/wizard 1, witch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hour/level&lt;/h5&gt;&lt;/div&gt;&lt;hr/&gt;&lt;div&gt;&lt;h5&gt;&lt;b&gt;DESCRIPTION&lt;/b&gt;&lt;/h5&gt;&lt;/div&gt;&lt;hr/&gt;&lt;div&gt;&lt;h4&gt;&lt;p&gt;You make your target look like a younger version of itself. You select how much younger it looks (for example, "10 years" or "as a young adult"). You cannot otherwise change details of the target's appearance other than those directly associated with aging (for example, gray hair returns to its original color). The target cannot appear so much younger that it changes size.&lt;/p&gt;&lt;p&gt;This spell does not affect any age-based modifications to ability scores or other age-related effects.&lt;/p&gt;&lt;/h4&gt;&lt;/div&gt;</t>
  </si>
  <si>
    <t>Target appears younger.</t>
  </si>
  <si>
    <t>Staggering Fall</t>
  </si>
  <si>
    <t>one falling creature</t>
  </si>
  <si>
    <t>1 round/level (see below)</t>
  </si>
  <si>
    <t>Fort. partial (see below)</t>
  </si>
  <si>
    <t>This spell must be cast on a creature as it falls, either from a height or after being knocked prone or tripped. The magic of this spell causes the creature to hit the ground particularly hard, knocking the wind from it. The creature takes an additional 1d6 points of damage from the fall. In addition, the creature becomes staggered for the duration of the spell unless it makes a Will save. Each round the spell's effects persist, the creature may attempt a new Will save as a free action to end the staggered effect early. A creature under the effects of this spell must take a standard action to stand up.</t>
  </si>
  <si>
    <t>&lt;p&gt;This spell must be cast on a creature as it falls, either from a height or after being knocked prone or tripped. The magic of this spell causes the creature to hit the ground particularly hard, knocking the wind from it. The creature takes an additional 1d6 points of damage from the fall. In addition, the creature becomes staggered for the duration of the spell unless it makes a Will save. Each round the spell's effects persist, the creature may attempt a new Will save as a free action to end the staggered effect early. A creature under the effects of this spell must take a standard action to stand up.&lt;/p&gt;</t>
  </si>
  <si>
    <t>Rival Guide</t>
  </si>
  <si>
    <t>&lt;link rel="stylesheet"href="PF.css"&gt;&lt;div class="heading"&gt;&lt;p class="alignleft"&gt;Staggering Fall&lt;/p&gt;&lt;div style="clear: both;"&gt;&lt;/div&gt;&lt;/div&gt;&lt;div&gt;&lt;h5&gt;&lt;b&gt;School &lt;/b&gt;transmutation; &lt;b&gt;Level &lt;/b&gt;cleric 2/oracle 2, sorcerer/wizard 2, witch 2&lt;/h5&gt;&lt;/div&gt;&lt;hr/&gt;&lt;div&gt;&lt;h5&gt;&lt;b&gt;CASTING&lt;/b&gt;&lt;/h5&gt;&lt;/div&gt;&lt;hr/&gt;&lt;div&gt;&lt;h5&gt;&lt;b&gt;Casting Time &lt;/b&gt;1 immediate action&lt;/h5&gt;&lt;h5&gt;&lt;b&gt;Components &lt;/b&gt;V, S&lt;/h5&gt;&lt;/div&gt;&lt;hr/&gt;&lt;div&gt;&lt;h5&gt;&lt;b&gt;EFFECT&lt;/b&gt;&lt;/h5&gt;&lt;/div&gt;&lt;hr/&gt;&lt;div&gt;&lt;h5&gt;&lt;b&gt;Range &lt;/b&gt;medium (100 ft. + 10 ft./level)&lt;/h5&gt;&lt;h5&gt;&lt;b&gt;Targets &lt;/b&gt;one falling creature&lt;/h5&gt;&lt;h5&gt;&lt;b&gt;Duration &lt;/b&gt;1 round/level (see below)&lt;/h5&gt;&lt;h5&gt;&lt;b&gt;Saving Throw &lt;/b&gt;Fort. partial (see below); &lt;b&gt;Spell Resistance &lt;/b&gt;yes&lt;/h5&gt;&lt;/div&gt;&lt;hr/&gt;&lt;div&gt;&lt;h5&gt;&lt;b&gt;DESCRIPTION&lt;/b&gt;&lt;/h5&gt;&lt;/div&gt;&lt;hr/&gt;&lt;div&gt;&lt;h4&gt;&lt;p&gt;This spell must be cast on a creature as it falls, either from a height or after being knocked prone or tripped. The magic of this spell causes the creature to hit the ground particularly hard, knocking the wind from it. The creature takes an additional 1d6 points of damage from the fall. In addition, the creature becomes staggered for the duration of the spell unless it makes a Will save. Each round the spell's effects persist, the creature may attempt a new Will save as a free action to end the staggered effect early. A creature under the effects of this spell must take a standard action to stand up.&lt;/p&gt;&lt;/h4&gt;&lt;/div&gt;</t>
  </si>
  <si>
    <t>Greensight</t>
  </si>
  <si>
    <t>V, S, M (a leaf )</t>
  </si>
  <si>
    <t>Upon casting this spell, the recipient is empowered to see up to 60 feet through thick plant matter as though it were transparent. Leaves, vines, and greenery-even moss, lichen, and slime- offer no concealment to the recipient's sight, though her vision still can be blocked by solid wood, as if from trees or wooden structures. Undergrowth does not grant concealment to a creature against a recipient of the effects of greensight.</t>
  </si>
  <si>
    <t>&lt;p&gt;Upon casting this spell, the recipient is empowered to see up to 60 feet through thick plant matter as though it were transparent.&lt;/p&gt;&lt;p&gt;Leaves, vines, and greenery-even moss, lichen, and slime- offer no concealment to the recipient's sight, though her vision still can be blocked by solid wood, as if from trees or wooden structures. Undergrowth does not grant concealment to a creature against a recipient of the effects of &lt;i&gt;greensight&lt;/i&gt;.&lt;/p&gt;</t>
  </si>
  <si>
    <t>&lt;link rel="stylesheet"href="PF.css"&gt;&lt;div class="heading"&gt;&lt;p class="alignleft"&gt;Greensight&lt;/p&gt;&lt;div style="clear: both;"&gt;&lt;/div&gt;&lt;/div&gt;&lt;div&gt;&lt;h5&gt;&lt;b&gt;School &lt;/b&gt;transmutation; &lt;b&gt;Level &lt;/b&gt;druid 2, ranger 2, sorcerer/wizard 2&lt;/h5&gt;&lt;/div&gt;&lt;hr/&gt;&lt;div&gt;&lt;h5&gt;&lt;b&gt;CASTING&lt;/b&gt;&lt;/h5&gt;&lt;/div&gt;&lt;hr/&gt;&lt;div&gt;&lt;h5&gt;&lt;b&gt;Casting Time &lt;/b&gt;1 standard action&lt;/h5&gt;&lt;h5&gt;&lt;b&gt;Components &lt;/b&gt;V, S, M (a leaf )&lt;/h5&gt;&lt;/div&gt;&lt;hr/&gt;&lt;div&gt;&lt;h5&gt;&lt;b&gt;EFFECT&lt;/b&gt;&lt;/h5&gt;&lt;/div&gt;&lt;hr/&gt;&lt;div&gt;&lt;h5&gt;&lt;b&gt;Range &lt;/b&gt;touch&lt;/h5&gt;&lt;h5&gt;&lt;b&gt;Targets &lt;/b&gt;creature touched&lt;/h5&gt;&lt;h5&gt;&lt;b&gt;Duration &lt;/b&gt;10 minutes/level&lt;/h5&gt;&lt;h5&gt;&lt;b&gt;Saving Throw &lt;/b&gt;Will negates (harmless); &lt;b&gt;Spell Resistance &lt;/b&gt;no&lt;/h5&gt;&lt;/div&gt;&lt;hr/&gt;&lt;div&gt;&lt;h5&gt;&lt;b&gt;DESCRIPTION&lt;/b&gt;&lt;/h5&gt;&lt;/div&gt;&lt;hr/&gt;&lt;div&gt;&lt;h4&gt;&lt;p&gt;Upon casting this spell, the recipient is empowered to see up to 60 feet through thick plant matter as though it were transparent.&lt;/p&gt;&lt;p&gt;Leaves, vines, and greenery-even moss, lichen, and slime- offer no concealment to the recipient's sight, though her vision still can be blocked by solid wood, as if from trees or wooden structures. Undergrowth does not grant concealment to a creature against a recipient of the effects of &lt;i&gt;greensight&lt;/i&gt;.&lt;/p&gt;&lt;/h4&gt;&lt;/div&gt;</t>
  </si>
  <si>
    <t>Sheet Lightning</t>
  </si>
  <si>
    <t>You create a dazzling flash of electricity that fills the target area. Sheet lightning inflicts 1 point of electricity damage to all creatures within the area of effect (no save). The true power of the spell, though, lies not in the damage it inflicts but in the overwhelming pain the lightning creates. The sudden flash and jolt dazes living creatures for 1 round if they fail a saving throw. Creatures that save are instead dazzled for 1 round. Any creature wearing metal armor takes a -2 penalty to its saving throw against this spell.</t>
  </si>
  <si>
    <t>&lt;p&gt;You create a dazzling flash of electricity that fills the target area. Sheet lightning inflicts 1 point of electricity damage to all creatures within the area of effect (no save). The true power of the spell, though, lies not in the damage it inflicts but in the overwhelming pain the lightning creates. The sudden flash and jolt dazes living creatures for 1 round if they fail a saving throw. Creatures that save are instead dazzled for 1 round. Any creature wearing metal armor takes a -2 penalty to its saving throw against this spell.&lt;/p&gt;</t>
  </si>
  <si>
    <t>&lt;link rel="stylesheet"href="PF.css"&gt;&lt;div class="heading"&gt;&lt;p class="alignleft"&gt;Sheet Lightning&lt;/p&gt;&lt;div style="clear: both;"&gt;&lt;/div&gt;&lt;/div&gt;&lt;div&gt;&lt;h5&gt;&lt;b&gt;School &lt;/b&gt;evocation [electricity]; &lt;b&gt;Level &lt;/b&gt;druid 3, sorcerer/wizard 3&lt;/h5&gt;&lt;/div&gt;&lt;hr/&gt;&lt;div&gt;&lt;h5&gt;&lt;b&gt;CASTING&lt;/b&gt;&lt;/h5&gt;&lt;/div&gt;&lt;hr/&gt;&lt;div&gt;&lt;h5&gt;&lt;b&gt;Casting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ft./level)&lt;/h5&gt;&lt;h5&gt;&lt;b&gt;Targets &lt;/b&gt;20-ft.-radius spread&lt;/h5&gt;&lt;h5&gt;&lt;b&gt;Duration &lt;/b&gt;instantaneous&lt;/h5&gt;&lt;h5&gt;&lt;b&gt;Saving Throw &lt;/b&gt;Fortitude partial; &lt;b&gt;Spell Resistance &lt;/b&gt;yes&lt;/h5&gt;&lt;/div&gt;&lt;hr/&gt;&lt;div&gt;&lt;h5&gt;&lt;b&gt;DESCRIPTION&lt;/b&gt;&lt;/h5&gt;&lt;/div&gt;&lt;hr/&gt;&lt;div&gt;&lt;h4&gt;&lt;p&gt;You create a dazzling flash of electricity that fills the target area. Sheet lightning inflicts 1 point of electricity damage to all creatures within the area of effect (no save). The true power of the spell, though, lies not in the damage it inflicts but in the overwhelming pain the lightning creates. The sudden flash and jolt dazes living creatures for 1 round if they fail a saving throw. Creatures that save are instead dazzled for 1 round. Any creature wearing metal armor takes a -2 penalty to its saving throw against this spell.&lt;/p&gt;&lt;/h4&gt;&lt;/div&gt;</t>
  </si>
  <si>
    <t>Breeze</t>
  </si>
  <si>
    <t>sorcerer/wizard 0</t>
  </si>
  <si>
    <t>V, S, M (a miniature fan)</t>
  </si>
  <si>
    <t>1 hour (D)</t>
  </si>
  <si>
    <t>You create a light wind that blows against the target, from a direction of your choice. The breeze grants the subject a +2 bonus on saves against very hot conditions, severe heat, breath weapons, and saves against cloud vapors and gases (such as cloudkill, stinking cloud, and inhaled poisons). This spell does not function without air or underwater. You can only have one breeze active at any one time. If you cast this spell while another casting is still in effect, the previous casting is dispelled.</t>
  </si>
  <si>
    <t>&lt;p&gt;You create a light wind that blows against the target, from a direction of your choice. The breeze grants the subject a +2 bonus on saves against very hot conditions, severe heat, breath weapons, and saves against cloud vapors and gases (such as cloudkill, stinking cloud, and inhaled poisons). This spell does not function without air or underwater.&lt;/p&gt;&lt;p&gt;You can only have one breeze active at any one time. If you cast this spell while another casting is still in effect, the previous casting is dispelled.&lt;/p&gt;</t>
  </si>
  <si>
    <t>Paizo Blog</t>
  </si>
  <si>
    <t>&lt;link rel="stylesheet"href="PF.css"&gt;&lt;div class="heading"&gt;&lt;p class="alignleft"&gt;Breeze&lt;/p&gt;&lt;div style="clear: both;"&gt;&lt;/div&gt;&lt;/div&gt;&lt;div&gt;&lt;h5&gt;&lt;b&gt;School &lt;/b&gt;evocation [air]; &lt;b&gt;Level &lt;/b&gt;sorcerer/wizard 0&lt;/h5&gt;&lt;/div&gt;&lt;hr/&gt;&lt;div&gt;&lt;h5&gt;&lt;b&gt;CASTING&lt;/b&gt;&lt;/h5&gt;&lt;/div&gt;&lt;hr/&gt;&lt;div&gt;&lt;h5&gt;&lt;b&gt;Casting Time &lt;/b&gt;1 standard action&lt;/h5&gt;&lt;h5&gt;&lt;b&gt;Components &lt;/b&gt;V, S, M (a miniature fan)&lt;/h5&gt;&lt;/div&gt;&lt;hr/&gt;&lt;div&gt;&lt;h5&gt;&lt;b&gt;EFFECT&lt;/b&gt;&lt;/h5&gt;&lt;/div&gt;&lt;hr/&gt;&lt;div&gt;&lt;h5&gt;&lt;b&gt;Range &lt;/b&gt;close (25 ft. + 5 ft./2 levels)&lt;/h5&gt;&lt;h5&gt;&lt;b&gt;Targets &lt;/b&gt;one creature or object&lt;/h5&gt;&lt;h5&gt;&lt;b&gt;Duration &lt;/b&gt;1 hour (D)&lt;/h5&gt;&lt;h5&gt;&lt;b&gt;Saving Throw &lt;/b&gt;Will negates (harmless); &lt;b&gt;Spell Resistance &lt;/b&gt;yes&lt;/h5&gt;&lt;/div&gt;&lt;hr/&gt;&lt;div&gt;&lt;h5&gt;&lt;b&gt;DESCRIPTION&lt;/b&gt;&lt;/h5&gt;&lt;/div&gt;&lt;hr/&gt;&lt;div&gt;&lt;h4&gt;&lt;p&gt;You create a light wind that blows against the target, from a direction of your choice. The breeze grants the subject a +2 bonus on saves against very hot conditions, severe heat, breath weapons, and saves against cloud vapors and gases (such as cloudkill, stinking cloud, and inhaled poisons). This spell does not function without air or underwater.&lt;/p&gt;&lt;p&gt;You can only have one breeze active at any one time. If you cast this spell while another casting is still in effect, the previous casting is dispelled.&lt;/p&gt;&lt;/h4&gt;&lt;/div&gt;</t>
  </si>
  <si>
    <t>Drench</t>
  </si>
  <si>
    <t>one creature or object of size Large or smaller</t>
  </si>
  <si>
    <t>A sudden downpour soaks the target creature or object. The rain follows the subject up to the range of the spell, soaking the target with water. If the target is on fire, the flames are automatically extinguished. Fires smaller than campfires (such as lanterns and torches) are automatically extinguished by this spell.</t>
  </si>
  <si>
    <t>&lt;p&gt;A sudden downpour soaks the target creature or object. The rain follows the subject up to the range of the spell, soaking the target with water. If the target is on fire, the flames are automatically extinguished. Fires smaller than campfires (such as lanterns and torches) are automatically extinguished by this spell.&lt;/p&gt;</t>
  </si>
  <si>
    <t>&lt;link rel="stylesheet"href="PF.css"&gt;&lt;div class="heading"&gt;&lt;p class="alignleft"&gt;Drench&lt;/p&gt;&lt;div style="clear: both;"&gt;&lt;/div&gt;&lt;/div&gt;&lt;div&gt;&lt;h5&gt;&lt;b&gt;School &lt;/b&gt;conjuration (creation) [water]; &lt;b&gt;Level &lt;/b&gt;sorcerer/wizard 0&lt;/h5&gt;&lt;/div&gt;&lt;hr/&gt;&lt;div&gt;&lt;h5&gt;&lt;b&gt;CASTING&lt;/b&gt;&lt;/h5&gt;&lt;/div&gt;&lt;hr/&gt;&lt;div&gt;&lt;h5&gt;&lt;b&gt;Casting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 or object of size Large or smaller&lt;/h5&gt;&lt;h5&gt;&lt;b&gt;Duration &lt;/b&gt;1 round&lt;/h5&gt;&lt;h5&gt;&lt;b&gt;Saving Throw &lt;/b&gt;Reflex negates (object); &lt;b&gt;Spell Resistance &lt;/b&gt;yes (object)&lt;/h5&gt;&lt;/div&gt;&lt;hr/&gt;&lt;div&gt;&lt;h5&gt;&lt;b&gt;DESCRIPTION&lt;/b&gt;&lt;/h5&gt;&lt;/div&gt;&lt;hr/&gt;&lt;div&gt;&lt;h4&gt;&lt;p&gt;A sudden downpour soaks the target creature or object. The rain follows the subject up to the range of the spell, soaking the target with water. If the target is on fire, the flames are automatically extinguished. Fires smaller than campfires (such as lanterns and torches) are automatically extinguished by this spell.&lt;/p&gt;&lt;/h4&gt;&lt;/div&gt;</t>
  </si>
  <si>
    <t>Jolt</t>
  </si>
  <si>
    <t>spark of electricity</t>
  </si>
  <si>
    <t>You cause a spark of electricity to strike the target with a successful ranged touch attack. The spell deals 1d3 points of electricity damage.</t>
  </si>
  <si>
    <t>&lt;p&gt;You cause a spark of electricity to strike the target with a successful ranged touch attack. The spell deals 1d3 points of electricity damage.&lt;/p&gt;</t>
  </si>
  <si>
    <t>&lt;link rel="stylesheet"href="PF.css"&gt;&lt;div class="heading"&gt;&lt;p class="alignleft"&gt;Jolt&lt;/p&gt;&lt;div style="clear: both;"&gt;&lt;/div&gt;&lt;/div&gt;&lt;div&gt;&lt;h5&gt;&lt;b&gt;School &lt;/b&gt;transmutation [electricity]; &lt;b&gt;Level &lt;/b&gt;sorcerer/wizard 0&lt;/h5&gt;&lt;/div&gt;&lt;hr/&gt;&lt;div&gt;&lt;h5&gt;&lt;b&gt;CASTING&lt;/b&gt;&lt;/h5&gt;&lt;/div&gt;&lt;hr/&gt;&lt;div&gt;&lt;h5&gt;&lt;b&gt;Casting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levels)&lt;/h5&gt;&lt;h5&gt;&lt;b&gt;Effect &lt;/b&gt;spark of electricity&lt;/h5&gt;&lt;h5&gt;&lt;b&gt;Duration &lt;/b&gt;instantaneous&lt;/h5&gt;&lt;h5&gt;&lt;b&gt;Saving Throw &lt;/b&gt;none; &lt;b&gt;Spell Resistance &lt;/b&gt;Yes&lt;/h5&gt;&lt;/div&gt;&lt;hr/&gt;&lt;div&gt;&lt;h5&gt;&lt;b&gt;DESCRIPTION&lt;/b&gt;&lt;/h5&gt;&lt;/div&gt;&lt;hr/&gt;&lt;div&gt;&lt;h4&gt;&lt;p&gt;You cause a spark of electricity to strike the target with a successful ranged touch attack. The spell deals 1d3 points of electricity damage.&lt;/p&gt;&lt;/h4&gt;&lt;/div&gt;</t>
  </si>
  <si>
    <t>Penumbra</t>
  </si>
  <si>
    <t>V, S, M (a bit of soot)</t>
  </si>
  <si>
    <t>This spell keeps the creature or object touched slightly in shadow. The target of this spell does not suffer any penalties or blindness caused by bright light, such as those from light sensitivity or light blindness. You can have only one penumbra spell active at any one time. If you cast this spell while another casting is still in effect, the previous casting is dispelled.</t>
  </si>
  <si>
    <t>&lt;p&gt;This spell keeps the creature or object touched slightly in shadow. The target of this spell does not suffer any penalties or blindness caused by bright light, such as those from light sensitivity or light blindness.&lt;/p&gt;&lt;p&gt;You can have only one penumbra spell active at any one time. If you cast this spell while another casting is still in effect, the previous casting is dispelled.&lt;/p&gt;</t>
  </si>
  <si>
    <t>&lt;link rel="stylesheet"href="PF.css"&gt;&lt;div class="heading"&gt;&lt;p class="alignleft"&gt;Penumbra&lt;/p&gt;&lt;div style="clear: both;"&gt;&lt;/div&gt;&lt;/div&gt;&lt;div&gt;&lt;h5&gt;&lt;b&gt;School &lt;/b&gt;evocation [darkness]; &lt;b&gt;Level &lt;/b&gt;sorcerer/wizard 0&lt;/h5&gt;&lt;/div&gt;&lt;hr/&gt;&lt;div&gt;&lt;h5&gt;&lt;b&gt;CASTING&lt;/b&gt;&lt;/h5&gt;&lt;/div&gt;&lt;hr/&gt;&lt;div&gt;&lt;h5&gt;&lt;b&gt;Casting Time &lt;/b&gt;1 standard action&lt;/h5&gt;&lt;h5&gt;&lt;b&gt;Components &lt;/b&gt;V, S, M (a bit of soot)&lt;/h5&gt;&lt;/div&gt;&lt;hr/&gt;&lt;div&gt;&lt;h5&gt;&lt;b&gt;EFFECT&lt;/b&gt;&lt;/h5&gt;&lt;/div&gt;&lt;hr/&gt;&lt;div&gt;&lt;h5&gt;&lt;b&gt;Range &lt;/b&gt;touch&lt;/h5&gt;&lt;h5&gt;&lt;b&gt;Targets &lt;/b&gt;creature or object touched&lt;/h5&gt;&lt;h5&gt;&lt;b&gt;Duration &lt;/b&gt;10 minutes/level (D)&lt;/h5&gt;&lt;h5&gt;&lt;b&gt;Saving Throw &lt;/b&gt;Will negates (harmless); &lt;b&gt;Spell Resistance &lt;/b&gt;yes&lt;/h5&gt;&lt;/div&gt;&lt;hr/&gt;&lt;div&gt;&lt;h5&gt;&lt;b&gt;DESCRIPTION&lt;/b&gt;&lt;/h5&gt;&lt;/div&gt;&lt;hr/&gt;&lt;div&gt;&lt;h4&gt;&lt;p&gt;This spell keeps the creature or object touched slightly in shadow. The target of this spell does not suffer any penalties or blindness caused by bright light, such as those from light sensitivity or light blindness.&lt;/p&gt;&lt;p&gt;You can have only one penumbra spell active at any one time. If you cast this spell while another casting is still in effect, the previous casting is dispelled.&lt;/p&gt;&lt;/h4&gt;&lt;/div&gt;</t>
  </si>
  <si>
    <t>Root</t>
  </si>
  <si>
    <t>1 minute (D)</t>
  </si>
  <si>
    <t>This spell strengthens the subject's connection to the ground below, bolstering its defense against combat maneuvers. It gains a +2 insight bonus to its CMD to resist being moved or tripped and a +2 competence bonus on all Acrobatics checks made to balance or remain standing on earth, sand, stone, or a similar rocky substance.</t>
  </si>
  <si>
    <t>&lt;p&gt;This spell strengthens the subject's connection to the ground below, bolstering its defense against combat maneuvers. It gains a +2 insight bonus to its CMD to resist being moved or tripped and a +2 competence bonus on all Acrobatics checks made to balance or remain standing on earth, sand, stone, or a similar rocky substance.&lt;/p&gt;</t>
  </si>
  <si>
    <t>&lt;link rel="stylesheet"href="PF.css"&gt;&lt;div class="heading"&gt;&lt;p class="alignleft"&gt;Root&lt;/p&gt;&lt;div style="clear: both;"&gt;&lt;/div&gt;&lt;/div&gt;&lt;div&gt;&lt;h5&gt;&lt;b&gt;School &lt;/b&gt;transmutation [earth]; &lt;b&gt;Level &lt;/b&gt;sorcerer/wizard 0&lt;/h5&gt;&lt;/div&gt;&lt;hr/&gt;&lt;div&gt;&lt;h5&gt;&lt;b&gt;CASTING&lt;/b&gt;&lt;/h5&gt;&lt;/div&gt;&lt;hr/&gt;&lt;div&gt;&lt;h5&gt;&lt;b&gt;Casting Time &lt;/b&gt;1 standard action&lt;/h5&gt;&lt;h5&gt;&lt;b&gt;Components &lt;/b&gt;V, S, M (a pinch of dirt)&lt;/h5&gt;&lt;/div&gt;&lt;hr/&gt;&lt;div&gt;&lt;h5&gt;&lt;b&gt;EFFECT&lt;/b&gt;&lt;/h5&gt;&lt;/div&gt;&lt;hr/&gt;&lt;div&gt;&lt;h5&gt;&lt;b&gt;Range &lt;/b&gt;touch&lt;/h5&gt;&lt;h5&gt;&lt;b&gt;Targets &lt;/b&gt;creature touched&lt;/h5&gt;&lt;h5&gt;&lt;b&gt;Duration &lt;/b&gt;1 minute (D)&lt;/h5&gt;&lt;h5&gt;&lt;b&gt;Saving Throw &lt;/b&gt;Will negates (harmless); &lt;b&gt;Spell Resistance &lt;/b&gt;yes&lt;/h5&gt;&lt;/div&gt;&lt;hr/&gt;&lt;div&gt;&lt;h5&gt;&lt;b&gt;DESCRIPTION&lt;/b&gt;&lt;/h5&gt;&lt;/div&gt;&lt;hr/&gt;&lt;div&gt;&lt;h4&gt;&lt;p&gt;This spell strengthens the subject's connection to the ground below, bolstering its defense against combat maneuvers. It gains a +2 insight bonus to its CMD to resist being moved or tripped and a +2 competence bonus on all Acrobatics checks made to balance or remain standing on earth, sand, stone, or a similar rocky substance.&lt;/p&gt;&lt;/h4&gt;&lt;/div&gt;</t>
  </si>
  <si>
    <t>Scoop</t>
  </si>
  <si>
    <t>6 inch diameter container of force Duration concentration</t>
  </si>
  <si>
    <t>You will a small vessel of force into existence. As a move action, you can direct the container up to 15 feet per round in any direction, though the spell ends if the distance between you and the container ever exceeds the spell's range. You can dip the container to pick up or drop a liquid as a move action. The vessel holds up to 1 pint of liquid or small objects, weighing up to 5 pounds. You can also gather up a pint of liquid or small objects spread cross a surface with 1 minute of careful concentration.</t>
  </si>
  <si>
    <t>&lt;p&gt;You will a small vessel of force into existence. As a move action, you can direct the container up to 15 feet per round in any direction, though the spell ends if the distance between you and the container ever exceeds the spell's range. You can dip the container to pick up or drop a liquid as a move action. The vessel holds up to 1 pint of liquid or small objects, weighing up to 5 pounds. You can also gather up a pint of liquid or small objects spread cross a surface with 1 minute of careful concentration.&lt;/p&gt;</t>
  </si>
  <si>
    <t>&lt;link rel="stylesheet"href="PF.css"&gt;&lt;div class="heading"&gt;&lt;p class="alignleft"&gt;Scoop&lt;/p&gt;&lt;div style="clear: both;"&gt;&lt;/div&gt;&lt;/div&gt;&lt;div&gt;&lt;h5&gt;&lt;b&gt;School &lt;/b&gt;evocation [force]; &lt;b&gt;Level &lt;/b&gt;sorcerer/wizard 0&lt;/h5&gt;&lt;/div&gt;&lt;hr/&gt;&lt;div&gt;&lt;h5&gt;&lt;b&gt;CASTING&lt;/b&gt;&lt;/h5&gt;&lt;/div&gt;&lt;hr/&gt;&lt;div&gt;&lt;h5&gt;&lt;b&gt;Casting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levels)&lt;/h5&gt;&lt;h5&gt;&lt;b&gt;Effect &lt;/b&gt;6 inch diameter container of force Duration concentration&lt;/h5&gt;&lt;h5&gt;&lt;b&gt;Saving Throw &lt;/b&gt;none; &lt;b&gt;Spell Resistance &lt;/b&gt;yes&lt;/h5&gt;&lt;/div&gt;&lt;hr/&gt;&lt;div&gt;&lt;h5&gt;&lt;b&gt;DESCRIPTION&lt;/b&gt;&lt;/h5&gt;&lt;/div&gt;&lt;hr/&gt;&lt;div&gt;&lt;h4&gt;&lt;p&gt;You will a small vessel of force into existence. As a move action, you can direct the container up to 15 feet per round in any direction, though the spell ends if the distance between you and the container ever exceeds the spell's range. You can dip the container to pick up or drop a liquid as a move action. The vessel holds up to 1 pint of liquid or small objects, weighing up to 5 pounds. You can also gather up a pint of liquid or small objects spread cross a surface with 1 minute of careful concentration.&lt;/p&gt;&lt;/h4&gt;&lt;/div&gt;</t>
  </si>
  <si>
    <t>Dazzling Blade</t>
  </si>
  <si>
    <t>one metal weapon</t>
  </si>
  <si>
    <t>Dazzling blade makes a weapon appear dazzlingly shiny, as if crafted from pure silver and heavily polished. In combat, the flashing movements of a dazzling blade become almost hypnotic. The wielder of a weapon under the effects of dazzling blade gains a +1 competence bonus on all Bluff checks made to feint in combat. The wielder also gains a +1 competence bonus on all CMB checks made to disarm a foe, and a +1 competence bonus to his CMD against disarm attempts made against the weapon bearing the dazzling blade effect. This bonus increases by +1 for every 3 caster levels, to a maximum bonus of +5 at 12th level. The wielder of a dazzling blade can discharge the spell into a blinding burst of silvery light as a free action. The wielder selects an adjacent opponent as the focal point of this burst of light-that creature must make a Will save to avoid being blinded for 1 round (with a successful save, the creature is instead dazzled for 1 round). Despite its shiny appearance, a dazzling blade grants no extra benefit against creatures that are vulnerable to silver.</t>
  </si>
  <si>
    <t>&lt;p&gt;&lt;i&gt;Dazzling blade&lt;/i&gt; makes a weapon appear dazzlingly shiny, as if crafted from pure silver and heavily polished. In combat, the flashing movements of a &lt;i&gt;dazzling blade&lt;/i&gt; become almost hypnotic. The wielder of a weapon under the effects of &lt;i&gt;dazzling blade&lt;/i&gt; gains a +1 competence bonus on all Bluff checks made to feint in combat. The wielder also gains a +1 competence bonus on all CMB checks made to disarm a foe, and a +1 competence bonus to his CMD against disarm attempts made against the weapon bearing the &lt;i&gt;dazzling blade&lt;/i&gt; effect. This bonus increases by +1 for every 3 caster levels, to a maximum bonus of +5 at 12th level.&lt;/p&gt;&lt;p&gt;The wielder of a &lt;i&gt;dazzling blade&lt;/i&gt; can discharge the spell into a blinding burst of silvery light as a free action. The wielder selects an adjacent opponent as the focal point of this burst of light-that creature must make a Will save to avoid being blinded for 1 round (with a successful save, the creature is instead dazzled for 1 round).&lt;/p&gt;&lt;p&gt;Despite its shiny appearance, a &lt;i&gt;dazzling blade&lt;/i&gt; grants no extra benefit against creatures that are vulnerable to silver.&lt;/p&gt;</t>
  </si>
  <si>
    <t>&lt;link rel="stylesheet"href="PF.css"&gt;&lt;div class="heading"&gt;&lt;p class="alignleft"&gt;Dazzling Blade&lt;/p&gt;&lt;div style="clear: both;"&gt;&lt;/div&gt;&lt;/div&gt;&lt;div&gt;&lt;h5&gt;&lt;b&gt;School &lt;/b&gt;illusion (pattern); &lt;b&gt;Level &lt;/b&gt;bard 1, sorcerer/wizard 1&lt;/h5&gt;&lt;/div&gt;&lt;hr/&gt;&lt;div&gt;&lt;h5&gt;&lt;b&gt;CASTING&lt;/b&gt;&lt;/h5&gt;&lt;/div&gt;&lt;hr/&gt;&lt;div&gt;&lt;h5&gt;&lt;b&gt;Casting Time &lt;/b&gt;1 swift action&lt;/h5&gt;&lt;h5&gt;&lt;b&gt;Components &lt;/b&gt;V, S&lt;/h5&gt;&lt;/div&gt;&lt;hr/&gt;&lt;div&gt;&lt;h5&gt;&lt;b&gt;EFFECT&lt;/b&gt;&lt;/h5&gt;&lt;/div&gt;&lt;hr/&gt;&lt;div&gt;&lt;h5&gt;&lt;b&gt;Range &lt;/b&gt;touch&lt;/h5&gt;&lt;h5&gt;&lt;b&gt;Targets &lt;/b&gt;one metal weapon&lt;/h5&gt;&lt;h5&gt;&lt;b&gt;Duration &lt;/b&gt;1 minute/level&lt;/h5&gt;&lt;h5&gt;&lt;b&gt;Saving Throw &lt;/b&gt;Will negates (see text); &lt;b&gt;Spell Resistance &lt;/b&gt;yes (harmless, object)&lt;/h5&gt;&lt;/div&gt;&lt;hr/&gt;&lt;div&gt;&lt;h5&gt;&lt;b&gt;DESCRIPTION&lt;/b&gt;&lt;/h5&gt;&lt;/div&gt;&lt;hr/&gt;&lt;div&gt;&lt;h4&gt;&lt;p&gt;&lt;i&gt;Dazzling blade&lt;/i&gt; makes a weapon appear dazzlingly shiny, as if crafted from pure silver and heavily polished. In combat, the flashing movements of a &lt;i&gt;dazzling blade&lt;/i&gt; become almost hypnotic. The wielder of a weapon under the effects of &lt;i&gt;dazzling blade&lt;/i&gt; gains a +1 competence bonus on all Bluff checks made to feint in combat. The wielder also gains a +1 competence bonus on all CMB checks made to disarm a foe, and a +1 competence bonus to his CMD against disarm attempts made against the weapon bearing the &lt;i&gt;dazzling blade&lt;/i&gt; effect. This bonus increases by +1 for every 3 caster levels, to a maximum bonus of +5 at 12th level.&lt;/p&gt;&lt;p&gt;The wielder of a &lt;i&gt;dazzling blade&lt;/i&gt; can discharge the spell into a blinding burst of silvery light as a free action. The wielder selects an adjacent opponent as the focal point of this burst of light-that creature must make a Will save to avoid being blinded for 1 round (with a successful save, the creature is instead dazzled for 1 round).&lt;/p&gt;&lt;p&gt;Despite its shiny appearance, a &lt;i&gt;dazzling blade&lt;/i&gt; grants no extra benefit against creatures that are vulnerable to silver.&lt;/p&gt;&lt;/h4&gt;&lt;/div&gt;</t>
  </si>
  <si>
    <t>Dazzling Blade, Mass</t>
  </si>
  <si>
    <t>One metal weapon/level, no two of which can be more than 30 ft. apart</t>
  </si>
  <si>
    <t>This spell functions like dazzling blade, except that it affects multiple weapons. Each wielder of a dazzling blade can discharge the weapon's effect to attempt to blind a foe independently of the others.</t>
  </si>
  <si>
    <t>&lt;p&gt;This spell functions like &lt;i&gt;dazzling blade&lt;/i&gt;, except that it affects multiple weapons. Each wielder of a &lt;i&gt;dazzling blade&lt;/i&gt; can discharge the weapon's effect to attempt to blind a foe independently of the others.&lt;/p&gt;</t>
  </si>
  <si>
    <t>&lt;link rel="stylesheet"href="PF.css"&gt;&lt;div class="heading"&gt;&lt;p class="alignleft"&gt;Dazzling Blade, Mass&lt;/p&gt;&lt;div style="clear: both;"&gt;&lt;/div&gt;&lt;/div&gt;&lt;div&gt;&lt;h5&gt;&lt;b&gt;School &lt;/b&gt;illusion (pattern); &lt;b&gt;Level &lt;/b&gt;sorcerer/wizard 3&lt;/h5&gt;&lt;/div&gt;&lt;hr/&gt;&lt;div&gt;&lt;h5&gt;&lt;b&gt;CASTING&lt;/b&gt;&lt;/h5&gt;&lt;/div&gt;&lt;hr/&gt;&lt;div&gt;&lt;h5&gt;&lt;b&gt;Casting Time &lt;/b&gt;1 swift action&lt;/h5&gt;&lt;h5&gt;&lt;b&gt;Components &lt;/b&gt;V, S&lt;/h5&gt;&lt;/div&gt;&lt;hr/&gt;&lt;div&gt;&lt;h5&gt;&lt;b&gt;EFFECT&lt;/b&gt;&lt;/h5&gt;&lt;/div&gt;&lt;hr/&gt;&lt;div&gt;&lt;h5&gt;&lt;b&gt;Range &lt;/b&gt;close (25 ft. + 5 ft./2 levels)&lt;/h5&gt;&lt;h5&gt;&lt;b&gt;Targets &lt;/b&gt;One metal weapon/level, no two of which can be more than 30 ft. apart&lt;/h5&gt;&lt;h5&gt;&lt;b&gt;Duration &lt;/b&gt;1 minute/level&lt;/h5&gt;&lt;h5&gt;&lt;b&gt;Saving Throw &lt;/b&gt;Will negates (see text); &lt;b&gt;Spell Resistance &lt;/b&gt;yes (harmless, object)&lt;/h5&gt;&lt;/div&gt;&lt;hr/&gt;&lt;div&gt;&lt;h5&gt;&lt;b&gt;DESCRIPTION&lt;/b&gt;&lt;/h5&gt;&lt;/div&gt;&lt;hr/&gt;&lt;div&gt;&lt;h4&gt;&lt;p&gt;This spell functions like &lt;i&gt;dazzling blade&lt;/i&gt;, except that it affects multiple weapons. Each wielder of a &lt;i&gt;dazzling blade&lt;/i&gt; can discharge the weapon's effect to attempt to blind a foe independently of the others.&lt;/p&gt;&lt;/h4&gt;&lt;/div&gt;</t>
  </si>
  <si>
    <t>Summon Accuser</t>
  </si>
  <si>
    <t>evil, lawful</t>
  </si>
  <si>
    <t>bard 4, cleric 4/oracle 4, sorcerer/wizard 4, summoner 4, witch 4</t>
  </si>
  <si>
    <t>V, S, F/DF (chunk of rotten meat)</t>
  </si>
  <si>
    <t>1 accuser devil</t>
  </si>
  <si>
    <t>This spell summons a single accuser devil from Hell to do the spellcaster's bidding, similar to how summon monster spells function. Accuser devils, known to diabolists as zebubs, are hideous flying creatures with the torso of a plump human infant and the body and wings of an enormous fly. They make excellent spies, for they have the ability to grant visions of what they have witnessed to others-the Queen's Hands sometimes use summoned zebubs to observe suspects from afar. Accuser devils are detailed on page 84 of the Pathfinder RPG Bestiary 2.</t>
  </si>
  <si>
    <t>&lt;p&gt;This spell summons a single accuser devil from Hell to do the spellcaster's bidding, similar to how &lt;i&gt;summon monster&lt;/i&gt; spells function. Accuser devils, known to diabolists as zebubs, are hideous flying creatures with the torso of a plump human infant and the body and wings of an enormous fly. They make excellent spies, for they have the ability to grant visions of what they have witnessed to others-the Queen's Hands sometimes use summoned zebubs to observe suspects from afar. Accuser devils are detailed on page 84 of the &lt;i&gt;Pathfinder RPG Bestiary 2&lt;/i&gt;.&lt;/p&gt;</t>
  </si>
  <si>
    <t>&lt;link rel="stylesheet"href="PF.css"&gt;&lt;div class="heading"&gt;&lt;p class="alignleft"&gt;Summon Accuser&lt;/p&gt;&lt;div style="clear: both;"&gt;&lt;/div&gt;&lt;/div&gt;&lt;div&gt;&lt;h5&gt;&lt;b&gt;School &lt;/b&gt;conjuration (summoning) [evil, lawful]; &lt;b&gt;Level &lt;/b&gt;bard 4, cleric 4/oracle 4, sorcerer/wizard 4, summoner 4, witch 4&lt;/h5&gt;&lt;/div&gt;&lt;hr/&gt;&lt;div&gt;&lt;h5&gt;&lt;b&gt;CASTING&lt;/b&gt;&lt;/h5&gt;&lt;/div&gt;&lt;hr/&gt;&lt;div&gt;&lt;h5&gt;&lt;b&gt;Casting Time &lt;/b&gt;1 round&lt;/h5&gt;&lt;h5&gt;&lt;b&gt;Components &lt;/b&gt;V, S, F/DF (chunk of rotten meat)&lt;/h5&gt;&lt;/div&gt;&lt;hr/&gt;&lt;div&gt;&lt;h5&gt;&lt;b&gt;EFFECT&lt;/b&gt;&lt;/h5&gt;&lt;/div&gt;&lt;hr/&gt;&lt;div&gt;&lt;h5&gt;&lt;b&gt;Range &lt;/b&gt;close (25 ft. + 5 ft./2 levels)&lt;/h5&gt;&lt;h5&gt;&lt;b&gt;Effect &lt;/b&gt;1 accuser devil&lt;/h5&gt;&lt;h5&gt;&lt;b&gt;Duration &lt;/b&gt;10 minutes/level&lt;/h5&gt;&lt;h5&gt;&lt;b&gt;Saving Throw &lt;/b&gt;none; &lt;b&gt;Spell Resistance &lt;/b&gt;no&lt;/h5&gt;&lt;/div&gt;&lt;hr/&gt;&lt;div&gt;&lt;h5&gt;&lt;b&gt;DESCRIPTION&lt;/b&gt;&lt;/h5&gt;&lt;/div&gt;&lt;hr/&gt;&lt;div&gt;&lt;h4&gt;&lt;p&gt;This spell summons a single accuser devil from Hell to do the spellcaster's bidding, similar to how &lt;i&gt;summon monster&lt;/i&gt; spells function. Accuser devils, known to diabolists as zebubs, are hideous flying creatures with the torso of a plump human infant and the body and wings of an enormous fly. They make excellent spies, for they have the ability to grant visions of what they have witnessed to others-the Queen's Hands sometimes use summoned zebubs to observe suspects from afar. Accuser devils are detailed on page 84 of the &lt;i&gt;Pathfinder RPG Bestiary 2&lt;/i&gt;.&lt;/p&gt;&lt;/h4&gt;&lt;/div&gt;</t>
  </si>
  <si>
    <t>Summon Infernal Host</t>
  </si>
  <si>
    <t>bard 5, cleric 5/oracle 5, sorcerer/wizard 5, summoner 5, witch 5</t>
  </si>
  <si>
    <t>V, S, F/DF (strip of rune-inscribed parchment)</t>
  </si>
  <si>
    <t>1d4+1 lesser host devils or 1 greater host devil</t>
  </si>
  <si>
    <t>This spell functions as summon monster V, save that it can only be used to summon host devils. These noxious flying devils, known also as gaavs and magaavs, are detailed on page 58 of Pathfinder Campaign Setting: Princes of Darkness, Book of the Damned, Vol. 1.</t>
  </si>
  <si>
    <t>&lt;p&gt;This spell functions as &lt;i&gt;summon monster V&lt;/i&gt;, save that it can only be used to summon host devils. These noxious flying devils, known also as gaavs and magaavs, are detailed on page 58 of &lt;i&gt;Pathfinder Campaign Setting: Princes of&lt;/i&gt; &lt;i&gt;Darkness&lt;/i&gt;, &lt;i&gt;Book of the&lt;/i&gt; &lt;i&gt;Damned&lt;/i&gt;, &lt;i&gt;Vol&lt;/i&gt;. &lt;i&gt;1&lt;/i&gt;.&lt;/p&gt;</t>
  </si>
  <si>
    <t>&lt;link rel="stylesheet"href="PF.css"&gt;&lt;div class="heading"&gt;&lt;p class="alignleft"&gt;Summon Infernal Host&lt;/p&gt;&lt;div style="clear: both;"&gt;&lt;/div&gt;&lt;/div&gt;&lt;div&gt;&lt;h5&gt;&lt;b&gt;School &lt;/b&gt;conjuration (summoning) [evil, lawful]; &lt;b&gt;Level &lt;/b&gt;bard 5, cleric 5/oracle 5, sorcerer/wizard 5, summoner 5, witch 5&lt;/h5&gt;&lt;/div&gt;&lt;hr/&gt;&lt;div&gt;&lt;h5&gt;&lt;b&gt;CASTING&lt;/b&gt;&lt;/h5&gt;&lt;/div&gt;&lt;hr/&gt;&lt;div&gt;&lt;h5&gt;&lt;b&gt;Casting Time &lt;/b&gt;1 round&lt;/h5&gt;&lt;h5&gt;&lt;b&gt;Components &lt;/b&gt;V, S, F/DF (strip of rune-inscribed parchment)&lt;/h5&gt;&lt;/div&gt;&lt;hr/&gt;&lt;div&gt;&lt;h5&gt;&lt;b&gt;EFFECT&lt;/b&gt;&lt;/h5&gt;&lt;/div&gt;&lt;hr/&gt;&lt;div&gt;&lt;h5&gt;&lt;b&gt;Range &lt;/b&gt;close (25 ft. + 5 ft./2 levels)&lt;/h5&gt;&lt;h5&gt;&lt;b&gt;Effect &lt;/b&gt;1d4+1 lesser host devils or 1 greater host devil&lt;/h5&gt;&lt;h5&gt;&lt;b&gt;Duration &lt;/b&gt;1 round/level&lt;/h5&gt;&lt;h5&gt;&lt;b&gt;Saving Throw &lt;/b&gt;none; &lt;b&gt;Spell Resistance &lt;/b&gt;no&lt;/h5&gt;&lt;/div&gt;&lt;hr/&gt;&lt;div&gt;&lt;h5&gt;&lt;b&gt;DESCRIPTION&lt;/b&gt;&lt;/h5&gt;&lt;/div&gt;&lt;hr/&gt;&lt;div&gt;&lt;h4&gt;&lt;p&gt;This spell functions as &lt;i&gt;summon monster V&lt;/i&gt;, save that it can only be used to summon host devils. These noxious flying devils, known also as gaavs and magaavs, are detailed on page 58 of &lt;i&gt;Pathfinder Campaign Setting: Princes of&lt;/i&gt; &lt;i&gt;Darkness&lt;/i&gt;, &lt;i&gt;Book of the&lt;/i&gt; &lt;i&gt;Damned&lt;/i&gt;, &lt;i&gt;Vol&lt;/i&gt;. &lt;i&gt;1&lt;/i&gt;.&lt;/p&gt;&lt;/h4&gt;&lt;/div&gt;</t>
  </si>
  <si>
    <t>Echean's Excellent Enclosure</t>
  </si>
  <si>
    <t>V, S, M (a sphere of glass worth 100 gp and an iron nail, with which you pierce the glass on casting)</t>
  </si>
  <si>
    <t>You call into being around you an invisible barrier of force within which magic cannot persist. Within the area of the spell, effects are suppressed and creatures are affected as by antimagic field. An immobile sphere of impenetrable force surrounds the field, equivalent in all ways to a spherical wall of force, including its immunity to dispel magic and vulnerability to a sphere of annihilation or rod of cancellation. The barrier has hardness 40 and 20 hit points per caster level, and can be damaged by both mundane attacks and spells cast from outside the field. If the bubble of force is destroyed, the spell's duration ends. Spells cannot be cast within, into, or out of the enclosure, and teleportation effects that ignore a wall of force (such as dimension door or teleport) are thwarted by the enclosure's field of antimagic. Echean's excellent enclosure has the same effect on summoned creatures of any type and incorporeal undead that an antimagic field does, causing them to wink out of existence for the duration of Echean's excellent enclosure unless their spell resistance, if any, allows them to remain where they are within the field.</t>
  </si>
  <si>
    <t>&lt;p&gt;You call into being around you an invisible barrier of force within which magic cannot persist. Within the area of the spell, effects are suppressed and creatures are affected as by &lt;i&gt;antimagic field&lt;/i&gt;. An immobile sphere of impenetrable force surrounds the field, equivalent in all ways to a spherical &lt;i&gt;wall of force&lt;/i&gt;, including its immunity to &lt;i&gt;dispel magic&lt;/i&gt; and vulnerability to a &lt;i&gt;sphere of annihilation&lt;/i&gt; or &lt;i&gt;rod of cancellation&lt;/i&gt;. The barrier has hardness 40 and 20 hit points per caster level, and can be damaged by both mundane attacks and spells cast from outside the field. If the bubble of force is destroyed, the spell's duration ends.&lt;/p&gt;&lt;p&gt;Spells cannot be cast within, into, or out of the enclosure, and teleportation effects that ignore a &lt;i&gt;wall of force&lt;/i&gt; (such as &lt;i&gt;dimension door&lt;/i&gt; or teleport) are thwarted by the enclosure's field of antimagic.&lt;/p&gt;&lt;p&gt;Echean's excellent enclosure has the same effect on summoned creatures of any type and incorporeal undead that an &lt;i&gt;antimagic field&lt;/i&gt; does, causing them to wink out of existence for the duration of Echean's excellent enclosure unless their spell resistance, if any, allows them to remain where they are within the field.&lt;/p&gt;</t>
  </si>
  <si>
    <t>&lt;link rel="stylesheet"href="PF.css"&gt;&lt;div class="heading"&gt;&lt;p class="alignleft"&gt;Echean's Excellent Enclosure&lt;/p&gt;&lt;div style="clear: both;"&gt;&lt;/div&gt;&lt;/div&gt;&lt;div&gt;&lt;h5&gt;&lt;b&gt;School &lt;/b&gt;abjuration [force]; &lt;b&gt;Level &lt;/b&gt;sorcerer/wizard 9&lt;/h5&gt;&lt;/div&gt;&lt;hr/&gt;&lt;div&gt;&lt;h5&gt;&lt;b&gt;CASTING&lt;/b&gt;&lt;/h5&gt;&lt;/div&gt;&lt;hr/&gt;&lt;div&gt;&lt;h5&gt;&lt;b&gt;Casting Time &lt;/b&gt;1 standard action&lt;/h5&gt;&lt;h5&gt;&lt;b&gt;Components &lt;/b&gt;V, S, M (a sphere of glass worth 100 gp and an iron nail, with which you pierce the glass on casting)&lt;/h5&gt;&lt;/div&gt;&lt;hr/&gt;&lt;div&gt;&lt;h5&gt;&lt;b&gt;EFFECT&lt;/b&gt;&lt;/h5&gt;&lt;/div&gt;&lt;hr/&gt;&lt;div&gt;&lt;h5&gt;&lt;b&gt;Range &lt;/b&gt;touch&lt;/h5&gt;&lt;h5&gt;&lt;b&gt;Area &lt;/b&gt;immobile 10-ft.-radius emanation&lt;/h5&gt;&lt;h5&gt;&lt;b&gt;Duration &lt;/b&gt;1 round/level (D)&lt;/h5&gt;&lt;h5&gt;&lt;b&gt;Saving Throw &lt;/b&gt;none; &lt;b&gt;Spell Resistance &lt;/b&gt;see text&lt;/h5&gt;&lt;/div&gt;&lt;hr/&gt;&lt;div&gt;&lt;h5&gt;&lt;b&gt;DESCRIPTION&lt;/b&gt;&lt;/h5&gt;&lt;/div&gt;&lt;hr/&gt;&lt;div&gt;&lt;h4&gt;&lt;p&gt;You call into being around you an invisible barrier of force within which magic cannot persist. Within the area of the spell, effects are suppressed and creatures are affected as by &lt;i&gt;antimagic field&lt;/i&gt;. An immobile sphere of impenetrable force surrounds the field, equivalent in all ways to a spherical &lt;i&gt;wall of force&lt;/i&gt;, including its immunity to &lt;i&gt;dispel magic&lt;/i&gt; and vulnerability to a &lt;i&gt;sphere of annihilation&lt;/i&gt; or &lt;i&gt;rod of cancellation&lt;/i&gt;. The barrier has hardness 40 and 20 hit points per caster level, and can be damaged by both mundane attacks and spells cast from outside the field. If the bubble of force is destroyed, the spell's duration ends.&lt;/p&gt;&lt;p&gt;Spells cannot be cast within, into, or out of the enclosure, and teleportation effects that ignore a &lt;i&gt;wall of force&lt;/i&gt; (such as &lt;i&gt;dimension door&lt;/i&gt; or teleport) are thwarted by the enclosure's field of antimagic.&lt;/p&gt;&lt;p&gt;Echean's excellent enclosure has the same effect on summoned creatures of any type and incorporeal undead that an &lt;i&gt;antimagic field&lt;/i&gt; does, causing them to wink out of existence for the duration of Echean's excellent enclosure unless their spell resistance, if any, allows them to remain where they are within the field.&lt;/p&gt;&lt;/h4&gt;&lt;/div&gt;</t>
  </si>
  <si>
    <t>Ablative Sphere</t>
  </si>
  <si>
    <t>V, S, M (a crystalline sphere worth 10 gp)</t>
  </si>
  <si>
    <t>1 minute per level (D)</t>
  </si>
  <si>
    <t>The Garundi tenaciously protect their homes, and through the years they have perfected magic to aid them in their defense. An immobile, crystalline, weblike globe surrounds you. When the ablative sphere winks into existence, it provides you with improved cover (Pathfinder RPG Core Rulebook 196). The barrier does not impede a spell's line of sight or effect. The sphere is 1 inch thick per caster level, has hardness 5, and 3 hit points per inch of thickness. When an ablative sphere loses hit points, the level of cover it provides is reduced. When the ablative sphere has lost one-third of its hit points, it provides cover instead of improved cover. Once it has lost two-thirds of its hit points, it provides only partial cover. Finally, when the ablative sphere's hit points reach 0, the globe is destroyed. When an attack reduces an ablative sphere's hit points to 0, you take any remaining damage.</t>
  </si>
  <si>
    <t>&lt;p&gt;The Garundi tenaciously protect their homes, and through the years they have perfected magic to aid them in their defense.&lt;/p&gt;&lt;p&gt;An immobile, crystalline, weblike globe surrounds you.&lt;/p&gt;&lt;p&gt;When the &lt;i&gt;&lt;i&gt;ablative&lt;/i&gt; sphere&lt;/i&gt; winks into existence, it provides you with improved cover (&lt;i&gt;Pathfinder RPG Core Rulebook&lt;/i&gt; 196). The barrier does not impede a spell's line of sight or effect.&lt;/p&gt;&lt;p&gt;The sphere is 1 inch thick per caster level, has hardness 5, and 3 hit points per inch of thickness. When an &lt;i&gt;&lt;i&gt;ablative&lt;/i&gt; sphere&lt;/i&gt; loses hit points, the level of cover it provides is reduced. When the &lt;i&gt;&lt;i&gt;ablative&lt;/i&gt; sphere&lt;/i&gt; has lost one-third of its hit points, it provides cover instead of improved cover. Once it has lost two-thirds of its hit points, it provides only partial cover. Finally, when the &lt;i&gt;&lt;i&gt;ablative&lt;/i&gt; sphere&lt;/i&gt;'s hit points reach 0, the globe is destroyed. When an attack reduces an &lt;i&gt;&lt;i&gt;ablative&lt;/i&gt; sphere&lt;/i&gt;'s hit points to 0, you take any remaining damage.&lt;/p&gt;</t>
  </si>
  <si>
    <t>Humans Of Golarion</t>
  </si>
  <si>
    <t>&lt;link rel="stylesheet"href="PF.css"&gt;&lt;div class="heading"&gt;&lt;p class="alignleft"&gt;Ablative Sphere&lt;/p&gt;&lt;div style="clear: both;"&gt;&lt;/div&gt;&lt;/div&gt;&lt;div&gt;&lt;h5&gt;&lt;b&gt;School &lt;/b&gt;abjuration; &lt;b&gt;Level &lt;/b&gt;sorcerer/wizard 3 (Garundi)&lt;/h5&gt;&lt;/div&gt;&lt;hr/&gt;&lt;div&gt;&lt;h5&gt;&lt;b&gt;CASTING&lt;/b&gt;&lt;/h5&gt;&lt;/div&gt;&lt;hr/&gt;&lt;div&gt;&lt;h5&gt;&lt;b&gt;Casting Time &lt;/b&gt;1 standard action&lt;/h5&gt;&lt;h5&gt;&lt;b&gt;Components &lt;/b&gt;V, S, M (a crystalline sphere worth 10 gp)&lt;/h5&gt;&lt;/div&gt;&lt;hr/&gt;&lt;div&gt;&lt;h5&gt;&lt;b&gt;EFFECT&lt;/b&gt;&lt;/h5&gt;&lt;/div&gt;&lt;hr/&gt;&lt;div&gt;&lt;h5&gt;&lt;b&gt;Range &lt;/b&gt;personal&lt;/h5&gt;&lt;h5&gt;&lt;b&gt;Targets &lt;/b&gt;you&lt;/h5&gt;&lt;h5&gt;&lt;b&gt;Duration &lt;/b&gt;1 minute per level (D)&lt;/h5&gt;&lt;/div&gt;&lt;hr/&gt;&lt;div&gt;&lt;h5&gt;&lt;b&gt;DESCRIPTION&lt;/b&gt;&lt;/h5&gt;&lt;/div&gt;&lt;hr/&gt;&lt;div&gt;&lt;h4&gt;&lt;p&gt;The Garundi tenaciously protect their homes, and through the years they have perfected magic to aid them in their defense.&lt;/p&gt;&lt;p&gt;An immobile, crystalline, weblike globe surrounds you.&lt;/p&gt;&lt;p&gt;When the &lt;i&gt;&lt;i&gt;ablative&lt;/i&gt; sphere&lt;/i&gt; winks into existence, it provides you with improved cover (&lt;i&gt;Pathfinder RPG Core Rulebook&lt;/i&gt; 196). The barrier does not impede a spell's line of sight or effect.&lt;/p&gt;&lt;p&gt;The sphere is 1 inch thick per caster level, has hardness 5, and 3 hit points per inch of thickness. When an &lt;i&gt;&lt;i&gt;ablative&lt;/i&gt; sphere&lt;/i&gt; loses hit points, the level of cover it provides is reduced. When the &lt;i&gt;&lt;i&gt;ablative&lt;/i&gt; sphere&lt;/i&gt; has lost one-third of its hit points, it provides cover instead of improved cover. Once it has lost two-thirds of its hit points, it provides only partial cover. Finally, when the &lt;i&gt;&lt;i&gt;ablative&lt;/i&gt; sphere&lt;/i&gt;'s hit points reach 0, the globe is destroyed. When an attack reduces an &lt;i&gt;&lt;i&gt;ablative&lt;/i&gt; sphere&lt;/i&gt;'s hit points to 0, you take any remaining damage.&lt;/p&gt;&lt;/h4&gt;&lt;/div&gt;</t>
  </si>
  <si>
    <t>Garundi</t>
  </si>
  <si>
    <t>Burning Arc</t>
  </si>
  <si>
    <t>one primary target plus one additional target/3 levels (each of which must be within 15 ft. of the primary target)</t>
  </si>
  <si>
    <t>Keleshites brag that they stole this spell from genie-kind thousands of years ago while other civilizations struggled without fire. This spell causes an arc of flame to leap from your fingers, burning a number of enemies nearby. It deals 1d6 points of fire damage per caster level (maximum 10d6). For every additional target the discharge arcs to, reduce the number of damage dice by half (rounded down). Therefore, at 9th level, your burning arc deals 9d6 points of fire damage to the primary target, then 4d6 points of fire damage to a secondary target, then 2d6 points of fire damage to an additional target. Each target can attempt a Reflex saving throw for half damage. The Reflex DC to halve the damage of the secondary bolts is 2 lower than the DC to halve the damage of the primary bolt. You may choose secondary targets as you like, but they must all be within 15 feet of the primary target, and no target can be struck more than once. You can choose to affect fewer secondary targets than the maximum.</t>
  </si>
  <si>
    <t>&lt;p&gt;Keleshites brag that they stole this spell from genie-kind thousands of years ago while other civilizations struggled without fire.&lt;/p&gt;&lt;p&gt;This spell causes an arc of flame to leap from your fingers, burning a number of enemies nearby. It deals 1d6 points of fire damage per caster level (maximum 10d6). For every additional target the discharge arcs to, reduce the number of damage dice by half (rounded down). Therefore, at 9th level, your &lt;i&gt;burning arc&lt;/i&gt; deals 9d6 points of fire damage to the primary target, then 4d6 points of fire damage to a secondary target, then 2d6 points of fire damage to an additional target.&lt;/p&gt;&lt;p&gt;Each target can attempt a Reflex saving throw for half damage. The Reflex DC to halve the damage of the secondary bolts is 2 lower than the DC to halve the damage of the primary bolt. You may choose secondary targets as you like, but they must all be within 15 feet of the primary target, and no target can be struck more than once. You can choose to affect fewer secondary targets than the maximum.&lt;/p&gt;</t>
  </si>
  <si>
    <t>&lt;link rel="stylesheet"href="PF.css"&gt;&lt;div class="heading"&gt;&lt;p class="alignleft"&gt;Burning Arc&lt;/p&gt;&lt;div style="clear: both;"&gt;&lt;/div&gt;&lt;/div&gt;&lt;div&gt;&lt;h5&gt;&lt;b&gt;School &lt;/b&gt;evocation [fire]; &lt;b&gt;Level &lt;/b&gt;sorcerer/wizard 2 (Keleshite)&lt;/h5&gt;&lt;/div&gt;&lt;hr/&gt;&lt;div&gt;&lt;h5&gt;&lt;b&gt;CASTING&lt;/b&gt;&lt;/h5&gt;&lt;/div&gt;&lt;hr/&gt;&lt;div&gt;&lt;h5&gt;&lt;b&gt;Casting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primary target plus one additional target/3 levels (each of which must be within 15 ft. of the primary target)&lt;/h5&gt;&lt;h5&gt;&lt;b&gt;Duration &lt;/b&gt;instantaneous&lt;/h5&gt;&lt;h5&gt;&lt;b&gt;Saving Throw &lt;/b&gt;Reflex half; &lt;b&gt;Spell Resistance &lt;/b&gt;yes&lt;/h5&gt;&lt;/div&gt;&lt;hr/&gt;&lt;div&gt;&lt;h5&gt;&lt;b&gt;DESCRIPTION&lt;/b&gt;&lt;/h5&gt;&lt;/div&gt;&lt;hr/&gt;&lt;div&gt;&lt;h4&gt;&lt;p&gt;Keleshites brag that they stole this spell from genie-kind thousands of years ago while other civilizations struggled without fire.&lt;/p&gt;&lt;p&gt;This spell causes an arc of flame to leap from your fingers, burning a number of enemies nearby. It deals 1d6 points of fire damage per caster level (maximum 10d6). For every additional target the discharge arcs to, reduce the number of damage dice by half (rounded down). Therefore, at 9th level, your &lt;i&gt;burning arc&lt;/i&gt; deals 9d6 points of fire damage to the primary target, then 4d6 points of fire damage to a secondary target, then 2d6 points of fire damage to an additional target.&lt;/p&gt;&lt;p&gt;Each target can attempt a Reflex saving throw for half damage. The Reflex DC to halve the damage of the secondary bolts is 2 lower than the DC to halve the damage of the primary bolt. You may choose secondary targets as you like, but they must all be within 15 feet of the primary target, and no target can be struck more than once. You can choose to affect fewer secondary targets than the maximum.&lt;/p&gt;&lt;/h4&gt;&lt;/div&gt;</t>
  </si>
  <si>
    <t>Keleshite</t>
  </si>
  <si>
    <t>Cultural Adaptation</t>
  </si>
  <si>
    <t>bard 1, cleric 1/oracle 1, sorcerer/wizard 1</t>
  </si>
  <si>
    <t>V, S, M/DF (a document written in the language of the culture to be emulated)</t>
  </si>
  <si>
    <t>10 minutes per level</t>
  </si>
  <si>
    <t>During the height of the Empire of Taldor's expansionism, Taldan wizards developed this spell with the idea that it might make pacifying their "uncivilized" conquests easier. While the spell has since fallen out of favor with Taldans, it is much embraced by others, bards and Pathfinders in particular. When casting this spell, you must concentrate on the culture to which you wish to adapt. If you speak the native language of the culture in question, then for the duration of this spell, you speak the language with a native accent. The spell does not teach you the language in question, but may be combined with tongues or a similar spell. Your body language and gestures mark you as a native of the culture, and you unconsciously make small decisions that help you blend in. These combined new traits give you a +2 on Diplomacy checks made to influence members of the culture to which you have adapted. You also gain a +2 circumstance bonus on Disguise checks made to pass yourself off as a member of the culture. Additionally, the DCs of enchantment (charm) spells you cast against natives of the culture to which you are attuned increase by +1.</t>
  </si>
  <si>
    <t>&lt;p&gt;During the height of the Empire of Taldor's expansionism, Taldan wizards developed this spell with the idea that it might make pacifying their "uncivilized" conquests easier. While the spell has since fallen out of favor with Taldans, it is much embraced by others, bards and Pathfinders in particular.&lt;/p&gt;&lt;p&gt;When casting this spell, you must concentrate on the culture to which you wish to adapt. If you speak the native language of the culture in question, then for the duration of this spell, you speak the language with a native accent.&lt;/p&gt;&lt;p&gt;The spell does not teach you the language in question, but may be combined with &lt;i&gt;tongues&lt;/i&gt; or a similar spell. Your body language and gestures mark you as a native of the culture, and you unconsciously make small decisions that help you blend in. These combined new traits give you a +2 on Diplomacy checks made to influence members of the culture to which you have adapted. You also gain a +2 circumstance bonus on Disguise checks made to pass yourself off as a member of the culture. Additionally, the DCs of enchantment (charm) spells you cast against natives of the culture to which you are attuned increase by +1.&lt;/p&gt;</t>
  </si>
  <si>
    <t>&lt;link rel="stylesheet"href="PF.css"&gt;&lt;div class="heading"&gt;&lt;p class="alignleft"&gt;Cultural Adaptation&lt;/p&gt;&lt;div style="clear: both;"&gt;&lt;/div&gt;&lt;/div&gt;&lt;div&gt;&lt;h5&gt;&lt;b&gt;School &lt;/b&gt;divination; &lt;b&gt;Level &lt;/b&gt;bard 1, cleric 1/oracle 1, sorcerer/wizard 1 (Taldan)&lt;/h5&gt;&lt;/div&gt;&lt;hr/&gt;&lt;div&gt;&lt;h5&gt;&lt;b&gt;CASTING&lt;/b&gt;&lt;/h5&gt;&lt;/div&gt;&lt;hr/&gt;&lt;div&gt;&lt;h5&gt;&lt;b&gt;Casting Time &lt;/b&gt;1 standard action&lt;/h5&gt;&lt;h5&gt;&lt;b&gt;Components &lt;/b&gt;V, S, M/DF (a document written in the language of the culture to be emulated)&lt;/h5&gt;&lt;/div&gt;&lt;hr/&gt;&lt;div&gt;&lt;h5&gt;&lt;b&gt;EFFECT&lt;/b&gt;&lt;/h5&gt;&lt;/div&gt;&lt;hr/&gt;&lt;div&gt;&lt;h5&gt;&lt;b&gt;Range &lt;/b&gt;personal&lt;/h5&gt;&lt;h5&gt;&lt;b&gt;Targets &lt;/b&gt;you&lt;/h5&gt;&lt;h5&gt;&lt;b&gt;Duration &lt;/b&gt;10 minutes per level&lt;/h5&gt;&lt;/div&gt;&lt;hr/&gt;&lt;div&gt;&lt;h5&gt;&lt;b&gt;DESCRIPTION&lt;/b&gt;&lt;/h5&gt;&lt;/div&gt;&lt;hr/&gt;&lt;div&gt;&lt;h4&gt;&lt;p&gt;During the height of the Empire of Taldor's expansionism, Taldan wizards developed this spell with the idea that it might make pacifying their "uncivilized" conquests easier. While the spell has since fallen out of favor with Taldans, it is much embraced by others, bards and Pathfinders in particular.&lt;/p&gt;&lt;p&gt;When casting this spell, you must concentrate on the culture to which you wish to adapt. If you speak the native language of the culture in question, then for the duration of this spell, you speak the language with a native accent.&lt;/p&gt;&lt;p&gt;The spell does not teach you the language in question, but may be combined with &lt;i&gt;tongues&lt;/i&gt; or a similar spell. Your body language and gestures mark you as a native of the culture, and you unconsciously make small decisions that help you blend in. These combined new traits give you a +2 on Diplomacy checks made to influence members of the culture to which you have adapted. You also gain a +2 circumstance bonus on Disguise checks made to pass yourself off as a member of the culture. Additionally, the DCs of enchantment (charm) spells you cast against natives of the culture to which you are attuned increase by +1.&lt;/p&gt;&lt;/h4&gt;&lt;/div&gt;</t>
  </si>
  <si>
    <t>Taldan</t>
  </si>
  <si>
    <t>Snow Shape</t>
  </si>
  <si>
    <t>cleric 2/oracle 2, druid 1, sorcerer/wizard 2</t>
  </si>
  <si>
    <t>V, S, M/DF (a miniature shovel)</t>
  </si>
  <si>
    <t>snow or snow-sculpted object touched, up to 5 cubic ft. + 1 cubic ft./level</t>
  </si>
  <si>
    <t>In frozen northern lands, where the earth may be hidden beneath heavy drifts of snow, Ulfen druids developed a variation of stone shape that other spellcasters have since learned. You can form a mass of snow into any shape that suits your purpose, as per the spell stone shape. While it's possible to make crude objects with snow shape, most fine details aren't possible. However, a successful Craft (weapons) check allows you to create a bladed weapon from the snow. The DC of this check is equal to the DC listed with the Craft (weapons) skill (Core Rulebook 93). You must be the one to make the Craft check and must do so at the time of casting this spell. A failed check means that the spell is cast normally but the weapon created is malformed and useless. This spell can only be used to craft weapons and not more precise tools or elaborate armors. Once you create the item with this spell, it solidifies into super-hard ice, gaining a hardness of 5 and 10 hit points per inch of thickness. This weapon takes double damage from fire. Anyone using an ice weapon takes a -2 penalty on attacks due to the slippery, unwieldy nature of the weapon, but the weapon deals 1 point of cold damage in addition to its normal damage. A weapon created by this spell lasts for 24 hours before melting into uselessness.</t>
  </si>
  <si>
    <t>&lt;p&gt;In frozen northern lands, where the earth may be hidden beneath heavy drifts of snow, Ulfen druids developed a variation of &lt;i&gt;stone shape&lt;/i&gt; that other spellcasters have since learned.&lt;/p&gt;&lt;p&gt;You can form a mass of snow into any shape that suits your purpose, as per the spell &lt;i&gt;stone shape&lt;/i&gt;. While it's possible to make crude objects with &lt;i&gt;snow shape&lt;/i&gt;, most fine details aren't possible.&lt;/p&gt;&lt;p&gt;However, a successful Craft (weapons) check allows you to create a bladed weapon from the snow. The DC of this check is equal to the DC listed with the Craft (weapons) skill (&lt;i&gt;Core Rulebook&lt;/i&gt; 93).&lt;/p&gt;&lt;p&gt;You must be the one to make the Craft check and must do so at the time of casting this spell. A failed check means that the spell is cast normally but the weapon created is malformed and useless. This spell can only be used to craft weapons and not more precise tools or elaborate armors.&lt;/p&gt;&lt;p&gt;Once you create the item with this spell, it solidifies into super-hard ice, gaining a hardness of 5 and 10 hit points per inch of thickness. This weapon takes double damage from fire.&lt;/p&gt;&lt;p&gt;Anyone using an ice weapon takes a -2 penalty on attacks due to the slippery, unwieldy nature of the weapon, but the weapon deals 1 point of cold damage in addition to its normal damage. A weapon created by this spell lasts for 24 hours before melting into uselessness.&lt;/p&gt;</t>
  </si>
  <si>
    <t>&lt;link rel="stylesheet"href="PF.css"&gt;&lt;div class="heading"&gt;&lt;p class="alignleft"&gt;Snow Shape&lt;/p&gt;&lt;div style="clear: both;"&gt;&lt;/div&gt;&lt;/div&gt;&lt;div&gt;&lt;h5&gt;&lt;b&gt;School &lt;/b&gt;transmutation [water]; &lt;b&gt;Level &lt;/b&gt;cleric 2/oracle 2, druid 1, sorcerer/wizard 2 (Ulfen)&lt;/h5&gt;&lt;/div&gt;&lt;hr/&gt;&lt;div&gt;&lt;h5&gt;&lt;b&gt;CASTING&lt;/b&gt;&lt;/h5&gt;&lt;/div&gt;&lt;hr/&gt;&lt;div&gt;&lt;h5&gt;&lt;b&gt;Casting Time &lt;/b&gt;1 standard action&lt;/h5&gt;&lt;h5&gt;&lt;b&gt;Components &lt;/b&gt;V, S, M/DF (a miniature shovel)&lt;/h5&gt;&lt;/div&gt;&lt;hr/&gt;&lt;div&gt;&lt;h5&gt;&lt;b&gt;EFFECT&lt;/b&gt;&lt;/h5&gt;&lt;/div&gt;&lt;hr/&gt;&lt;div&gt;&lt;h5&gt;&lt;b&gt;Range &lt;/b&gt;touch&lt;/h5&gt;&lt;h5&gt;&lt;b&gt;Targets &lt;/b&gt;snow or snow-sculpted object touched, up to 5 cubic ft. + 1 cubic ft./level&lt;/h5&gt;&lt;h5&gt;&lt;b&gt;Duration &lt;/b&gt;instantaneous&lt;/h5&gt;&lt;h5&gt;&lt;b&gt;Saving Throw &lt;/b&gt;none; &lt;b&gt;Spell Resistance &lt;/b&gt;no&lt;/h5&gt;&lt;/div&gt;&lt;hr/&gt;&lt;div&gt;&lt;h5&gt;&lt;b&gt;DESCRIPTION&lt;/b&gt;&lt;/h5&gt;&lt;/div&gt;&lt;hr/&gt;&lt;div&gt;&lt;h4&gt;&lt;p&gt;In frozen northern lands, where the earth may be hidden beneath heavy drifts of snow, Ulfen druids developed a variation of &lt;i&gt;stone shape&lt;/i&gt; that other spellcasters have since learned.&lt;/p&gt;&lt;p&gt;You can form a mass of snow into any shape that suits your purpose, as per the spell &lt;i&gt;stone shape&lt;/i&gt;. While it's possible to make crude objects with &lt;i&gt;snow shape&lt;/i&gt;, most fine details aren't possible.&lt;/p&gt;&lt;p&gt;However, a successful Craft (weapons) check allows you to create a bladed weapon from the snow. The DC of this check is equal to the DC listed with the Craft (weapons) skill (&lt;i&gt;Core Rulebook&lt;/i&gt; 93).&lt;/p&gt;&lt;p&gt;You must be the one to make the Craft check and must do so at the time of casting this spell. A failed check means that the spell is cast normally but the weapon created is malformed and useless. This spell can only be used to craft weapons and not more precise tools or elaborate armors.&lt;/p&gt;&lt;p&gt;Once you create the item with this spell, it solidifies into super-hard ice, gaining a hardness of 5 and 10 hit points per inch of thickness. This weapon takes double damage from fire.&lt;/p&gt;&lt;p&gt;Anyone using an ice weapon takes a -2 penalty on attacks due to the slippery, unwieldy nature of the weapon, but the weapon deals 1 point of cold damage in addition to its normal damage. A weapon created by this spell lasts for 24 hours before melting into uselessness.&lt;/p&gt;&lt;/h4&gt;&lt;/div&gt;</t>
  </si>
  <si>
    <t>Ulfen</t>
  </si>
  <si>
    <t>Summon Totem Creature</t>
  </si>
  <si>
    <t>cleric 3/oracle 3, druid 3, ranger 3, sorcerer/wizard 3, summoner 3</t>
  </si>
  <si>
    <t>V, S, M/DF (a piece of bone from any one of your totem animals)</t>
  </si>
  <si>
    <t>The Shoanti revere more than the deities of distant planes, but also the animals and natural forces of the rugged lands they call home. Shoanti spellcasters have learned ways to call upon the might of their quahs' totem creatures in times of need. A character must have been raised by the Shoanti and be considered part of a quah to be able to cast this spell. Characters with access to this spell can only summon creatures revered by the quah they are a part of, as noted on the following lists. Except as noted above, this spell functions as summon nature's ally III. Lyrune-Quah (Moon Clan): air elemental (small), 1d3 bats, wolf, 1d3 owls. Shadde-Quah (Axe Clan): 1d3 eagles, earth elemental (small), water elemental (small). Shriikirri-Quah (Hawk Clan): air elemental (small), 1d3+1 hawks (familiars), horse. Shundar-Quah (Spire Clan): air elemental (small), earth elemental (small), 1d3 eagles. Sklar-Quah (Sun Clan): 1d3 fire beetles, fire elemental (small), horse. Skoan-Quah (Skull Clan): 1d3+1 eagles (vultures), 1d3 fire beetles, 1d3 giant centipedes. Tamiir-Quah (Wind Clan): air elemental (small), 1d3 eagles, earth elemental (small).</t>
  </si>
  <si>
    <t>&lt;p&gt;The Shoanti revere more than the deities of distant planes, but also the animals and natural forces of the rugged lands they call home. Shoanti spellcasters have learned ways to call upon the might of their quahs' totem creatures in times of need. A character must have been raised by the Shoanti and be considered part of a quah to be able to cast this spell. Characters with access to this spell can only summon creatures revered by the quah they are a part of, as noted on the following lists. Except as noted above, this spell functions as summon nature's ally III.&lt;/p&gt;&lt;p&gt;&lt;b&gt;Lyrune-Quah (Moon Clan&lt;/b&gt;): air elemental (small), 1d3 bats, wolf, 1d3 owls.&lt;/p&gt;&lt;p&gt;&lt;b&gt;Shadde-Quah (Axe Clan&lt;/b&gt;): 1d3 eagles, earth elemental (small), water elemental (small).&lt;/p&gt;&lt;p&gt;&lt;b&gt;Shriikirri-Quah (Hawk Clan&lt;/b&gt;): air elemental (small), 1d3+1 hawks (familiars), horse.&lt;/p&gt;&lt;p&gt;&lt;b&gt;Shundar-Quah (Spire Clan&lt;/b&gt;): air elemental (small), earth elemental (small), 1d3 eagles.&lt;/p&gt;&lt;p&gt;&lt;b&gt;Sklar-Quah (Sun Clan&lt;/b&gt;): 1d3 fire beetles, fire elemental (small), horse.&lt;/p&gt;&lt;p&gt;&lt;b&gt;Skoan-Quah (Skull Clan&lt;/b&gt;): 1d3+1 eagles (vultures), 1d3 fire beetles, 1d3 giant centipedes.&lt;/p&gt;&lt;p&gt;&lt;b&gt;Tamiir-Quah (Wind Clan&lt;/b&gt;): air elemental (small), 1d3 eagles, earth elemental (small).&lt;/p&gt;</t>
  </si>
  <si>
    <t>&lt;link rel="stylesheet"href="PF.css"&gt;&lt;div class="heading"&gt;&lt;p class="alignleft"&gt;Summon Totem Creature&lt;/p&gt;&lt;div style="clear: both;"&gt;&lt;/div&gt;&lt;/div&gt;&lt;div&gt;&lt;h5&gt;&lt;b&gt;School &lt;/b&gt;conjuration (summoning); &lt;b&gt;Level &lt;/b&gt;cleric 3/oracle 3, druid 3, ranger 3, sorcerer/wizard 3, summoner 3 (Shoanti)&lt;/h5&gt;&lt;/div&gt;&lt;hr/&gt;&lt;div&gt;&lt;h5&gt;&lt;b&gt;CASTING&lt;/b&gt;&lt;/h5&gt;&lt;/div&gt;&lt;hr/&gt;&lt;div&gt;&lt;h5&gt;&lt;b&gt;Casting Time &lt;/b&gt;10 minutes&lt;/h5&gt;&lt;h5&gt;&lt;b&gt;Components &lt;/b&gt;V, S, M/DF (a piece of bone from any one of your totem animals)&lt;/h5&gt;&lt;/div&gt;&lt;hr/&gt;&lt;div&gt;&lt;h5&gt;&lt;b&gt;EFFECT&lt;/b&gt;&lt;/h5&gt;&lt;/div&gt;&lt;hr/&gt;&lt;div&gt;&lt;h5&gt;&lt;b&gt;Range &lt;/b&gt;close (25 ft. + 5 ft./2 levels)&lt;/h5&gt;&lt;h5&gt;&lt;b&gt;Effect &lt;/b&gt;one summoned creature&lt;/h5&gt;&lt;h5&gt;&lt;b&gt;Duration &lt;/b&gt;1 hour (D)&lt;/h5&gt;&lt;h5&gt;&lt;b&gt;Saving Throw &lt;/b&gt;none; &lt;b&gt;Spell Resistance &lt;/b&gt;no&lt;/h5&gt;&lt;/div&gt;&lt;hr/&gt;&lt;div&gt;&lt;h5&gt;&lt;b&gt;DESCRIPTION&lt;/b&gt;&lt;/h5&gt;&lt;/div&gt;&lt;hr/&gt;&lt;div&gt;&lt;h4&gt;&lt;p&gt;The Shoanti revere more than the deities of distant planes, but also the animals and natural forces of the rugged lands they call home. Shoanti spellcasters have learned ways to call upon the might of their quahs' totem creatures in times of need. A character must have been raised by the Shoanti and be considered part of a quah to be able to cast this spell. Characters with access to this spell can only summon creatures revered by the quah they are a part of, as noted on the following lists. Except as noted above, this spell functions as summon nature's ally III.&lt;/p&gt;&lt;p&gt;&lt;b&gt;Lyrune-Quah (Moon Clan&lt;/b&gt;): air elemental (small), 1d3 bats, wolf, 1d3 owls.&lt;/p&gt;&lt;p&gt;&lt;b&gt;Shadde-Quah (Axe Clan&lt;/b&gt;): 1d3 eagles, earth elemental (small), water elemental (small).&lt;/p&gt;&lt;p&gt;&lt;b&gt;Shriikirri-Quah (Hawk Clan&lt;/b&gt;): air elemental (small), 1d3+1 hawks (familiars), horse.&lt;/p&gt;&lt;p&gt;&lt;b&gt;Shundar-Quah (Spire Clan&lt;/b&gt;): air elemental (small), earth elemental (small), 1d3 eagles.&lt;/p&gt;&lt;p&gt;&lt;b&gt;Sklar-Quah (Sun Clan&lt;/b&gt;): 1d3 fire beetles, fire elemental (small), horse.&lt;/p&gt;&lt;p&gt;&lt;b&gt;Skoan-Quah (Skull Clan&lt;/b&gt;): 1d3+1 eagles (vultures), 1d3 fire beetles, 1d3 giant centipedes.&lt;/p&gt;&lt;p&gt;&lt;b&gt;Tamiir-Quah (Wind Clan&lt;/b&gt;): air elemental (small), 1d3 eagles, earth elemental (small).&lt;/p&gt;&lt;/h4&gt;&lt;/div&gt;</t>
  </si>
  <si>
    <t>Shoanti</t>
  </si>
  <si>
    <t>Battering Blast</t>
  </si>
  <si>
    <t>one creature or unattended object</t>
  </si>
  <si>
    <t>You hurl a fist-sized ball of force resembling a sphere of spikes to ram a designated creature or object. You must succeed on a ranged touch attack to strike your target. On a successful hit, you deal 1d6 points of force damage per two caster levels (maximum 5d6). For every 5 caster levels you possess beyond 5th, you gain a second ball of force. A creature struck by any of these is subject to a bull rush attempt. The force has a Strength modifier equal to your Intelligence, Wisdom, or Charisma modifier (whichever is highest). The CMB for the force's bull rush uses your caster level as its base attack bonus, adding the force's Strength modifier and a +10 bonus for each additional blast directed against the same target. Each sphere of force makes its own separate bull rush attempt-if multiple spheres strike one target, you make multiple CMB checks but only take the highest result to determine success. If the bull rush succeeds, the force pushes the creature away from you in a straight line, and the creature must make a Reflex save or fall prone. This spell pushes an unattended object struck by it 20 feet away from you, provided it weighs no more than 25 pounds per level (maximum 250 pounds). This spell cannot move creatures or objects beyond your range. Used on a door or other obstacle, the spell attempts a Strength check to destroy it if the sheer damage inflicted by the spell doesn't do the job.</t>
  </si>
  <si>
    <t>&lt;p&gt;You hurl a fist-sized ball of force resembling a sphere of spikes to ram a designated creature or object. You must succeed on a ranged touch attack to strike your target. On a successful hit, you deal 1d6 points of force damage per two caster levels (maximum 5d6). For every 5 caster levels you possess beyond 5th, you gain a second ball of force.&lt;/p&gt;&lt;p&gt;A creature struck by any of these is subject to a bull rush attempt. The force has a Strength modifier equal to your Intelligence, Wisdom, or Charisma modifier (whichever is highest). The CMB for the force's bull rush uses your caster level as its base attack bonus, adding the force's Strength modifier and a +10 bonus for each additional blast directed against the same target. Each sphere of force makes its own separate bull rush attempt-if multiple spheres strike one target, you make multiple CMB checks but only take the highest result to determine success. If the bull rush succeeds, the force pushes the creature away from you in a straight line, and the creature must make a Reflex save or fall prone. This spell pushes an unattended object struck by it 20 feet away from you, provided it weighs no more than 25 pounds per level (maximum 250 pounds). This spell cannot move creatures or objects beyond your range. Used on a door or other obstacle, the spell attempts a Strength check to destroy it if the sheer damage inflicted by the spell doesn't do the job.&lt;/p&gt;</t>
  </si>
  <si>
    <t>Dungeons Of Golarion</t>
  </si>
  <si>
    <t>&lt;link rel="stylesheet"href="PF.css"&gt;&lt;div class="heading"&gt;&lt;p class="alignleft"&gt;Battering Blast&lt;/p&gt;&lt;div style="clear: both;"&gt;&lt;/div&gt;&lt;/div&gt;&lt;div&gt;&lt;h5&gt;&lt;b&gt;School &lt;/b&gt;evocation [force]; &lt;b&gt;Level &lt;/b&gt;sorcerer/wizard 3&lt;/h5&gt;&lt;/div&gt;&lt;hr/&gt;&lt;div&gt;&lt;h5&gt;&lt;b&gt;CASTING&lt;/b&gt;&lt;/h5&gt;&lt;/div&gt;&lt;hr/&gt;&lt;div&gt;&lt;h5&gt;&lt;b&gt;Casting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 or unattended object&lt;/h5&gt;&lt;h5&gt;&lt;b&gt;Duration &lt;/b&gt;instantaneous&lt;/h5&gt;&lt;h5&gt;&lt;b&gt;Saving Throw &lt;/b&gt;Reflex partial (see text); &lt;b&gt;Spell Resistance &lt;/b&gt;yes&lt;/h5&gt;&lt;/div&gt;&lt;hr/&gt;&lt;div&gt;&lt;h5&gt;&lt;b&gt;DESCRIPTION&lt;/b&gt;&lt;/h5&gt;&lt;/div&gt;&lt;hr/&gt;&lt;div&gt;&lt;h4&gt;&lt;p&gt;You hurl a fist-sized ball of force resembling a sphere of spikes to ram a designated creature or object. You must succeed on a ranged touch attack to strike your target. On a successful hit, you deal 1d6 points of force damage per two caster levels (maximum 5d6). For every 5 caster levels you possess beyond 5th, you gain a second ball of force.&lt;/p&gt;&lt;p&gt;A creature struck by any of these is subject to a bull rush attempt. The force has a Strength modifier equal to your Intelligence, Wisdom, or Charisma modifier (whichever is highest). The CMB for the force's bull rush uses your caster level as its base attack bonus, adding the force's Strength modifier and a +10 bonus for each additional blast directed against the same target. Each sphere of force makes its own separate bull rush attempt-if multiple spheres strike one target, you make multiple CMB checks but only take the highest result to determine success. If the bull rush succeeds, the force pushes the creature away from you in a straight line, and the creature must make a Reflex save or fall prone. This spell pushes an unattended object struck by it 20 feet away from you, provided it weighs no more than 25 pounds per level (maximum 250 pounds). This spell cannot move creatures or objects beyond your range. Used on a door or other obstacle, the spell attempts a Strength check to destroy it if the sheer damage inflicted by the spell doesn't do the job.&lt;/p&gt;&lt;/h4&gt;&lt;/div&gt;</t>
  </si>
  <si>
    <t>Undeath Ward</t>
  </si>
  <si>
    <t>cleric 5/oracle 5, inquisitor 4, sorcerer/wizard 6, witch 6</t>
  </si>
  <si>
    <t>V, S, M/DF (powdered silver)</t>
  </si>
  <si>
    <t>none or Will negates (see text)</t>
  </si>
  <si>
    <t>You create a pale silver barrier that repels undead. Mindless undead and intelligent undead with fewer Hit Dice than your caster level cannot enter the area or penetrate the barrier. Undead of Hit Dice equal to or greater than your caster level can pass through this barrier by making a successful Will save against the spell, but as they do so, they take 3d6 points of damage. Once an undead creature makes its save again this spell and takes this damage, it can come and go without further penalty. This spell may only be used defensively, not aggressively. Forcing an undeath ward against creatures that the spell keeps at bay collapses the barrier.</t>
  </si>
  <si>
    <t>&lt;p&gt;You create a pale silver barrier that repels undead. Mindless undead and intelligent undead with fewer Hit Dice than your caster level cannot enter the area or penetrate the barrier.&lt;/p&gt;&lt;p&gt;Undead of Hit Dice equal to or greater than your caster level can pass through this barrier by making a successful Will save against the spell, but as they do so, they take 3d6 points of damage. Once an undead creature makes its save again this spell and takes this damage, it can come and go without further penalty. This spell may only be used defensively, not aggressively. Forcing an undeath ward against creatures that the spell keeps at bay collapses the barrier.&lt;/p&gt;</t>
  </si>
  <si>
    <t>&lt;link rel="stylesheet"href="PF.css"&gt;&lt;div class="heading"&gt;&lt;p class="alignleft"&gt;Undeath Ward&lt;/p&gt;&lt;div style="clear: both;"&gt;&lt;/div&gt;&lt;/div&gt;&lt;div&gt;&lt;h5&gt;&lt;b&gt;School &lt;/b&gt;abjuration; &lt;b&gt;Level &lt;/b&gt;cleric 5/oracle 5, inquisitor 4, sorcerer/wizard 6, witch 6&lt;/h5&gt;&lt;/div&gt;&lt;hr/&gt;&lt;div&gt;&lt;h5&gt;&lt;b&gt;CASTING&lt;/b&gt;&lt;/h5&gt;&lt;/div&gt;&lt;hr/&gt;&lt;div&gt;&lt;h5&gt;&lt;b&gt;Casting Time &lt;/b&gt;1 standard action&lt;/h5&gt;&lt;h5&gt;&lt;b&gt;Components &lt;/b&gt;V, S, M/DF (powdered silver)&lt;/h5&gt;&lt;/div&gt;&lt;hr/&gt;&lt;div&gt;&lt;h5&gt;&lt;b&gt;EFFECT&lt;/b&gt;&lt;/h5&gt;&lt;/div&gt;&lt;hr/&gt;&lt;div&gt;&lt;h5&gt;&lt;b&gt;Range &lt;/b&gt;10 ft.&lt;/h5&gt;&lt;h5&gt;&lt;b&gt;Area &lt;/b&gt;10-ft.-radius emanation, centered on you&lt;/h5&gt;&lt;h5&gt;&lt;b&gt;Duration &lt;/b&gt;1 minute/level (D)&lt;/h5&gt;&lt;h5&gt;&lt;b&gt;Saving Throw &lt;/b&gt;none or Will negates (see text); &lt;b&gt;Spell Resistance &lt;/b&gt;yes&lt;/h5&gt;&lt;/div&gt;&lt;hr/&gt;&lt;div&gt;&lt;h5&gt;&lt;b&gt;DESCRIPTION&lt;/b&gt;&lt;/h5&gt;&lt;/div&gt;&lt;hr/&gt;&lt;div&gt;&lt;h4&gt;&lt;p&gt;You create a pale silver barrier that repels undead. Mindless undead and intelligent undead with fewer Hit Dice than your caster level cannot enter the area or penetrate the barrier.&lt;/p&gt;&lt;p&gt;Undead of Hit Dice equal to or greater than your caster level can pass through this barrier by making a successful Will save against the spell, but as they do so, they take 3d6 points of damage. Once an undead creature makes its save again this spell and takes this damage, it can come and go without further penalty. This spell may only be used defensively, not aggressively. Forcing an undeath ward against creatures that the spell keeps at bay collapses the barrier.&lt;/p&gt;&lt;/h4&gt;&lt;/div&gt;</t>
  </si>
  <si>
    <t>Fairness</t>
  </si>
  <si>
    <t>cleric/oracle 1, inquisitor 2, paladin 2</t>
  </si>
  <si>
    <t>1 full-round action</t>
  </si>
  <si>
    <t>one humanoid creature per level</t>
  </si>
  <si>
    <t>Humanoid creatures affected by this spell must trade fairly with others to the best of their knowledge. If they know the fair value (or even an estimated fair value) of a good or service, they cannot allow a trade to proceed if it would benefit one side unfairly, preventing them from cheating another while under the influence of this spell. The symbol of Abadar appears above the heads of those affected by this spell, making those affected and unaffected by the spell immediately apparent.</t>
  </si>
  <si>
    <t>&lt;p&gt;Humanoid creatures affected by this spell must trade fairly with others to the best of their knowledge. If they know the fair value (or even an estimated fair value) of a good or service, they cannot allow a trade to proceed if it would benefit one side unfairly, preventing them from cheating another while under the influence of this spell.&lt;/p&gt;&lt;p&gt;The symbol of Abadar appears above the heads of those affected by this spell, making those affected and unaffected by the spell immediately apparent.&lt;/p&gt;</t>
  </si>
  <si>
    <t>Faiths Of Balance</t>
  </si>
  <si>
    <t>&lt;link rel="stylesheet"href="PF.css"&gt;&lt;div class="heading"&gt;&lt;p class="alignleft"&gt;Fairness&lt;/p&gt;&lt;div style="clear: both;"&gt;&lt;/div&gt;&lt;/div&gt;&lt;div&gt;&lt;h5&gt;&lt;b&gt;School &lt;/b&gt;enchantment (compulsion) [mind-affecting]; &lt;b&gt;Level &lt;/b&gt;cleric/oracle 1, inquisitor 2, paladin 2&lt;/h5&gt;&lt;/div&gt;&lt;hr/&gt;&lt;div&gt;&lt;h5&gt;&lt;b&gt;CASTING&lt;/b&gt;&lt;/h5&gt;&lt;/div&gt;&lt;hr/&gt;&lt;div&gt;&lt;h5&gt;&lt;b&gt;Casting Time &lt;/b&gt;1 full-round action&lt;/h5&gt;&lt;h5&gt;&lt;b&gt;Components &lt;/b&gt;V, S, DF&lt;/h5&gt;&lt;/div&gt;&lt;hr/&gt;&lt;div&gt;&lt;h5&gt;&lt;b&gt;EFFECT&lt;/b&gt;&lt;/h5&gt;&lt;/div&gt;&lt;hr/&gt;&lt;div&gt;&lt;h5&gt;&lt;b&gt;Range &lt;/b&gt;close (25 ft. + 5 ft./2 levels)&lt;/h5&gt;&lt;h5&gt;&lt;b&gt;Targets &lt;/b&gt;one humanoid creature per level&lt;/h5&gt;&lt;h5&gt;&lt;b&gt;Duration &lt;/b&gt;1 minute/level&lt;/h5&gt;&lt;h5&gt;&lt;b&gt;Saving Throw &lt;/b&gt;Will negates; &lt;b&gt;Spell Resistance &lt;/b&gt;yes&lt;/h5&gt;&lt;/div&gt;&lt;hr/&gt;&lt;div&gt;&lt;h5&gt;&lt;b&gt;DESCRIPTION&lt;/b&gt;&lt;/h5&gt;&lt;/div&gt;&lt;hr/&gt;&lt;div&gt;&lt;h4&gt;&lt;p&gt;Humanoid creatures affected by this spell must trade fairly with others to the best of their knowledge. If they know the fair value (or even an estimated fair value) of a good or service, they cannot allow a trade to proceed if it would benefit one side unfairly, preventing them from cheating another while under the influence of this spell.&lt;/p&gt;&lt;p&gt;The symbol of Abadar appears above the heads of those affected by this spell, making those affected and unaffected by the spell immediately apparent.&lt;/p&gt;&lt;/h4&gt;&lt;/div&gt;</t>
  </si>
  <si>
    <t>Seducer's Eyes</t>
  </si>
  <si>
    <t>This spell increases your physical allure. You gain a bonus on Charisma-based skill checks equal to 1 + 1 for every 4 caster levels you possess (to a maximum of +5), but only benefits you when interacting with those who might conceivably find you sexually attractive. You do not gain this bonus against those you or your allies are attacking or threatening.</t>
  </si>
  <si>
    <t>&lt;p&gt;This spell increases your physical allure. You gain a bonus on Charisma-based skill checks equal to 1 + 1 for every 4 caster levels you possess (to a maximum of +5), but only benefits you when interacting with those who might conceivably find you sexually attractive. You do not gain this bonus against those you or your allies are attacking or threatening.&lt;/p&gt;</t>
  </si>
  <si>
    <t>&lt;link rel="stylesheet"href="PF.css"&gt;&lt;div class="heading"&gt;&lt;p class="alignleft"&gt;Seducer's Eyes&lt;/p&gt;&lt;div style="clear: both;"&gt;&lt;/div&gt;&lt;/div&gt;&lt;div&gt;&lt;h5&gt;&lt;b&gt;School &lt;/b&gt;enchantment (charm) [mind-affecting]; &lt;b&gt;Level &lt;/b&gt;bard 2, sorcerer/wizard 2&lt;/h5&gt;&lt;/div&gt;&lt;hr/&gt;&lt;div&gt;&lt;h5&gt;&lt;b&gt;CASTING&lt;/b&gt;&lt;/h5&gt;&lt;/div&gt;&lt;hr/&gt;&lt;div&gt;&lt;h5&gt;&lt;b&gt;Casting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&lt;/b&gt;you&lt;/h5&gt;&lt;h5&gt;&lt;b&gt;Duration &lt;/b&gt;10 minutes/level (D)&lt;/h5&gt;&lt;/div&gt;&lt;hr/&gt;&lt;div&gt;&lt;h5&gt;&lt;b&gt;DESCRIPTION&lt;/b&gt;&lt;/h5&gt;&lt;/div&gt;&lt;hr/&gt;&lt;div&gt;&lt;h4&gt;&lt;p&gt;This spell increases your physical allure. You gain a bonus on Charisma-based skill checks equal to 1 + 1 for every 4 caster levels you possess (to a maximum of +5), but only benefits you when interacting with those who might conceivably find you sexually attractive. You do not gain this bonus against those you or your allies are attacking or threatening.&lt;/p&gt;&lt;/h4&gt;&lt;/div&gt;</t>
  </si>
  <si>
    <t>Lighten Object</t>
  </si>
  <si>
    <t>bard 1, cleric 1/oracle 1, sorcerer/wizard 1, summoner 1</t>
  </si>
  <si>
    <t>V, M (goose down)</t>
  </si>
  <si>
    <t>1 object of 1 cubic ft./level</t>
  </si>
  <si>
    <t>yes (objects)</t>
  </si>
  <si>
    <t>This spell decreases the target's weight by half. If cast on armor, it improves the armor check penalty by 1, though it does not change the armor's categorization as light, medium, or heavy.</t>
  </si>
  <si>
    <t>&lt;p&gt;This spell decreases the target's weight by half. If cast on armor, it improves the armor check penalty by 1, though it does not change the armor's categorization as light, medium, or heavy.&lt;/p&gt;</t>
  </si>
  <si>
    <t>&lt;link rel="stylesheet"href="PF.css"&gt;&lt;div class="heading"&gt;&lt;p class="alignleft"&gt;Lighten Object&lt;/p&gt;&lt;div style="clear: both;"&gt;&lt;/div&gt;&lt;/div&gt;&lt;div&gt;&lt;h5&gt;&lt;b&gt;School &lt;/b&gt;transmutation; &lt;b&gt;Level &lt;/b&gt;bard 1, cleric 1/oracle 1, sorcerer/wizard 1, summoner 1 (Gorum)&lt;/h5&gt;&lt;/div&gt;&lt;hr/&gt;&lt;div&gt;&lt;h5&gt;&lt;b&gt;CASTING&lt;/b&gt;&lt;/h5&gt;&lt;/div&gt;&lt;hr/&gt;&lt;div&gt;&lt;h5&gt;&lt;b&gt;Casting Time &lt;/b&gt;1 standard action&lt;/h5&gt;&lt;h5&gt;&lt;b&gt;Components &lt;/b&gt;V, M (goose down)&lt;/h5&gt;&lt;/div&gt;&lt;hr/&gt;&lt;div&gt;&lt;h5&gt;&lt;b&gt;EFFECT&lt;/b&gt;&lt;/h5&gt;&lt;/div&gt;&lt;hr/&gt;&lt;div&gt;&lt;h5&gt;&lt;b&gt;Range &lt;/b&gt;close (25 ft. + 5 ft./2 levels)&lt;/h5&gt;&lt;h5&gt;&lt;b&gt;Targets &lt;/b&gt;1 object of 1 cubic ft./level&lt;/h5&gt;&lt;h5&gt;&lt;b&gt;Duration &lt;/b&gt;1 minute/level&lt;/h5&gt;&lt;h5&gt;&lt;b&gt;Saving Throw &lt;/b&gt;Will negates (object); &lt;b&gt;Spell Resistance &lt;/b&gt;yes (objects)&lt;/h5&gt;&lt;/div&gt;&lt;hr/&gt;&lt;div&gt;&lt;h5&gt;&lt;b&gt;DESCRIPTION&lt;/b&gt;&lt;/h5&gt;&lt;/div&gt;&lt;hr/&gt;&lt;div&gt;&lt;h4&gt;&lt;p&gt;This spell decreases the target's weight by half. If cast on armor, it improves the armor check penalty by 1, though it does not change the armor's categorization as light, medium, or heavy.&lt;/p&gt;&lt;/h4&gt;&lt;/div&gt;</t>
  </si>
  <si>
    <t>Gorum</t>
  </si>
  <si>
    <t>Lighten Object, Mass</t>
  </si>
  <si>
    <t>cleric 5/oracle 5, sorcerer/wizard 5, summoner 5</t>
  </si>
  <si>
    <t>multiple objects of 1 cubic ft./level, no two of which can be more than 30 ft. apart</t>
  </si>
  <si>
    <t>This spell functions like lighten, except that it affects a number of objects equal to half your caster level.</t>
  </si>
  <si>
    <t>&lt;p&gt;This spell functions like &lt;i&gt;lighten&lt;/i&gt;, except that it affects a number of objects equal to half your caster level.&lt;/p&gt;</t>
  </si>
  <si>
    <t>&lt;link rel="stylesheet"href="PF.css"&gt;&lt;div class="heading"&gt;&lt;p class="alignleft"&gt;Lighten Object, Mass&lt;/p&gt;&lt;div style="clear: both;"&gt;&lt;/div&gt;&lt;/div&gt;&lt;div&gt;&lt;h5&gt;&lt;b&gt;School &lt;/b&gt;transmutation; &lt;b&gt;Level &lt;/b&gt;cleric 5/oracle 5, sorcerer/wizard 5, summoner 5 (Gorum)&lt;/h5&gt;&lt;/div&gt;&lt;hr/&gt;&lt;div&gt;&lt;h5&gt;&lt;b&gt;CASTING&lt;/b&gt;&lt;/h5&gt;&lt;/div&gt;&lt;hr/&gt;&lt;div&gt;&lt;h5&gt;&lt;b&gt;Casting Time &lt;/b&gt;1 standard action&lt;/h5&gt;&lt;h5&gt;&lt;b&gt;Components &lt;/b&gt;V, M (goose down)&lt;/h5&gt;&lt;/div&gt;&lt;hr/&gt;&lt;div&gt;&lt;h5&gt;&lt;b&gt;EFFECT&lt;/b&gt;&lt;/h5&gt;&lt;/div&gt;&lt;hr/&gt;&lt;div&gt;&lt;h5&gt;&lt;b&gt;Range &lt;/b&gt;close (25 ft. + 5 ft./2 levels)&lt;/h5&gt;&lt;h5&gt;&lt;b&gt;Targets &lt;/b&gt;multiple objects of 1 cubic ft./level, no two of which can be more than 30 ft. apart&lt;/h5&gt;&lt;h5&gt;&lt;b&gt;Duration &lt;/b&gt;10 minutes/level&lt;/h5&gt;&lt;h5&gt;&lt;b&gt;Saving Throw &lt;/b&gt;Will negates (object); &lt;b&gt;Spell Resistance &lt;/b&gt;yes (objects)&lt;/h5&gt;&lt;/div&gt;&lt;hr/&gt;&lt;div&gt;&lt;h5&gt;&lt;b&gt;DESCRIPTION&lt;/b&gt;&lt;/h5&gt;&lt;/div&gt;&lt;hr/&gt;&lt;div&gt;&lt;h4&gt;&lt;p&gt;This spell functions like &lt;i&gt;lighten&lt;/i&gt;, except that it affects a number of objects equal to half your caster level.&lt;/p&gt;&lt;/h4&gt;&lt;/div&gt;</t>
  </si>
  <si>
    <t>Read Weather</t>
  </si>
  <si>
    <t>bard 1, cleric 1/oracle 1, druid 1, ranger 1</t>
  </si>
  <si>
    <t>V, S, F (a set of marked sticks or bones worth at least 25 gp)</t>
  </si>
  <si>
    <t>This spell allows you to precisely forecast the weather at your current location for the next 48 hours, providing you with advance warning of storms, blizzards, tornadoes, and other such meteorological phenomena. It applies only to the weather that would arise normally and naturally, and does not take into account any magical occurrences that might change the weather of an area.</t>
  </si>
  <si>
    <t>&lt;p&gt;This spell allows you to precisely forecast the weather at your current location for the next 48 hours, providing you with advance warning of storms, blizzards, tornadoes, and other such meteorological phenomena. It applies only to the weather that would arise normally and naturally, and does not take into account any magical occurrences that might change the weather of an area.&lt;/p&gt;</t>
  </si>
  <si>
    <t>&lt;link rel="stylesheet"href="PF.css"&gt;&lt;div class="heading"&gt;&lt;p class="alignleft"&gt;Read Weather&lt;/p&gt;&lt;div style="clear: both;"&gt;&lt;/div&gt;&lt;/div&gt;&lt;div&gt;&lt;h5&gt;&lt;b&gt;School &lt;/b&gt;divination; &lt;b&gt;Level &lt;/b&gt;bard 1, cleric 1/oracle 1, druid 1, ranger 1 (Gozreh)&lt;/h5&gt;&lt;/div&gt;&lt;hr/&gt;&lt;div&gt;&lt;h5&gt;&lt;b&gt;CASTING&lt;/b&gt;&lt;/h5&gt;&lt;/div&gt;&lt;hr/&gt;&lt;div&gt;&lt;h5&gt;&lt;b&gt;Casting Time &lt;/b&gt;1 minute&lt;/h5&gt;&lt;h5&gt;&lt;b&gt;Components &lt;/b&gt;V, S, F (a set of marked sticks or bones worth at least 25 gp)&lt;/h5&gt;&lt;/div&gt;&lt;hr/&gt;&lt;div&gt;&lt;h5&gt;&lt;b&gt;EFFECT&lt;/b&gt;&lt;/h5&gt;&lt;/div&gt;&lt;hr/&gt;&lt;div&gt;&lt;h5&gt;&lt;b&gt;Range &lt;/b&gt;personal&lt;/h5&gt;&lt;h5&gt;&lt;b&gt;Targets &lt;/b&gt;you&lt;/h5&gt;&lt;h5&gt;&lt;b&gt;Duration &lt;/b&gt;instantaneous&lt;/h5&gt;&lt;/div&gt;&lt;hr/&gt;&lt;div&gt;&lt;h5&gt;&lt;b&gt;DESCRIPTION&lt;/b&gt;&lt;/h5&gt;&lt;/div&gt;&lt;hr/&gt;&lt;div&gt;&lt;h4&gt;&lt;p&gt;This spell allows you to precisely forecast the weather at your current location for the next 48 hours, providing you with advance warning of storms, blizzards, tornadoes, and other such meteorological phenomena. It applies only to the weather that would arise normally and naturally, and does not take into account any magical occurrences that might change the weather of an area.&lt;/p&gt;&lt;/h4&gt;&lt;/div&gt;</t>
  </si>
  <si>
    <t>Sky Swim</t>
  </si>
  <si>
    <t>creature touched (Large or smaller)</t>
  </si>
  <si>
    <t>This spell grants the target the ability to swim through the air. Creatures with a swim speed can move through the air at that speed. Those without a swim speed must make Swim checks to move as normal. Still air is treated as calm water, light or moderate wind is treated as rough water, strong or severe wind is treated as stormy water, and stronger winds cannot be swum through (see Core Rulebook page 439). This spell does not grant the ability to breathe air to creatures that normally can't.</t>
  </si>
  <si>
    <t>&lt;p&gt;This spell grants the target the ability to swim through the air. Creatures with a swim speed can move through the air at that speed. Those without a swim speed must make Swim checks to move as normal. Still air is treated as calm water, light or moderate wind is treated as rough water, strong or severe wind is treated as stormy water, and stronger winds cannot be swum through (see &lt;i&gt;Core Rulebook&lt;/i&gt; page 439). This spell does not grant the ability to breathe air to creatures that normally can't.&lt;/p&gt;</t>
  </si>
  <si>
    <t>&lt;link rel="stylesheet"href="PF.css"&gt;&lt;div class="heading"&gt;&lt;p class="alignleft"&gt;Sky Swim&lt;/p&gt;&lt;div style="clear: both;"&gt;&lt;/div&gt;&lt;/div&gt;&lt;div&gt;&lt;h5&gt;&lt;b&gt;School &lt;/b&gt;transmutation [air]; &lt;b&gt;Level &lt;/b&gt;cleric 3/oracle 3, druid 3 (Gozreh)&lt;/h5&gt;&lt;/div&gt;&lt;hr/&gt;&lt;div&gt;&lt;h5&gt;&lt;b&gt;CASTING&lt;/b&gt;&lt;/h5&gt;&lt;/div&gt;&lt;hr/&gt;&lt;div&gt;&lt;h5&gt;&lt;b&gt;Casting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 touched (Large or smaller)&lt;/h5&gt;&lt;h5&gt;&lt;b&gt;Duration &lt;/b&gt;1 minute/level&lt;/h5&gt;&lt;h5&gt;&lt;b&gt;Saving Throw &lt;/b&gt;none; &lt;b&gt;Spell Resistance &lt;/b&gt;yes (harmless)&lt;/h5&gt;&lt;/div&gt;&lt;hr/&gt;&lt;div&gt;&lt;h5&gt;&lt;b&gt;DESCRIPTION&lt;/b&gt;&lt;/h5&gt;&lt;/div&gt;&lt;hr/&gt;&lt;div&gt;&lt;h4&gt;&lt;p&gt;This spell grants the target the ability to swim through the air. Creatures with a swim speed can move through the air at that speed. Those without a swim speed must make Swim checks to move as normal. Still air is treated as calm water, light or moderate wind is treated as rough water, strong or severe wind is treated as stormy water, and stronger winds cannot be swum through (see &lt;i&gt;Core Rulebook&lt;/i&gt; page 439). This spell does not grant the ability to breathe air to creatures that normally can't.&lt;/p&gt;&lt;/h4&gt;&lt;/div&gt;</t>
  </si>
  <si>
    <t>Abstemiousness</t>
  </si>
  <si>
    <t>bard 1, cleric 1/oracle 1, druid 1</t>
  </si>
  <si>
    <t>V, M</t>
  </si>
  <si>
    <t>a handful of berries, grains, nuts, or rice</t>
  </si>
  <si>
    <t>Not everyone can achieve the physical stamina of the monk, but sometimes Irori smiles on his worshipers and allows them a reprieve from physical hungers and wants. This spell magically enhances a handful of simple food, imbuing it with enough nutrition to satisfy a Medium or smaller creature for a full day. The spell does not create food, and as such will not alone prevent someone from starving, but it can extend even limited reserves for extended periods.</t>
  </si>
  <si>
    <t>&lt;p&gt;Not everyone can achieve the physical stamina of the monk, but sometimes Irori smiles on his worshipers and allows them a reprieve from physical hungers and wants. This spell magically enhances a handful of simple food, imbuing it with enough nutrition to satisfy a Medium or smaller creature for a full day. The spell does not create food, and as such will not alone prevent someone from starving, but it can extend even limited reserves for extended periods.&lt;/p&gt;</t>
  </si>
  <si>
    <t>&lt;link rel="stylesheet"href="PF.css"&gt;&lt;div class="heading"&gt;&lt;p class="alignleft"&gt;Abstemiousness&lt;/p&gt;&lt;div style="clear: both;"&gt;&lt;/div&gt;&lt;/div&gt;&lt;div&gt;&lt;h5&gt;&lt;b&gt;School &lt;/b&gt;transmutation; &lt;b&gt;Level &lt;/b&gt;bard 1, cleric 1/oracle 1, druid 1 (Irori)&lt;/h5&gt;&lt;/div&gt;&lt;hr/&gt;&lt;div&gt;&lt;h5&gt;&lt;b&gt;CASTING&lt;/b&gt;&lt;/h5&gt;&lt;/div&gt;&lt;hr/&gt;&lt;div&gt;&lt;h5&gt;&lt;b&gt;Casting Time &lt;/b&gt;1 standard action&lt;/h5&gt;&lt;h5&gt;&lt;b&gt;Components &lt;/b&gt;V, M&lt;/h5&gt;&lt;/div&gt;&lt;hr/&gt;&lt;div&gt;&lt;h5&gt;&lt;b&gt;EFFECT&lt;/b&gt;&lt;/h5&gt;&lt;/div&gt;&lt;hr/&gt;&lt;div&gt;&lt;h5&gt;&lt;b&gt;Range &lt;/b&gt;touch&lt;/h5&gt;&lt;h5&gt;&lt;b&gt;Targets &lt;/b&gt;a handful of berries, grains, nuts, or rice&lt;/h5&gt;&lt;h5&gt;&lt;b&gt;Duration &lt;/b&gt;1 hour&lt;/h5&gt;&lt;h5&gt;&lt;b&gt;Saving Throw &lt;/b&gt;none; &lt;b&gt;Spell Resistance &lt;/b&gt;yes&lt;/h5&gt;&lt;/div&gt;&lt;hr/&gt;&lt;div&gt;&lt;h5&gt;&lt;b&gt;DESCRIPTION&lt;/b&gt;&lt;/h5&gt;&lt;/div&gt;&lt;hr/&gt;&lt;div&gt;&lt;h4&gt;&lt;p&gt;Not everyone can achieve the physical stamina of the monk, but sometimes Irori smiles on his worshipers and allows them a reprieve from physical hungers and wants. This spell magically enhances a handful of simple food, imbuing it with enough nutrition to satisfy a Medium or smaller creature for a full day. The spell does not create food, and as such will not alone prevent someone from starving, but it can extend even limited reserves for extended periods.&lt;/p&gt;&lt;/h4&gt;&lt;/div&gt;</t>
  </si>
  <si>
    <t>Irori</t>
  </si>
  <si>
    <t>Spell Gauge</t>
  </si>
  <si>
    <t>bard 2, cleric 2/oracle 2, inquisitor 2, sorcerer/wizard 2</t>
  </si>
  <si>
    <t>V, S, F (a silver piece)</t>
  </si>
  <si>
    <t>Upon casting this spell, you immediately know a selection of the spells the target creature has prepared or knows. The number of spells revealed to you is equal to your caster level. The target's lowest-level spells are revealed first-ignoring 0-level spells-in a random order. Once all of the target's 1st-levels spells are revealed, the spell begins revealing 2nd-level spells, then 3rd-level spells. This spell does not reveal spells of 4th level or higher, nor does it reveal spell-like abilities or other special abilities. If cast on a creature that is not a spellcaster, that only has spells of 0 level or of 4th level or higher prepared, that has expended all of its spells, or that has not prepared any spells that day, the spell is expended without effect.</t>
  </si>
  <si>
    <t>&lt;p&gt;Upon casting this spell, you immediately know a selection of the spells the target creature has prepared or knows. The number of spells revealed to you is equal to your caster level. The target's lowest-level spells are revealed first-ignoring 0-level spells-in a random order. Once all of the target's 1st-levels spells are revealed, the spell begins revealing 2nd-level spells, then 3rd-level spells. This spell does not reveal spells of 4th level or higher, nor does it reveal spell-like abilities or other special abilities. If cast on a creature that is not a spellcaster, that only has spells of 0 level or of 4th level or higher prepared, that has expended all of its spells, or that has not prepared any spells that day, the spell is expended without effect.&lt;/p&gt;</t>
  </si>
  <si>
    <t>&lt;link rel="stylesheet"href="PF.css"&gt;&lt;div class="heading"&gt;&lt;p class="alignleft"&gt;Spell Gauge&lt;/p&gt;&lt;div style="clear: both;"&gt;&lt;/div&gt;&lt;/div&gt;&lt;div&gt;&lt;h5&gt;&lt;b&gt;School &lt;/b&gt;divination [mind-affecting]; &lt;b&gt;Level &lt;/b&gt;bard 2, cleric 2/oracle 2, inquisitor 2, sorcerer/wizard 2 (Nethys)&lt;/h5&gt;&lt;/div&gt;&lt;hr/&gt;&lt;div&gt;&lt;h5&gt;&lt;b&gt;CASTING&lt;/b&gt;&lt;/h5&gt;&lt;/div&gt;&lt;hr/&gt;&lt;div&gt;&lt;h5&gt;&lt;b&gt;Casting Time &lt;/b&gt;1 standard action&lt;/h5&gt;&lt;h5&gt;&lt;b&gt;Components &lt;/b&gt;V, S, F (a silver piece)&lt;/h5&gt;&lt;/div&gt;&lt;hr/&gt;&lt;div&gt;&lt;h5&gt;&lt;b&gt;EFFECT&lt;/b&gt;&lt;/h5&gt;&lt;/div&gt;&lt;hr/&gt;&lt;div&gt;&lt;h5&gt;&lt;b&gt;Range &lt;/b&gt;close (25 ft. + 5 ft./level)&lt;/h5&gt;&lt;h5&gt;&lt;b&gt;Targets &lt;/b&gt;one creature&lt;/h5&gt;&lt;h5&gt;&lt;b&gt;Duration &lt;/b&gt;instantaneous&lt;/h5&gt;&lt;h5&gt;&lt;b&gt;Saving Throw &lt;/b&gt;yes; &lt;b&gt;Spell Resistance &lt;/b&gt;yes&lt;/h5&gt;&lt;/div&gt;&lt;hr/&gt;&lt;div&gt;&lt;h5&gt;&lt;b&gt;DESCRIPTION&lt;/b&gt;&lt;/h5&gt;&lt;/div&gt;&lt;hr/&gt;&lt;div&gt;&lt;h4&gt;&lt;p&gt;Upon casting this spell, you immediately know a selection of the spells the target creature has prepared or knows. The number of spells revealed to you is equal to your caster level. The target's lowest-level spells are revealed first-ignoring 0-level spells-in a random order. Once all of the target's 1st-levels spells are revealed, the spell begins revealing 2nd-level spells, then 3rd-level spells. This spell does not reveal spells of 4th level or higher, nor does it reveal spell-like abilities or other special abilities. If cast on a creature that is not a spellcaster, that only has spells of 0 level or of 4th level or higher prepared, that has expended all of its spells, or that has not prepared any spells that day, the spell is expended without effect.&lt;/p&gt;&lt;/h4&gt;&lt;/div&gt;</t>
  </si>
  <si>
    <t>Early Judgment</t>
  </si>
  <si>
    <t>You show one creature the effect of its life so far and what it might expect when it passes under Pharasma's impartial gaze at the end of its life. Depending on the creature's alignment and its adherence to its ethos, you can provide it a brief glimpse of the reward or punishment that waits for it when it dies by showing it a mental image of its destined plane in the Great Beyond. If your target is good-aligned, it must save or be fascinated for 1d4 rounds. If your target is neutral-aligned, it must save or be confused for 1d4 rounds. If your target is evil-aligned, it must save or be shaken for 1d4 rounds.</t>
  </si>
  <si>
    <t>&lt;p&gt;You show one creature the effect of its life so far and what it might expect when it passes under Pharasma's impartial gaze at the end of its life. Depending on the creature's alignment and its adherence to its ethos, you can provide it a brief glimpse of the reward or punishment that waits for it when it dies by showing it a mental image of its destined plane in the Great Beyond. If your target is good-aligned, it must save or be fascinated for 1d4 rounds. If your target is neutral-aligned, it must save or be confused for 1d4 rounds. If your target is evil-aligned, it must save or be shaken for 1d4 rounds.&lt;/p&gt;</t>
  </si>
  <si>
    <t>&lt;link rel="stylesheet"href="PF.css"&gt;&lt;div class="heading"&gt;&lt;p class="alignleft"&gt;Early Judgment&lt;/p&gt;&lt;div style="clear: both;"&gt;&lt;/div&gt;&lt;/div&gt;&lt;div&gt;&lt;h5&gt;&lt;b&gt;School &lt;/b&gt;divination; &lt;b&gt;Level &lt;/b&gt;cleric 2/oracle 2, inquisitor 2 (Pharasma)&lt;/h5&gt;&lt;/div&gt;&lt;hr/&gt;&lt;div&gt;&lt;h5&gt;&lt;b&gt;CASTING&lt;/b&gt;&lt;/h5&gt;&lt;/div&gt;&lt;hr/&gt;&lt;div&gt;&lt;h5&gt;&lt;b&gt;Casting Time &lt;/b&gt;1 standard action&lt;/h5&gt;&lt;h5&gt;&lt;b&gt;Components &lt;/b&gt;V, S, DF&lt;/h5&gt;&lt;/div&gt;&lt;hr/&gt;&lt;div&gt;&lt;h5&gt;&lt;b&gt;EFFECT&lt;/b&gt;&lt;/h5&gt;&lt;/div&gt;&lt;hr/&gt;&lt;div&gt;&lt;h5&gt;&lt;b&gt;Range &lt;/b&gt;close (25 ft. + 5 ft./level)&lt;/h5&gt;&lt;h5&gt;&lt;b&gt;Targets &lt;/b&gt;one humanoid creature&lt;/h5&gt;&lt;h5&gt;&lt;b&gt;Duration &lt;/b&gt;1 round&lt;/h5&gt;&lt;h5&gt;&lt;b&gt;Saving Throw &lt;/b&gt;Will negates; &lt;b&gt;Spell Resistance &lt;/b&gt;yes&lt;/h5&gt;&lt;/div&gt;&lt;hr/&gt;&lt;div&gt;&lt;h5&gt;&lt;b&gt;DESCRIPTION&lt;/b&gt;&lt;/h5&gt;&lt;/div&gt;&lt;hr/&gt;&lt;div&gt;&lt;h4&gt;&lt;p&gt;You show one creature the effect of its life so far and what it might expect when it passes under Pharasma's impartial gaze at the end of its life. Depending on the creature's alignment and its adherence to its ethos, you can provide it a brief glimpse of the reward or punishment that waits for it when it dies by showing it a mental image of its destined plane in the Great Beyond. If your target is good-aligned, it must save or be fascinated for 1d4 rounds. If your target is neutral-aligned, it must save or be confused for 1d4 rounds. If your target is evil-aligned, it must save or be shaken for 1d4 rounds.&lt;/p&gt;&lt;/h4&gt;&lt;/div&gt;</t>
  </si>
  <si>
    <t>Silk To Steel</t>
  </si>
  <si>
    <t>one scarf</t>
  </si>
  <si>
    <t>You imbue an ordinary scarf (or similar piece of clothing) with the strength of steel without altering its weight or flexibility. Each round on your turn, you can decide to use the scarf to defend yourself (gaining a +2 shield bonus to your Armor Class) or to attack as if the scarf were a whip.</t>
  </si>
  <si>
    <t>&lt;p&gt;You imbue an ordinary scarf (or similar piece of clothing) with the strength of steel without altering its weight or flexibility.&lt;/p&gt;&lt;p&gt;Each round on your turn, you can decide to use the scarf to defend yourself (gaining a +2 shield bonus to your Armor Class) or to attack as if the scarf were a whip.&lt;/p&gt;</t>
  </si>
  <si>
    <t>&lt;link rel="stylesheet"href="PF.css"&gt;&lt;div class="heading"&gt;&lt;p class="alignleft"&gt;Silk To Steel&lt;/p&gt;&lt;div style="clear: both;"&gt;&lt;/div&gt;&lt;/div&gt;&lt;div&gt;&lt;h5&gt;&lt;b&gt;School &lt;/b&gt;transmutation; &lt;b&gt;Level &lt;/b&gt;bard 2, sorcerer/wizard 2, witch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&lt;/b&gt;one scarf&lt;/h5&gt;&lt;h5&gt;&lt;b&gt;Duration &lt;/b&gt;1 round/level&lt;/h5&gt;&lt;h5&gt;&lt;b&gt;Saving Throw &lt;/b&gt;none; &lt;b&gt;Spell Resistance &lt;/b&gt;no&lt;/h5&gt;&lt;/div&gt;&lt;hr/&gt;&lt;div&gt;&lt;h5&gt;&lt;b&gt;DESCRIPTION&lt;/b&gt;&lt;/h5&gt;&lt;/div&gt;&lt;hr/&gt;&lt;div&gt;&lt;h4&gt;&lt;p&gt;You imbue an ordinary scarf (or similar piece of clothing) with the strength of steel without altering its weight or flexibility.&lt;/p&gt;&lt;p&gt;Each round on your turn, you can decide to use the scarf to defend yourself (gaining a +2 shield bonus to your Armor Class) or to attack as if the scarf were a whip.&lt;/p&gt;&lt;/h4&gt;&lt;/div&gt;</t>
  </si>
  <si>
    <t>Use a scarf as a shield or whip.</t>
  </si>
  <si>
    <t>Aram Zey's Focus</t>
  </si>
  <si>
    <t>alchemist 2, bard 2, sorcerer/wizard 2</t>
  </si>
  <si>
    <t>V, S, F (masterwork thieves' tools worth 100 gp)</t>
  </si>
  <si>
    <t>Aram Zey created this spell for use by his students, both to increase their confidence in their skills and to ensure more of them survived encounters with deadly traps. If you don't have the trapfinding class ability, this spell grants you the trapfinding ability of a rogue of half your character level. If you have the trapfinding ability granted by class levels, however, this spell grants you a +5 competence bonus on all Disable Device checks made to disarm mechanical (but not magical) traps. While under the effects of Aram Zey's focus, whenever you trigger a trap by rolling poorly on a Disable Device check, you may roll a second Disable Device check. This new roll uses the same modifiers as the first roll. If your second roll is high enough to avoid accidentally springing the trap, you avoid setting it off, but still fail to disarm it. Each time you take advantage of this feature, the remaining duration of the spell is reduced by 1 minute-if less than a minute's worth of duration remains, the spell ends as soon as you reroll your Disable Device check.</t>
  </si>
  <si>
    <t>&lt;p&gt;Aram Zey created this spell for use by his students, both to increase their confidence in their skills and to ensure more of them survived encounters with deadly traps. If you don't have the trapfinding class ability, this spell grants you the trapfinding ability of a rogue of half your character level.&lt;/p&gt;&lt;p&gt;If you have the trapfinding ability granted by class levels, however, this spell grants you a +5 competence bonus on all Disable Device checks made to disarm mechanical (but not magical) traps. While under the effects of Aram Zey's focus, whenever you trigger a trap by rolling poorly on a Disable Device check, you may roll a second Disable Device check. This new roll uses the same modifiers as the first roll. If your second roll is high enough to avoid accidentally springing the trap, you avoid setting it off, but still fail to disarm it. Each time you take advantage of this feature, the remaining duration of the spell is reduced by 1 minute-if less than a minute's worth of duration remains, the spell ends as soon as you reroll your Disable Device check.&lt;/p&gt;</t>
  </si>
  <si>
    <t>Pathfinder Society Field Guide</t>
  </si>
  <si>
    <t>&lt;link rel="stylesheet"href="PF.css"&gt;&lt;div class="heading"&gt;&lt;p class="alignleft"&gt;Aram Zey's Focus&lt;/p&gt;&lt;div style="clear: both;"&gt;&lt;/div&gt;&lt;/div&gt;&lt;div&gt;&lt;h5&gt;&lt;b&gt;School &lt;/b&gt;divination; &lt;b&gt;Level &lt;/b&gt;alchemist 2, bard 2, sorcerer/wizard 2&lt;/h5&gt;&lt;/div&gt;&lt;hr/&gt;&lt;div&gt;&lt;h5&gt;&lt;b&gt;CASTING&lt;/b&gt;&lt;/h5&gt;&lt;/div&gt;&lt;hr/&gt;&lt;div&gt;&lt;h5&gt;&lt;b&gt;Casting Time &lt;/b&gt;1 standard action&lt;/h5&gt;&lt;h5&gt;&lt;b&gt;Components &lt;/b&gt;V, S, F (masterwork thieves' tools worth 100 gp)&lt;/h5&gt;&lt;/div&gt;&lt;hr/&gt;&lt;div&gt;&lt;h5&gt;&lt;b&gt;EFFECT&lt;/b&gt;&lt;/h5&gt;&lt;/div&gt;&lt;hr/&gt;&lt;div&gt;&lt;h5&gt;&lt;b&gt;Range &lt;/b&gt;personal&lt;/h5&gt;&lt;h5&gt;&lt;b&gt;Targets &lt;/b&gt;you&lt;/h5&gt;&lt;h5&gt;&lt;b&gt;Duration &lt;/b&gt;1 minute/level (D)&lt;/h5&gt;&lt;/div&gt;&lt;hr/&gt;&lt;div&gt;&lt;h5&gt;&lt;b&gt;DESCRIPTION&lt;/b&gt;&lt;/h5&gt;&lt;/div&gt;&lt;hr/&gt;&lt;div&gt;&lt;h4&gt;&lt;p&gt;Aram Zey created this spell for use by his students, both to increase their confidence in their skills and to ensure more of them survived encounters with deadly traps. If you don't have the trapfinding class ability, this spell grants you the trapfinding ability of a rogue of half your character level.&lt;/p&gt;&lt;p&gt;If you have the trapfinding ability granted by class levels, however, this spell grants you a +5 competence bonus on all Disable Device checks made to disarm mechanical (but not magical) traps. While under the effects of Aram Zey's focus, whenever you trigger a trap by rolling poorly on a Disable Device check, you may roll a second Disable Device check. This new roll uses the same modifiers as the first roll. If your second roll is high enough to avoid accidentally springing the trap, you avoid setting it off, but still fail to disarm it. Each time you take advantage of this feature, the remaining duration of the spell is reduced by 1 minute-if less than a minute's worth of duration remains, the spell ends as soon as you reroll your Disable Device check.&lt;/p&gt;&lt;/h4&gt;&lt;/div&gt;</t>
  </si>
  <si>
    <t>Aram Zey's Trap Ward</t>
  </si>
  <si>
    <t>V, S, M (masterwork thieves' tools worth 100 gp)</t>
  </si>
  <si>
    <t>10 minutes/level or until discharged</t>
  </si>
  <si>
    <t>While he was researching the underlying causes of the resonance created by overlapping abjurations, Aram Zey discovered a way to manipulate that resonance to the caster's advantage when encountering magical traps. The protection provided by Aram Zey's trap ward comes into play whenever the caster is subjected to the effects of a magical trap. The spell immediately discharges and interferes with the trap's function in an attempt to counter the trap's magic. When this occurs, make a caster level check as an immediate action. The DC of this check is equal to the trap's Disable Device DC. If you're successful, the trap ward dispels the magical effect of the trap before the effect actually manifests, effectively preventing the trap from triggering for the next 1d4 rounds and ending Aram Zey's trap ward immediately.</t>
  </si>
  <si>
    <t>&lt;p&gt;While he was researching the underlying causes of the resonance created by overlapping abjurations, Aram Zey discovered a way to manipulate that resonance to the caster's advantage when encountering magical traps.&lt;/p&gt;&lt;p&gt;The protection provided by Aram Zey's trap ward comes into play whenever the caster is subjected to the effects of a magical trap. The spell immediately discharges and interferes with the trap's function in an attempt to counter the trap's magic. When this occurs, make a caster level check as an immediate action. The DC of this check is equal to the trap's Disable Device DC. If you're successful, the trap ward dispels the magical effect of the trap before the effect actually manifests, effectively preventing the trap from triggering for the next 1d4 rounds and ending Aram Zey's trap ward immediately.&lt;/p&gt;</t>
  </si>
  <si>
    <t>&lt;link rel="stylesheet"href="PF.css"&gt;&lt;div class="heading"&gt;&lt;p class="alignleft"&gt;Aram Zey's Trap Ward&lt;/p&gt;&lt;div style="clear: both;"&gt;&lt;/div&gt;&lt;/div&gt;&lt;div&gt;&lt;h5&gt;&lt;b&gt;School &lt;/b&gt;abjuration; &lt;b&gt;Level &lt;/b&gt;sorcerer/wizard 4&lt;/h5&gt;&lt;/div&gt;&lt;hr/&gt;&lt;div&gt;&lt;h5&gt;&lt;b&gt;CASTING&lt;/b&gt;&lt;/h5&gt;&lt;/div&gt;&lt;hr/&gt;&lt;div&gt;&lt;h5&gt;&lt;b&gt;Casting Time &lt;/b&gt;1 standard action&lt;/h5&gt;&lt;h5&gt;&lt;b&gt;Components &lt;/b&gt;V, S, M (masterwork thieves' tools worth 100 gp)&lt;/h5&gt;&lt;/div&gt;&lt;hr/&gt;&lt;div&gt;&lt;h5&gt;&lt;b&gt;EFFECT&lt;/b&gt;&lt;/h5&gt;&lt;/div&gt;&lt;hr/&gt;&lt;div&gt;&lt;h5&gt;&lt;b&gt;Range &lt;/b&gt;personal&lt;/h5&gt;&lt;h5&gt;&lt;b&gt;Targets &lt;/b&gt;you&lt;/h5&gt;&lt;h5&gt;&lt;b&gt;Duration &lt;/b&gt;10 minutes/level or until discharged&lt;/h5&gt;&lt;/div&gt;&lt;hr/&gt;&lt;div&gt;&lt;h5&gt;&lt;b&gt;DESCRIPTION&lt;/b&gt;&lt;/h5&gt;&lt;/div&gt;&lt;hr/&gt;&lt;div&gt;&lt;h4&gt;&lt;p&gt;While he was researching the underlying causes of the resonance created by overlapping abjurations, Aram Zey discovered a way to manipulate that resonance to the caster's advantage when encountering magical traps.&lt;/p&gt;&lt;p&gt;The protection provided by Aram Zey's trap ward comes into play whenever the caster is subjected to the effects of a magical trap. The spell immediately discharges and interferes with the trap's function in an attempt to counter the trap's magic. When this occurs, make a caster level check as an immediate action. The DC of this check is equal to the trap's Disable Device DC. If you're successful, the trap ward dispels the magical effect of the trap before the effect actually manifests, effectively preventing the trap from triggering for the next 1d4 rounds and ending Aram Zey's trap ward immediately.&lt;/p&gt;&lt;/h4&gt;&lt;/div&gt;</t>
  </si>
  <si>
    <t>Bite the Hand</t>
  </si>
  <si>
    <t>druid 3, inquisitor 3, sorcerer/wizard 4, summoner 3, witch 4</t>
  </si>
  <si>
    <t>one creature summoned by a spell or spell-like ability</t>
  </si>
  <si>
    <t>With a short command and a wave of the hand, you compel the target creature to attack the being who summoned it, to the best of its ability. If the being who summoned it is not present, the creature acts normally according to its last task or instructions. This spell has no effect on called creatures, summoned creatures not brought forth by spells or spell-like abilities (such as a summoner's eidolon), or bonded creatures not explicitly summoned, such as a paladin's mount or wizard's familiar.</t>
  </si>
  <si>
    <t>&lt;p&gt;With a short command and a wave of the hand, you compel the target creature to attack the being who summoned it, to the best of its ability. If the being who summoned it is not present, the creature acts normally according to its last task or instructions. This spell has no effect on called creatures, summoned creatures not brought forth by spells or spell-like abilities (such as a summoner's eidolon), or bonded creatures not explicitly summoned, such as a paladin's mount or wizard's familiar.&lt;/p&gt;</t>
  </si>
  <si>
    <t>&lt;link rel="stylesheet"href="PF.css"&gt;&lt;div class="heading"&gt;&lt;p class="alignleft"&gt;Bite the Hand&lt;/p&gt;&lt;div style="clear: both;"&gt;&lt;/div&gt;&lt;/div&gt;&lt;div&gt;&lt;h5&gt;&lt;b&gt;School &lt;/b&gt;enchantment (compulsion); &lt;b&gt;Level &lt;/b&gt;druid 3, inquisitor 3, sorcerer/wizard 4, summoner 3, witch 4&lt;/h5&gt;&lt;/div&gt;&lt;hr/&gt;&lt;div&gt;&lt;h5&gt;&lt;b&gt;CASTING&lt;/b&gt;&lt;/h5&gt;&lt;/div&gt;&lt;hr/&gt;&lt;div&gt;&lt;h5&gt;&lt;b&gt;Casting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levels)&lt;/h5&gt;&lt;h5&gt;&lt;b&gt;Targets &lt;/b&gt;one creature summoned by a spell or spell-like ability&lt;/h5&gt;&lt;h5&gt;&lt;b&gt;Duration &lt;/b&gt;1 round/level (D)&lt;/h5&gt;&lt;h5&gt;&lt;b&gt;Saving Throw &lt;/b&gt;Will negates; &lt;b&gt;Spell Resistance &lt;/b&gt;yes&lt;/h5&gt;&lt;/div&gt;&lt;hr/&gt;&lt;div&gt;&lt;h5&gt;&lt;b&gt;DESCRIPTION&lt;/b&gt;&lt;/h5&gt;&lt;/div&gt;&lt;hr/&gt;&lt;div&gt;&lt;h4&gt;&lt;p&gt;With a short command and a wave of the hand, you compel the target creature to attack the being who summoned it, to the best of its ability. If the being who summoned it is not present, the creature acts normally according to its last task or instructions. This spell has no effect on called creatures, summoned creatures not brought forth by spells or spell-like abilities (such as a summoner's eidolon), or bonded creatures not explicitly summoned, such as a paladin's mount or wizard's familiar.&lt;/p&gt;&lt;/h4&gt;&lt;/div&gt;</t>
  </si>
  <si>
    <t>Bite the Hand, Mass</t>
  </si>
  <si>
    <t>druid 6, inquisitor 6, sorcerer/wizard 7, summoner 6, witch 7</t>
  </si>
  <si>
    <t>one creature summoned by a spell or spell-like ability/level, no two of which can be more than 30 ft. apart</t>
  </si>
  <si>
    <t>This spell functions like bite the hand, except as noted above. The target creatures do not need to have all been summoned by the same being.</t>
  </si>
  <si>
    <t>&lt;p&gt;This spell functions like &lt;i&gt;bite the hand&lt;/i&gt;, except as noted above.&lt;/p&gt;&lt;p&gt;The target creatures do not need to have all been summoned by the same being.&lt;/p&gt;</t>
  </si>
  <si>
    <t>&lt;link rel="stylesheet"href="PF.css"&gt;&lt;div class="heading"&gt;&lt;p class="alignleft"&gt;Bite the Hand, Mass&lt;/p&gt;&lt;div style="clear: both;"&gt;&lt;/div&gt;&lt;/div&gt;&lt;div&gt;&lt;h5&gt;&lt;b&gt;School &lt;/b&gt;enchantment (compulsion); &lt;b&gt;Level &lt;/b&gt;druid 6, inquisitor 6, sorcerer/wizard 7, summoner 6, witch 7&lt;/h5&gt;&lt;/div&gt;&lt;hr/&gt;&lt;div&gt;&lt;h5&gt;&lt;b&gt;CASTING&lt;/b&gt;&lt;/h5&gt;&lt;/div&gt;&lt;hr/&gt;&lt;div&gt;&lt;h5&gt;&lt;b&gt;Casting Time &lt;/b&gt;1 standard action&lt;/h5&gt;&lt;h5&gt;&lt;b&gt;Components &lt;/b&gt;V, S, DF&lt;/h5&gt;&lt;/div&gt;&lt;hr/&gt;&lt;div&gt;&lt;h5&gt;&lt;b&gt;EFFECT&lt;/b&gt;&lt;/h5&gt;&lt;/div&gt;&lt;hr/&gt;&lt;div&gt;&lt;h5&gt;&lt;b&gt;Range &lt;/b&gt;medium (100 ft. + 10 ft./level)&lt;/h5&gt;&lt;h5&gt;&lt;b&gt;Targets &lt;/b&gt;one creature summoned by a spell or spell-like ability/level, no two of which can be more than 30 ft. apart&lt;/h5&gt;&lt;h5&gt;&lt;b&gt;Duration &lt;/b&gt;1 round/level (D)&lt;/h5&gt;&lt;h5&gt;&lt;b&gt;Saving Throw &lt;/b&gt;Will negates; &lt;b&gt;Spell Resistance &lt;/b&gt;yes&lt;/h5&gt;&lt;/div&gt;&lt;hr/&gt;&lt;div&gt;&lt;h5&gt;&lt;b&gt;DESCRIPTION&lt;/b&gt;&lt;/h5&gt;&lt;/div&gt;&lt;hr/&gt;&lt;div&gt;&lt;h4&gt;&lt;p&gt;This spell functions like &lt;i&gt;bite the hand&lt;/i&gt;, except as noted above.&lt;/p&gt;&lt;p&gt;The target creatures do not need to have all been summoned by the same being.&lt;/p&gt;&lt;/h4&gt;&lt;/div&gt;</t>
  </si>
  <si>
    <t>Corpse Lanterns</t>
  </si>
  <si>
    <t>up to 4 lights, all within a 10-ft.-radius area</t>
  </si>
  <si>
    <t>This spell functions as dancing lights, except it summons up to four spheres of light, each of which glows a sickly pale green. These corpse lanterns shed dim light in a 20-foot radius, and do not increase the light level in areas of normal light or bright light. In dim or normal light, the radiance of corpse lanterns provides a strange contrast, giving all creatures in the area a -5 penalty on Stealth checks. In addition, the hue interferes with illusion (pattern) spells, giving all creatures in the illuminated area a +2 bonus on any saving throws against such spells. Unlike dancing lights, you may have more than one corpse lanterns spell active at a time, but you may only move one set in any given round. Moving the corpse lanterns does not require concentration. Corpse lanterns can be made permanent on an area with a permanency spell by a caster of at least 11th level for the cost of 7,500 gp.</t>
  </si>
  <si>
    <t>&lt;p&gt;This spell functions as &lt;i&gt;dancing lights&lt;/i&gt;, except it summons up to four spheres of light, each of which glows a sickly pale green. These &lt;i&gt;corpse lanterns&lt;/i&gt; shed dim light in a 20-foot radius, and do not increase the light level in areas of normal light or bright light. In dim or normal light, the radiance of &lt;i&gt;corpse lanterns&lt;/i&gt; provides a strange contrast, giving all creatures in the area a -5 penalty on Stealth checks. In addition, the hue interferes with illusion (pattern) spells, giving all creatures in the illuminated area a +2 bonus on any saving throws against such spells. Unlike &lt;i&gt;dancing lights&lt;/i&gt;, you may have more than one &lt;i&gt;corpse lanterns&lt;/i&gt; spell active at a time, but you may only move one set in any given round.&lt;/p&gt;&lt;p&gt;Moving the &lt;i&gt;corpse lanterns&lt;/i&gt; does not require concentration.&lt;/p&gt;&lt;p&gt;&lt;i&gt;Corpse lanterns&lt;/i&gt; can be made permanent on an area with a &lt;i&gt;permanency&lt;/i&gt; spell by a caster of at least 11th level for the cost of 7,500 gp.&lt;/p&gt;</t>
  </si>
  <si>
    <t>&lt;link rel="stylesheet"href="PF.css"&gt;&lt;div class="heading"&gt;&lt;p class="alignleft"&gt;Corpse Lanterns&lt;/p&gt;&lt;div style="clear: both;"&gt;&lt;/div&gt;&lt;/div&gt;&lt;div&gt;&lt;h5&gt;&lt;b&gt;School &lt;/b&gt;necromancy [light]; &lt;b&gt;Level &lt;/b&gt;sorcerer/wizard 2, witch 2&lt;/h5&gt;&lt;/div&gt;&lt;hr/&gt;&lt;div&gt;&lt;h5&gt;&lt;b&gt;CASTING&lt;/b&gt;&lt;/h5&gt;&lt;/div&gt;&lt;hr/&gt;&lt;div&gt;&lt;h5&gt;&lt;b&gt;Casting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ft./level)&lt;/h5&gt;&lt;h5&gt;&lt;b&gt;Effect &lt;/b&gt;up to 4 lights, all within a 10-ft.-radius area&lt;/h5&gt;&lt;h5&gt;&lt;b&gt;Duration &lt;/b&gt;1 minute/level (D)&lt;/h5&gt;&lt;h5&gt;&lt;b&gt;Saving Throw &lt;/b&gt;none; &lt;b&gt;Spell Resistance &lt;/b&gt;no&lt;/h5&gt;&lt;/div&gt;&lt;hr/&gt;&lt;div&gt;&lt;h5&gt;&lt;b&gt;DESCRIPTION&lt;/b&gt;&lt;/h5&gt;&lt;/div&gt;&lt;hr/&gt;&lt;div&gt;&lt;h4&gt;&lt;p&gt;This spell functions as &lt;i&gt;dancing lights&lt;/i&gt;, except it summons up to four spheres of light, each of which glows a sickly pale green. These &lt;i&gt;corpse lanterns&lt;/i&gt; shed dim light in a 20-foot radius, and do not increase the light level in areas of normal light or bright light. In dim or normal light, the radiance of &lt;i&gt;corpse lanterns&lt;/i&gt; provides a strange contrast, giving all creatures in the area a -5 penalty on Stealth checks. In addition, the hue interferes with illusion (pattern) spells, giving all creatures in the illuminated area a +2 bonus on any saving throws against such spells. Unlike &lt;i&gt;dancing lights&lt;/i&gt;, you may have more than one &lt;i&gt;corpse lanterns&lt;/i&gt; spell active at a time, but you may only move one set in any given round.&lt;/p&gt;&lt;p&gt;Moving the &lt;i&gt;corpse lanterns&lt;/i&gt; does not require concentration.&lt;/p&gt;&lt;p&gt;&lt;i&gt;Corpse lanterns&lt;/i&gt; can be made permanent on an area with a &lt;i&gt;permanency&lt;/i&gt; spell by a caster of at least 11th level for the cost of 7,500 gp.&lt;/p&gt;&lt;/h4&gt;&lt;/div&gt;</t>
  </si>
  <si>
    <t>Gilded Whispers</t>
  </si>
  <si>
    <t>cleric 4/oracle 4, sorcerer/wizard 3</t>
  </si>
  <si>
    <t>V, S, M (100 gp of powdered gemstones)</t>
  </si>
  <si>
    <t>a gold or platinum coin</t>
  </si>
  <si>
    <t>Developed by priests of Abadar to catch thieves and skimmers, gilded whispers later spread to other faiths and was adapted to the arcane arts through the combined efforts of Aram Zey and Kreighton Shaine. Pathfinders most commonly use this spell to track bribes and illicit purchases back to their ultimate source, especially when they suspect the influence of Aspis Consortium agents. Gilded whispers allows you to use a single coin as a conduit for an eavesdropping spell. When you use a divination (scrying) spell or item, such as clairvoyance/ clairaudience, scrying, or a crystal ball, you can choose to target a coin you have affected with gilded whispers instead of a creature or location (even if you would not otherwise be able to target an object), though any range limits on the scrying effect still apply. If the coin is held or carried by a creature, its owner receives any applicable saving throw against the effect. The caster of gilded whispers treats the coin as a familiar subject. The residual psychic impressions left upon the coin by other handlers help mask this dweomer from detection, protecting gilded whispers against location by detect magic, arcane sight, and similar effects unless the latter spell's caster succeeds on a caster level check (1d20 + caster level) against a DC of 11 + the caster level of the spellcaster who cast gilded whispers. The scrying sensor created by using a divination (scrying) spell to observe or listen to the coin's surroundings can be detected as normal.</t>
  </si>
  <si>
    <t>&lt;p&gt;Developed by priests of Abadar to catch thieves and skimmers, &lt;i&gt;gilded whispers&lt;/i&gt; later spread to other faiths and was adapted to the arcane arts through the combined efforts of Aram Zey and Kreighton Shaine. Pathfinders most commonly use this spell to track bribes and illicit purchases back to their ultimate source, especially when they suspect the influence of Aspis Consortium agents.&lt;/p&gt;&lt;p&gt;&lt;i&gt;Gilded whispers&lt;/i&gt; allows you to use a single coin as a conduit for an eavesdropping spell. When you use a divination (&lt;i&gt;scrying&lt;/i&gt;) spell or item, such as &lt;i&gt;clairvoyance/ clairaudience&lt;/i&gt;, &lt;i&gt;scrying&lt;/i&gt;, or a &lt;i&gt;crystal ball&lt;/i&gt;, you can choose to target a coin you have affected with &lt;i&gt;gilded whispers&lt;/i&gt; instead of a creature or location (even if you would not otherwise be able to target an object), though any range limits on the &lt;i&gt;scrying&lt;/i&gt; effect still apply. If the coin is held or carried by a creature, its owner receives any applicable saving throw against the effect. The caster of &lt;i&gt;gilded whispers&lt;/i&gt; treats the coin as a familiar subject. The residual psychic impressions left upon the coin by other handlers help mask this dweomer from detection, protecting &lt;i&gt;gilded whispers&lt;/i&gt; against location by &lt;i&gt;detect magic&lt;/i&gt;, &lt;i&gt;arcane sight&lt;/i&gt;, and similar effects unless the latter spell's caster succeeds on a caster level check (1d20 + caster level) against a DC of 11 + the caster level of the spellcaster who cast &lt;i&gt;gilded whispers&lt;/i&gt;.&lt;/p&gt;&lt;p&gt;The &lt;i&gt;scrying&lt;/i&gt; sensor created by using a divination (&lt;i&gt;scrying&lt;/i&gt;) spell to observe or listen to the coin's surroundings can be detected as normal.&lt;/p&gt;</t>
  </si>
  <si>
    <t>&lt;link rel="stylesheet"href="PF.css"&gt;&lt;div class="heading"&gt;&lt;p class="alignleft"&gt;Gilded Whispers&lt;/p&gt;&lt;div style="clear: both;"&gt;&lt;/div&gt;&lt;/div&gt;&lt;div&gt;&lt;h5&gt;&lt;b&gt;School &lt;/b&gt;divination; &lt;b&gt;Level &lt;/b&gt;cleric 4/oracle 4, sorcerer/wizard 3&lt;/h5&gt;&lt;/div&gt;&lt;hr/&gt;&lt;div&gt;&lt;h5&gt;&lt;b&gt;CASTING&lt;/b&gt;&lt;/h5&gt;&lt;/div&gt;&lt;hr/&gt;&lt;div&gt;&lt;h5&gt;&lt;b&gt;Casting Time &lt;/b&gt;1 round&lt;/h5&gt;&lt;h5&gt;&lt;b&gt;Components &lt;/b&gt;V, S, M (100 gp of powdered gemstones)&lt;/h5&gt;&lt;/div&gt;&lt;hr/&gt;&lt;div&gt;&lt;h5&gt;&lt;b&gt;EFFECT&lt;/b&gt;&lt;/h5&gt;&lt;/div&gt;&lt;hr/&gt;&lt;div&gt;&lt;h5&gt;&lt;b&gt;Range &lt;/b&gt;touch&lt;/h5&gt;&lt;h5&gt;&lt;b&gt;Targets &lt;/b&gt;a gold or platinum coin&lt;/h5&gt;&lt;h5&gt;&lt;b&gt;Duration &lt;/b&gt;1 day/level (D)&lt;/h5&gt;&lt;h5&gt;&lt;b&gt;Saving Throw &lt;/b&gt;Will negates (object); &lt;b&gt;Spell Resistance &lt;/b&gt;yes (object)&lt;/h5&gt;&lt;/div&gt;&lt;hr/&gt;&lt;div&gt;&lt;h5&gt;&lt;b&gt;DESCRIPTION&lt;/b&gt;&lt;/h5&gt;&lt;/div&gt;&lt;hr/&gt;&lt;div&gt;&lt;h4&gt;&lt;p&gt;Developed by priests of Abadar to catch thieves and skimmers, &lt;i&gt;gilded whispers&lt;/i&gt; later spread to other faiths and was adapted to the arcane arts through the combined efforts of Aram Zey and Kreighton Shaine. Pathfinders most commonly use this spell to track bribes and illicit purchases back to their ultimate source, especially when they suspect the influence of Aspis Consortium agents.&lt;/p&gt;&lt;p&gt;&lt;i&gt;Gilded whispers&lt;/i&gt; allows you to use a single coin as a conduit for an eavesdropping spell. When you use a divination (&lt;i&gt;scrying&lt;/i&gt;) spell or item, such as &lt;i&gt;clairvoyance/ clairaudience&lt;/i&gt;, &lt;i&gt;scrying&lt;/i&gt;, or a &lt;i&gt;crystal ball&lt;/i&gt;, you can choose to target a coin you have affected with &lt;i&gt;gilded whispers&lt;/i&gt; instead of a creature or location (even if you would not otherwise be able to target an object), though any range limits on the &lt;i&gt;scrying&lt;/i&gt; effect still apply. If the coin is held or carried by a creature, its owner receives any applicable saving throw against the effect. The caster of &lt;i&gt;gilded whispers&lt;/i&gt; treats the coin as a familiar subject. The residual psychic impressions left upon the coin by other handlers help mask this dweomer from detection, protecting &lt;i&gt;gilded whispers&lt;/i&gt; against location by &lt;i&gt;detect magic&lt;/i&gt;, &lt;i&gt;arcane sight&lt;/i&gt;, and similar effects unless the latter spell's caster succeeds on a caster level check (1d20 + caster level) against a DC of 11 + the caster level of the spellcaster who cast &lt;i&gt;gilded whispers&lt;/i&gt;.&lt;/p&gt;&lt;p&gt;The &lt;i&gt;scrying&lt;/i&gt; sensor created by using a divination (&lt;i&gt;scrying&lt;/i&gt;) spell to observe or listen to the coin's surroundings can be detected as normal.&lt;/p&gt;&lt;/h4&gt;&lt;/div&gt;</t>
  </si>
  <si>
    <t>Lipstitch</t>
  </si>
  <si>
    <t>S, M (a bone needle and sinew thread)</t>
  </si>
  <si>
    <t>A rare spell without verbal components, lipstitch sews the target's lips tightly together if it fails a saving throw, such that no clear speech, bite attacks, spellcasting, or use of command words is possible. The target takes 1d6 points of damage as the stitches weave through flesh. The victim can still make enough noise to be heard at a distance with a DC 10 Perception check. The thread created by lipstitch can be burst with a DC 20 Strength check as a standard action or can be sliced open with a piercing or slashing weapon (wielded by the target or an ally) as a full-round action. Cutting the thread provokes attacks of opportunity, while making a Strength check does not. Either option causes 1d6 points of damage and 1 point of bleed damage. The target has a 20% chance of failing to cast spells with verbal components until the bleeding is stopped. The effects of multiple castings of this spell do not stack. Optionally, the thread can be removed more carefully over the course of a minute with a DC 20 Heal check. If the check fails, the target takes damage and bleeds as described above. If the check succeeds, the stitches are removed with no harm. Creatures with no mouths are unaffected by lipstitch. Creatures with multiple mouths lose the use of only one mouth per casting-the particular mouth is chosen by the caster.</t>
  </si>
  <si>
    <t>&lt;p&gt;A rare spell without verbal components, &lt;i&gt;lipstitch&lt;/i&gt; sews the target's lips tightly together if it fails a saving throw, such that no clear speech, bite attacks, spellcasting, or use of command words is possible. The target takes 1d6 points of damage as the stitches weave through flesh. The victim can still make enough noise to be heard at a distance with a DC 10 Perception check.&lt;/p&gt;&lt;p&gt;The thread created by &lt;i&gt;lipstitch&lt;/i&gt; can be burst with a DC 20 Strength check as a standard action or can be sliced open with a piercing or slashing weapon (wielded by the target or an ally) as a full-round action. Cutting the thread provokes attacks of opportunity, while making a Strength check does not. Either option causes 1d6 points of damage and 1 point of bleed damage. The target has a 20% chance of failing to cast spells with verbal components until the bleeding is stopped. The effects of multiple castings of this spell do not stack. Optionally, the thread can be removed more carefully over the course of a minute with a DC 20 Heal check. If the check fails, the target takes damage and bleeds as described above. If the check succeeds, the stitches are removed with no harm. Creatures with no mouths are unaffected by &lt;i&gt;lipstitch&lt;/i&gt;. Creatures with multiple mouths lose the use of only one mouth per casting-the particular mouth is chosen by the caster.&lt;/p&gt;</t>
  </si>
  <si>
    <t>&lt;link rel="stylesheet"href="PF.css"&gt;&lt;div class="heading"&gt;&lt;p class="alignleft"&gt;Lipstitch&lt;/p&gt;&lt;div style="clear: both;"&gt;&lt;/div&gt;&lt;/div&gt;&lt;div&gt;&lt;h5&gt;&lt;b&gt;School &lt;/b&gt;necromancy; &lt;b&gt;Level &lt;/b&gt;sorcerer/wizard 2, witch 2&lt;/h5&gt;&lt;/div&gt;&lt;hr/&gt;&lt;div&gt;&lt;h5&gt;&lt;b&gt;CASTING&lt;/b&gt;&lt;/h5&gt;&lt;/div&gt;&lt;hr/&gt;&lt;div&gt;&lt;h5&gt;&lt;b&gt;Casting Time &lt;/b&gt;1 standard action&lt;/h5&gt;&lt;h5&gt;&lt;b&gt;Components &lt;/b&gt;S, M (a bone needle and sinew thread)&lt;/h5&gt;&lt;/div&gt;&lt;hr/&gt;&lt;div&gt;&lt;h5&gt;&lt;b&gt;EFFECT&lt;/b&gt;&lt;/h5&gt;&lt;/div&gt;&lt;hr/&gt;&lt;div&gt;&lt;h5&gt;&lt;b&gt;Range &lt;/b&gt;close (25 ft. + 5 ft./2 levels)&lt;/h5&gt;&lt;h5&gt;&lt;b&gt;Targets &lt;/b&gt;one creature&lt;/h5&gt;&lt;h5&gt;&lt;b&gt;Duration &lt;/b&gt;instantaneous&lt;/h5&gt;&lt;h5&gt;&lt;b&gt;Saving Throw &lt;/b&gt;Fortitude negates; &lt;b&gt;Spell Resistance &lt;/b&gt;yes&lt;/h5&gt;&lt;/div&gt;&lt;hr/&gt;&lt;div&gt;&lt;h5&gt;&lt;b&gt;DESCRIPTION&lt;/b&gt;&lt;/h5&gt;&lt;/div&gt;&lt;hr/&gt;&lt;div&gt;&lt;h4&gt;&lt;p&gt;A rare spell without verbal components, &lt;i&gt;lipstitch&lt;/i&gt; sews the target's lips tightly together if it fails a saving throw, such that no clear speech, bite attacks, spellcasting, or use of command words is possible. The target takes 1d6 points of damage as the stitches weave through flesh. The victim can still make enough noise to be heard at a distance with a DC 10 Perception check.&lt;/p&gt;&lt;p&gt;The thread created by &lt;i&gt;lipstitch&lt;/i&gt; can be burst with a DC 20 Strength check as a standard action or can be sliced open with a piercing or slashing weapon (wielded by the target or an ally) as a full-round action. Cutting the thread provokes attacks of opportunity, while making a Strength check does not. Either option causes 1d6 points of damage and 1 point of bleed damage. The target has a 20% chance of failing to cast spells with verbal components until the bleeding is stopped. The effects of multiple castings of this spell do not stack. Optionally, the thread can be removed more carefully over the course of a minute with a DC 20 Heal check. If the check fails, the target takes damage and bleeds as described above. If the check succeeds, the stitches are removed with no harm. Creatures with no mouths are unaffected by &lt;i&gt;lipstitch&lt;/i&gt;. Creatures with multiple mouths lose the use of only one mouth per casting-the particular mouth is chosen by the caster.&lt;/p&gt;&lt;/h4&gt;&lt;/div&gt;</t>
  </si>
  <si>
    <t>Petulengro's Validation</t>
  </si>
  <si>
    <t>alchemist 1, inquisitor 1, sorcerer/wizard 1</t>
  </si>
  <si>
    <t>V, S, M (a bit of hair, a fingernail, or a similar portion of a creature)</t>
  </si>
  <si>
    <t>After a particularly harrowing brush with death at the hands of doppelgangers, Venture-Captain Eliza Petulengro devised a means of being sure her companions were actually who they appeared to be. To cast this spell, you must have a bit of hair, a fingernail clipping, or some other portion of a creature. The sample must be no more than 1 week old per caster level. As part of casting, you touch the target creature, and instantly know whether the target is the same creature the sample is from. Note that if you wish to be discrete, you can cast the spell away from the target and hold the charge before touching the creature, so that the casting is not noticed. You can also use this spell to divine whether a dead body, or even partial remains from a body, belonged to the same person whose fingernail clipping or bit of hair you used when casting the spell.</t>
  </si>
  <si>
    <t>&lt;p&gt;After a particularly harrowing brush with death at the hands of doppelgangers, Venture-Captain Eliza Petulengro devised a means of being sure her companions were actually who they appeared to be. To cast this spell, you must have a bit of hair, a fingernail clipping, or some other portion of a creature. The sample must be no more than 1 week old per caster level. As part of casting, you touch the target creature, and instantly know whether the target is the same creature the sample is from. Note that if you wish to be discrete, you can cast the spell away from the target and hold the charge before touching the creature, so that the casting is not noticed. You can also use this spell to divine whether a dead body, or even partial remains from a body, belonged to the same person whose fingernail clipping or bit of hair you used when casting the spell.&lt;/p&gt;</t>
  </si>
  <si>
    <t>&lt;link rel="stylesheet"href="PF.css"&gt;&lt;div class="heading"&gt;&lt;p class="alignleft"&gt;Petulengro's Validation&lt;/p&gt;&lt;div style="clear: both;"&gt;&lt;/div&gt;&lt;/div&gt;&lt;div&gt;&lt;h5&gt;&lt;b&gt;School &lt;/b&gt;divination; &lt;b&gt;Level &lt;/b&gt;alchemist 1, inquisitor 1, sorcerer/wizard 1&lt;/h5&gt;&lt;/div&gt;&lt;hr/&gt;&lt;div&gt;&lt;h5&gt;&lt;b&gt;CASTING&lt;/b&gt;&lt;/h5&gt;&lt;/div&gt;&lt;hr/&gt;&lt;div&gt;&lt;h5&gt;&lt;b&gt;Casting Time &lt;/b&gt;1 standard action&lt;/h5&gt;&lt;h5&gt;&lt;b&gt;Components &lt;/b&gt;V, S, M (a bit of hair, a fingernail, or a similar portion of a creature)&lt;/h5&gt;&lt;/div&gt;&lt;hr/&gt;&lt;div&gt;&lt;h5&gt;&lt;b&gt;EFFECT&lt;/b&gt;&lt;/h5&gt;&lt;/div&gt;&lt;hr/&gt;&lt;div&gt;&lt;h5&gt;&lt;b&gt;Range &lt;/b&gt;touch&lt;/h5&gt;&lt;h5&gt;&lt;b&gt;Targets &lt;/b&gt;creature touched&lt;/h5&gt;&lt;h5&gt;&lt;b&gt;Duration &lt;/b&gt;instantaneous&lt;/h5&gt;&lt;h5&gt;&lt;b&gt;Saving Throw &lt;/b&gt;none; &lt;b&gt;Spell Resistance &lt;/b&gt;yes (harmless)&lt;/h5&gt;&lt;/div&gt;&lt;hr/&gt;&lt;div&gt;&lt;h5&gt;&lt;b&gt;DESCRIPTION&lt;/b&gt;&lt;/h5&gt;&lt;/div&gt;&lt;hr/&gt;&lt;div&gt;&lt;h4&gt;&lt;p&gt;After a particularly harrowing brush with death at the hands of doppelgangers, Venture-Captain Eliza Petulengro devised a means of being sure her companions were actually who they appeared to be. To cast this spell, you must have a bit of hair, a fingernail clipping, or some other portion of a creature. The sample must be no more than 1 week old per caster level. As part of casting, you touch the target creature, and instantly know whether the target is the same creature the sample is from. Note that if you wish to be discrete, you can cast the spell away from the target and hold the charge before touching the creature, so that the casting is not noticed. You can also use this spell to divine whether a dead body, or even partial remains from a body, belonged to the same person whose fingernail clipping or bit of hair you used when casting the spell.&lt;/p&gt;&lt;/h4&gt;&lt;/div&gt;</t>
  </si>
  <si>
    <t>Sequester Thoughts</t>
  </si>
  <si>
    <t>bard 3, sorcerer/wizard 5</t>
  </si>
  <si>
    <t>V, S, M (a gemstone worth at least 500 gp)</t>
  </si>
  <si>
    <t>permanent until discharged (see text)</t>
  </si>
  <si>
    <t>Sequester thoughts allows you to erase a creature's memory of either an event lasting not more than 1 minute per caster level or all of its knowledge about a single topic (using the GM's discretion as to what constitutes a single topic). For example, you could erase a single battle from a creature's memory, or all knowledge of a plot to assassinate a king. The memories you remove are stored within the gem used at the time of casting. If the gem is shattered, the memories return to the creature as long as the two are within 30 feet of each other. Once sequester thoughts has been cast, the spell remains active on the gem and can be dispelled (which shatters it). No portion of the spell remains active on the target creature, and the target does not radiate magic as a consequence of the spell, nor can its memories be returned by dispelling the creature or subjecting it to antimagic. If the gem is shattered or dispelled out of range from the creature, the thoughts sequestered within are forever lost save by the use of wish, miracle, or the like. Sequester thoughts protects against detect thoughts, zone of truth, discern lies, and similar spells where the memories removed are concerned, though careful questioning may reveal the gaps in the creature's memory, or that it has been affected by the spell. Note that the creature itself does not remember any details of what memories were removed until the gem is broken.</t>
  </si>
  <si>
    <t>&lt;p&gt;&lt;i&gt;Sequester thoughts&lt;/i&gt; allows you to erase a creature's memory of either an event lasting not more than 1 minute per caster level or all of its knowledge about a single topic (using the GM's discretion as to what constitutes a single topic). For example, you could erase a single battle from a creature's memory, or all knowledge of a plot to assassinate a king.&lt;/p&gt;&lt;p&gt;The memories you remove are stored within the gem used at the time of casting. If the gem is shattered, the memories return to the creature as long as the two are within 30 feet of each other. Once &lt;i&gt;sequester thoughts&lt;/i&gt; has been cast, the spell remains active on the gem and can be dispelled (which shatters it). No portion of the spell remains active on the target creature, and the target does not radiate magic as a consequence of the spell, nor can its memories be returned by dispelling the creature or subjecting it to antimagic. If the gem is shattered or dispelled out of range from the creature, the thoughts sequestered within are forever lost save by the use of &lt;i&gt;wish&lt;/i&gt;, &lt;i&gt;miracle&lt;/i&gt;, or the like.&lt;/p&gt;&lt;p&gt;&lt;i&gt;Sequester thoughts&lt;/i&gt; protects against &lt;i&gt;detect thoughts&lt;/i&gt;, &lt;i&gt;zone of truth&lt;/i&gt;, &lt;i&gt;discern lies&lt;/i&gt;, &lt;i&gt;and similar spells where the memories&lt;/i&gt; removed are concerned, though careful questioning may reveal the gaps in the creature's memory, or that it has been affected by the spell. Note that the creature itself does not remember any details of what memories were removed until the gem is broken.&lt;/p&gt;</t>
  </si>
  <si>
    <t>&lt;link rel="stylesheet"href="PF.css"&gt;&lt;div class="heading"&gt;&lt;p class="alignleft"&gt;Sequester Thoughts&lt;/p&gt;&lt;div style="clear: both;"&gt;&lt;/div&gt;&lt;/div&gt;&lt;div&gt;&lt;h5&gt;&lt;b&gt;School &lt;/b&gt;enchantment (compulsion) [mind-affecting]; &lt;b&gt;Level &lt;/b&gt;bard 3, sorcerer/wizard 5&lt;/h5&gt;&lt;/div&gt;&lt;hr/&gt;&lt;div&gt;&lt;h5&gt;&lt;b&gt;CASTING&lt;/b&gt;&lt;/h5&gt;&lt;/div&gt;&lt;hr/&gt;&lt;div&gt;&lt;h5&gt;&lt;b&gt;Casting Time &lt;/b&gt;10 minutes&lt;/h5&gt;&lt;h5&gt;&lt;b&gt;Components &lt;/b&gt;V, S, M (a gemstone worth at least 500 gp)&lt;/h5&gt;&lt;/div&gt;&lt;hr/&gt;&lt;div&gt;&lt;h5&gt;&lt;b&gt;EFFECT&lt;/b&gt;&lt;/h5&gt;&lt;/div&gt;&lt;hr/&gt;&lt;div&gt;&lt;h5&gt;&lt;b&gt;Range &lt;/b&gt;personal&lt;/h5&gt;&lt;h5&gt;&lt;b&gt;Targets &lt;/b&gt;one willing creature&lt;/h5&gt;&lt;h5&gt;&lt;b&gt;Duration &lt;/b&gt;permanent until discharged (see text)&lt;/h5&gt;&lt;/div&gt;&lt;hr/&gt;&lt;div&gt;&lt;h5&gt;&lt;b&gt;DESCRIPTION&lt;/b&gt;&lt;/h5&gt;&lt;/div&gt;&lt;hr/&gt;&lt;div&gt;&lt;h4&gt;&lt;p&gt;&lt;i&gt;Sequester thoughts&lt;/i&gt; allows you to erase a creature's memory of either an event lasting not more than 1 minute per caster level or all of its knowledge about a single topic (using the GM's discretion as to what constitutes a single topic). For example, you could erase a single battle from a creature's memory, or all knowledge of a plot to assassinate a king.&lt;/p&gt;&lt;p&gt;The memories you remove are stored within the gem used at the time of casting. If the gem is shattered, the memories return to the creature as long as the two are within 30 feet of each other. Once &lt;i&gt;sequester thoughts&lt;/i&gt; has been cast, the spell remains active on the gem and can be dispelled (which shatters it). No portion of the spell remains active on the target creature, and the target does not radiate magic as a consequence of the spell, nor can its memories be returned by dispelling the creature or subjecting it to antimagic. If the gem is shattered or dispelled out of range from the creature, the thoughts sequestered within are forever lost save by the use of &lt;i&gt;wish&lt;/i&gt;, &lt;i&gt;miracle&lt;/i&gt;, or the like.&lt;/p&gt;&lt;p&gt;&lt;i&gt;Sequester thoughts&lt;/i&gt; protects against &lt;i&gt;detect thoughts&lt;/i&gt;, &lt;i&gt;zone of truth&lt;/i&gt;, &lt;i&gt;discern lies&lt;/i&gt;, &lt;i&gt;and similar spells where the memories&lt;/i&gt; removed are concerned, though careful questioning may reveal the gaps in the creature's memory, or that it has been affected by the spell. Note that the creature itself does not remember any details of what memories were removed until the gem is broken.&lt;/p&gt;&lt;/h4&gt;&lt;/div&gt;</t>
  </si>
  <si>
    <t>Sharesister</t>
  </si>
  <si>
    <t>cleric 3/oracle 3, witch 3</t>
  </si>
  <si>
    <t>V, S, M (a drop of your own blood)</t>
  </si>
  <si>
    <t>you and one creature of your gender</t>
  </si>
  <si>
    <t>(harmless) Ithuna Vardsdottir claims to have unearthed this ancient prayer in a ruined temple of Desna, though Pathfinders have reported the use of similar magic in Irrisen among the White Witches. While the name of this spell is sharesister, it works equally well on male or female creatures-both targets of the spell must simply be of the same gender. When you deliver the spell, you receive a negative level for the duration of the spell, and the other target receives a +1 insight bonus to her caster level and a +1 insight bonus to the save DCs of all of her spells. At 11th level, you can opt to take four negative levels to grant a +2 insight bonus to the other target's caster level and spell save DCs if you wish, while at 17th level you can take 6 negative levels to increase the insight bonus to +3. Any effect that removes or prevents the negative level immediately ends the sharesister spell. Negative levels received from the spell vanish as soon as this spell effect ends. Negative levels from multiple castings of this spell stack.</t>
  </si>
  <si>
    <t>&lt;p&gt;(harmless) Ithuna Vardsdottir claims to have unearthed this ancient prayer in a ruined temple of Desna, though Pathfinders have reported the use of similar magic in Irrisen among the White Witches. While the name of this spell is &lt;i&gt;sharesister&lt;/i&gt;, it works equally well on male or female creatures-both targets of the spell must simply be of the same gender.&lt;/p&gt;&lt;p&gt;When you deliver the spell, you receive a negative level for the duration of the spell, and the other target receives a +1 insight bonus to her caster level and a +1 insight bonus to the save DCs of all of her spells. At 11th level, you can opt to take four negative levels to grant a +2 insight bonus to the other target's caster level and spell save DCs if you wish, while at 17th level you can take 6 negative levels to increase the insight bonus to +3. Any effect that removes or prevents the negative level immediately ends the &lt;i&gt;sharesister&lt;/i&gt; spell. Negative levels received from the spell vanish as soon as this spell effect ends.&lt;/p&gt;&lt;p&gt;Negative levels from multiple castings of this spell stack.&lt;/p&gt;</t>
  </si>
  <si>
    <t>&lt;link rel="stylesheet"href="PF.css"&gt;&lt;div class="heading"&gt;&lt;p class="alignleft"&gt;Sharesister&lt;/p&gt;&lt;div style="clear: both;"&gt;&lt;/div&gt;&lt;/div&gt;&lt;div&gt;&lt;h5&gt;&lt;b&gt;School &lt;/b&gt;necromancy; &lt;b&gt;Level &lt;/b&gt;cleric 3/oracle 3, witch 3&lt;/h5&gt;&lt;/div&gt;&lt;hr/&gt;&lt;div&gt;&lt;h5&gt;&lt;b&gt;CASTING&lt;/b&gt;&lt;/h5&gt;&lt;/div&gt;&lt;hr/&gt;&lt;div&gt;&lt;h5&gt;&lt;b&gt;Casting Time &lt;/b&gt;1 standard action&lt;/h5&gt;&lt;h5&gt;&lt;b&gt;Components &lt;/b&gt;V, S, M (a drop of your own blood)&lt;/h5&gt;&lt;/div&gt;&lt;hr/&gt;&lt;div&gt;&lt;h5&gt;&lt;b&gt;EFFECT&lt;/b&gt;&lt;/h5&gt;&lt;/div&gt;&lt;hr/&gt;&lt;div&gt;&lt;h5&gt;&lt;b&gt;Range &lt;/b&gt;touch&lt;/h5&gt;&lt;h5&gt;&lt;b&gt;Targets &lt;/b&gt;you and one creature of your gender&lt;/h5&gt;&lt;h5&gt;&lt;b&gt;Duration &lt;/b&gt;1 minute/level&lt;/h5&gt;&lt;h5&gt;&lt;b&gt;Saving Throw &lt;/b&gt;Will negates (harmless); &lt;b&gt;Spell Resistance &lt;/b&gt;yes&lt;/h5&gt;&lt;/div&gt;&lt;hr/&gt;&lt;div&gt;&lt;h5&gt;&lt;b&gt;DESCRIPTION&lt;/b&gt;&lt;/h5&gt;&lt;/div&gt;&lt;hr/&gt;&lt;div&gt;&lt;h4&gt;&lt;p&gt;(harmless) Ithuna Vardsdottir claims to have unearthed this ancient prayer in a ruined temple of Desna, though Pathfinders have reported the use of similar magic in Irrisen among the White Witches. While the name of this spell is &lt;i&gt;sharesister&lt;/i&gt;, it works equally well on male or female creatures-both targets of the spell must simply be of the same gender.&lt;/p&gt;&lt;p&gt;When you deliver the spell, you receive a negative level for the duration of the spell, and the other target receives a +1 insight bonus to her caster level and a +1 insight bonus to the save DCs of all of her spells. At 11th level, you can opt to take four negative levels to grant a +2 insight bonus to the other target's caster level and spell save DCs if you wish, while at 17th level you can take 6 negative levels to increase the insight bonus to +3. Any effect that removes or prevents the negative level immediately ends the &lt;i&gt;sharesister&lt;/i&gt; spell. Negative levels received from the spell vanish as soon as this spell effect ends.&lt;/p&gt;&lt;p&gt;Negative levels from multiple castings of this spell stack.&lt;/p&gt;&lt;/h4&gt;&lt;/div&gt;</t>
  </si>
  <si>
    <t>Stalwart Resolve</t>
  </si>
  <si>
    <t>alchemist 2, cleric 2/oracle 2, inquisitor 1, paladin 1, witch 2</t>
  </si>
  <si>
    <t>(harmless) Stalwart resolve was originally created to temporarily aid those suffering from certain afflictions. The recipient of stalwart resolve ignores the effects of ability damage and penalties to a single ability score of your choice, except that damage equal to or greater than the ability score still causes unconsciousness or death. This applies whether or not the ability damage or penalty happened before or during the spell's duration, and whether or not multiple sources are involved. This spell has no effect on ability drain.</t>
  </si>
  <si>
    <t>&lt;p&gt;(harmless) &lt;i&gt;Stalwart resolve&lt;/i&gt; was originally created to temporarily aid those suffering from certain afflictions. The recipient of &lt;i&gt;stalwart resolve&lt;/i&gt; ignores the effects of ability damage and penalties to a single ability score of your choice, except that damage equal to or greater than the ability score still causes unconsciousness or death. This applies whether or not the ability damage or penalty happened before or during the spell's duration, and whether or not multiple sources are involved. This spell has no effect on ability drain.&lt;/p&gt;</t>
  </si>
  <si>
    <t>&lt;link rel="stylesheet"href="PF.css"&gt;&lt;div class="heading"&gt;&lt;p class="alignleft"&gt;Stalwart Resolve&lt;/p&gt;&lt;div style="clear: both;"&gt;&lt;/div&gt;&lt;/div&gt;&lt;div&gt;&lt;h5&gt;&lt;b&gt;School &lt;/b&gt;enchantment (compulsion) [mind-affecting]; &lt;b&gt;Level &lt;/b&gt;alchemist 2, cleric 2/oracle 2, inquisitor 1, paladin 1, witch 2&lt;/h5&gt;&lt;/div&gt;&lt;hr/&gt;&lt;div&gt;&lt;h5&gt;&lt;b&gt;CASTING&lt;/b&gt;&lt;/h5&gt;&lt;/div&gt;&lt;hr/&gt;&lt;div&gt;&lt;h5&gt;&lt;b&gt;Casting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 touched&lt;/h5&gt;&lt;h5&gt;&lt;b&gt;Duration &lt;/b&gt;1 round/level&lt;/h5&gt;&lt;h5&gt;&lt;b&gt;Saving Throw &lt;/b&gt;Will negates (harmless); &lt;b&gt;Spell Resistance &lt;/b&gt;yes&lt;/h5&gt;&lt;/div&gt;&lt;hr/&gt;&lt;div&gt;&lt;h5&gt;&lt;b&gt;DESCRIPTION&lt;/b&gt;&lt;/h5&gt;&lt;/div&gt;&lt;hr/&gt;&lt;div&gt;&lt;h4&gt;&lt;p&gt;(harmless) &lt;i&gt;Stalwart resolve&lt;/i&gt; was originally created to temporarily aid those suffering from certain afflictions. The recipient of &lt;i&gt;stalwart resolve&lt;/i&gt; ignores the effects of ability damage and penalties to a single ability score of your choice, except that damage equal to or greater than the ability score still causes unconsciousness or death. This applies whether or not the ability damage or penalty happened before or during the spell's duration, and whether or not multiple sources are involved. This spell has no effect on ability drain.&lt;/p&gt;&lt;/h4&gt;&lt;/div&gt;</t>
  </si>
  <si>
    <t>Stolen Light</t>
  </si>
  <si>
    <t>V, S, F (a gem worth at least 500 gp)</t>
  </si>
  <si>
    <t>transparent gem touched</t>
  </si>
  <si>
    <t>permanent or 1 minute/level (see text)</t>
  </si>
  <si>
    <t>Kreighton Shaine researched this spell from the fragmentary notes of a Vudrani ascetic recorded in a strange tome, and rumors credit him with no fewer than a dozen permanent stolen light gems hidden in compartments and drawers in his study. Stolen light stores images within a gem. To store an image, as part of casting you must touch a gem worth not less than 500 gp. You trap within the gem an image of everything visible within a 30-foot cone measured from the gem, in a direction of your choice. Alternatively, you can capture a less detailed image of a single object within sight. Once the casting is complete, the gem turns opaque, and the image inside cannot be seen. The stolen image remains within the gem until released or dispelled. To release an image, you touch a gem holding stolen light as a standard action and speak a command word chosen at the time of casting. For 1 minute per caster level, the image stored within the gem becomes visible. Details can be made out as clearly as they could be perceived at the time of casting. Darkvision is of no use for making out details in a stolen image, though low-light vision or other exceptional visual talents may reveal information the caster did not see. Light sources brighter than bright light are reduced to bright light in the stolen image. Once the image has been released, it cannot again be recovered from the gem. Stolen light can be made permanent with the permanency spell by a caster of 10th level for a cost of 5,000 gp. This leaves the gem capable of projecting the image indefinitely, activated and deactivated by its command word, until it is destroyed or dispelled.</t>
  </si>
  <si>
    <t>&lt;p&gt;Kreighton Shaine researched this spell from the fragmentary notes of a Vudrani ascetic recorded in a strange tome, and rumors credit him with no fewer than a dozen permanent &lt;i&gt;stolen light&lt;/i&gt; gems hidden in compartments and drawers in his study. &lt;i&gt;Stolen light&lt;/i&gt; stores images within a gem. To store an image, as part of casting you must touch a gem worth not less than 500 gp. You trap within the gem an image of everything visible within a 30-foot cone measured from the gem, in a direction of your choice. Alternatively, you can capture a less detailed image of a single object within sight.&lt;/p&gt;&lt;p&gt;Once the casting is complete, the gem turns opaque, and the image inside cannot be seen. The stolen image remains within the gem until released or dispelled.&lt;/p&gt;&lt;p&gt;To release an image, you touch a gem holding &lt;i&gt;stolen light&lt;/i&gt; as a standard action and speak a command word chosen at the time of casting. For 1 minute per caster level, the image stored within the gem becomes visible. Details can be made out as clearly as they could be perceived at the time of casting. Darkvision is of no use for making out details in a stolen image, though low-light vision or other exceptional visual talents may reveal information the caster did not see.&lt;/p&gt;&lt;p&gt;Light sources brighter than bright light are reduced to bright light in the stolen image. Once the image has been released, it cannot again be recovered from the gem.&lt;/p&gt;&lt;p&gt;&lt;i&gt;Stolen light&lt;/i&gt; can be made permanent with the &lt;i&gt;permanency&lt;/i&gt; spell by a caster of 10th level for a cost of 5,000 gp. This leaves the gem capable of projecting the image indefinitely, activated and deactivated by its command word, until it is destroyed or dispelled.&lt;/p&gt;</t>
  </si>
  <si>
    <t>&lt;link rel="stylesheet"href="PF.css"&gt;&lt;div class="heading"&gt;&lt;p class="alignleft"&gt;Stolen Light&lt;/p&gt;&lt;div style="clear: both;"&gt;&lt;/div&gt;&lt;/div&gt;&lt;div&gt;&lt;h5&gt;&lt;b&gt;School &lt;/b&gt;illusion (figment); &lt;b&gt;Level &lt;/b&gt;bard 3, sorcerer/wizard 3&lt;/h5&gt;&lt;/div&gt;&lt;hr/&gt;&lt;div&gt;&lt;h5&gt;&lt;b&gt;CASTING&lt;/b&gt;&lt;/h5&gt;&lt;/div&gt;&lt;hr/&gt;&lt;div&gt;&lt;h5&gt;&lt;b&gt;Casting Time &lt;/b&gt;1 full round&lt;/h5&gt;&lt;h5&gt;&lt;b&gt;Components &lt;/b&gt;V, S, F (a gem worth at least 500 gp)&lt;/h5&gt;&lt;/div&gt;&lt;hr/&gt;&lt;div&gt;&lt;h5&gt;&lt;b&gt;EFFECT&lt;/b&gt;&lt;/h5&gt;&lt;/div&gt;&lt;hr/&gt;&lt;div&gt;&lt;h5&gt;&lt;b&gt;Range &lt;/b&gt;touch&lt;/h5&gt;&lt;h5&gt;&lt;b&gt;Targets &lt;/b&gt;transparent gem touched&lt;/h5&gt;&lt;h5&gt;&lt;b&gt;Duration &lt;/b&gt;permanent or 1 minute/level (see text)&lt;/h5&gt;&lt;h5&gt;&lt;b&gt;Saving Throw &lt;/b&gt;Will negates (object); &lt;b&gt;Spell Resistance &lt;/b&gt;yes (object)&lt;/h5&gt;&lt;/div&gt;&lt;hr/&gt;&lt;div&gt;&lt;h5&gt;&lt;b&gt;DESCRIPTION&lt;/b&gt;&lt;/h5&gt;&lt;/div&gt;&lt;hr/&gt;&lt;div&gt;&lt;h4&gt;&lt;p&gt;Kreighton Shaine researched this spell from the fragmentary notes of a Vudrani ascetic recorded in a strange tome, and rumors credit him with no fewer than a dozen permanent &lt;i&gt;stolen light&lt;/i&gt; gems hidden in compartments and drawers in his study. &lt;i&gt;Stolen light&lt;/i&gt; stores images within a gem. To store an image, as part of casting you must touch a gem worth not less than 500 gp. You trap within the gem an image of everything visible within a 30-foot cone measured from the gem, in a direction of your choice. Alternatively, you can capture a less detailed image of a single object within sight.&lt;/p&gt;&lt;p&gt;Once the casting is complete, the gem turns opaque, and the image inside cannot be seen. The stolen image remains within the gem until released or dispelled.&lt;/p&gt;&lt;p&gt;To release an image, you touch a gem holding &lt;i&gt;stolen light&lt;/i&gt; as a standard action and speak a command word chosen at the time of casting. For 1 minute per caster level, the image stored within the gem becomes visible. Details can be made out as clearly as they could be perceived at the time of casting. Darkvision is of no use for making out details in a stolen image, though low-light vision or other exceptional visual talents may reveal information the caster did not see.&lt;/p&gt;&lt;p&gt;Light sources brighter than bright light are reduced to bright light in the stolen image. Once the image has been released, it cannot again be recovered from the gem.&lt;/p&gt;&lt;p&gt;&lt;i&gt;Stolen light&lt;/i&gt; can be made permanent with the &lt;i&gt;permanency&lt;/i&gt; spell by a caster of 10th level for a cost of 5,000 gp. This leaves the gem capable of projecting the image indefinitely, activated and deactivated by its command word, until it is destroyed or dispelled.&lt;/p&gt;&lt;/h4&gt;&lt;/div&gt;</t>
  </si>
  <si>
    <t>Twisted Innards</t>
  </si>
  <si>
    <t>alchemist 2, magus 3, sorcerer/wizard 3, witch 3</t>
  </si>
  <si>
    <t>V, S, M (a cocoon tied with string)</t>
  </si>
  <si>
    <t>For the duration of this spell, your vital organs writhe, shift, and move about, making it difficult to strike you in a vulnerable area. While this spell is in effect, critical hits and sneak attacks against you have a 25% chance of failing to inflict any additional damage-though you still take the normal damage from the attack. At 7th level, the chance to ignore additional damage increases to 50%, while at 13th level the chance increases to 75%.</t>
  </si>
  <si>
    <t>&lt;p&gt;For the duration of this spell, your vital organs writhe, shift, and move about, making it difficult to strike you in a vulnerable area. While this spell is in effect, critical hits and sneak attacks against you have a 25% chance of failing to inflict any additional damage-though you still take the normal damage from the attack. At 7th level, the chance to ignore additional damage increases to 50%, while at 13th level the chance increases to 75%.&lt;/p&gt;</t>
  </si>
  <si>
    <t>&lt;link rel="stylesheet"href="PF.css"&gt;&lt;div class="heading"&gt;&lt;p class="alignleft"&gt;Twisted Innards&lt;/p&gt;&lt;div style="clear: both;"&gt;&lt;/div&gt;&lt;/div&gt;&lt;div&gt;&lt;h5&gt;&lt;b&gt;School &lt;/b&gt;transmutation; &lt;b&gt;Level &lt;/b&gt;alchemist 2, magus 3, sorcerer/wizard 3, witch 3&lt;/h5&gt;&lt;/div&gt;&lt;hr/&gt;&lt;div&gt;&lt;h5&gt;&lt;b&gt;CASTING&lt;/b&gt;&lt;/h5&gt;&lt;/div&gt;&lt;hr/&gt;&lt;div&gt;&lt;h5&gt;&lt;b&gt;Casting Time &lt;/b&gt;1 standard action&lt;/h5&gt;&lt;h5&gt;&lt;b&gt;Components &lt;/b&gt;V, S, M (a cocoon tied with string)&lt;/h5&gt;&lt;/div&gt;&lt;hr/&gt;&lt;div&gt;&lt;h5&gt;&lt;b&gt;EFFECT&lt;/b&gt;&lt;/h5&gt;&lt;/div&gt;&lt;hr/&gt;&lt;div&gt;&lt;h5&gt;&lt;b&gt;Range &lt;/b&gt;personal&lt;/h5&gt;&lt;h5&gt;&lt;b&gt;Targets &lt;/b&gt;you&lt;/h5&gt;&lt;h5&gt;&lt;b&gt;Duration &lt;/b&gt;1 minute/level&lt;/h5&gt;&lt;/div&gt;&lt;hr/&gt;&lt;div&gt;&lt;h5&gt;&lt;b&gt;DESCRIPTION&lt;/b&gt;&lt;/h5&gt;&lt;/div&gt;&lt;hr/&gt;&lt;div&gt;&lt;h4&gt;&lt;p&gt;For the duration of this spell, your vital organs writhe, shift, and move about, making it difficult to strike you in a vulnerable area. While this spell is in effect, critical hits and sneak attacks against you have a 25% chance of failing to inflict any additional damage-though you still take the normal damage from the attack. At 7th level, the chance to ignore additional damage increases to 50%, while at 13th level the chance increases to 75%.&lt;/p&gt;&lt;/h4&gt;&lt;/div&gt;</t>
  </si>
  <si>
    <t>Blot</t>
  </si>
  <si>
    <t>V, S, M (a bit of cloth made wet with saliva)</t>
  </si>
  <si>
    <t>10 ft.-radius burst</t>
  </si>
  <si>
    <t>This spell reduces all types of writing and other recognizable symbols found on any sort of surface within range into illegible smears. It affects books, carvings on stone, or even tattoos with equal ease. It does not affect writing that is not actually on a surface, such as an illusion, projection, reflection, or anything similar. Spellbooks and magical items that contain writing (such as scrolls) gain a saving throw to resist the effects of this spell. Against magical writing created by spell effects (such as glyphs of warding or symbols), blot instead functions as a dispel magic spell capable of targeting all such spell effects in the area. This spell has no on writing found on artifacts or similarly unique surfaces.</t>
  </si>
  <si>
    <t>&lt;p&gt;This spell reduces all types of writing and other recognizable symbols found on any sort of surface within range into illegible smears. It affects books, carvings on stone, or even tattoos with equal ease. It does not affect writing that is not actually on a surface, such as an illusion, projection, reflection, or anything similar. Spellbooks and magical items that contain writing (such as scrolls) gain a saving throw to resist the effects of this spell. Against magical writing created by spell effects (such as &lt;i&gt;glyphs of warding&lt;/i&gt; or symbols), blot instead functions as a &lt;i&gt;dispel magic&lt;/i&gt; spell capable of targeting all such spell effects in the area. This spell has no on writing found on artifacts or similarly unique surfaces.&lt;/p&gt;</t>
  </si>
  <si>
    <t>Goblins Of Golarion</t>
  </si>
  <si>
    <t>&lt;link rel="stylesheet"href="PF.css"&gt;&lt;div class="heading"&gt;&lt;p class="alignleft"&gt;Blot&lt;/p&gt;&lt;div style="clear: both;"&gt;&lt;/div&gt;&lt;/div&gt;&lt;div&gt;&lt;h5&gt;&lt;b&gt;School &lt;/b&gt;transmutation; &lt;b&gt;Level &lt;/b&gt;bard 3, cleric 3/oracle 3, sorcerer/wizard 3&lt;/h5&gt;&lt;/div&gt;&lt;hr/&gt;&lt;div&gt;&lt;h5&gt;&lt;b&gt;CASTING&lt;/b&gt;&lt;/h5&gt;&lt;/div&gt;&lt;hr/&gt;&lt;div&gt;&lt;h5&gt;&lt;b&gt;Casting Time &lt;/b&gt;1 standard action&lt;/h5&gt;&lt;h5&gt;&lt;b&gt;Components &lt;/b&gt;V, S, M (a bit of cloth made wet with saliva)&lt;/h5&gt;&lt;/div&gt;&lt;hr/&gt;&lt;div&gt;&lt;h5&gt;&lt;b&gt;EFFECT&lt;/b&gt;&lt;/h5&gt;&lt;/div&gt;&lt;hr/&gt;&lt;div&gt;&lt;h5&gt;&lt;b&gt;Range &lt;/b&gt;close (25 ft. + 5 ft/2 levels)&lt;/h5&gt;&lt;h5&gt;&lt;b&gt;Area &lt;/b&gt;10 ft.-radius burst&lt;/h5&gt;&lt;h5&gt;&lt;b&gt;Duration &lt;/b&gt;24 hours&lt;/h5&gt;&lt;h5&gt;&lt;b&gt;Saving Throw &lt;/b&gt;Will negates (object); &lt;b&gt;Spell Resistance &lt;/b&gt;yes (object)&lt;/h5&gt;&lt;/div&gt;&lt;hr/&gt;&lt;div&gt;&lt;h5&gt;&lt;b&gt;DESCRIPTION&lt;/b&gt;&lt;/h5&gt;&lt;/div&gt;&lt;hr/&gt;&lt;div&gt;&lt;h4&gt;&lt;p&gt;This spell reduces all types of writing and other recognizable symbols found on any sort of surface within range into illegible smears. It affects books, carvings on stone, or even tattoos with equal ease. It does not affect writing that is not actually on a surface, such as an illusion, projection, reflection, or anything similar. Spellbooks and magical items that contain writing (such as scrolls) gain a saving throw to resist the effects of this spell. Against magical writing created by spell effects (such as &lt;i&gt;glyphs of warding&lt;/i&gt; or symbols), blot instead functions as a &lt;i&gt;dispel magic&lt;/i&gt; spell capable of targeting all such spell effects in the area. This spell has no on writing found on artifacts or similarly unique surfaces.&lt;/p&gt;&lt;/h4&gt;&lt;/div&gt;</t>
  </si>
  <si>
    <t>Fire Sneeze</t>
  </si>
  <si>
    <t>alchemist 2, druid 2, sorcerer/wizard 2</t>
  </si>
  <si>
    <t>V, S, M (hot pepper soaked in oil)</t>
  </si>
  <si>
    <t>1 round + 1 round/2 levels</t>
  </si>
  <si>
    <t>This spell causes you to begin sneezing gouts of fire that can not only set creatures ablaze but also drop them flat on their backs. Once you cast this spell, you must sneeze each round as a standard action-you can take no other standard action as long as this spell is in effect, nor can you take full-round actions. Each time you sneeze, you produce a 10-foot-long cone of fire and wind. All creatures caught in this cone take 2d6 points of fire damage-a successful Reflex save halves this damage. Any creature that fails to resist this spell with a Reflex save must immediately make a DC 12 Fortitude save or be knocked prone by the blast of wind associated with the sneeze.</t>
  </si>
  <si>
    <t>&lt;p&gt;This spell causes you to begin sneezing gouts of fire that can not only set creatures ablaze but also drop them flat on their backs.&lt;/p&gt;&lt;p&gt;Once you cast this spell, you must sneeze each round as a standard action-you can take no other standard action as long as this spell is in effect, nor can you take full-round actions. Each time you sneeze, you produce a 10-foot-long cone of fire and wind. All creatures caught in this cone take 2d6 points of fire damage-a successful Reflex save halves this damage. Any creature that fails to resist this spell with a Reflex save must immediately make a DC 12 Fortitude save or be knocked prone by the blast of wind associated with the sneeze.&lt;/p&gt;</t>
  </si>
  <si>
    <t>&lt;link rel="stylesheet"href="PF.css"&gt;&lt;div class="heading"&gt;&lt;p class="alignleft"&gt;Fire Sneeze&lt;/p&gt;&lt;div style="clear: both;"&gt;&lt;/div&gt;&lt;/div&gt;&lt;div&gt;&lt;h5&gt;&lt;b&gt;School &lt;/b&gt;evocation [air, fire]; &lt;b&gt;Level &lt;/b&gt;alchemist 2, druid 2, sorcerer/wizard 2&lt;/h5&gt;&lt;/div&gt;&lt;hr/&gt;&lt;div&gt;&lt;h5&gt;&lt;b&gt;CASTING&lt;/b&gt;&lt;/h5&gt;&lt;/div&gt;&lt;hr/&gt;&lt;div&gt;&lt;h5&gt;&lt;b&gt;Casting Time &lt;/b&gt;1 standard action&lt;/h5&gt;&lt;h5&gt;&lt;b&gt;Components &lt;/b&gt;V, S, M (hot pepper soaked in oil)&lt;/h5&gt;&lt;/div&gt;&lt;hr/&gt;&lt;div&gt;&lt;h5&gt;&lt;b&gt;EFFECT&lt;/b&gt;&lt;/h5&gt;&lt;/div&gt;&lt;hr/&gt;&lt;div&gt;&lt;h5&gt;&lt;b&gt;Range &lt;/b&gt;personal&lt;/h5&gt;&lt;h5&gt;&lt;b&gt;Targets &lt;/b&gt;you&lt;/h5&gt;&lt;h5&gt;&lt;b&gt;Duration &lt;/b&gt;1 round + 1 round/2 levels&lt;/h5&gt;&lt;h5&gt;&lt;b&gt;Saving Throw &lt;/b&gt;Reflex half; &lt;b&gt;Spell Resistance &lt;/b&gt;yes&lt;/h5&gt;&lt;/div&gt;&lt;hr/&gt;&lt;div&gt;&lt;h5&gt;&lt;b&gt;DESCRIPTION&lt;/b&gt;&lt;/h5&gt;&lt;/div&gt;&lt;hr/&gt;&lt;div&gt;&lt;h4&gt;&lt;p&gt;This spell causes you to begin sneezing gouts of fire that can not only set creatures ablaze but also drop them flat on their backs.&lt;/p&gt;&lt;p&gt;Once you cast this spell, you must sneeze each round as a standard action-you can take no other standard action as long as this spell is in effect, nor can you take full-round actions. Each time you sneeze, you produce a 10-foot-long cone of fire and wind. All creatures caught in this cone take 2d6 points of fire damage-a successful Reflex save halves this damage. Any creature that fails to resist this spell with a Reflex save must immediately make a DC 12 Fortitude save or be knocked prone by the blast of wind associated with the sneeze.&lt;/p&gt;&lt;/h4&gt;&lt;/div&gt;</t>
  </si>
  <si>
    <t>Limp Lash</t>
  </si>
  <si>
    <t>V, S, M (a dead wasp)</t>
  </si>
  <si>
    <t>special (see below)</t>
  </si>
  <si>
    <t>You create a dark whip-shaped field of energy that wraps around an enemy's neck, leaving everything except his head paralyzed until you let go of the whip or it is destroyed. You must make a ranged touch attack with this spell. If you strike your target, he takes a 1d6 penalty to his Strength, Dexterity, and Constitution each round. This penalty cannot reduce any attribute to less than 1, and once any of these attributes reaches 1 the target collapses and his body, except his head, becomes paralyzed. While paralyzed in this way, the target retains full use of his senses, including the ability to feel pain, and can speak (including casting spells with only verbal components). The whip has a maximum length of 20 feet, 15 hit points, and a hardness of 5. The spell ends immediately if you let go of the whip or it is destroyed. When the spell ends, all penalties the target took from this spell also end.</t>
  </si>
  <si>
    <t>&lt;p&gt;You create a dark whip-shaped field of energy that wraps around an enemy's neck, leaving everything except his head paralyzed until you let go of the whip or it is destroyed. You must make a ranged touch attack with this spell. If you strike your target, he takes a 1d6 penalty to his Strength, Dexterity, and Constitution each round.&lt;/p&gt;&lt;p&gt;This penalty cannot reduce any attribute to less than 1, and once any of these attributes reaches 1 the target collapses and his body, except his head, becomes paralyzed. While paralyzed in this way, the target retains full use of his senses, including the ability to feel pain, and can speak (including casting spells with only verbal components). The whip has a maximum length of 20 feet, 15 hit points, and a hardness of 5. The spell ends immediately if you let go of the whip or it is destroyed. When the spell ends, all penalties the target took from this spell also end.&lt;/p&gt;</t>
  </si>
  <si>
    <t>&lt;link rel="stylesheet"href="PF.css"&gt;&lt;div class="heading"&gt;&lt;p class="alignleft"&gt;Limp Lash&lt;/p&gt;&lt;div style="clear: both;"&gt;&lt;/div&gt;&lt;/div&gt;&lt;div&gt;&lt;h5&gt;&lt;b&gt;School &lt;/b&gt;necromancy; &lt;b&gt;Level &lt;/b&gt;sorcerer/wizard 2, witch 2&lt;/h5&gt;&lt;/div&gt;&lt;hr/&gt;&lt;div&gt;&lt;h5&gt;&lt;b&gt;CASTING&lt;/b&gt;&lt;/h5&gt;&lt;/div&gt;&lt;hr/&gt;&lt;div&gt;&lt;h5&gt;&lt;b&gt;Casting Time &lt;/b&gt;1 standard action&lt;/h5&gt;&lt;h5&gt;&lt;b&gt;Components &lt;/b&gt;V, S, M (a dead wasp)&lt;/h5&gt;&lt;/div&gt;&lt;hr/&gt;&lt;div&gt;&lt;h5&gt;&lt;b&gt;EFFECT&lt;/b&gt;&lt;/h5&gt;&lt;/div&gt;&lt;hr/&gt;&lt;div&gt;&lt;h5&gt;&lt;b&gt;Range &lt;/b&gt;20 ft.&lt;/h5&gt;&lt;h5&gt;&lt;b&gt;Targets &lt;/b&gt;1 creature&lt;/h5&gt;&lt;h5&gt;&lt;b&gt;Duration &lt;/b&gt;special (see below)&lt;/h5&gt;&lt;h5&gt;&lt;b&gt;Saving Throw &lt;/b&gt;none; &lt;b&gt;Spell Resistance &lt;/b&gt;yes&lt;/h5&gt;&lt;/div&gt;&lt;hr/&gt;&lt;div&gt;&lt;h5&gt;&lt;b&gt;DESCRIPTION&lt;/b&gt;&lt;/h5&gt;&lt;/div&gt;&lt;hr/&gt;&lt;div&gt;&lt;h4&gt;&lt;p&gt;You create a dark whip-shaped field of energy that wraps around an enemy's neck, leaving everything except his head paralyzed until you let go of the whip or it is destroyed. You must make a ranged touch attack with this spell. If you strike your target, he takes a 1d6 penalty to his Strength, Dexterity, and Constitution each round.&lt;/p&gt;&lt;p&gt;This penalty cannot reduce any attribute to less than 1, and once any of these attributes reaches 1 the target collapses and his body, except his head, becomes paralyzed. While paralyzed in this way, the target retains full use of his senses, including the ability to feel pain, and can speak (including casting spells with only verbal components). The whip has a maximum length of 20 feet, 15 hit points, and a hardness of 5. The spell ends immediately if you let go of the whip or it is destroyed. When the spell ends, all penalties the target took from this spell also end.&lt;/p&gt;&lt;/h4&gt;&lt;/div&gt;</t>
  </si>
  <si>
    <t>Aroden's Spellbane</t>
  </si>
  <si>
    <t>V, S, F (cold iron scepter worth at least 1,000 gp)</t>
  </si>
  <si>
    <t>One of many spells originally created by the Last Azlanti before he became a god, Aroden's spellbane creates an area within which spells selected by you simply do not function. Select one spell per five caster levels at the time of casting. The spells selected cannot be changed after the spell is cast. Aroden's spellbane otherwise functions like antimagic field, except its emanation only prevents the functioning of the selected spells. Only the exact spells mentioned are affected-a spellbane set to prevent the casting of summon nature's ally II would not prevent castings of summon nature's ally I or summon nature's ally III. If you move into an area where a previously cast spell you have selected as a banned spell is in effect, that spell is affected as if by antimagic field. If the spell affects a summoned creature that has spell resistance, you must make a caster level check against the creature's spell resistance to make it wink out. Aroden's spellbane can even negate an antimagic field, another Aroden's spellbane, or any spell that specifies immunity to antimagic field (such as wall of force, prismatic sphere, and prismatic wall). Multiple spellbane effects can overlap. Their effects stack, preventing the functioning of every spell targeted by any of the multiple spellbane emanations. Spell effects created by artifacts or deities cannot be suppressed by Aroden's spellbane.</t>
  </si>
  <si>
    <t>&lt;p&gt;One of many spells originally created by the Last Azlanti before he became a god, Aroden's &lt;i&gt;spellbane&lt;/i&gt; creates an area within which spells selected by you simply do not function.&lt;/p&gt;&lt;p&gt;Select one spell per five caster levels at the time of casting.&lt;/p&gt;&lt;p&gt;The spells selected cannot be changed after the spell is cast. Aroden's &lt;i&gt;spellbane&lt;/i&gt; otherwise functions like &lt;i&gt;antimagic field&lt;/i&gt;, except its emanation only prevents the functioning of the selected spells. Only the exact spells mentioned are affected-a &lt;i&gt;spellbane&lt;/i&gt; set to prevent the casting of summon nature's ally II would not prevent castings of summon nature's ally I or summon nature's ally III. If you move into an area where a previously cast spell you have selected as a banned spell is in effect, that spell is affected as if by &lt;i&gt;antimagic field&lt;/i&gt;. If the spell affects a summoned creature that has spell resistance, you must make a caster level check against the creature's spell resistance to make it wink out.&lt;/p&gt;&lt;p&gt;Aroden's &lt;i&gt;spellbane&lt;/i&gt; can even negate an &lt;i&gt;antimagic field&lt;/i&gt;, another Aroden's &lt;i&gt;spellbane&lt;/i&gt;, or any spell that specifies immunity to &lt;i&gt;antimagic field&lt;/i&gt; (such as &lt;i&gt;wall of force&lt;/i&gt;, &lt;i&gt;&lt;i&gt;prismatic&lt;/i&gt; sphere&lt;/i&gt;, and &lt;i&gt;prismatic&lt;/i&gt; wall). Multiple &lt;i&gt;spellbane&lt;/i&gt; effects can overlap.&lt;/p&gt;&lt;p&gt;Their effects stack, preventing the functioning of every spell targeted by any of the multiple &lt;i&gt;spellbane&lt;/i&gt; emanations. Spell effects created by artifacts or deities cannot be suppressed by Aroden's &lt;i&gt;spellbane&lt;/i&gt;.&lt;/p&gt;</t>
  </si>
  <si>
    <t>Inner Sea Magic</t>
  </si>
  <si>
    <t>&lt;link rel="stylesheet"href="PF.css"&gt;&lt;div class="heading"&gt;&lt;p class="alignleft"&gt;Aroden's Spellbane&lt;/p&gt;&lt;div style="clear: both;"&gt;&lt;/div&gt;&lt;/div&gt;&lt;div&gt;&lt;h5&gt;&lt;b&gt;School &lt;/b&gt;abjuration; &lt;b&gt;Level &lt;/b&gt;sorcerer/wizard 9&lt;/h5&gt;&lt;/div&gt;&lt;hr/&gt;&lt;div&gt;&lt;h5&gt;&lt;b&gt;CASTING&lt;/b&gt;&lt;/h5&gt;&lt;/div&gt;&lt;hr/&gt;&lt;div&gt;&lt;h5&gt;&lt;b&gt;Casting Time &lt;/b&gt;1 standard action&lt;/h5&gt;&lt;h5&gt;&lt;b&gt;Components &lt;/b&gt;V, S, F (cold iron scepter worth at least 1,000 gp)&lt;/h5&gt;&lt;/div&gt;&lt;hr/&gt;&lt;div&gt;&lt;h5&gt;&lt;b&gt;EFFECT&lt;/b&gt;&lt;/h5&gt;&lt;/div&gt;&lt;hr/&gt;&lt;div&gt;&lt;h5&gt;&lt;b&gt;Range &lt;/b&gt;10 ft.&lt;/h5&gt;&lt;h5&gt;&lt;b&gt;Area &lt;/b&gt;10-ft.-radius emanation, centered on you&lt;/h5&gt;&lt;h5&gt;&lt;b&gt;Duration &lt;/b&gt;1 hour/level (D)&lt;/h5&gt;&lt;h5&gt;&lt;b&gt;Saving Throw &lt;/b&gt;none; &lt;b&gt;Spell Resistance &lt;/b&gt;see text&lt;/h5&gt;&lt;/div&gt;&lt;hr/&gt;&lt;div&gt;&lt;h5&gt;&lt;b&gt;DESCRIPTION&lt;/b&gt;&lt;/h5&gt;&lt;/div&gt;&lt;hr/&gt;&lt;div&gt;&lt;h4&gt;&lt;p&gt;One of many spells originally created by the Last Azlanti before he became a god, Aroden's &lt;i&gt;spellbane&lt;/i&gt; creates an area within which spells selected by you simply do not function.&lt;/p&gt;&lt;p&gt;Select one spell per five caster levels at the time of casting.&lt;/p&gt;&lt;p&gt;The spells selected cannot be changed after the spell is cast. Aroden's &lt;i&gt;spellbane&lt;/i&gt; otherwise functions like &lt;i&gt;antimagic field&lt;/i&gt;, except its emanation only prevents the functioning of the selected spells. Only the exact spells mentioned are affected-a &lt;i&gt;spellbane&lt;/i&gt; set to prevent the casting of summon nature's ally II would not prevent castings of summon nature's ally I or summon nature's ally III. If you move into an area where a previously cast spell you have selected as a banned spell is in effect, that spell is affected as if by &lt;i&gt;antimagic field&lt;/i&gt;. If the spell affects a summoned creature that has spell resistance, you must make a caster level check against the creature's spell resistance to make it wink out.&lt;/p&gt;&lt;p&gt;Aroden's &lt;i&gt;spellbane&lt;/i&gt; can even negate an &lt;i&gt;antimagic field&lt;/i&gt;, another Aroden's &lt;i&gt;spellbane&lt;/i&gt;, or any spell that specifies immunity to &lt;i&gt;antimagic field&lt;/i&gt; (such as &lt;i&gt;wall of force&lt;/i&gt;, &lt;i&gt;&lt;i&gt;prismatic&lt;/i&gt; sphere&lt;/i&gt;, and &lt;i&gt;prismatic&lt;/i&gt; wall). Multiple &lt;i&gt;spellbane&lt;/i&gt; effects can overlap.&lt;/p&gt;&lt;p&gt;Their effects stack, preventing the functioning of every spell targeted by any of the multiple &lt;i&gt;spellbane&lt;/i&gt; emanations. Spell effects created by artifacts or deities cannot be suppressed by Aroden's &lt;i&gt;spellbane&lt;/i&gt;.&lt;/p&gt;&lt;/h4&gt;&lt;h5&gt;&lt;b&gt;Mythic: &lt;/b&gt;Add half your tier to the number of spells you can select to notfunction in the area. As a full-round action, you can expend one useof mythic power to change one of the spells blocked by this effect.You can do this as often as you wish during the spell's duration.&lt;/h5&gt;&lt;/div&gt;</t>
  </si>
  <si>
    <t>Add half your tier to the number of spells you can select to notfunction in the area. As a full-round action, you can expend one useof mythic power to change one of the spells blocked by this effect.You can do this as often as you wish during the spell's duration.</t>
  </si>
  <si>
    <t>Bladed Dash</t>
  </si>
  <si>
    <t>bard 2, magus 2</t>
  </si>
  <si>
    <t>Both Quantium and Jalmeray claim that this spell was born in their arcane universities. Regardless of the spell's origin, it quickly spread throughout the Inner Sea and beyond as spellcasting sword-fighters learned of its existence. When you cast this spell, you immediately move up to 30 feet in a straight line any direction, momentarily leaving a multi-hued cascade of images behind you. This movement does not provoke attacks of opportunity. You may make a single melee attack at your highest base attack bonus against any one creature you are adjacent to at any point along this 30 feet. You gain a circumstance bonus on your attack roll equal to your Intelligence or Charisma modifier, whichever is higher. You must end the bonus movement granted by this spell in an unoccupied square. If no such space is available along the trajectory, the spell fails. Despite the name, the spell works with any melee weapon.</t>
  </si>
  <si>
    <t>&lt;p&gt;Both Quantium and Jalmeray claim that this spell was born in their arcane universities. Regardless of the spell's origin, it quickly spread throughout the Inner Sea and beyond as spellcasting sword-fighters learned of its existence.&lt;/p&gt;&lt;p&gt;When you cast this spell, you immediately move up to 30 feet in a straight line any direction, momentarily leaving a multi-hued cascade of images behind you. This movement does not provoke attacks of opportunity. You may make a single melee attack at your highest base attack bonus against any one creature you are adjacent to at any point along this 30 feet. You gain a circumstance bonus on your attack roll equal to your Intelligence or Charisma modifier, whichever is higher.&lt;/p&gt;&lt;p&gt;You must end the bonus movement granted by this spell in an unoccupied square. If no such space is available along the trajectory, the spell fails. Despite the name, the spell works with any melee weapon.&lt;/p&gt;</t>
  </si>
  <si>
    <t>&lt;link rel="stylesheet"href="PF.css"&gt;&lt;div class="heading"&gt;&lt;p class="alignleft"&gt;Bladed Dash&lt;/p&gt;&lt;div style="clear: both;"&gt;&lt;/div&gt;&lt;/div&gt;&lt;div&gt;&lt;h5&gt;&lt;b&gt;School &lt;/b&gt;transmutation; &lt;b&gt;Level &lt;/b&gt;bard 2, magus 2&lt;/h5&gt;&lt;/div&gt;&lt;hr/&gt;&lt;div&gt;&lt;h5&gt;&lt;b&gt;CASTING&lt;/b&gt;&lt;/h5&gt;&lt;/div&gt;&lt;hr/&gt;&lt;div&gt;&lt;h5&gt;&lt;b&gt;Casting Time &lt;/b&gt;1 standard action&lt;/h5&gt;&lt;h5&gt;&lt;b&gt;Components &lt;/b&gt;V&lt;/h5&gt;&lt;/div&gt;&lt;hr/&gt;&lt;div&gt;&lt;h5&gt;&lt;b&gt;EFFECT&lt;/b&gt;&lt;/h5&gt;&lt;/div&gt;&lt;hr/&gt;&lt;div&gt;&lt;h5&gt;&lt;b&gt;Range &lt;/b&gt;personal&lt;/h5&gt;&lt;h5&gt;&lt;b&gt;Targets &lt;/b&gt;you&lt;/h5&gt;&lt;h5&gt;&lt;b&gt;Duration &lt;/b&gt;instantaneous&lt;/h5&gt;&lt;/div&gt;&lt;hr/&gt;&lt;div&gt;&lt;h5&gt;&lt;b&gt;DESCRIPTION&lt;/b&gt;&lt;/h5&gt;&lt;/div&gt;&lt;hr/&gt;&lt;div&gt;&lt;h4&gt;&lt;p&gt;Both Quantium and Jalmeray claim that this spell was born in their arcane universities. Regardless of the spell's origin, it quickly spread throughout the Inner Sea and beyond as spellcasting sword-fighters learned of its existence.&lt;/p&gt;&lt;p&gt;When you cast this spell, you immediately move up to 30 feet in a straight line any direction, momentarily leaving a multi-hued cascade of images behind you. This movement does not provoke attacks of opportunity. You may make a single melee attack at your highest base attack bonus against any one creature you are adjacent to at any point along this 30 feet. You gain a circumstance bonus on your attack roll equal to your Intelligence or Charisma modifier, whichever is higher.&lt;/p&gt;&lt;p&gt;You must end the bonus movement granted by this spell in an unoccupied square. If no such space is available along the trajectory, the spell fails. Despite the name, the spell works with any melee weapon.&lt;/p&gt;&lt;/h4&gt;&lt;/div&gt;</t>
  </si>
  <si>
    <t>Bladed Dash, Greater</t>
  </si>
  <si>
    <t>bard 5, magus 5</t>
  </si>
  <si>
    <t>This spell functions like bladed dash, save that you can make a single melee attack against every creature you pass during the 30 feet of your dash. You cannot attack an individual creature more than once with spell.</t>
  </si>
  <si>
    <t>&lt;p&gt;This spell functions like &lt;i&gt;bladed dash&lt;/i&gt;, save that you can make a single melee attack against every creature you pass during the 30 feet of your dash. You cannot attack an individual creature more than once with spell.&lt;/p&gt;</t>
  </si>
  <si>
    <t>&lt;link rel="stylesheet"href="PF.css"&gt;&lt;div class="heading"&gt;&lt;p class="alignleft"&gt;Bladed Dash, Greater&lt;/p&gt;&lt;div style="clear: both;"&gt;&lt;/div&gt;&lt;/div&gt;&lt;div&gt;&lt;h5&gt;&lt;b&gt;School &lt;/b&gt;transmutation; &lt;b&gt;Level &lt;/b&gt;bard 5, magus 5&lt;/h5&gt;&lt;/div&gt;&lt;hr/&gt;&lt;div&gt;&lt;h5&gt;&lt;b&gt;CASTING&lt;/b&gt;&lt;/h5&gt;&lt;/div&gt;&lt;hr/&gt;&lt;div&gt;&lt;h5&gt;&lt;b&gt;Casting Time &lt;/b&gt;1 standard action&lt;/h5&gt;&lt;h5&gt;&lt;b&gt;Components &lt;/b&gt;V&lt;/h5&gt;&lt;/div&gt;&lt;hr/&gt;&lt;div&gt;&lt;h5&gt;&lt;b&gt;EFFECT&lt;/b&gt;&lt;/h5&gt;&lt;/div&gt;&lt;hr/&gt;&lt;div&gt;&lt;h5&gt;&lt;b&gt;Range &lt;/b&gt;personal&lt;/h5&gt;&lt;h5&gt;&lt;b&gt;Targets &lt;/b&gt;you&lt;/h5&gt;&lt;h5&gt;&lt;b&gt;Duration &lt;/b&gt;instantaneous&lt;/h5&gt;&lt;/div&gt;&lt;hr/&gt;&lt;div&gt;&lt;h5&gt;&lt;b&gt;DESCRIPTION&lt;/b&gt;&lt;/h5&gt;&lt;/div&gt;&lt;hr/&gt;&lt;div&gt;&lt;h4&gt;&lt;p&gt;This spell functions like &lt;i&gt;bladed dash&lt;/i&gt;, save that you can make a single melee attack against every creature you pass during the 30 feet of your dash. You cannot attack an individual creature more than once with spell.&lt;/p&gt;&lt;/h4&gt;&lt;/div&gt;</t>
  </si>
  <si>
    <t>Blast Barrier</t>
  </si>
  <si>
    <t>druid 4, ranger 3, sorcerer/wizard 3, witch 4</t>
  </si>
  <si>
    <t>V, S, M (handful of snow, earth, or gravel)</t>
  </si>
  <si>
    <t>close (25 ft. + 5ft./2 levels)</t>
  </si>
  <si>
    <t>1-ft.-thick wall up to 10 ft. high by 20 ft. wide</t>
  </si>
  <si>
    <t>concentration, up to 1 round/2 levels</t>
  </si>
  <si>
    <t>Reflex half (see below)</t>
  </si>
  <si>
    <t>yes (see below)</t>
  </si>
  <si>
    <t>Originally used by the winter witches on the field of battle in the early days of Irrisen, blast barrier has entered the oral traditions of many northern barbarian tribes as legends of winter witches possessing powers to bend the very ground of a battlefield to their will. Blast barrier, however, has proven to be an exceptionally versatile spell as far as terrains are concerned, for it works equally well in swamps, deserts, or any region where the ground is soft or easy to shape. When you cast blast barrier, you cause a rippling wall of loose earth, mud, snow, sand, or gravel to spring up in a designated space within the spell's range. This wall provides total cover to all Large or smaller creatures and objects. The barrier can only spring up in an area of natural, unworked ground. The energy that forms the wall's matrix is unstable, and you must concentrate to maintain the wall's shape. A blast barrier has an AC of 9, hardness 0, and 5 hit points per caster level. When a blast barrier reaches 0 hit points, or when you cease concentrating on maintaining it, the energies that maintain the barrier's shape fail with explosive results, sending sharp chunks of the materials comprising the wall and magical energy out along both sides. Any creature that is adjacent to a blast barrier when it explodes takes 2d6 points of slashing damage and 1d6 points of sonic damage per 3 caster levels (maximum 6d6). A successful Reflex save halves the total damage done. Spell resistance applies as well. This instability can make using a blast barrier risky, but many of the spellcasters that pioneered the spell became experts at its tactical applications, often using the barriers to cover an escape while lobbing spells and parting shots, hoping to trigger the barrier's destruction just as their would-be pursuers approached.</t>
  </si>
  <si>
    <t>&lt;p&gt;Originally used by the winter witches on the field of battle in the early days of Irrisen, blast barrier has entered the oral traditions of many northern barbarian tribes as legends of winter witches possessing powers to bend the very ground of a battlefield to their will. Blast barrier, however, has proven to be an exceptionally versatile spell as far as terrains are concerned, for it works equally well in swamps, deserts, or any region where the ground is soft or easy to shape.&lt;/p&gt;&lt;p&gt; When you cast blast barrier, you cause a rippling wall of loose earth, mud, snow, sand, or gravel to spring up in a designated space within the spell's range. This wall provides total cover to all Large or smaller creatures and objects. The barrier can only spring up in an area of natural, unworked ground. The energy that forms the wall's matrix is unstable, and you must concentrate to maintain the wall's shape. A blast barrier has an AC of 9, hardness 0, and 5 hit points per caster level. When a blast barrier reaches 0 hit points, or when you cease concentrating on maintaining it, the energies that maintain the barrier's shape fail with explosive results, sending sharp chunks of the materials comprising the wall and magical energy out along both sides. Any creature that is adjacent to a blast barrier when it explodes takes 2d6 points of slashing damage and 1d6 points of sonic damage per 3 caster levels (maximum 6d6). A successful Reflex save halves the total damage done. Spell resistance applies as well.&lt;/p&gt;&lt;p&gt; This instability can make using a blast barrier risky, but many of the spellcasters that pioneered the spell became experts at its tactical applications, often using the barriers to cover an escape while lobbing spells and parting shots, hoping to trigger the barrier's destruction just as their would-be pursuers approached.&lt;/p&gt;</t>
  </si>
  <si>
    <t>&lt;link rel="stylesheet"href="PF.css"&gt;&lt;div class="heading"&gt;&lt;p class="alignleft"&gt;Blast Barrier&lt;/p&gt;&lt;div style="clear: both;"&gt;&lt;/div&gt;&lt;/div&gt;&lt;div&gt;&lt;h5&gt;&lt;b&gt;School &lt;/b&gt;transmutation [sonic]; &lt;b&gt;Level &lt;/b&gt;druid 4, ranger 3, sorcerer/wizard 3, witch 4&lt;/h5&gt;&lt;/div&gt;&lt;hr/&gt;&lt;div&gt;&lt;h5&gt;&lt;b&gt;CASTING&lt;/b&gt;&lt;/h5&gt;&lt;/div&gt;&lt;hr/&gt;&lt;div&gt;&lt;h5&gt;&lt;b&gt;Casting Time &lt;/b&gt;1 standard action&lt;/h5&gt;&lt;h5&gt;&lt;b&gt;Components &lt;/b&gt;V, S, M (handful of snow, earth, or gravel)&lt;/h5&gt;&lt;/div&gt;&lt;hr/&gt;&lt;div&gt;&lt;h5&gt;&lt;b&gt;EFFECT&lt;/b&gt;&lt;/h5&gt;&lt;/div&gt;&lt;hr/&gt;&lt;div&gt;&lt;h5&gt;&lt;b&gt;Range &lt;/b&gt;close (25 ft. + 5ft./2 levels)&lt;/h5&gt;&lt;h5&gt;&lt;b&gt;Effect &lt;/b&gt;1-ft.-thick wall up to 10 ft. high by 20 ft. wide&lt;/h5&gt;&lt;h5&gt;&lt;b&gt;Duration &lt;/b&gt;concentration, up to 1 round/2 levels&lt;/h5&gt;&lt;h5&gt;&lt;b&gt;Saving Throw &lt;/b&gt;Reflex half (see below); &lt;b&gt;Spell Resistance &lt;/b&gt;yes (see below)&lt;/h5&gt;&lt;/div&gt;&lt;hr/&gt;&lt;div&gt;&lt;h5&gt;&lt;b&gt;DESCRIPTION&lt;/b&gt;&lt;/h5&gt;&lt;/div&gt;&lt;hr/&gt;&lt;div&gt;&lt;h4&gt;&lt;p&gt;Originally used by the winter witches on the field of battle in the early days of Irrisen, blast barrier has entered the oral traditions of many northern barbarian tribes as legends of winter witches possessing powers to bend the very ground of a battlefield to their will. Blast barrier, however, has proven to be an exceptionally versatile spell as far as terrains are concerned, for it works equally well in swamps, deserts, or any region where the ground is soft or easy to shape.&lt;/p&gt;&lt;p&gt; When you cast blast barrier, you cause a rippling wall of loose earth, mud, snow, sand, or gravel to spring up in a designated space within the spell's range. This wall provides total cover to all Large or smaller creatures and objects. The barrier can only spring up in an area of natural, unworked ground. The energy that forms the wall's matrix is unstable, and you must concentrate to maintain the wall's shape. A blast barrier has an AC of 9, hardness 0, and 5 hit points per caster level. When a blast barrier reaches 0 hit points, or when you cease concentrating on maintaining it, the energies that maintain the barrier's shape fail with explosive results, sending sharp chunks of the materials comprising the wall and magical energy out along both sides. Any creature that is adjacent to a blast barrier when it explodes takes 2d6 points of slashing damage and 1d6 points of sonic damage per 3 caster levels (maximum 6d6). A successful Reflex save halves the total damage done. Spell resistance applies as well.&lt;/p&gt;&lt;p&gt; This instability can make using a blast barrier risky, but many of the spellcasters that pioneered the spell became experts at its tactical applications, often using the barriers to cover an escape while lobbing spells and parting shots, hoping to trigger the barrier's destruction just as their would-be pursuers approached.&lt;/p&gt;&lt;/h4&gt;&lt;/div&gt;</t>
  </si>
  <si>
    <t>Call Weapon</t>
  </si>
  <si>
    <t>bard 1, magus 1, ranger 1</t>
  </si>
  <si>
    <t>30 feet</t>
  </si>
  <si>
    <t>one melee weapon wielded by an ally</t>
  </si>
  <si>
    <t>This spell first rose to prominence among the elves of Kyonin in the war to retake their ancestral land from the demon lord Treerazer and his minions. Elite units of elven magi entered battle with this spell prepared to shield fallen comrades or stand firm against fell foes. As the elven presence returned to the world, this spell spread throughout the Inner Sea and beyond. When you cast this spell, you cause a weapon wielded by an ally within 30 feet to telekinetically fly across the space between you and into your open hand. This extra energy persists in the weapon for the rest of the round, granting you a +2 circumstance bonus on attack rolls and weapon damage rolls made during the same round you cast this spell. If the ally targeted for this spell is unwilling to give up her weapon, the spell fails. An unconscious or dying ally is considered a "willing" target so long as the weapon to be called is still in contact with the ally's body.</t>
  </si>
  <si>
    <t>&lt;p&gt;This spell first rose to prominence among the elves of Kyonin in the war to retake their ancestral land from the demon lord Treerazer and his minions. Elite units of elven magi entered battle with this spell prepared to shield fallen comrades or stand firm against fell foes. As the elven presence returned to the world, this spell spread throughout the Inner Sea and beyond.&lt;/p&gt;&lt;p&gt;When you cast this spell, you cause a weapon wielded by an ally within 30 feet to telekinetically fly across the space between you and into your open hand. This extra energy persists in the weapon for the rest of the round, granting you a +2 circumstance bonus on attack rolls and weapon damage rolls made during the same round you cast this spell.&lt;/p&gt;&lt;p&gt;If the ally targeted for this spell is unwilling to give up her weapon, the spell fails. An unconscious or dying ally is considered a "willing" target so long as the weapon to be called is still in contact with the ally's body.&lt;/p&gt;</t>
  </si>
  <si>
    <t>&lt;link rel="stylesheet"href="PF.css"&gt;&lt;div class="heading"&gt;&lt;p class="alignleft"&gt;Call Weapon&lt;/p&gt;&lt;div style="clear: both;"&gt;&lt;/div&gt;&lt;/div&gt;&lt;div&gt;&lt;h5&gt;&lt;b&gt;School &lt;/b&gt;transmutation; &lt;b&gt;Level &lt;/b&gt;bard 1, magus 1, ranger 1&lt;/h5&gt;&lt;/div&gt;&lt;hr/&gt;&lt;div&gt;&lt;h5&gt;&lt;b&gt;CASTING&lt;/b&gt;&lt;/h5&gt;&lt;/div&gt;&lt;hr/&gt;&lt;div&gt;&lt;h5&gt;&lt;b&gt;Casting Time &lt;/b&gt;1 swift action&lt;/h5&gt;&lt;h5&gt;&lt;b&gt;Components &lt;/b&gt;V, S&lt;/h5&gt;&lt;/div&gt;&lt;hr/&gt;&lt;div&gt;&lt;h5&gt;&lt;b&gt;EFFECT&lt;/b&gt;&lt;/h5&gt;&lt;/div&gt;&lt;hr/&gt;&lt;div&gt;&lt;h5&gt;&lt;b&gt;Range &lt;/b&gt;30 feet&lt;/h5&gt;&lt;h5&gt;&lt;b&gt;Targets &lt;/b&gt;one melee weapon wielded by an ally&lt;/h5&gt;&lt;h5&gt;&lt;b&gt;Duration &lt;/b&gt;instantaneous&lt;/h5&gt;&lt;/div&gt;&lt;hr/&gt;&lt;div&gt;&lt;h5&gt;&lt;b&gt;DESCRIPTION&lt;/b&gt;&lt;/h5&gt;&lt;/div&gt;&lt;hr/&gt;&lt;div&gt;&lt;h4&gt;&lt;p&gt;This spell first rose to prominence among the elves of Kyonin in the war to retake their ancestral land from the demon lord Treerazer and his minions. Elite units of elven magi entered battle with this spell prepared to shield fallen comrades or stand firm against fell foes. As the elven presence returned to the world, this spell spread throughout the Inner Sea and beyond.&lt;/p&gt;&lt;p&gt;When you cast this spell, you cause a weapon wielded by an ally within 30 feet to telekinetically fly across the space between you and into your open hand. This extra energy persists in the weapon for the rest of the round, granting you a +2 circumstance bonus on attack rolls and weapon damage rolls made during the same round you cast this spell.&lt;/p&gt;&lt;p&gt;If the ally targeted for this spell is unwilling to give up her weapon, the spell fails. An unconscious or dying ally is considered a "willing" target so long as the weapon to be called is still in contact with the ally's body.&lt;/p&gt;&lt;/h4&gt;&lt;/div&gt;</t>
  </si>
  <si>
    <t>Crusader's Edge</t>
  </si>
  <si>
    <t>cleric/oracle 4, inquisitor 4, paladin 4</t>
  </si>
  <si>
    <t>V, S, M (dried blood from an evil outsider, sprinkled on the weapon)</t>
  </si>
  <si>
    <t>This spell was created by the paladins of the Mendevian Crusades, and co-opted by inquisitors and rangers dedicated to tracking and fighting demons, devils, and other evil extraplanar creatures. When you cast this spell on a melee weapon you imbue it with a powerful holy energy, granting the weapon the bane weapon quality against evil outsiders. Furthermore, whenever you score a successful critical hit against an outsider with the evil subtype, you not only deal normal critical damage with the weapon but also nauseate the outsider for 1d3 rounds-the outsider can reduce this nauseated condition to sickened for 1 round with a successful Fortitude save.</t>
  </si>
  <si>
    <t>&lt;p&gt;This spell was created by the paladins of the Mendevian Crusades, and co-opted by inquisitors and rangers dedicated to tracking and fighting demons, devils, and other evil extraplanar creatures.&lt;/p&gt;&lt;p&gt;When you cast this spell on a melee weapon you imbue it with a powerful &lt;i&gt;holy&lt;/i&gt; energy, granting the weapon the &lt;i&gt;bane&lt;/i&gt; weapon quality against evil outsiders. Furthermore, whenever you score a successful critical hit against an outsider with the evil subtype, you not only deal normal critical damage with the weapon but also nauseate the outsider for 1d3 rounds-the outsider can reduce this nauseated condition to sickened for 1 round with a successful Fortitude save.&lt;/p&gt;</t>
  </si>
  <si>
    <t>&lt;link rel="stylesheet"href="PF.css"&gt;&lt;div class="heading"&gt;&lt;p class="alignleft"&gt;Crusader's Edge&lt;/p&gt;&lt;div style="clear: both;"&gt;&lt;/div&gt;&lt;/div&gt;&lt;div&gt;&lt;h5&gt;&lt;b&gt;School &lt;/b&gt;transmutation [good]; &lt;b&gt;Level &lt;/b&gt;cleric/oracle 4, inquisitor 4, paladin 4&lt;/h5&gt;&lt;/div&gt;&lt;hr/&gt;&lt;div&gt;&lt;h5&gt;&lt;b&gt;CASTING&lt;/b&gt;&lt;/h5&gt;&lt;/div&gt;&lt;hr/&gt;&lt;div&gt;&lt;h5&gt;&lt;b&gt;Casting Time &lt;/b&gt;1 standard action&lt;/h5&gt;&lt;h5&gt;&lt;b&gt;Components &lt;/b&gt;V, S, M (dried blood from an evil outsider, sprinkled on the weapon)&lt;/h5&gt;&lt;/div&gt;&lt;hr/&gt;&lt;div&gt;&lt;h5&gt;&lt;b&gt;EFFECT&lt;/b&gt;&lt;/h5&gt;&lt;/div&gt;&lt;hr/&gt;&lt;div&gt;&lt;h5&gt;&lt;b&gt;Range &lt;/b&gt;touch&lt;/h5&gt;&lt;h5&gt;&lt;b&gt;Targets &lt;/b&gt;melee weapon touched&lt;/h5&gt;&lt;h5&gt;&lt;b&gt;Duration &lt;/b&gt;1 minute/level&lt;/h5&gt;&lt;h5&gt;&lt;b&gt;Saving Throw &lt;/b&gt;Fortitude negates; &lt;b&gt;Spell Resistance &lt;/b&gt;no&lt;/h5&gt;&lt;/div&gt;&lt;hr/&gt;&lt;div&gt;&lt;h5&gt;&lt;b&gt;DESCRIPTION&lt;/b&gt;&lt;/h5&gt;&lt;/div&gt;&lt;hr/&gt;&lt;div&gt;&lt;h4&gt;&lt;p&gt;This spell was created by the paladins of the Mendevian Crusades, and co-opted by inquisitors and rangers dedicated to tracking and fighting demons, devils, and other evil extraplanar creatures.&lt;/p&gt;&lt;p&gt;When you cast this spell on a melee weapon you imbue it with a powerful &lt;i&gt;holy&lt;/i&gt; energy, granting the weapon the &lt;i&gt;bane&lt;/i&gt; weapon quality against evil outsiders. Furthermore, whenever you score a successful critical hit against an outsider with the evil subtype, you not only deal normal critical damage with the weapon but also nauseate the outsider for 1d3 rounds-the outsider can reduce this nauseated condition to sickened for 1 round with a successful Fortitude save.&lt;/p&gt;&lt;/h4&gt;&lt;h5&gt;&lt;b&gt;Mythic: &lt;/b&gt;Whenever you confirm a critical hit against an outsider with theevil subtype, you gain 2d6 temporary hit points. While wieldingthis weapon, you gain a +2 sacred bonus on saving throwsagainst spells, spell-like abilities, and special abilities originatingfrom evil outsiders.&lt;/h5&gt;&lt;h5&gt;&lt;b&gt;Augmented (5th)&lt;/b&gt;: You can expend two uses of mythic powerto give the touched weapon the holy weapon special ability.&lt;/h5&gt;&lt;/div&gt;</t>
  </si>
  <si>
    <t>Whenever you confirm a critical hit against an outsider with theevil subtype, you gain 2d6 temporary hit points. While wieldingthis weapon, you gain a +2 sacred bonus on saving throwsagainst spells, spell-like abilities, and special abilities originatingfrom evil outsiders.</t>
  </si>
  <si>
    <t>Augmented (5th): You can expend two uses of mythic powerto give the touched weapon the holy weapon special ability.</t>
  </si>
  <si>
    <t>Eaglesoul</t>
  </si>
  <si>
    <t>cleric 6/oracle 6, paladin 4, summoner 5</t>
  </si>
  <si>
    <t>V, S, M (vellum inscribed with good outsider's name)</t>
  </si>
  <si>
    <t>1 hour/level (see below)</t>
  </si>
  <si>
    <t>As the Inner Sea's bravest men and women answered the call of what became the Second Mendevian Crusade, constructing the wardstones that eventually kept the brutal chaos of the Worldwound at bay, they realized that they needed help beyond traditional magics. Legends say that the first eaglesoul spell was created when an agathion avoral joined his own spirit with that of a courageous paladin who was about to be overwhelmed on the field of battle. The holy knight used the combined might of the agathion's great strength and his own to win the day for the crusaders. Now, although the spell is still in use chiefly among those that patrol the borders of the Worldwound, other champions of good have carried it with them to all corners of the Inner Sea region. When you cast this spell, you reach into the great beyond and beseech a good-aligned outsider for their aid against evil. The outsider infuses a small portion of its own power into you, making you a powerful force for good. You gain a +2 morale bonus on all Perception checks made against evil creatures, a +2 bonus on Initiative checks, and detect evil as a constant spell-like ability. In addition, once during the spell's duration you can call forth a surge of holy power when fighting an evil creature. Doing so is a swift action that shortens the spell's remaining duration so that its remaining hours of duration become rounds of duration. For the rest of this duration, the surge of power grants you the following benefits: • A +2 sacred bonus to AC • A +4 sacred bonus to Strength • Resistance 5 to acid and fire • A +5 sacred bonus on all Intimidate checks made against evil creatures • Fast healing 2 • Any critical threat roll made against an evil creature with a weapon you wield is automatically confirmed. Although this surge of power can be activated against any evil opponent, this ability activates automatically as soon as you attack any evil outsider, regardless of whether you hit or not, and regardless of whether you actually recognize that the target is in fact an evil outsider. In such cases the activation is a free action. Nongood spellcasters can cast this spell, but doing so causes them to be sickened (for spellcasters who are neither good nor evil) or staggered (for spellcasters who are evil) for the spell's duration.</t>
  </si>
  <si>
    <t>&lt;p&gt;As the Inner Sea's bravest men and women answered the call of what became the Second Mendevian Crusade, constructing the &lt;i&gt;wardstones&lt;/i&gt; that eventually kept the brutal chaos of the Worldwound at bay, they realized that they needed help beyond traditional magics.&lt;/p&gt;&lt;p&gt;Legends say that the first &lt;i&gt;eaglesoul&lt;/i&gt; spell was created when an agathion avoral joined his own spirit with that of a courageous paladin who was about to be overwhelmed on the field of battle. The holy knight used the combined might of the agathion's great strength and his own to win the day for the crusaders. Now, although the spell is still in use chiefly among those that patrol the borders of the Worldwound, other champions of good have carried it with them to all corners of the Inner Sea region.&lt;/p&gt;&lt;p&gt;When you cast this spell, you reach into the great beyond and beseech a good-aligned outsider for their aid against evil.&lt;/p&gt;&lt;p&gt;The outsider infuses a small portion of its own power into you, making you a powerful force for good. You gain a +2 morale bonus on all Perception checks made against evil creatures, a +2 bonus on Initiative checks, and &lt;i&gt;detect evil&lt;/i&gt; as a constant spell-like ability.&lt;/p&gt;&lt;p&gt;In addition, once during the spell's duration you can call forth a surge of holy power when fighting an evil creature.&lt;/p&gt;&lt;p&gt;Doing so is a swift action that shortens the spell's remaining duration so that its remaining hours of duration become rounds of duration. For the rest of this duration, the surge of power grants you the following benefits: &lt;ul&gt;&lt;li&gt; A +2 sacred bonus to AC &lt;li&gt; A +4 sacred bonus to Strength &lt;li&gt; Resistance 5 to acid and fire &lt;li&gt; A +5 sacred bonus on all Intimidate checks made against evil creatures &lt;li&gt; Fast healing 2 &lt;li&gt; Any critical threat roll made against an evil creature with a weapon you wield is automatically confirmed.&lt;/p&gt;&lt;p&gt;Although this surge of power can be activated against any evil opponent, this ability activates automatically as soon as you attack any evil outsider, regardless of whether you hit or not, and regardless of whether you actually recognize that the target is in fact an evil outsider. In such cases the activation is a free action.&lt;/p&gt;&lt;p&gt;Nongood spellcasters can cast this spell, but doing so causes them to be sickened (for spellcasters who are neither good nor evil) or staggered (for spellcasters who are evil) for the spell's duration.&lt;/ul&gt;&lt;/p&gt;</t>
  </si>
  <si>
    <t>&lt;link rel="stylesheet"href="PF.css"&gt;&lt;div class="heading"&gt;&lt;p class="alignleft"&gt;Eaglesoul&lt;/p&gt;&lt;div style="clear: both;"&gt;&lt;/div&gt;&lt;/div&gt;&lt;div&gt;&lt;h5&gt;&lt;b&gt;School &lt;/b&gt;conjuration (summoning) [good]; &lt;b&gt;Level &lt;/b&gt;cleric 6/oracle 6, paladin 4, summoner 5&lt;/h5&gt;&lt;/div&gt;&lt;hr/&gt;&lt;div&gt;&lt;h5&gt;&lt;b&gt;CASTING&lt;/b&gt;&lt;/h5&gt;&lt;/div&gt;&lt;hr/&gt;&lt;div&gt;&lt;h5&gt;&lt;b&gt;Casting Time &lt;/b&gt;1 standard action&lt;/h5&gt;&lt;h5&gt;&lt;b&gt;Components &lt;/b&gt;V, S, M (vellum inscribed with good outsider's name)&lt;/h5&gt;&lt;/div&gt;&lt;hr/&gt;&lt;div&gt;&lt;h5&gt;&lt;b&gt;EFFECT&lt;/b&gt;&lt;/h5&gt;&lt;/div&gt;&lt;hr/&gt;&lt;div&gt;&lt;h5&gt;&lt;b&gt;Range &lt;/b&gt;personal&lt;/h5&gt;&lt;h5&gt;&lt;b&gt;Targets &lt;/b&gt;you&lt;/h5&gt;&lt;h5&gt;&lt;b&gt;Duration &lt;/b&gt;1 hour/level (see below)&lt;/h5&gt;&lt;/div&gt;&lt;hr/&gt;&lt;div&gt;&lt;h5&gt;&lt;b&gt;DESCRIPTION&lt;/b&gt;&lt;/h5&gt;&lt;/div&gt;&lt;hr/&gt;&lt;div&gt;&lt;h4&gt;&lt;p&gt;As the Inner Sea's bravest men and women answered the call of what became the Second Mendevian Crusade, constructing the &lt;i&gt;wardstones&lt;/i&gt; that eventually kept the brutal chaos of the Worldwound at bay, they realized that they needed help beyond traditional magics.&lt;/p&gt;&lt;p&gt;Legends say that the first &lt;i&gt;eaglesoul&lt;/i&gt; spell was created when an agathion avoral joined his own spirit with that of a courageous paladin who was about to be overwhelmed on the field of battle. The holy knight used the combined might of the agathion's great strength and his own to win the day for the crusaders. Now, although the spell is still in use chiefly among those that patrol the borders of the Worldwound, other champions of good have carried it with them to all corners of the Inner Sea region.&lt;/p&gt;&lt;p&gt;When you cast this spell, you reach into the great beyond and beseech a good-aligned outsider for their aid against evil.&lt;/p&gt;&lt;p&gt;The outsider infuses a small portion of its own power into you, making you a powerful force for good. You gain a +2 morale bonus on all Perception checks made against evil creatures, a +2 bonus on Initiative checks, and &lt;i&gt;detect evil&lt;/i&gt; as a constant spell-like ability.&lt;/p&gt;&lt;p&gt;In addition, once during the spell's duration you can call forth a surge of holy power when fighting an evil creature.&lt;/p&gt;&lt;p&gt;Doing so is a swift action that shortens the spell's remaining duration so that its remaining hours of duration become rounds of duration. For the rest of this duration, the surge of power grants you the following benefits: &lt;ul&gt;&lt;li&gt; A +2 sacred bonus to AC &lt;li&gt; A +4 sacred bonus to Strength &lt;li&gt; Resistance 5 to acid and fire &lt;li&gt; A +5 sacred bonus on all Intimidate checks made against evil creatures &lt;li&gt; Fast healing 2 &lt;li&gt; Any critical threat roll made against an evil creature with a weapon you wield is automatically confirmed.&lt;/ul&gt;&lt;/p&gt;&lt;p&gt;Although this surge of power can be activated against any evil opponent, this ability activates automatically as soon as you attack any evil outsider, regardless of whether you hit or not, and regardless of whether you actually recognize that the target is in fact an evil outsider. In such cases the activation is a free action.&lt;/p&gt;&lt;p&gt;Nongood spellcasters can cast this spell, but doing so causes them to be sickened (for spellcasters who are neither good nor evil) or staggered (for spellcasters who are evil) for the spell's duration.&lt;/p&gt;&lt;/h4&gt;&lt;/div&gt;</t>
  </si>
  <si>
    <t>Eldritch Conduit</t>
  </si>
  <si>
    <t>V, S, M (a small mirror)</t>
  </si>
  <si>
    <t>Originally created by a disciple of the archwizard Nex, this spell was used to turn enemy soldiers in Geb's undead armies into conduits capable of blasting spell energy back into the far reaches of the Gebite lines. Since then, it has become a favorite among arcane casters with an understanding of battlefield tactics. If the target of this spell fails to resist its effects with a Will save, he becomes outlined in faint radiance, as if via faerie fire. At any time before the eldritch conduit expires, you may cast another spell with an area effect of cone, cylinder, line, or sphere and use the subject of the eldritch conduit as the point of origin for that spell. Doing so ends the spell immediately. The target must be within close range (25 feet + 5 feet/2 levels) in order for you to use the conduit-if the target moves out of range, the eldritch conduit effect persists but cannot be utilized by you until you get back within range.</t>
  </si>
  <si>
    <t>&lt;p&gt;Originally created by a disciple of the archwizard Nex, this spell was used to turn enemy soldiers in Geb's undead armies into conduits capable of blasting spell energy back into the far reaches of the Gebite lines. Since then, it has become a favorite among arcane casters with an understanding of battlefield tactics.&lt;/p&gt;&lt;p&gt;If the target of this spell fails to resist its effects with a Will save, he becomes outlined in faint radiance, as if via &lt;i&gt;faerie fire&lt;/i&gt;. At any time before the &lt;i&gt;eldritch conduit&lt;/i&gt; expires, you may cast another spell with an area effect of cone, cylinder, line, or sphere and use the subject of the &lt;i&gt;eldritch conduit&lt;/i&gt; as the point of origin for that spell. Doing so ends the spell immediately. The target must be within close range (25 feet + 5 feet/2 levels) in order for you to use the conduit-if the target moves out of range, the &lt;i&gt;eldritch conduit&lt;/i&gt; effect persists but cannot be utilized by you until you get back within range.&lt;/p&gt;</t>
  </si>
  <si>
    <t>&lt;link rel="stylesheet"href="PF.css"&gt;&lt;div class="heading"&gt;&lt;p class="alignleft"&gt;Eldritch Conduit&lt;/p&gt;&lt;div style="clear: both;"&gt;&lt;/div&gt;&lt;/div&gt;&lt;div&gt;&lt;h5&gt;&lt;b&gt;School &lt;/b&gt;transmutation; &lt;b&gt;Level &lt;/b&gt;sorcerer/wizard 2, witch 2&lt;/h5&gt;&lt;/div&gt;&lt;hr/&gt;&lt;div&gt;&lt;h5&gt;&lt;b&gt;CASTING&lt;/b&gt;&lt;/h5&gt;&lt;/div&gt;&lt;hr/&gt;&lt;div&gt;&lt;h5&gt;&lt;b&gt;Casting Time &lt;/b&gt;1 standard action&lt;/h5&gt;&lt;h5&gt;&lt;b&gt;Components &lt;/b&gt;V, S, M (a small mirror)&lt;/h5&gt;&lt;/div&gt;&lt;hr/&gt;&lt;div&gt;&lt;h5&gt;&lt;b&gt;EFFECT&lt;/b&gt;&lt;/h5&gt;&lt;/div&gt;&lt;hr/&gt;&lt;div&gt;&lt;h5&gt;&lt;b&gt;Range &lt;/b&gt;close (25 ft. + 5 ft./2 levels)&lt;/h5&gt;&lt;h5&gt;&lt;b&gt;Targets &lt;/b&gt;one creature&lt;/h5&gt;&lt;h5&gt;&lt;b&gt;Duration &lt;/b&gt;1 round/level&lt;/h5&gt;&lt;h5&gt;&lt;b&gt;Saving Throw &lt;/b&gt;Will negates; &lt;b&gt;Spell Resistance &lt;/b&gt;yes&lt;/h5&gt;&lt;/div&gt;&lt;hr/&gt;&lt;div&gt;&lt;h5&gt;&lt;b&gt;DESCRIPTION&lt;/b&gt;&lt;/h5&gt;&lt;/div&gt;&lt;hr/&gt;&lt;div&gt;&lt;h4&gt;&lt;p&gt;Originally created by a disciple of the archwizard Nex, this spell was used to turn enemy soldiers in Geb's undead armies into conduits capable of blasting spell energy back into the far reaches of the Gebite lines. Since then, it has become a favorite among arcane casters with an understanding of battlefield tactics.&lt;/p&gt;&lt;p&gt;If the target of this spell fails to resist its effects with a Will save, he becomes outlined in faint radiance, as if via &lt;i&gt;faerie fire&lt;/i&gt;. At any time before the &lt;i&gt;eldritch conduit&lt;/i&gt; expires, you may cast another spell with an area effect of cone, cylinder, line, or sphere and use the subject of the &lt;i&gt;eldritch conduit&lt;/i&gt; as the point of origin for that spell. Doing so ends the spell immediately. The target must be within close range (25 feet + 5 feet/2 levels) in order for you to use the conduit-if the target moves out of range, the &lt;i&gt;eldritch conduit&lt;/i&gt; effect persists but cannot be utilized by you until you get back within range.&lt;/p&gt;&lt;/h4&gt;&lt;/div&gt;</t>
  </si>
  <si>
    <t>Eldritch Conduit, Greater</t>
  </si>
  <si>
    <t>This spell functions like eldritch conduit save for the differences listed above and that the target must be within medium range (100 ft. + 10 ft./level) in order for you to use the conduit. Using a creature as a conduit for a spell ends the greater eldritch conduit effect on that creature, but does not end the effect for other eldritch conduits.</t>
  </si>
  <si>
    <t>&lt;p&gt;This spell functions like &lt;i&gt;eldritch conduit&lt;/i&gt; save for the differences listed above and that the target must be within medium range (100 ft. + 10 ft./level) in order for you to use the conduit. Using a creature as a conduit for a spell ends the greater &lt;i&gt;eldritch conduit&lt;/i&gt; effect on that creature, but does not end the effect for other &lt;i&gt;eldritch conduit&lt;/i&gt;s.&lt;/p&gt;</t>
  </si>
  <si>
    <t>&lt;link rel="stylesheet"href="PF.css"&gt;&lt;div class="heading"&gt;&lt;p class="alignleft"&gt;Eldritch Conduit, Greater&lt;/p&gt;&lt;div style="clear: both;"&gt;&lt;/div&gt;&lt;/div&gt;&lt;div&gt;&lt;h5&gt;&lt;b&gt;School &lt;/b&gt;transmutation; &lt;b&gt;Level &lt;/b&gt;sorcerer/wizard 6, witch 6&lt;/h5&gt;&lt;/div&gt;&lt;hr/&gt;&lt;div&gt;&lt;h5&gt;&lt;b&gt;CASTING&lt;/b&gt;&lt;/h5&gt;&lt;/div&gt;&lt;hr/&gt;&lt;div&gt;&lt;h5&gt;&lt;b&gt;Casting Time &lt;/b&gt;1 standard action&lt;/h5&gt;&lt;h5&gt;&lt;b&gt;Components &lt;/b&gt;V, S, M (a small mirror)&lt;/h5&gt;&lt;/div&gt;&lt;hr/&gt;&lt;div&gt;&lt;h5&gt;&lt;b&gt;EFFECT&lt;/b&gt;&lt;/h5&gt;&lt;/div&gt;&lt;hr/&gt;&lt;div&gt;&lt;h5&gt;&lt;b&gt;Range &lt;/b&gt;medium (100 ft. + 10 ft./level)&lt;/h5&gt;&lt;h5&gt;&lt;b&gt;Area &lt;/b&gt;one creature/level, no two of which can be more than 30 ft. apart&lt;/h5&gt;&lt;h5&gt;&lt;b&gt;Duration &lt;/b&gt;1 minute/level&lt;/h5&gt;&lt;h5&gt;&lt;b&gt;Saving Throw &lt;/b&gt;Will negates; &lt;b&gt;Spell Resistance &lt;/b&gt;yes&lt;/h5&gt;&lt;/div&gt;&lt;hr/&gt;&lt;div&gt;&lt;h5&gt;&lt;b&gt;DESCRIPTION&lt;/b&gt;&lt;/h5&gt;&lt;/div&gt;&lt;hr/&gt;&lt;div&gt;&lt;h4&gt;&lt;p&gt;This spell functions like &lt;i&gt;eldritch conduit&lt;/i&gt; save for the differences listed above and that the target must be within medium range (100 ft. + 10 ft./level) in order for you to use the conduit. Using a creature as a conduit for a spell ends the greater &lt;i&gt;eldritch conduit&lt;/i&gt; effect on that creature, but does not end the effect for other &lt;i&gt;eldritch conduit&lt;/i&gt;s.&lt;/p&gt;&lt;/h4&gt;&lt;/div&gt;</t>
  </si>
  <si>
    <t>Fleshcurdle</t>
  </si>
  <si>
    <t>V, S, M (scrap of pickled flesh)</t>
  </si>
  <si>
    <t>one living or undead creature</t>
  </si>
  <si>
    <t>You warp the target creature's flesh, discoloring it and causing it to become misshapen and impairing its function. When you cast this spell, you must choose one of three types of effects to inflict on the target-movement, attacks, or defense. Attacks: One of the creature's natural attacks takes a -2 penalty on attack and damage rolls, only scores a critical hit on a natural 20, and only deals x2 damage on a confirmed critical hit. Defense: The creature's natural armor bonus decreases by -4, to a minimum bonus of +0. Movement: One of the creature's movement speeds (chosen by you) is halved. Most undead are susceptible to fleshcurdle, but amorphous creatures and creatures without flesh are immune (such as elementals, oozes, plants, gaseous or incorporeal creatures, and skeletons).</t>
  </si>
  <si>
    <t>&lt;p&gt;You warp the target creature's flesh, discoloring it and causing it to become misshapen and impairing its function. When you cast this spell, you must choose one of three types of effects to inflict on the target-movement, attacks, or defense.&lt;/p&gt;&lt;p&gt;&lt;i&gt;Attacks&lt;/i&gt;: One of the creature's natural attacks takes a -2 penalty on attack and damage rolls, only scores a critical hit on a natural 20, and only deals x2 damage on a confirmed critical hit.&lt;/p&gt;&lt;p&gt;&lt;i&gt;Defense&lt;/i&gt;: The creature's natural armor bonus decreases by -4, to a minimum bonus of +0.&lt;/p&gt;&lt;p&gt;&lt;i&gt;Movement&lt;/i&gt;: One of the creature's movement speeds (chosen by you) is halved.&lt;/p&gt;&lt;p&gt;Most undead are susceptible to &lt;i&gt;fleshcurdle&lt;/i&gt;, but amorphous creatures and creatures without flesh are immune (such as elementals, oozes, plants, gaseous or incorporeal creatures, and skeletons).&lt;/p&gt;</t>
  </si>
  <si>
    <t>&lt;link rel="stylesheet"href="PF.css"&gt;&lt;div class="heading"&gt;&lt;p class="alignleft"&gt;Fleshcurdle&lt;/p&gt;&lt;div style="clear: both;"&gt;&lt;/div&gt;&lt;/div&gt;&lt;div&gt;&lt;h5&gt;&lt;b&gt;School &lt;/b&gt;transmutation (polymorph); &lt;b&gt;Level &lt;/b&gt;sorcerer/wizard 2&lt;/h5&gt;&lt;/div&gt;&lt;hr/&gt;&lt;div&gt;&lt;h5&gt;&lt;b&gt;CASTING&lt;/b&gt;&lt;/h5&gt;&lt;/div&gt;&lt;hr/&gt;&lt;div&gt;&lt;h5&gt;&lt;b&gt;Casting Time &lt;/b&gt;1 standard action&lt;/h5&gt;&lt;h5&gt;&lt;b&gt;Components &lt;/b&gt;V, S, M (scrap of pickled flesh)&lt;/h5&gt;&lt;/div&gt;&lt;hr/&gt;&lt;div&gt;&lt;h5&gt;&lt;b&gt;EFFECT&lt;/b&gt;&lt;/h5&gt;&lt;/div&gt;&lt;hr/&gt;&lt;div&gt;&lt;h5&gt;&lt;b&gt;Range &lt;/b&gt;close (25 ft. + 5 ft./2 levels)&lt;/h5&gt;&lt;h5&gt;&lt;b&gt;Targets &lt;/b&gt;one living or undead creature&lt;/h5&gt;&lt;h5&gt;&lt;b&gt;Duration &lt;/b&gt;1 round/level&lt;/h5&gt;&lt;h5&gt;&lt;b&gt;Saving Throw &lt;/b&gt;Fortitude negates; &lt;b&gt;Spell Resistance &lt;/b&gt;yes&lt;/h5&gt;&lt;/div&gt;&lt;hr/&gt;&lt;div&gt;&lt;h5&gt;&lt;b&gt;DESCRIPTION&lt;/b&gt;&lt;/h5&gt;&lt;/div&gt;&lt;hr/&gt;&lt;div&gt;&lt;h4&gt;&lt;p&gt;You warp the target creature's flesh, discoloring it and causing it to become misshapen and impairing its function. When you cast this spell, you must choose one of three types of effects to inflict on the target-movement, attacks, or defense.&lt;/p&gt;&lt;p&gt;&lt;i&gt;Attacks&lt;/i&gt;: One of the creature's natural attacks takes a -2 penalty on attack and damage rolls, only scores a critical hit on a natural 20, and only deals x2 damage on a confirmed critical hit.&lt;/p&gt;&lt;p&gt;&lt;i&gt;Defense&lt;/i&gt;: The creature's natural armor bonus decreases by -4, to a minimum bonus of +0.&lt;/p&gt;&lt;p&gt;&lt;i&gt;Movement&lt;/i&gt;: One of the creature's movement speeds (chosen by you) is halved.&lt;/p&gt;&lt;p&gt;Most undead are susceptible to &lt;i&gt;fleshcurdle&lt;/i&gt;, but amorphous creatures and creatures without flesh are immune (such as elementals, oozes, plants, gaseous or incorporeal creatures, and skeletons).&lt;/p&gt;&lt;/h4&gt;&lt;h5&gt;&lt;b&gt;Mythic: &lt;/b&gt;You can choose two effects instead of one effect, or maychoose to enhance one effect. If you enhance the attackeffect, all of the creature's natural attacks are affected. Ifyou enhance the defense effect, in addition to fleshcurdle's normal effect on natural armor bonus, any critical threatsagainst the creature gain a +4 bonus on the confirmation roll.If you enhance the movement effect, all of the creature'smovement speeds are halved.&lt;/h5&gt;&lt;h5&gt;&lt;b&gt;Augmented (6th)&lt;/b&gt;: If you expend two uses of mythic power,you can choose two enhanced effects to inflict upon the target.&lt;/h5&gt;&lt;/div&gt;</t>
  </si>
  <si>
    <t>You can choose two effects instead of one effect, or maychoose to enhance one effect. If you enhance the attackeffect, all of the creature's natural attacks are affected. Ifyou enhance the defense effect, in addition to fleshcurdle's normal effect on natural armor bonus, any critical threatsagainst the creature gain a +4 bonus on the confirmation roll.If you enhance the movement effect, all of the creature'smovement speeds are halved.</t>
  </si>
  <si>
    <t>Augmented (6th): If you expend two uses of mythic power,you can choose two enhanced effects to inflict upon the target.</t>
  </si>
  <si>
    <t>Forceful Strike</t>
  </si>
  <si>
    <t>cleric 4/oracle 4, inquisitor 4, magus 4, paladin 4</t>
  </si>
  <si>
    <t>touch or reach of melee weapon</t>
  </si>
  <si>
    <t>You cast this spell as you strike a creature with a melee weapon, unarmed strike, or natural attack to unleash a concussive blast of force. You deal normal weapon damage from the blow, but also deal an additional amount of force damage equal to 1d4 points per caster level (maximum of 10d4). The force of the blow may be enough to knock the target backward as well. To determine if the target is pushed back, make a combat maneuver check with a bonus equal to your caster level to resolve a bull rush attempt against the creature struck. You do not move as a result of this free bull rush, but it can push the target back if it defeats the target's CMD. A successful Fortitude save halves the force damage and negates the bull rush effect.</t>
  </si>
  <si>
    <t>&lt;p&gt;You cast this spell as you strike a creature with a melee weapon, unarmed strike, or natural attack to unleash a concussive blast of force. You deal normal weapon damage from the blow, but also deal an additional amount of force damage equal to 1d4 points per caster level (maximum of 10d4). The force of the blow may be enough to knock the target backward as well. To determine if the target is pushed back, make a combat maneuver check with a bonus equal to your caster level to resolve a bull rush attempt against the creature struck. You do not move as a result of this free bull rush, but it can push the target back if it defeats the target's CMD. A successful Fortitude save halves the force damage and negates the bull rush effect.&lt;/p&gt;</t>
  </si>
  <si>
    <t>&lt;link rel="stylesheet"href="PF.css"&gt;&lt;div class="heading"&gt;&lt;p class="alignleft"&gt;Forceful Strike&lt;/p&gt;&lt;div style="clear: both;"&gt;&lt;/div&gt;&lt;/div&gt;&lt;div&gt;&lt;h5&gt;&lt;b&gt;School &lt;/b&gt;evocation [force]; &lt;b&gt;Level &lt;/b&gt;cleric 4/oracle 4, inquisitor 4, magus 4, paladin 4&lt;/h5&gt;&lt;/div&gt;&lt;hr/&gt;&lt;div&gt;&lt;h5&gt;&lt;b&gt;CASTING&lt;/b&gt;&lt;/h5&gt;&lt;/div&gt;&lt;hr/&gt;&lt;div&gt;&lt;h5&gt;&lt;b&gt;Casting Time &lt;/b&gt;1 swift action&lt;/h5&gt;&lt;h5&gt;&lt;b&gt;Components &lt;/b&gt;V, S&lt;/h5&gt;&lt;/div&gt;&lt;hr/&gt;&lt;div&gt;&lt;h5&gt;&lt;b&gt;EFFECT&lt;/b&gt;&lt;/h5&gt;&lt;/div&gt;&lt;hr/&gt;&lt;div&gt;&lt;h5&gt;&lt;b&gt;Range &lt;/b&gt;touch or reach of melee weapon&lt;/h5&gt;&lt;h5&gt;&lt;b&gt;Targets &lt;/b&gt;1 creature&lt;/h5&gt;&lt;h5&gt;&lt;b&gt;Duration &lt;/b&gt;instantaneous&lt;/h5&gt;&lt;h5&gt;&lt;b&gt;Saving Throw &lt;/b&gt;Fortitude partial; &lt;b&gt;Spell Resistance &lt;/b&gt;yes&lt;/h5&gt;&lt;/div&gt;&lt;hr/&gt;&lt;div&gt;&lt;h5&gt;&lt;b&gt;DESCRIPTION&lt;/b&gt;&lt;/h5&gt;&lt;/div&gt;&lt;hr/&gt;&lt;div&gt;&lt;h4&gt;&lt;p&gt;You cast this spell as you strike a creature with a melee weapon, unarmed strike, or natural attack to unleash a concussive blast of force. You deal normal weapon damage from the blow, but also deal an additional amount of force damage equal to 1d4 points per caster level (maximum of 10d4). The force of the blow may be enough to knock the target backward as well. To determine if the target is pushed back, make a combat maneuver check with a bonus equal to your caster level to resolve a bull rush attempt against the creature struck. You do not move as a result of this free bull rush, but it can push the target back if it defeats the target's CMD. A successful Fortitude save halves the force damage and negates the bull rush effect.&lt;/p&gt;&lt;/h4&gt;&lt;/div&gt;</t>
  </si>
  <si>
    <t>Geb's Hammer</t>
  </si>
  <si>
    <t>V, S, M (a leather glove coated in dried embalming herbs)</t>
  </si>
  <si>
    <t>sphere of undead remains composed of 3 or more destroyed undead</t>
  </si>
  <si>
    <t>Centuries of war with Nex trained the necromancers of Geb to extract every last resource from the mindless undead that make up most of Geb's rank-and-file troops. When you cast this spell, you draw the remains of nearby destroyed undead together and fuse them into a mass of flesh and bone you can then hurl at any foes within range. Three corpses within range of the spell are required for the spell to function. Geb's hammer can be directed to attack one foe within range per round as a move action. It uses your caster level as its base attack bonus, modified by your Intelligence, Wisdom, or Charisma modifier (whichever one is highest). On a hit, the corpse hammer deals 1d6 points of damage per three caster levels (to a maximum of 6d6 points of damage). Geb's hammer also has secondary effects based on the nature of the three bodies you use to create it. If the majority used to create Geb's hammer (at least two) were skeletal, the jagged bits of bone cause the corpse hammer to deal slashing damage and increase Geb's hammer's critical threat range to 19-20. On the other hand, if the majority were fleshy (at least two), the increased mass causes Geb's hammer to deal bludgeoning damage and increase its critical hit damage to x3. Undead that have been destroyed by positive energy or a similar effect that does not leave a corpse, like a disintegrate spell, cannot be used to form Geb's hammer.</t>
  </si>
  <si>
    <t>&lt;p&gt;Centuries of war with Nex trained the necromancers of Geb to extract every last resource from the mindless undead that make up most of Geb's rank-and-file troops.&lt;/p&gt;&lt;p&gt;When you cast this spell, you draw the remains of nearby destroyed undead together and fuse them into a mass of flesh and bone you can then hurl at any foes within range. Three corpses within range of the spell are required for the spell to function. Geb's hammer can be directed to attack one foe within range per round as a move action. It uses your caster level as its base attack bonus, modified by your Intelligence, Wisdom, or Charisma modifier (whichever one is highest). On a hit, the corpse hammer deals 1d6 points of damage per three caster levels (to a maximum of 6d6 points of damage).&lt;/p&gt;&lt;p&gt;Geb's hammer also has secondary effects based on the nature of the three bodies you use to create it. If the majority used to create Geb's hammer (at least two) were skeletal, the jagged bits of bone cause the corpse hammer to deal slashing damage and increase Geb's hammer's critical threat range to 19-20. On the other hand, if the majority were fleshy (at least two), the increased mass causes Geb's hammer to deal bludgeoning damage and increase its critical hit damage to x3.&lt;/p&gt;&lt;p&gt;Undead that have been destroyed by positive energy or a similar effect that does not leave a corpse, like a &lt;i&gt;disintegrate&lt;/i&gt; spell, cannot be used to form Geb's hammer.&lt;/p&gt;</t>
  </si>
  <si>
    <t>&lt;link rel="stylesheet"href="PF.css"&gt;&lt;div class="heading"&gt;&lt;p class="alignleft"&gt;Geb's Hammer&lt;/p&gt;&lt;div style="clear: both;"&gt;&lt;/div&gt;&lt;/div&gt;&lt;div&gt;&lt;h5&gt;&lt;b&gt;School &lt;/b&gt;necromancy; &lt;b&gt;Level &lt;/b&gt;sorcerer/wizard 4, witch 4&lt;/h5&gt;&lt;/div&gt;&lt;hr/&gt;&lt;div&gt;&lt;h5&gt;&lt;b&gt;CASTING&lt;/b&gt;&lt;/h5&gt;&lt;/div&gt;&lt;hr/&gt;&lt;div&gt;&lt;h5&gt;&lt;b&gt;Casting Time &lt;/b&gt;1 standard action&lt;/h5&gt;&lt;h5&gt;&lt;b&gt;Components &lt;/b&gt;V, S, M (a leather glove coated in dried embalming herbs)&lt;/h5&gt;&lt;/div&gt;&lt;hr/&gt;&lt;div&gt;&lt;h5&gt;&lt;b&gt;EFFECT&lt;/b&gt;&lt;/h5&gt;&lt;/div&gt;&lt;hr/&gt;&lt;div&gt;&lt;h5&gt;&lt;b&gt;Range &lt;/b&gt;close (25 ft. + 5 ft./2 levels)&lt;/h5&gt;&lt;h5&gt;&lt;b&gt;Effect &lt;/b&gt;sphere of undead remains composed of 3 or more destroyed undead&lt;/h5&gt;&lt;h5&gt;&lt;b&gt;Duration &lt;/b&gt;1 round/level&lt;/h5&gt;&lt;h5&gt;&lt;b&gt;Saving Throw &lt;/b&gt;none; &lt;b&gt;Spell Resistance &lt;/b&gt;yes&lt;/h5&gt;&lt;/div&gt;&lt;hr/&gt;&lt;div&gt;&lt;h5&gt;&lt;b&gt;DESCRIPTION&lt;/b&gt;&lt;/h5&gt;&lt;/div&gt;&lt;hr/&gt;&lt;div&gt;&lt;h4&gt;&lt;p&gt;Centuries of war with Nex trained the necromancers of Geb to extract every last resource from the mindless undead that make up most of Geb's rank-and-file troops.&lt;/p&gt;&lt;p&gt;When you cast this spell, you draw the remains of nearby destroyed undead together and fuse them into a mass of flesh and bone you can then hurl at any foes within range. Three corpses within range of the spell are required for the spell to function. Geb's hammer can be directed to attack one foe within range per round as a move action. It uses your caster level as its base attack bonus, modified by your Intelligence, Wisdom, or Charisma modifier (whichever one is highest). On a hit, the corpse hammer deals 1d6 points of damage per three caster levels (to a maximum of 6d6 points of damage).&lt;/p&gt;&lt;p&gt;Geb's hammer also has secondary effects based on the nature of the three bodies you use to create it. If the majority used to create Geb's hammer (at least two) were skeletal, the jagged bits of bone cause the corpse hammer to deal slashing damage and increase Geb's hammer's critical threat range to 19-20. On the other hand, if the majority were fleshy (at least two), the increased mass causes Geb's hammer to deal bludgeoning damage and increase its critical hit damage to x3.&lt;/p&gt;&lt;p&gt;Undead that have been destroyed by positive energy or a similar effect that does not leave a corpse, like a &lt;i&gt;disintegrate&lt;/i&gt; spell, cannot be used to form Geb's hammer.&lt;/p&gt;&lt;/h4&gt;&lt;/div&gt;</t>
  </si>
  <si>
    <t>Geniekind</t>
  </si>
  <si>
    <t>cleric 5/oracle 5, druid 5, sorcerer/wizard 5, summoner 5</t>
  </si>
  <si>
    <t>V, S, M (a pinch of dust, embers, wind-blown sand or drops of water, depending on the genie type)</t>
  </si>
  <si>
    <t>Keleshite wizards and clerics have always sought to emulate the genies that they bind. The geniekind spell is the result of attempts to gain the power and influence of these proud outsiders without entirely forsaking the caster's own form. Upon casting this spell, you must choose one type of genie to transform into, selecting from djinni, efreeti, marid, or shaitan. You retain your basic physical appearance but shift in some way to become more akin to the genie type you chose. While under the effects of geniekind, you gain a +2 racial bonus on all saving throws against paralysis, poison, sleep, and stunning effects, and a +4 enhancement bonus to your natural armor bonus. You also gain a +2 enhancement bonus to Constitution and a +5 bonus on all Diplomacy checks made when interacting with creatures of the same elemental subtype as your chosen genie. In addition, you gain other abilities depending upon the type of genie you choose to assume the form of, as detailed below. Djinni: You gain the ability to fly at a speed of 60 feet with perfect maneuverability. When flying, your lower torso trails away into a vortex of wind and smoke. You gain resist electricity 10. Efreeti: Your flesh turns a deep red and you grow large horns on your head. Your unarmed strikes and any melee weapon you wield deal +1d6 points of fire damage. You gain resist fire 10. Marid: Your flesh turns blue and you gain webbed fingers and toes. You gain a swim speed of 60 feet and can breathe water. You gain resist cold 10. Shaitan: Your flesh gains the coloration of stone and your hair appears to be sculpted from fine crystals. You gain a burrow speed of 60 feet and resist acid 10.</t>
  </si>
  <si>
    <t>&lt;p&gt;Keleshite wizards and clerics have always sought to emulate the genies that they bind. The &lt;i&gt;geniekind&lt;/i&gt; spell is the result of attempts to gain the power and influence of these proud outsiders without entirely forsaking the caster's own form.&lt;/p&gt;&lt;p&gt;Upon casting this spell, you must choose one type of genie to transform into, selecting from djinni, efreeti, marid, or shaitan. You retain your basic physical appearance but shift in some way to become more akin to the genie type you chose. While under the effects of &lt;i&gt;geniekind&lt;/i&gt;, you gain a +2 racial bonus on all saving throws against paralysis, poison, sleep, and stunning effects, and a +4 enhancement bonus to your natural armor bonus. You also gain a +2 enhancement bonus to Constitution and a +5 bonus on all Diplomacy checks made when interacting with creatures of the same elemental subtype as your chosen genie. In addition, you gain other abilities depending upon the type of genie you choose to assume the form of, as detailed below.&lt;/p&gt;&lt;p&gt;&lt;i&gt;Djinni&lt;/i&gt;: You gain the ability to fly at a speed of 60 feet with perfect maneuverability. When flying, your lower torso trails away into a vortex of wind and smoke. You gain resist electricity 10.&lt;/p&gt;&lt;p&gt;&lt;i&gt;Efreeti&lt;/i&gt;: Your flesh turns a deep red and you grow large horns on your head. Your unarmed strikes and any melee weapon you wield deal +1d6 points of fire damage. You gain resist fire 10.&lt;/p&gt;&lt;p&gt;&lt;i&gt;Marid&lt;/i&gt;: Your flesh turns blue and you gain webbed fingers and toes. You gain a swim speed of 60 feet and can breathe water. You gain resist cold 10.&lt;/p&gt;&lt;p&gt;&lt;i&gt;Shaitan&lt;/i&gt;: Your flesh gains the coloration of stone and your hair appears to be sculpted from fine crystals. You gain a burrow speed of 60 feet and resist acid 10.&lt;/p&gt;</t>
  </si>
  <si>
    <t>&lt;link rel="stylesheet"href="PF.css"&gt;&lt;div class="heading"&gt;&lt;p class="alignleft"&gt;Geniekind&lt;/p&gt;&lt;div style="clear: both;"&gt;&lt;/div&gt;&lt;/div&gt;&lt;div&gt;&lt;h5&gt;&lt;b&gt;School &lt;/b&gt;transmutation (polymorph); &lt;b&gt;Level &lt;/b&gt;cleric 5/oracle 5, druid 5, sorcerer/wizard 5, summoner 5&lt;/h5&gt;&lt;/div&gt;&lt;hr/&gt;&lt;div&gt;&lt;h5&gt;&lt;b&gt;CASTING&lt;/b&gt;&lt;/h5&gt;&lt;/div&gt;&lt;hr/&gt;&lt;div&gt;&lt;h5&gt;&lt;b&gt;Casting Time &lt;/b&gt;1 standard action&lt;/h5&gt;&lt;h5&gt;&lt;b&gt;Components &lt;/b&gt;V, S, M (a pinch of dust, embers, wind-blown sand or drops of water, depending on the genie type)&lt;/h5&gt;&lt;/div&gt;&lt;hr/&gt;&lt;div&gt;&lt;h5&gt;&lt;b&gt;EFFECT&lt;/b&gt;&lt;/h5&gt;&lt;/div&gt;&lt;hr/&gt;&lt;div&gt;&lt;h5&gt;&lt;b&gt;Range &lt;/b&gt;personal&lt;/h5&gt;&lt;h5&gt;&lt;b&gt;Targets &lt;/b&gt;you&lt;/h5&gt;&lt;h5&gt;&lt;b&gt;Duration &lt;/b&gt;1 round/level&lt;/h5&gt;&lt;/div&gt;&lt;hr/&gt;&lt;div&gt;&lt;h5&gt;&lt;b&gt;DESCRIPTION&lt;/b&gt;&lt;/h5&gt;&lt;/div&gt;&lt;hr/&gt;&lt;div&gt;&lt;h4&gt;&lt;p&gt;Keleshite wizards and clerics have always sought to emulate the genies that they bind. The &lt;i&gt;geniekind&lt;/i&gt; spell is the result of attempts to gain the power and influence of these proud outsiders without entirely forsaking the caster's own form.&lt;/p&gt;&lt;p&gt;Upon casting this spell, you must choose one type of genie to transform into, selecting from djinni, efreeti, marid, or shaitan. You retain your basic physical appearance but shift in some way to become more akin to the genie type you chose. While under the effects of &lt;i&gt;geniekind&lt;/i&gt;, you gain a +2 racial bonus on all saving throws against paralysis, poison, sleep, and stunning effects, and a +4 enhancement bonus to your natural armor bonus. You also gain a +2 enhancement bonus to Constitution and a +5 bonus on all Diplomacy checks made when interacting with creatures of the same elemental subtype as your chosen genie. In addition, you gain other abilities depending upon the type of genie you choose to assume the form of, as detailed below.&lt;/p&gt;&lt;p&gt;&lt;i&gt;Djinni&lt;/i&gt;: You gain the ability to fly at a speed of 60 feet with perfect maneuverability. When flying, your lower torso trails away into a vortex of wind and smoke. You gain resist electricity 10.&lt;/p&gt;&lt;p&gt;&lt;i&gt;Efreeti&lt;/i&gt;: Your flesh turns a deep red and you grow large horns on your head. Your unarmed strikes and any melee weapon you wield deal +1d6 points of fire damage. You gain resist fire 10.&lt;/p&gt;&lt;p&gt;&lt;i&gt;Marid&lt;/i&gt;: Your flesh turns blue and you gain webbed fingers and toes. You gain a swim speed of 60 feet and can breathe water. You gain resist cold 10.&lt;/p&gt;&lt;p&gt;&lt;i&gt;Shaitan&lt;/i&gt;: Your flesh gains the coloration of stone and your hair appears to be sculpted from fine crystals. You gain a burrow speed of 60 feet and resist acid 10.&lt;/p&gt;&lt;/h4&gt;&lt;/div&gt;</t>
  </si>
  <si>
    <t>Hungry Darkness</t>
  </si>
  <si>
    <t>darkness, force</t>
  </si>
  <si>
    <t>V, S, M (a bat's tooth)</t>
  </si>
  <si>
    <t>60-ft.-radius spread</t>
  </si>
  <si>
    <t>This spell creates an area of intense blackness, as deeper darkness, but filled with unseen chewing teeth and ravenous maws. Any creatures beginning its turn within the hungry darkness is gnawed and slashed by these unseen fangs of force, dealing 3d6 points of force damage and 2 points of Constitution damage per round. Once a creature leaves the cloud, it continues to take 1d6 points of bleed damage each round until it receives magical healing or enters an area of bright light. Spell resistance can prevent damage from the hungry darkness but not against the darkness it creates.</t>
  </si>
  <si>
    <t>&lt;p&gt;This spell creates an area of intense blackness, as &lt;i&gt;deeper darkness&lt;/i&gt;, but filled with unseen chewing teeth and ravenous maws. Any creatures beginning its turn within the &lt;i&gt;hungry darkness&lt;/i&gt; is gnawed and slashed by these unseen fangs of force, dealing 3d6 points of force damage and 2 points of Constitution damage per round. Once a creature leaves the cloud, it continues to take 1d6 points of bleed damage each round until it receives magical healing or enters an area of bright light. Spell resistance can prevent damage from the &lt;i&gt;hungry darkness&lt;/i&gt; but not against the darkness it creates.&lt;/p&gt;</t>
  </si>
  <si>
    <t>&lt;link rel="stylesheet"href="PF.css"&gt;&lt;div class="heading"&gt;&lt;p class="alignleft"&gt;Hungry Darkness&lt;/p&gt;&lt;div style="clear: both;"&gt;&lt;/div&gt;&lt;/div&gt;&lt;div&gt;&lt;h5&gt;&lt;b&gt;School &lt;/b&gt;evocation [darkness, force]; &lt;b&gt;Level &lt;/b&gt;sorcerer/wizard 7&lt;/h5&gt;&lt;/div&gt;&lt;hr/&gt;&lt;div&gt;&lt;h5&gt;&lt;b&gt;CASTING&lt;/b&gt;&lt;/h5&gt;&lt;/div&gt;&lt;hr/&gt;&lt;div&gt;&lt;h5&gt;&lt;b&gt;Casting Time &lt;/b&gt;1 standard action&lt;/h5&gt;&lt;h5&gt;&lt;b&gt;Components &lt;/b&gt;V, S, M (a bat's tooth)&lt;/h5&gt;&lt;/div&gt;&lt;hr/&gt;&lt;div&gt;&lt;h5&gt;&lt;b&gt;EFFECT&lt;/b&gt;&lt;/h5&gt;&lt;/div&gt;&lt;hr/&gt;&lt;div&gt;&lt;h5&gt;&lt;b&gt;Range &lt;/b&gt;close (25 ft. + 5 ft./2 levels)&lt;/h5&gt;&lt;h5&gt;&lt;b&gt;Area &lt;/b&gt;60-ft.-radius spread&lt;/h5&gt;&lt;h5&gt;&lt;b&gt;Duration &lt;/b&gt;1 round/level (D)&lt;/h5&gt;&lt;h5&gt;&lt;b&gt;Saving Throw &lt;/b&gt;none; &lt;b&gt;Spell Resistance &lt;/b&gt;yes (see text)&lt;/h5&gt;&lt;/div&gt;&lt;hr/&gt;&lt;div&gt;&lt;h5&gt;&lt;b&gt;DESCRIPTION&lt;/b&gt;&lt;/h5&gt;&lt;/div&gt;&lt;hr/&gt;&lt;div&gt;&lt;h4&gt;&lt;p&gt;This spell creates an area of intense blackness, as &lt;i&gt;deeper darkness&lt;/i&gt;, but filled with unseen chewing teeth and ravenous maws. Any creatures beginning its turn within the &lt;i&gt;hungry darkness&lt;/i&gt; is gnawed and slashed by these unseen fangs of force, dealing 3d6 points of force damage and 2 points of Constitution damage per round. Once a creature leaves the cloud, it continues to take 1d6 points of bleed damage each round until it receives magical healing or enters an area of bright light. Spell resistance can prevent damage from the &lt;i&gt;hungry darkness&lt;/i&gt; but not against the darkness it creates.&lt;/p&gt;&lt;/h4&gt;&lt;/div&gt;</t>
  </si>
  <si>
    <t>Hunter's Lore</t>
  </si>
  <si>
    <t>inquisitor 2, ranger 2</t>
  </si>
  <si>
    <t>V, S, M (a scrap of paper torn from a book about monsters)</t>
  </si>
  <si>
    <t>Inquisitors and rangers alike learned long ago that knowledge of an enemy grants power over that enemy. This spell was created so that almost any enemy could have its vulnerabilities known and exploited. For the duration of this spell you may spend a full-round action to take 20 on any Knowledge skill checks made to identify a foe's weaknesses, provided the foe in question is within line of sight and provided that you have at least one rank in that particular Knowledge skill. This spell allows you to make untrained Knowledge checks to determine a monster's weaknesses as if you had ranks in that skill, but you cannot take 20 on these checks.</t>
  </si>
  <si>
    <t>&lt;p&gt;Inquisitors and rangers alike learned long ago that knowledge of an enemy grants power over that enemy. This spell was created so that almost any enemy could have its vulnerabilities known and exploited.&lt;/p&gt;&lt;p&gt;For the duration of this spell you may spend a full-round action to take 20 on any Knowledge skill checks made to identify a foe's weaknesses, provided the foe in question is within line of sight and provided that you have at least one rank in that particular Knowledge skill. This spell allows you to make untrained Knowledge checks to determine a monster's weaknesses as if you had ranks in that skill, but you cannot take 20 on these checks.&lt;/p&gt;</t>
  </si>
  <si>
    <t>&lt;link rel="stylesheet"href="PF.css"&gt;&lt;div class="heading"&gt;&lt;p class="alignleft"&gt;Hunter's Lore&lt;/p&gt;&lt;div style="clear: both;"&gt;&lt;/div&gt;&lt;/div&gt;&lt;div&gt;&lt;h5&gt;&lt;b&gt;School &lt;/b&gt;divination; &lt;b&gt;Level &lt;/b&gt;inquisitor 2, ranger 2&lt;/h5&gt;&lt;/div&gt;&lt;hr/&gt;&lt;div&gt;&lt;h5&gt;&lt;b&gt;CASTING&lt;/b&gt;&lt;/h5&gt;&lt;/div&gt;&lt;hr/&gt;&lt;div&gt;&lt;h5&gt;&lt;b&gt;Casting Time &lt;/b&gt;1 standard action&lt;/h5&gt;&lt;h5&gt;&lt;b&gt;Components &lt;/b&gt;V, S, M (a scrap of paper torn from a book about monsters)&lt;/h5&gt;&lt;/div&gt;&lt;hr/&gt;&lt;div&gt;&lt;h5&gt;&lt;b&gt;EFFECT&lt;/b&gt;&lt;/h5&gt;&lt;/div&gt;&lt;hr/&gt;&lt;div&gt;&lt;h5&gt;&lt;b&gt;Range &lt;/b&gt;personal&lt;/h5&gt;&lt;h5&gt;&lt;b&gt;Targets &lt;/b&gt;you&lt;/h5&gt;&lt;h5&gt;&lt;b&gt;Duration &lt;/b&gt;1 minute/level&lt;/h5&gt;&lt;/div&gt;&lt;hr/&gt;&lt;div&gt;&lt;h5&gt;&lt;b&gt;DESCRIPTION&lt;/b&gt;&lt;/h5&gt;&lt;/div&gt;&lt;hr/&gt;&lt;div&gt;&lt;h4&gt;&lt;p&gt;Inquisitors and rangers alike learned long ago that knowledge of an enemy grants power over that enemy. This spell was created so that almost any enemy could have its vulnerabilities known and exploited.&lt;/p&gt;&lt;p&gt;For the duration of this spell you may spend a full-round action to take 20 on any Knowledge skill checks made to identify a foe's weaknesses, provided the foe in question is within line of sight and provided that you have at least one rank in that particular Knowledge skill. This spell allows you to make untrained Knowledge checks to determine a monster's weaknesses as if you had ranks in that skill, but you cannot take 20 on these checks.&lt;/p&gt;&lt;/h4&gt;&lt;/div&gt;</t>
  </si>
  <si>
    <t>Impart Mind</t>
  </si>
  <si>
    <t>cleric 6/oracle 6, magus 5, sorcerer/wizard 6</t>
  </si>
  <si>
    <t>V, S, M (diamond dust worth at least 1,000 gp)</t>
  </si>
  <si>
    <t>permanent nonintelligent magic item touched</t>
  </si>
  <si>
    <t>This spell grants the target magic item temporary intelligence by siphoning off a tiny portion of your own mind to infuse the object. Only permanent magic items may be enhanced by this spell-one-use items and charged items cannot be affected by impart mind. Intelligent magic items cannot be affected by impart mind. When you cast impart mind on a magic item, the item gains an Intelligence, Wisdom, and Charisma score of 10 and gains your alignment. You have no special control over the item once it becomes intelligent, although since it has your alignment, personality conflicts with items you wield won't be a problem. Determine the item's ego normally, as per the rules on intelligent items in the Core Rulebook. An item made intelligent via impart mind communicates via speech and has normal senses to a range of 60 feet. It speaks and reads one language known by you-if you know multiple languages, you may choose which language the item knows. When you cast impart mind on an item, roll once on Table 15-24 on page 534 of the Core Rulebook to randomly determine the item's power-add your caster level to this roll. By expending additional diamond dust in excess of the 1,000 gp worth of material components required to cast this spell, you can gain further bonuses on the d% roll made to determine the item's power. Every additional 100 gp in diamond dust you use in excess grants a cumulative +1 bonus to the roll, up to a maximum additional bonus equal to your caster level. If the item gains the ability to cast a spell, determine the spell it can cast randomly from spells you know of the appropriate level. If the item gains ranks in a skill, it gains ranks in a random skill in which you have at least 1 rank. If you roll above 100, then you can choose one item power on Table 15-24 in the Core Rulebook to grant the item, and the item gains a special purpose. Roll once on Tables 15-25 and 15-26 on page 534 of the Core Rulebook to determine what the item's special purpose and dedicated powers are. These d% rolls are not modified by your caster level or any additional powdered gems you used to cast the spell. Once this spell ends, the item reverts to its previous nature-if you cast this spell on the item again, it gains entirely different powers as determined by a new set of rolls.</t>
  </si>
  <si>
    <t>&lt;p&gt;This spell grants the target magic item temporary intelligence by siphoning off a tiny portion of your own mind to infuse the object. Only permanent magic items may be enhanced by this spell-one-use items and charged items cannot be affected by &lt;i&gt;impart mind&lt;/i&gt;. Intelligent magic items cannot be affected by &lt;i&gt;impart mind&lt;/i&gt;.&lt;/p&gt;&lt;p&gt;When you cast &lt;i&gt;impart mind&lt;/i&gt; on a magic item, the item gains an Intelligence, Wisdom, and Charisma score of 10 and gains your alignment. You have no special control over the item once it becomes intelligent, although since it has your alignment, personality conflicts with items you wield won't be a problem. Determine the item's ego normally, as per the rules on intelligent items in the &lt;i&gt;Core Rulebook&lt;/i&gt;.&lt;/p&gt;&lt;p&gt;An item made intelligent via &lt;i&gt;impart mind&lt;/i&gt; communicates via speech and has normal senses to a range of 60 feet. It speaks and reads one language known by you-if you know multiple languages, you may choose which language the item knows.&lt;/p&gt;&lt;p&gt;When you cast &lt;i&gt;impart mind&lt;/i&gt; on an item, roll once on Table 15-24 on page 534 of the &lt;i&gt;Core Rulebook&lt;/i&gt; to randomly determine the item's power-add your caster level to this roll. By expending additional diamond dust in excess of the 1,000 gp worth of material components required to cast this spell, you can gain further bonuses on the d% roll made to determine the item's power. Every additional 100 gp in diamond dust you use in excess grants a cumulative +1 bonus to the roll, up to a maximum additional bonus equal to your caster level. If the item gains the ability to cast a spell, determine the spell it can cast randomly from spells you know of the appropriate level. If the item gains ranks in a skill, it gains ranks in a random skill in which you have at least 1 rank.&lt;/p&gt;&lt;p&gt;If you roll above 100, then you can choose one item power on Table 15-24 in the &lt;i&gt;Core Rulebook&lt;/i&gt; to grant the item, and the item gains a special purpose. Roll once on Tables 15-25 and 15-26 on page 534 of the &lt;i&gt;Core Rulebook&lt;/i&gt; to determine what the item's special purpose and dedicated powers are. These d% rolls are not modified by your caster level or any additional powdered gems you used to cast the spell.&lt;/p&gt;&lt;p&gt;Once this spell ends, the item reverts to its previous nature-if you cast this spell on the item again, it gains entirely different powers as determined by a new set of rolls.&lt;/p&gt;</t>
  </si>
  <si>
    <t>&lt;link rel="stylesheet"href="PF.css"&gt;&lt;div class="heading"&gt;&lt;p class="alignleft"&gt;Impart Mind&lt;/p&gt;&lt;div style="clear: both;"&gt;&lt;/div&gt;&lt;/div&gt;&lt;div&gt;&lt;h5&gt;&lt;b&gt;School &lt;/b&gt;transmutation; &lt;b&gt;Level &lt;/b&gt;cleric 6/oracle 6, magus 5, sorcerer/wizard 6&lt;/h5&gt;&lt;/div&gt;&lt;hr/&gt;&lt;div&gt;&lt;h5&gt;&lt;b&gt;CASTING&lt;/b&gt;&lt;/h5&gt;&lt;/div&gt;&lt;hr/&gt;&lt;div&gt;&lt;h5&gt;&lt;b&gt;Casting Time &lt;/b&gt;2 rounds&lt;/h5&gt;&lt;h5&gt;&lt;b&gt;Components &lt;/b&gt;V, S, M (diamond dust worth at least 1,000 gp)&lt;/h5&gt;&lt;/div&gt;&lt;hr/&gt;&lt;div&gt;&lt;h5&gt;&lt;b&gt;EFFECT&lt;/b&gt;&lt;/h5&gt;&lt;/div&gt;&lt;hr/&gt;&lt;div&gt;&lt;h5&gt;&lt;b&gt;Range &lt;/b&gt;touch&lt;/h5&gt;&lt;h5&gt;&lt;b&gt;Targets &lt;/b&gt;permanent nonintelligent magic item touched&lt;/h5&gt;&lt;h5&gt;&lt;b&gt;Duration &lt;/b&gt;1 hour/level&lt;/h5&gt;&lt;h5&gt;&lt;b&gt;Saving Throw &lt;/b&gt;none; &lt;b&gt;Spell Resistance &lt;/b&gt;no&lt;/h5&gt;&lt;/div&gt;&lt;hr/&gt;&lt;div&gt;&lt;h5&gt;&lt;b&gt;DESCRIPTION&lt;/b&gt;&lt;/h5&gt;&lt;/div&gt;&lt;hr/&gt;&lt;div&gt;&lt;h4&gt;&lt;p&gt;This spell grants the target magic item temporary intelligence by siphoning off a tiny portion of your own mind to infuse the object. Only permanent magic items may be enhanced by this spell-one-use items and charged items cannot be affected by &lt;i&gt;impart mind&lt;/i&gt;. Intelligent magic items cannot be affected by &lt;i&gt;impart mind&lt;/i&gt;.&lt;/p&gt;&lt;p&gt;When you cast &lt;i&gt;impart mind&lt;/i&gt; on a magic item, the item gains an Intelligence, Wisdom, and Charisma score of 10 and gains your alignment. You have no special control over the item once it becomes intelligent, although since it has your alignment, personality conflicts with items you wield won't be a problem. Determine the item's ego normally, as per the rules on intelligent items in the &lt;i&gt;Core Rulebook&lt;/i&gt;.&lt;/p&gt;&lt;p&gt;An item made intelligent via &lt;i&gt;impart mind&lt;/i&gt; communicates via speech and has normal senses to a range of 60 feet. It speaks and reads one language known by you-if you know multiple languages, you may choose which language the item knows.&lt;/p&gt;&lt;p&gt;When you cast &lt;i&gt;impart mind&lt;/i&gt; on an item, roll once on Table 15-24 on page 534 of the &lt;i&gt;Core Rulebook&lt;/i&gt; to randomly determine the item's power-add your caster level to this roll. By expending additional diamond dust in excess of the 1,000 gp worth of material components required to cast this spell, you can gain further bonuses on the d% roll made to determine the item's power. Every additional 100 gp in diamond dust you use in excess grants a cumulative +1 bonus to the roll, up to a maximum additional bonus equal to your caster level. If the item gains the ability to cast a spell, determine the spell it can cast randomly from spells you know of the appropriate level. If the item gains ranks in a skill, it gains ranks in a random skill in which you have at least 1 rank.&lt;/p&gt;&lt;p&gt;If you roll above 100, then you can choose one item power on Table 15-24 in the &lt;i&gt;Core Rulebook&lt;/i&gt; to grant the item, and the item gains a special purpose. Roll once on Tables 15-25 and 15-26 on page 534 of the &lt;i&gt;Core Rulebook&lt;/i&gt; to determine what the item's special purpose and dedicated powers are. These d% rolls are not modified by your caster level or any additional powdered gems you used to cast the spell.&lt;/p&gt;&lt;p&gt;Once this spell ends, the item reverts to its previous nature-if you cast this spell on the item again, it gains entirely different powers as determined by a new set of rolls.&lt;/p&gt;&lt;/h4&gt;&lt;/div&gt;</t>
  </si>
  <si>
    <t>Khain's Army</t>
  </si>
  <si>
    <t>V, S, M/DF (a handful of ghoul's teeth)</t>
  </si>
  <si>
    <t>5 feet</t>
  </si>
  <si>
    <t>1d4+1 ghouls and 1 ghast</t>
  </si>
  <si>
    <t>Fortitude half (see text)</t>
  </si>
  <si>
    <t>Originally created by the priest-king of Nemret Noktoria, the ghoul Kortash Khain, for use by his minions to bolster their forces in battles against their enemies, Khain's army has become a favorite of many necromancers throughout Osirion and beyond. By scattering a handful of ghoul's teeth across the ground, you cause 1d4+1 ghouls led by a single ghast to rise up from the ground around you. The ghouls and their ghast leader must appear in squares adjacent to you, but after that they follow your spoken commands unerringly. If one of the ghouls is destroyed while the spell's duration is still in effect, it bursts into a spray of rotten flesh and necromantic energy that deals 1d6 points of negative energy damage to all adjacent targets-this energy heals undead targets as typical for negative energy damage. If the ghast is destroyed in this manner, it deals twice as much negative energy damage as a ghoul. A successful Fortitude save halves the negative energy damage dealt. When this spell's duration expires, any remaining undead created by this spell crumble apart into dust and blow away without dealing any additional negative energy damage.</t>
  </si>
  <si>
    <t>&lt;p&gt;Originally created by the priest-king of Nemret Noktoria, the ghoul Kortash Khain, for use by his minions to bolster their forces in battles against their enemies, Khain's army has become a favorite of many necromancers throughout Osirion and beyond. By scattering a handful of ghoul's teeth across the ground, you cause 1d4+1 ghouls led by a single ghast to rise up from the ground around you. The ghouls and their ghast leader must appear in squares adjacent to you, but after that they follow your spoken commands unerringly.&lt;/p&gt;&lt;p&gt;If one of the ghouls is destroyed while the spell's duration is still in effect, it bursts into a spray of rotten flesh and necromantic energy that deals 1d6 points of negative energy damage to all adjacent targets-this energy heals undead targets as typical for negative energy damage. If the ghast is destroyed in this manner, it deals twice as much negative energy damage as a ghoul. A successful Fortitude save halves the negative energy damage dealt. When this spell's duration expires, any remaining undead created by this spell crumble apart into dust and blow away without dealing any additional negative energy damage.&lt;/p&gt;</t>
  </si>
  <si>
    <t>&lt;link rel="stylesheet"href="PF.css"&gt;&lt;div class="heading"&gt;&lt;p class="alignleft"&gt;Khain's Army&lt;/p&gt;&lt;div style="clear: both;"&gt;&lt;/div&gt;&lt;/div&gt;&lt;div&gt;&lt;h5&gt;&lt;b&gt;School &lt;/b&gt;necromancy [evil]; &lt;b&gt;Level &lt;/b&gt;cleric 5/oracle 5, sorcerer/wizard 5, witch 5&lt;/h5&gt;&lt;/div&gt;&lt;hr/&gt;&lt;div&gt;&lt;h5&gt;&lt;b&gt;CASTING&lt;/b&gt;&lt;/h5&gt;&lt;/div&gt;&lt;hr/&gt;&lt;div&gt;&lt;h5&gt;&lt;b&gt;Casting Time &lt;/b&gt;1 standard action&lt;/h5&gt;&lt;h5&gt;&lt;b&gt;Components &lt;/b&gt;V, S, M/DF (a handful of ghoul's teeth)&lt;/h5&gt;&lt;/div&gt;&lt;hr/&gt;&lt;div&gt;&lt;h5&gt;&lt;b&gt;EFFECT&lt;/b&gt;&lt;/h5&gt;&lt;/div&gt;&lt;hr/&gt;&lt;div&gt;&lt;h5&gt;&lt;b&gt;Range &lt;/b&gt;5 feet&lt;/h5&gt;&lt;h5&gt;&lt;b&gt;Effect &lt;/b&gt;1d4+1 ghouls and 1 ghast&lt;/h5&gt;&lt;h5&gt;&lt;b&gt;Duration &lt;/b&gt;1 round/level&lt;/h5&gt;&lt;h5&gt;&lt;b&gt;Saving Throw &lt;/b&gt;Fortitude half (see text); &lt;b&gt;Spell Resistance &lt;/b&gt;no&lt;/h5&gt;&lt;/div&gt;&lt;hr/&gt;&lt;div&gt;&lt;h5&gt;&lt;b&gt;DESCRIPTION&lt;/b&gt;&lt;/h5&gt;&lt;/div&gt;&lt;hr/&gt;&lt;div&gt;&lt;h4&gt;&lt;p&gt;Originally created by the priest-king of Nemret Noktoria, the ghoul Kortash Khain, for use by his minions to bolster their forces in battles against their enemies, Khain's army has become a favorite of many necromancers throughout Osirion and beyond. By scattering a handful of ghoul's teeth across the ground, you cause 1d4+1 ghouls led by a single ghast to rise up from the ground around you. The ghouls and their ghast leader must appear in squares adjacent to you, but after that they follow your spoken commands unerringly.&lt;/p&gt;&lt;p&gt;If one of the ghouls is destroyed while the spell's duration is still in effect, it bursts into a spray of rotten flesh and necromantic energy that deals 1d6 points of negative energy damage to all adjacent targets-this energy heals undead targets as typical for negative energy damage. If the ghast is destroyed in this manner, it deals twice as much negative energy damage as a ghoul. A successful Fortitude save halves the negative energy damage dealt. When this spell's duration expires, any remaining undead created by this spell crumble apart into dust and blow away without dealing any additional negative energy damage.&lt;/p&gt;&lt;/h4&gt;&lt;/div&gt;</t>
  </si>
  <si>
    <t>Kiss of the First World</t>
  </si>
  <si>
    <t>bard 4, druid 4</t>
  </si>
  <si>
    <t>V, S, M (diamond dust worth 100 gp)</t>
  </si>
  <si>
    <t>living or undead creature touched</t>
  </si>
  <si>
    <t>This spell-a favorite of fey spellcasters-is traditionally bestowed with a kiss, though all that's really required to gift someone with a kiss of the First World is a touch. This spell infuses a living creature with a surge of positive energy from the First World, filling the target with the raw energies of life. The exact effects of this spell vary, depending on the nature of the creature touched. Constructs are immune to the effects of this spell. Living Creature: A living creature gains a 20-foot increase to his base land speed and a +2 insight bonus on all Charismabased skill checks. In addition, the creature gains fast healing 2. Fire, acid, and negative energy cause this fast healing to stop functioning on the round following the attack. Undead Creature: An undead creature targeted by this spell is staggered for the duration of this spell. It does not gain the benefits of any channel resistance it might normally enjoy, and the save DCs for any of its special attacks (but not spell-like abilities or spells) are reduced by 2.</t>
  </si>
  <si>
    <t>&lt;p&gt;This spell-a favorite of fey spellcasters-is traditionally bestowed with a kiss, though all that's really required to gift someone with a &lt;i&gt;kiss of the First World&lt;/i&gt; is a touch. This spell infuses a living creature with a surge of positive energy from the First World, filling the target with the raw energies of life. The exact effects of this spell vary, depending on the nature of the creature touched. Constructs are immune to the effects of this spell.&lt;/p&gt;&lt;p&gt;&lt;i&gt;Living Creature&lt;/i&gt;: A living creature gains a 20-foot increase to his base land speed and a +2 insight bonus on all Charismabased skill checks. In addition, the creature gains fast healing 2. Fire, acid, and negative energy cause this fast healing to stop functioning on the round following the attack.&lt;/p&gt;&lt;p&gt;&lt;i&gt;Undead Creature&lt;/i&gt;: An undead creature targeted by this spell is staggered for the duration of this spell. It does not gain the benefits of any channel resistance it might normally enjoy, and the save DCs for any of its special attacks (but not spell-like abilities or spells) are reduced by 2.&lt;/p&gt;</t>
  </si>
  <si>
    <t>&lt;link rel="stylesheet"href="PF.css"&gt;&lt;div class="heading"&gt;&lt;p class="alignleft"&gt;Kiss of the First World&lt;/p&gt;&lt;div style="clear: both;"&gt;&lt;/div&gt;&lt;/div&gt;&lt;div&gt;&lt;h5&gt;&lt;b&gt;School &lt;/b&gt;transmutation; &lt;b&gt;Level &lt;/b&gt;bard 4, druid 4&lt;/h5&gt;&lt;/div&gt;&lt;hr/&gt;&lt;div&gt;&lt;h5&gt;&lt;b&gt;CASTING&lt;/b&gt;&lt;/h5&gt;&lt;/div&gt;&lt;hr/&gt;&lt;div&gt;&lt;h5&gt;&lt;b&gt;Casting Time &lt;/b&gt;1 standard action&lt;/h5&gt;&lt;h5&gt;&lt;b&gt;Components &lt;/b&gt;V, S, M (diamond dust worth 100 gp)&lt;/h5&gt;&lt;/div&gt;&lt;hr/&gt;&lt;div&gt;&lt;h5&gt;&lt;b&gt;EFFECT&lt;/b&gt;&lt;/h5&gt;&lt;/div&gt;&lt;hr/&gt;&lt;div&gt;&lt;h5&gt;&lt;b&gt;Range &lt;/b&gt;touch&lt;/h5&gt;&lt;h5&gt;&lt;b&gt;Area &lt;/b&gt;living or undead creature touched&lt;/h5&gt;&lt;h5&gt;&lt;b&gt;Duration &lt;/b&gt;1 round/level&lt;/h5&gt;&lt;h5&gt;&lt;b&gt;Saving Throw &lt;/b&gt;Will negates; &lt;b&gt;Spell Resistance &lt;/b&gt;yes&lt;/h5&gt;&lt;/div&gt;&lt;hr/&gt;&lt;div&gt;&lt;h5&gt;&lt;b&gt;DESCRIPTION&lt;/b&gt;&lt;/h5&gt;&lt;/div&gt;&lt;hr/&gt;&lt;div&gt;&lt;h4&gt;&lt;p&gt;This spell-a favorite of fey spellcasters-is traditionally bestowed with a kiss, though all that's really required to gift someone with a &lt;i&gt;kiss of the First World&lt;/i&gt; is a touch. This spell infuses a living creature with a surge of positive energy from the First World, filling the target with the raw energies of life. The exact effects of this spell vary, depending on the nature of the creature touched. Constructs are immune to the effects of this spell.&lt;/p&gt;&lt;p&gt;&lt;i&gt;Living Creature&lt;/i&gt;: A living creature gains a 20-foot increase to his base land speed and a +2 insight bonus on all Charismabased skill checks. In addition, the creature gains fast healing 2. Fire, acid, and negative energy cause this fast healing to stop functioning on the round following the attack.&lt;/p&gt;&lt;p&gt;&lt;i&gt;Undead Creature&lt;/i&gt;: An undead creature targeted by this spell is staggered for the duration of this spell. It does not gain the benefits of any channel resistance it might normally enjoy, and the save DCs for any of its special attacks (but not spell-like abilities or spells) are reduced by 2.&lt;/p&gt;&lt;/h4&gt;&lt;/div&gt;</t>
  </si>
  <si>
    <t>Light of Iomedae</t>
  </si>
  <si>
    <t>cleric 3/oracle 3, inquisitor 3, paladin 2</t>
  </si>
  <si>
    <t>medium (100 ft. +5 ft./level)</t>
  </si>
  <si>
    <t>all undead in a 10-foot-radius spread</t>
  </si>
  <si>
    <t>With this spell, you create shafts of blue light that illuminate all undead creatures in the area. Affected undead take a -20 penalty on all Stealth checks. Invisible undead are not made visible by this effect, but the light does make it easy to pinpoint the exact squares in which such undead are located (they still retain the 50% miss chance granted by invisibility). The light of Iomedae increases light levels by one step in a 5-foot radius around an affected undead creature. Once an undead is affected, it remains illuminated as long as remains within the spell's range, even if it leaves the spell's original radius, until the spell's duration ends. Affected undead must also make a Will save when they are first illuminated by the light of Iomedae. Those who fail this save lose all benefits of channel resistance and take a -2 penalty on all saving throws made against positive energy effects.</t>
  </si>
  <si>
    <t>&lt;p&gt;With this spell, you create shafts of blue light that illuminate all undead creatures in the area. Affected undead take a -20 penalty on all Stealth checks. Invisible undead are not made visible by this effect, but the light does make it easy to pinpoint the exact squares in which such undead are located (they still retain the 50% miss chance granted by invisibility).&lt;/p&gt;&lt;p&gt;The &lt;i&gt;light of Iomedae&lt;/i&gt; increases light levels by one step in a 5-foot radius around an affected undead creature. Once an undead is affected, it remains illuminated as long as remains within the spell's range, even if it leaves the spell's original radius, until the spell's duration ends.&lt;/p&gt;&lt;p&gt;Affected undead must also make a Will save when they are first illuminated by the &lt;i&gt;light of Iomedae&lt;/i&gt;. Those who fail this save lose all benefits of channel resistance and take a -2 penalty on all saving throws made against positive energy effects.&lt;/p&gt;</t>
  </si>
  <si>
    <t>&lt;link rel="stylesheet"href="PF.css"&gt;&lt;div class="heading"&gt;&lt;p class="alignleft"&gt;Light of Iomedae&lt;/p&gt;&lt;div style="clear: both;"&gt;&lt;/div&gt;&lt;/div&gt;&lt;div&gt;&lt;h5&gt;&lt;b&gt;School &lt;/b&gt;conjuration [good, light]; &lt;b&gt;Level &lt;/b&gt;cleric 3/oracle 3, inquisitor 3, paladin 2&lt;/h5&gt;&lt;/div&gt;&lt;hr/&gt;&lt;div&gt;&lt;h5&gt;&lt;b&gt;CASTING&lt;/b&gt;&lt;/h5&gt;&lt;/div&gt;&lt;hr/&gt;&lt;div&gt;&lt;h5&gt;&lt;b&gt;Casting Time &lt;/b&gt;1 minute&lt;/h5&gt;&lt;h5&gt;&lt;b&gt;Components &lt;/b&gt;V, S, DF&lt;/h5&gt;&lt;/div&gt;&lt;hr/&gt;&lt;div&gt;&lt;h5&gt;&lt;b&gt;EFFECT&lt;/b&gt;&lt;/h5&gt;&lt;/div&gt;&lt;hr/&gt;&lt;div&gt;&lt;h5&gt;&lt;b&gt;Range &lt;/b&gt;medium (100 ft. +5 ft./level)&lt;/h5&gt;&lt;h5&gt;&lt;b&gt;Targets &lt;/b&gt;all undead in a 10-foot-radius spread&lt;/h5&gt;&lt;h5&gt;&lt;b&gt;Duration &lt;/b&gt;1 minute/level&lt;/h5&gt;&lt;h5&gt;&lt;b&gt;Saving Throw &lt;/b&gt;Will partial; &lt;b&gt;Spell Resistance &lt;/b&gt;yes&lt;/h5&gt;&lt;/div&gt;&lt;hr/&gt;&lt;div&gt;&lt;h5&gt;&lt;b&gt;DESCRIPTION&lt;/b&gt;&lt;/h5&gt;&lt;/div&gt;&lt;hr/&gt;&lt;div&gt;&lt;h4&gt;&lt;p&gt;With this spell, you create shafts of blue light that illuminate all undead creatures in the area. Affected undead take a -20 penalty on all Stealth checks. Invisible undead are not made visible by this effect, but the light does make it easy to pinpoint the exact squares in which such undead are located (they still retain the 50% miss chance granted by invisibility).&lt;/p&gt;&lt;p&gt;The &lt;i&gt;light of Iomedae&lt;/i&gt; increases light levels by one step in a 5-foot radius around an affected undead creature. Once an undead is affected, it remains illuminated as long as remains within the spell's range, even if it leaves the spell's original radius, until the spell's duration ends.&lt;/p&gt;&lt;p&gt;Affected undead must also make a Will save when they are first illuminated by the &lt;i&gt;light of Iomedae&lt;/i&gt;. Those who fail this save lose all benefits of channel resistance and take a -2 penalty on all saving throws made against positive energy effects.&lt;/p&gt;&lt;/h4&gt;&lt;/div&gt;</t>
  </si>
  <si>
    <t>Martial Marionette</t>
  </si>
  <si>
    <t>V, S, M (a marionette's crossbar)</t>
  </si>
  <si>
    <t>When you cast this spell, you take partial control of an opponent's limbs, making it difficult for him to attack you. Any attacks made against you by the target of the spell take a -2 penalty due to the erratic and random motions the spell forces onto any efforts to strike you. In addition, any creature suffering the effects of this spell cannot flank you and cannot aid other opponents in flanking you. As long as the affected creature is adjacent to you, you can cause the creature's limbs to flail into the path of other attacks against you as an immediate action. This provides partial cover against that attack, granting you a +2 bonus to AC and a +1 bonus on Reflex saves.</t>
  </si>
  <si>
    <t>&lt;p&gt;When you cast this spell, you take partial control of an opponent's limbs, making it difficult for him to attack you.&lt;/p&gt;&lt;p&gt;Any attacks made against you by the target of the spell take a -2 penalty due to the erratic and random motions the spell forces onto any efforts to strike you. In addition, any creature suffering the effects of this spell cannot flank you and cannot aid other opponents in flanking you.&lt;/p&gt;&lt;p&gt;As long as the affected creature is adjacent to you, you can cause the creature's limbs to flail into the path of other attacks against you as an immediate action. This provides partial cover against that attack, granting you a +2 bonus to AC and a +1 bonus on Reflex saves.&lt;/p&gt;</t>
  </si>
  <si>
    <t>&lt;link rel="stylesheet"href="PF.css"&gt;&lt;div class="heading"&gt;&lt;p class="alignleft"&gt;Martial Marionette&lt;/p&gt;&lt;div style="clear: both;"&gt;&lt;/div&gt;&lt;/div&gt;&lt;div&gt;&lt;h5&gt;&lt;b&gt;School &lt;/b&gt;enchantment (compulsion) [mind-affecting]; &lt;b&gt;Level &lt;/b&gt;bard 3&lt;/h5&gt;&lt;/div&gt;&lt;hr/&gt;&lt;div&gt;&lt;h5&gt;&lt;b&gt;CASTING&lt;/b&gt;&lt;/h5&gt;&lt;/div&gt;&lt;hr/&gt;&lt;div&gt;&lt;h5&gt;&lt;b&gt;Casting Time &lt;/b&gt;1 standard action&lt;/h5&gt;&lt;h5&gt;&lt;b&gt;Components &lt;/b&gt;V, S, M (a marionette's crossbar)&lt;/h5&gt;&lt;/div&gt;&lt;hr/&gt;&lt;div&gt;&lt;h5&gt;&lt;b&gt;EFFECT&lt;/b&gt;&lt;/h5&gt;&lt;/div&gt;&lt;hr/&gt;&lt;div&gt;&lt;h5&gt;&lt;b&gt;Range &lt;/b&gt;close (25 ft. + 5 ft./2 levels)&lt;/h5&gt;&lt;h5&gt;&lt;b&gt;Targets &lt;/b&gt;1 creature&lt;/h5&gt;&lt;h5&gt;&lt;b&gt;Duration &lt;/b&gt;1 round/level&lt;/h5&gt;&lt;h5&gt;&lt;b&gt;Saving Throw &lt;/b&gt;Will negates; &lt;b&gt;Spell Resistance &lt;/b&gt;yes&lt;/h5&gt;&lt;/div&gt;&lt;hr/&gt;&lt;div&gt;&lt;h5&gt;&lt;b&gt;DESCRIPTION&lt;/b&gt;&lt;/h5&gt;&lt;/div&gt;&lt;hr/&gt;&lt;div&gt;&lt;h4&gt;&lt;p&gt;When you cast this spell, you take partial control of an opponent's limbs, making it difficult for him to attack you.&lt;/p&gt;&lt;p&gt;Any attacks made against you by the target of the spell take a -2 penalty due to the erratic and random motions the spell forces onto any efforts to strike you. In addition, any creature suffering the effects of this spell cannot flank you and cannot aid other opponents in flanking you.&lt;/p&gt;&lt;p&gt;As long as the affected creature is adjacent to you, you can cause the creature's limbs to flail into the path of other attacks against you as an immediate action. This provides partial cover against that attack, granting you a +2 bonus to AC and a +1 bonus on Reflex saves.&lt;/p&gt;&lt;/h4&gt;&lt;/div&gt;</t>
  </si>
  <si>
    <t>Martyr's Bargain</t>
  </si>
  <si>
    <t>Among the faithful followers of the gods of purity-whether they be the servants of Desna in Nidal, zealous followers of Milani struggling against Cheliax's government, paladins of Iomedae fighting against the horrors of the Worldwound, or simply those that fight evil the world over-martyr's bargain represents true faith and true sacrifice. You cast this spell as an immediate action when you are subject to a spell or spell-like ability that deals hit point damage, after attack rolls and saving throws have been rolled but before the damage itself is determined. The damage dealt by the spell and any related effects are then delayed for you (and you only) for a number of rounds equal to your caster level. At the end of that time (or immediately if martyr's bargain is dispelled), the delayed damage takes effect on you as it would have at the time it was cast, but is maximized as if affected by the Maximize Spell metamagic feat. Spells and spell-like abilities that were already maximized gain no additional benefit from this spell. Nothing can prevent this delayed damage from affecting you. You can be affected by only one martyr's bargain spell at a time. If you cast this spell while you are already under the effects of a previous martyr's bargain, the previous spell effect ends and you immediately take the damage it had delayed.</t>
  </si>
  <si>
    <t>&lt;p&gt;Among the faithful followers of the gods of purity-whether they be the servants of Desna in Nidal, zealous followers of Milani struggling against Cheliax's government, paladins of Iomedae fighting against the horrors of the Worldwound, or simply those that fight evil the world over-martyr's bargain represents true faith and true sacrifice.&lt;/p&gt;&lt;p&gt; You cast this spell as an immediate action when you are subject to a spell or spell-like ability that deals hit point damage, after attack rolls and saving throws have been rolled but before the damage itself is determined. The damage dealt by the spell and any related effects are then delayed for you (and you only) for a number of rounds equal to your caster level.&lt;/p&gt;&lt;p&gt; At the end of that time (or immediately if martyr's bargain is dispelled), the delayed damage takes effect on you as it would have at the time it was cast, but is maximized as if affected by the Maximize Spell metamagic feat. Spells and spell-like abilities that were already maximized gain no additional benefit from this spell. Nothing can prevent this delayed damage from affecting you.&lt;/p&gt;&lt;p&gt; You can be affected by only one martyr's bargain spell at a time. If you cast this spell while you are already under the effects of a previous martyr's bargain, the previous spell effect ends and you immediately take the damage it had delayed.&lt;/p&gt;</t>
  </si>
  <si>
    <t>&lt;link rel="stylesheet"href="PF.css"&gt;&lt;div class="heading"&gt;&lt;p class="alignleft"&gt;Martyr's Bargain&lt;/p&gt;&lt;div style="clear: both;"&gt;&lt;/div&gt;&lt;/div&gt;&lt;div&gt;&lt;h5&gt;&lt;b&gt;School &lt;/b&gt;transmutation [good]; &lt;b&gt;Level &lt;/b&gt;cleric 2/oracle 2, paladin 2&lt;/h5&gt;&lt;/div&gt;&lt;hr/&gt;&lt;div&gt;&lt;h5&gt;&lt;b&gt;CASTING&lt;/b&gt;&lt;/h5&gt;&lt;/div&gt;&lt;hr/&gt;&lt;div&gt;&lt;h5&gt;&lt;b&gt;Casting Time &lt;/b&gt;1 immediate action&lt;/h5&gt;&lt;h5&gt;&lt;b&gt;Components &lt;/b&gt;V&lt;/h5&gt;&lt;/div&gt;&lt;hr/&gt;&lt;div&gt;&lt;h5&gt;&lt;b&gt;EFFECT&lt;/b&gt;&lt;/h5&gt;&lt;/div&gt;&lt;hr/&gt;&lt;div&gt;&lt;h5&gt;&lt;b&gt;Range &lt;/b&gt;personal&lt;/h5&gt;&lt;h5&gt;&lt;b&gt;Targets &lt;/b&gt;you&lt;/h5&gt;&lt;h5&gt;&lt;b&gt;Duration &lt;/b&gt;1 round/level&lt;/h5&gt;&lt;h5&gt;&lt;b&gt;Saving Throw &lt;/b&gt;none; &lt;b&gt;Spell Resistance &lt;/b&gt;no&lt;/h5&gt;&lt;/div&gt;&lt;hr/&gt;&lt;div&gt;&lt;h5&gt;&lt;b&gt;DESCRIPTION&lt;/b&gt;&lt;/h5&gt;&lt;/div&gt;&lt;hr/&gt;&lt;div&gt;&lt;h4&gt;&lt;p&gt;Among the faithful followers of the gods of purity-whether they be the servants of Desna in Nidal, zealous followers of Milani struggling against Cheliax's government, paladins of Iomedae fighting against the horrors of the Worldwound, or simply those that fight evil the world over-martyr's bargain represents true faith and true sacrifice.&lt;/p&gt;&lt;p&gt; You cast this spell as an immediate action when you are subject to a spell or spell-like ability that deals hit point damage, after attack rolls and saving throws have been rolled but before the damage itself is determined. The damage dealt by the spell and any related effects are then delayed for you (and you only) for a number of rounds equal to your caster level.&lt;/p&gt;&lt;p&gt; At the end of that time (or immediately if martyr's bargain is dispelled), the delayed damage takes effect on you as it would have at the time it was cast, but is maximized as if affected by the Maximize Spell metamagic feat. Spells and spell-like abilities that were already maximized gain no additional benefit from this spell. Nothing can prevent this delayed damage from affecting you.&lt;/p&gt;&lt;p&gt; You can be affected by only one martyr's bargain spell at a time. If you cast this spell while you are already under the effects of a previous martyr's bargain, the previous spell effect ends and you immediately take the damage it had delayed.&lt;/p&gt;&lt;/h4&gt;&lt;/div&gt;</t>
  </si>
  <si>
    <t>Music of the Spheres</t>
  </si>
  <si>
    <t>bard 5, cleric 6/oracle 6</t>
  </si>
  <si>
    <t>V, S, M (a stick of incense treated with special balms)</t>
  </si>
  <si>
    <t>20-ft.-radius spherical emanation, centered on you</t>
  </si>
  <si>
    <t>concentration, up to 1 round per level</t>
  </si>
  <si>
    <t>As any scholar of Desnan lore or astrologer can tell you, the music of the spheres is the harmonic constant that plays under and through all of reality. It is this constant song, this otherworldly music, that keeps the laws of reality constant and the connections between the planes of existence strong. With this spell, one can amplify the underlying music of the spheres in the spell's area of effect to infuse yourself and all creatures within 20 feet of you, friend and foe alike. All creatures that begin their turn within the area of this spell's effect gain fast healing 5, resistance 10 to all energy types, and a +3 sacred bonus on all saving throws against poison and disease. Any creature that enters the area of effect does not gain the benefits of the music of the spheres until it begins its turn in that area. You must maintain concentration on the amplification of the music or the effects immediately end, but you can move around to prevent enemies from gaining the benefits of this spell.</t>
  </si>
  <si>
    <t>&lt;p&gt;As any scholar of Desnan lore or astrologer can tell you, the music of the spheres is the harmonic constant that plays under and through all of reality. It is this constant song, this otherworldly music, that keeps the laws of reality constant and the connections between the planes of existence strong.&lt;/p&gt;&lt;p&gt;With this spell, one can amplify the underlying music of the spheres in the spell's area of effect to infuse yourself and all creatures within 20 feet of you, friend and foe alike. All creatures that begin their turn within the area of this spell's effect gain fast healing 5, resistance 10 to all energy types, and a +3 sacred bonus on all saving throws against poison and disease. Any creature that enters the area of effect does not gain the benefits of the music of the spheres until it begins its turn in that area. You must maintain concentration on the amplification of the music or the effects immediately end, but you can move around to prevent enemies from gaining the benefits of this spell.&lt;/p&gt;</t>
  </si>
  <si>
    <t>&lt;link rel="stylesheet"href="PF.css"&gt;&lt;div class="heading"&gt;&lt;p class="alignleft"&gt;Music of the Spheres&lt;/p&gt;&lt;div style="clear: both;"&gt;&lt;/div&gt;&lt;/div&gt;&lt;div&gt;&lt;h5&gt;&lt;b&gt;School &lt;/b&gt;conjuration (healing) [sonic]; &lt;b&gt;Level &lt;/b&gt;bard 5, cleric 6/oracle 6&lt;/h5&gt;&lt;/div&gt;&lt;hr/&gt;&lt;div&gt;&lt;h5&gt;&lt;b&gt;CASTING&lt;/b&gt;&lt;/h5&gt;&lt;/div&gt;&lt;hr/&gt;&lt;div&gt;&lt;h5&gt;&lt;b&gt;Casting Time &lt;/b&gt;1 standard action&lt;/h5&gt;&lt;h5&gt;&lt;b&gt;Components &lt;/b&gt;V, S, M (a stick of incense treated with special balms)&lt;/h5&gt;&lt;/div&gt;&lt;hr/&gt;&lt;div&gt;&lt;h5&gt;&lt;b&gt;EFFECT&lt;/b&gt;&lt;/h5&gt;&lt;/div&gt;&lt;hr/&gt;&lt;div&gt;&lt;h5&gt;&lt;b&gt;Range &lt;/b&gt;20 ft.&lt;/h5&gt;&lt;h5&gt;&lt;b&gt;Area &lt;/b&gt;20-ft.-radius spherical emanation, centered on you&lt;/h5&gt;&lt;h5&gt;&lt;b&gt;Duration &lt;/b&gt;concentration, up to 1 round per level&lt;/h5&gt;&lt;h5&gt;&lt;b&gt;Saving Throw &lt;/b&gt;none; &lt;b&gt;Spell Resistance &lt;/b&gt;yes (harmless)&lt;/h5&gt;&lt;/div&gt;&lt;hr/&gt;&lt;div&gt;&lt;h5&gt;&lt;b&gt;DESCRIPTION&lt;/b&gt;&lt;/h5&gt;&lt;/div&gt;&lt;hr/&gt;&lt;div&gt;&lt;h4&gt;&lt;p&gt;As any scholar of Desnan lore or astrologer can tell you, the music of the spheres is the harmonic constant that plays under and through all of reality. It is this constant song, this otherworldly music, that keeps the laws of reality constant and the connections between the planes of existence strong.&lt;/p&gt;&lt;p&gt;With this spell, one can amplify the underlying music of the spheres in the spell's area of effect to infuse yourself and all creatures within 20 feet of you, friend and foe alike. All creatures that begin their turn within the area of this spell's effect gain fast healing 5, resistance 10 to all energy types, and a +3 sacred bonus on all saving throws against poison and disease. Any creature that enters the area of effect does not gain the benefits of the music of the spheres until it begins its turn in that area. You must maintain concentration on the amplification of the music or the effects immediately end, but you can move around to prevent enemies from gaining the benefits of this spell.&lt;/p&gt;&lt;/h4&gt;&lt;/div&gt;</t>
  </si>
  <si>
    <t>Orchid's Drop</t>
  </si>
  <si>
    <t>V, S, M (a much-diluted drop of sun orchid nectar worth 500 gp)</t>
  </si>
  <si>
    <t>Alchemists have tried for centuries to recreate Artokus Kirran's feat of genius that created the sun orchid elixir. Although they have yet to unlock the elixir's exact formula, their efforts have not been entirely wasted. One by-product of their experiments was the orchid's drop formula. This extract, distilled from a much-diluted drop of the nectar of a sun orchid flower, can transform an alchemist's mutagen into a potent healing tonic. As long as you're under the effects of orchid's drop, drinking a dose of your mutagen heals you of 2d10 points of damage. For the spell's duration, you gain a +2 alchemical bonus on all saving throws.</t>
  </si>
  <si>
    <t>&lt;p&gt;Alchemists have tried for centuries to recreate Artokus Kirran's feat of genius that created the &lt;i&gt;sun orchid elixir&lt;/i&gt;.&lt;/p&gt;&lt;p&gt;Although they have yet to unlock the elixir's exact formula, their efforts have not been entirely wasted. One by-product of their experiments was the orchid's drop formula. This extract, distilled from a much-diluted drop of the nectar of a sun orchid flower, can transform an alchemist's mutagen into a potent healing tonic.&lt;/p&gt;&lt;p&gt;As long as you're under the effects of orchid's drop, drinking a dose of your mutagen heals you of 2d10 points of damage. For the spell's duration, you gain a +2 alchemical bonus on all saving throws.&lt;/p&gt;</t>
  </si>
  <si>
    <t>&lt;link rel="stylesheet"href="PF.css"&gt;&lt;div class="heading"&gt;&lt;p class="alignleft"&gt;Orchid's Drop&lt;/p&gt;&lt;div style="clear: both;"&gt;&lt;/div&gt;&lt;/div&gt;&lt;div&gt;&lt;h5&gt;&lt;b&gt;School &lt;/b&gt;transmutation; &lt;b&gt;Level &lt;/b&gt;alchemist 3&lt;/h5&gt;&lt;/div&gt;&lt;hr/&gt;&lt;div&gt;&lt;h5&gt;&lt;b&gt;CASTING&lt;/b&gt;&lt;/h5&gt;&lt;/div&gt;&lt;hr/&gt;&lt;div&gt;&lt;h5&gt;&lt;b&gt;Casting Time &lt;/b&gt;1 standard action&lt;/h5&gt;&lt;h5&gt;&lt;b&gt;Components &lt;/b&gt;V, S, M (a much-diluted drop of sun orchid nectar worth 500 gp)&lt;/h5&gt;&lt;/div&gt;&lt;hr/&gt;&lt;div&gt;&lt;h5&gt;&lt;b&gt;EFFECT&lt;/b&gt;&lt;/h5&gt;&lt;/div&gt;&lt;hr/&gt;&lt;div&gt;&lt;h5&gt;&lt;b&gt;Range &lt;/b&gt;personal&lt;/h5&gt;&lt;h5&gt;&lt;b&gt;Targets &lt;/b&gt;you&lt;/h5&gt;&lt;h5&gt;&lt;b&gt;Duration &lt;/b&gt;1 hour/level&lt;/h5&gt;&lt;/div&gt;&lt;hr/&gt;&lt;div&gt;&lt;h5&gt;&lt;b&gt;DESCRIPTION&lt;/b&gt;&lt;/h5&gt;&lt;/div&gt;&lt;hr/&gt;&lt;div&gt;&lt;h4&gt;&lt;p&gt;Alchemists have tried for centuries to recreate Artokus Kirran's feat of genius that created the &lt;i&gt;sun orchid elixir&lt;/i&gt;.&lt;/p&gt;&lt;p&gt;Although they have yet to unlock the elixir's exact formula, their efforts have not been entirely wasted. One by-product of their experiments was the orchid's drop formula. This extract, distilled from a much-diluted drop of the nectar of a sun orchid flower, can transform an alchemist's mutagen into a potent healing tonic.&lt;/p&gt;&lt;p&gt;As long as you're under the effects of orchid's drop, drinking a dose of your mutagen heals you of 2d10 points of damage. For the spell's duration, you gain a +2 alchemical bonus on all saving throws.&lt;/p&gt;&lt;/h4&gt;&lt;/div&gt;</t>
  </si>
  <si>
    <t>Pugwampi's Grace</t>
  </si>
  <si>
    <t>V, S, M (a pugwampi's hair)</t>
  </si>
  <si>
    <t>short (25 ft. + 5 ft./2 levels)</t>
  </si>
  <si>
    <t>one creature (see below)</t>
  </si>
  <si>
    <t>Hated by adventurers throughout the Inner Sea region, the gremlins known as pugwampis infect those around them with a malignant form of unluck-an effect that this spell emulates. If the target fails its Will save, it becomes infused with the so-called "grace of the pugwampi." A creature affected by this spell must roll two d20s whenever a situation calls for a d20 roll (such as an attack roll, a skill check, or a saving throw) and must use the lower of the two results generated. As with the aura shed by actual pugwampies, this spell has no effect on animals, gremlins, or gnolls. The effects of this spell are negated as long as a target gains any sort of luck bonus to a d20 roll (such as those granted by a luckstone or divine favor), but the spell's duration is not impacted by these effects. If the luck bonus goes away before the pugwampi's grace effect ends, the unluck returns and remains until the spell's normal duration runs out.</t>
  </si>
  <si>
    <t>&lt;p&gt;Hated by adventurers throughout the Inner Sea region, the gremlins known as pugwampis infect those around them with a malignant form of unluck-an effect that this spell emulates. If the target fails its Will save, it becomes infused with the so-called "grace of the pugwampi." A creature affected by this spell must roll two d20s whenever a situation calls for a d20 roll (such as an attack roll, a skill check, or a saving throw) and must use the lower of the two results generated. As with the aura shed by actual pugwampies, this spell has no effect on animals, gremlins, or gnolls. The effects of this spell are negated as long as a target gains any sort of luck bonus to a d20 roll (such as those granted by a &lt;i&gt;luckstone&lt;/i&gt; or &lt;i&gt;divine&lt;/i&gt; favor), but the spell's duration is not impacted by these effects. If the luck bonus goes away before the pugwampi's grace effect ends, the unluck returns and remains until the spell's normal duration runs out.&lt;/p&gt;</t>
  </si>
  <si>
    <t>&lt;link rel="stylesheet"href="PF.css"&gt;&lt;div class="heading"&gt;&lt;p class="alignleft"&gt;Pugwampi's Grace&lt;/p&gt;&lt;div style="clear: both;"&gt;&lt;/div&gt;&lt;/div&gt;&lt;div&gt;&lt;h5&gt;&lt;b&gt;School &lt;/b&gt;enchantment (compulsion) [mind-affecting]; &lt;b&gt;Level &lt;/b&gt;bard 2, sorcerer/wizard 3, witch 3&lt;/h5&gt;&lt;/div&gt;&lt;hr/&gt;&lt;div&gt;&lt;h5&gt;&lt;b&gt;CASTING&lt;/b&gt;&lt;/h5&gt;&lt;/div&gt;&lt;hr/&gt;&lt;div&gt;&lt;h5&gt;&lt;b&gt;Casting Time &lt;/b&gt;1 standard action&lt;/h5&gt;&lt;h5&gt;&lt;b&gt;Components &lt;/b&gt;V, S, M (a pugwampi's hair)&lt;/h5&gt;&lt;/div&gt;&lt;hr/&gt;&lt;div&gt;&lt;h5&gt;&lt;b&gt;EFFECT&lt;/b&gt;&lt;/h5&gt;&lt;/div&gt;&lt;hr/&gt;&lt;div&gt;&lt;h5&gt;&lt;b&gt;Range &lt;/b&gt;short (25 ft. + 5 ft./2 levels)&lt;/h5&gt;&lt;h5&gt;&lt;b&gt;Targets &lt;/b&gt;one creature (see below)&lt;/h5&gt;&lt;h5&gt;&lt;b&gt;Duration &lt;/b&gt;1 round/level&lt;/h5&gt;&lt;h5&gt;&lt;b&gt;Saving Throw &lt;/b&gt;Will negates; &lt;b&gt;Spell Resistance &lt;/b&gt;yes&lt;/h5&gt;&lt;/div&gt;&lt;hr/&gt;&lt;div&gt;&lt;h5&gt;&lt;b&gt;DESCRIPTION&lt;/b&gt;&lt;/h5&gt;&lt;/div&gt;&lt;hr/&gt;&lt;div&gt;&lt;h4&gt;&lt;p&gt;Hated by adventurers throughout the Inner Sea region, the gremlins known as pugwampis infect those around them with a malignant form of unluck-an effect that this spell emulates. If the target fails its Will save, it becomes infused with the so-called "grace of the pugwampi." A creature affected by this spell must roll two d20s whenever a situation calls for a d20 roll (such as an attack roll, a skill check, or a saving throw) and must use the lower of the two results generated. As with the aura shed by actual pugwampies, this spell has no effect on animals, gremlins, or gnolls. The effects of this spell are negated as long as a target gains any sort of luck bonus to a d20 roll (such as those granted by a &lt;i&gt;luckstone&lt;/i&gt; or &lt;i&gt;divine&lt;/i&gt; favor), but the spell's duration is not impacted by these effects. If the luck bonus goes away before the pugwampi's grace effect ends, the unluck returns and remains until the spell's normal duration runs out.&lt;/p&gt;&lt;/h4&gt;&lt;/div&gt;</t>
  </si>
  <si>
    <t>Shadow Barbs</t>
  </si>
  <si>
    <t>cleric 4/oracle 4, inquisitor 4, sorcerer/wizard 4</t>
  </si>
  <si>
    <t>V, S, M (a single link from a spiked chain)</t>
  </si>
  <si>
    <t>spiked chain-like shadowy weapon</t>
  </si>
  <si>
    <t>This spell, developed originally by priests of Zon-Kuthon in Nidal's early years, has recently crossed the boundary between divine and arcane magic. Although it still bears some of the stigma of being associated with the Midnight Lord, it's rapidly becoming a favorite spell of magi and other martially minded arcane spellcasters. When you cast this spell, you create a shadowy spiked chain that shimmers and pulses with darkness. The chain exists as long as you carry it; if you ever drop the chain, give it to another, or are disarmed, it immediately vanishes and the spell's duration ends. The chain radiates darkness in a 10-foot-radius spread around you, reducing the illumination level in this area by one step, but not below the level of dim light. You can wield the shadow barbs as a spiked chain as if you were fully proficient with spiked chains. Any additional abilities or feats that you possess that apply to spiked chains apply to the shadow barbs as well. The weapon functions as a +2 vicious spiked chain. Its enhancement bonus increases to +3 at caster level 11th, to +4 at caster level 15th, and finally to +5 at caster level 19th. When the spell effect ends, you can make a Will save against the spell-if successful, all of the damage caused to you by the shadow barbs' vicious weapon quality vanishes, unless you are dead or unconscious at the time the spell ends, in which case you automatically fail this Will save and the vicious weapon damage remains.</t>
  </si>
  <si>
    <t>&lt;p&gt;This spell, developed originally by priests of Zon-Kuthon in Nidal's early years, has recently crossed the boundary between divine and arcane magic. Although it still bears some of the stigma of being associated with the Midnight Lord, it's rapidly becoming a favorite spell of magi and other martially minded arcane spellcasters.&lt;/p&gt;&lt;p&gt;When you cast this spell, you create a &lt;i&gt;shadow&lt;/i&gt;y spiked chain that shimmers and pulses with darkness. The chain exists as long as you carry it; if you ever drop the chain, give it to another, or are disarmed, it immediately vanishes and the spell's duration ends.&lt;/p&gt;&lt;p&gt;The chain radiates darkness in a 10-foot-radius spread around you, reducing the illumination level in this area by one step, but not below the level of dim light.&lt;/p&gt;&lt;p&gt;You can wield the &lt;i&gt;&lt;i&gt;shadow&lt;/i&gt; barbs&lt;/i&gt; as a spiked chain as if you were fully proficient with spiked chains. Any additional abilities or feats that you possess that apply to spiked chains apply to the &lt;i&gt;&lt;i&gt;shadow&lt;/i&gt; barbs&lt;/i&gt; as well. The weapon functions as a &lt;i&gt;+2 vicious spiked chain&lt;/i&gt;. Its enhancement bonus increases to +3 at caster level 11th, to +4 at caster level 15th, and finally to +5 at caster level 19th. When the spell effect ends, you can make a Will save against the spell-if successful, all of the damage caused to you by the &lt;i&gt;&lt;i&gt;shadow&lt;/i&gt; barbs&lt;/i&gt;' vicious weapon quality vanishes, unless you are dead or unconscious at the time the spell ends, in which case you automatically fail this Will save and the vicious weapon damage remains.&lt;/p&gt;</t>
  </si>
  <si>
    <t>&lt;link rel="stylesheet"href="PF.css"&gt;&lt;div class="heading"&gt;&lt;p class="alignleft"&gt;Shadow Barbs&lt;/p&gt;&lt;div style="clear: both;"&gt;&lt;/div&gt;&lt;/div&gt;&lt;div&gt;&lt;h5&gt;&lt;b&gt;School &lt;/b&gt;illusion (shadow) [darkness]; &lt;b&gt;Level &lt;/b&gt;cleric 4/oracle 4, inquisitor 4, sorcerer/wizard 4&lt;/h5&gt;&lt;/div&gt;&lt;hr/&gt;&lt;div&gt;&lt;h5&gt;&lt;b&gt;CASTING&lt;/b&gt;&lt;/h5&gt;&lt;/div&gt;&lt;hr/&gt;&lt;div&gt;&lt;h5&gt;&lt;b&gt;Casting Time &lt;/b&gt;1 standard action&lt;/h5&gt;&lt;h5&gt;&lt;b&gt;Components &lt;/b&gt;V, S, M (a single link from a spiked chain)&lt;/h5&gt;&lt;/div&gt;&lt;hr/&gt;&lt;div&gt;&lt;h5&gt;&lt;b&gt;EFFECT&lt;/b&gt;&lt;/h5&gt;&lt;/div&gt;&lt;hr/&gt;&lt;div&gt;&lt;h5&gt;&lt;b&gt;Range &lt;/b&gt;0 ft.&lt;/h5&gt;&lt;h5&gt;&lt;b&gt;Effect &lt;/b&gt;spiked chain-like shadowy weapon&lt;/h5&gt;&lt;h5&gt;&lt;b&gt;Duration &lt;/b&gt;1 round/level&lt;/h5&gt;&lt;h5&gt;&lt;b&gt;Saving Throw &lt;/b&gt;Will negates (see text); &lt;b&gt;Spell Resistance &lt;/b&gt;no&lt;/h5&gt;&lt;/div&gt;&lt;hr/&gt;&lt;div&gt;&lt;h5&gt;&lt;b&gt;DESCRIPTION&lt;/b&gt;&lt;/h5&gt;&lt;/div&gt;&lt;hr/&gt;&lt;div&gt;&lt;h4&gt;&lt;p&gt;This spell, developed originally by priests of Zon-Kuthon in Nidal's early years, has recently crossed the boundary between divine and arcane magic. Although it still bears some of the stigma of being associated with the Midnight Lord, it's rapidly becoming a favorite spell of magi and other martially minded arcane spellcasters.&lt;/p&gt;&lt;p&gt;When you cast this spell, you create a &lt;i&gt;shadow&lt;/i&gt;y spiked chain that shimmers and pulses with darkness. The chain exists as long as you carry it; if you ever drop the chain, give it to another, or are disarmed, it immediately vanishes and the spell's duration ends.&lt;/p&gt;&lt;p&gt;The chain radiates darkness in a 10-foot-radius spread around you, reducing the illumination level in this area by one step, but not below the level of dim light.&lt;/p&gt;&lt;p&gt;You can wield the &lt;i&gt;&lt;i&gt;shadow&lt;/i&gt; barbs&lt;/i&gt; as a spiked chain as if you were fully proficient with spiked chains. Any additional abilities or feats that you possess that apply to spiked chains apply to the &lt;i&gt;&lt;i&gt;shadow&lt;/i&gt; barbs&lt;/i&gt; as well. The weapon functions as a &lt;i&gt;+2 vicious spiked chain&lt;/i&gt;. Its enhancement bonus increases to +3 at caster level 11th, to +4 at caster level 15th, and finally to +5 at caster level 19th. When the spell effect ends, you can make a Will save against the spell-if successful, all of the damage caused to you by the &lt;i&gt;&lt;i&gt;shadow&lt;/i&gt; barbs&lt;/i&gt;' vicious weapon quality vanishes, unless you are dead or unconscious at the time the spell ends, in which case you automatically fail this Will save and the vicious weapon damage remains.&lt;/p&gt;&lt;/h4&gt;&lt;/div&gt;</t>
  </si>
  <si>
    <t>Shining Cord</t>
  </si>
  <si>
    <t>V, S, M (a small length fine of silver chain worth 100 gp)</t>
  </si>
  <si>
    <t>1 round/level or instantaneous (see below)</t>
  </si>
  <si>
    <t>Fortitude partial (see below)</t>
  </si>
  <si>
    <t>When you cast this spell, you make a ranged touch attack against a single opponent within 30 feet. If you hit, a thin silver strand extends from your body to its, forming a connection that allows you to anticipate its actions. For the duration of the spell, you receive a +5 insight bonus on all Perception and Sense Motive checks opposed by the target. You gain a +5 insight bonus on all Spellcraft checks made to identify your opponent's spell as part of a counterspelling attempt. Finally, you gain a +2 dodge bonus to your AC against attacks made against you by the target. Lastly, if either you or the target moves more than 30 feet away from the other, the cord crackles with a surge of light and sends a blast of force along its length to the other end. This blast deals 1d6 points of damage per two caster levels (maximum 10d6) and stuns the one who moved out of range for 1 round-a successful Fortitude save halves the damage and negates the stun effect. This blast ends the spell and severs the connection between you and your target. Although the shining cord makes a visible connection between you and your target, creatures can move through it without ill effect. The cord even passes through solid objects as necessary to maintain the connection between you and the target.</t>
  </si>
  <si>
    <t>&lt;p&gt;When you cast this spell, you make a ranged touch attack against a single opponent within 30 feet. If you hit, a thin silver strand extends from your body to its, forming a connection that allows you to anticipate its actions. For the duration of the spell, you receive a +5 insight bonus on all Perception and Sense Motive checks opposed by the target.&lt;/p&gt;&lt;p&gt;You gain a +5 insight bonus on all Spellcraft checks made to identify your opponent's spell as part of a counterspelling attempt. Finally, you gain a +2 dodge bonus to your AC against attacks made against you by the target.&lt;/p&gt;&lt;p&gt;Lastly, if either you or the target moves more than 30 feet away from the other, the cord crackles with a surge of light and sends a blast of force along its length to the other end.&lt;/p&gt;&lt;p&gt;This blast deals 1d6 points of damage per two caster levels (maximum 10d6) and stuns the one who moved out of range for 1 round-a successful Fortitude save halves the damage and negates the stun effect. This blast ends the spell and severs the connection between you and your target.&lt;/p&gt;&lt;p&gt;Although the &lt;i&gt;shining cord&lt;/i&gt; makes a visible connection between you and your target, creatures can move through it without ill effect. The cord even passes through solid objects as necessary to maintain the connection between you and the target.&lt;/p&gt;</t>
  </si>
  <si>
    <t>&lt;link rel="stylesheet"href="PF.css"&gt;&lt;div class="heading"&gt;&lt;p class="alignleft"&gt;Shining Cord&lt;/p&gt;&lt;div style="clear: both;"&gt;&lt;/div&gt;&lt;/div&gt;&lt;div&gt;&lt;h5&gt;&lt;b&gt;School &lt;/b&gt;evocation [force]; &lt;b&gt;Level &lt;/b&gt;magus 3&lt;/h5&gt;&lt;/div&gt;&lt;hr/&gt;&lt;div&gt;&lt;h5&gt;&lt;b&gt;CASTING&lt;/b&gt;&lt;/h5&gt;&lt;/div&gt;&lt;hr/&gt;&lt;div&gt;&lt;h5&gt;&lt;b&gt;Casting Time &lt;/b&gt;1 standard action&lt;/h5&gt;&lt;h5&gt;&lt;b&gt;Components &lt;/b&gt;V, S, M (a small length fine of silver chain worth 100 gp)&lt;/h5&gt;&lt;/div&gt;&lt;hr/&gt;&lt;div&gt;&lt;h5&gt;&lt;b&gt;EFFECT&lt;/b&gt;&lt;/h5&gt;&lt;/div&gt;&lt;hr/&gt;&lt;div&gt;&lt;h5&gt;&lt;b&gt;Range &lt;/b&gt;30 ft.&lt;/h5&gt;&lt;h5&gt;&lt;b&gt;Targets &lt;/b&gt;1 creature&lt;/h5&gt;&lt;h5&gt;&lt;b&gt;Duration &lt;/b&gt;1 round/level or instantaneous (see below)&lt;/h5&gt;&lt;h5&gt;&lt;b&gt;Saving Throw &lt;/b&gt;Fortitude partial (see below); &lt;b&gt;Spell Resistance &lt;/b&gt;yes&lt;/h5&gt;&lt;/div&gt;&lt;hr/&gt;&lt;div&gt;&lt;h5&gt;&lt;b&gt;DESCRIPTION&lt;/b&gt;&lt;/h5&gt;&lt;/div&gt;&lt;hr/&gt;&lt;div&gt;&lt;h4&gt;&lt;p&gt;When you cast this spell, you make a ranged touch attack against a single opponent within 30 feet. If you hit, a thin silver strand extends from your body to its, forming a connection that allows you to anticipate its actions. For the duration of the spell, you receive a +5 insight bonus on all Perception and Sense Motive checks opposed by the target.&lt;/p&gt;&lt;p&gt;You gain a +5 insight bonus on all Spellcraft checks made to identify your opponent's spell as part of a counterspelling attempt. Finally, you gain a +2 dodge bonus to your AC against attacks made against you by the target.&lt;/p&gt;&lt;p&gt;Lastly, if either you or the target moves more than 30 feet away from the other, the cord crackles with a surge of light and sends a blast of force along its length to the other end.&lt;/p&gt;&lt;p&gt;This blast deals 1d6 points of damage per two caster levels (maximum 10d6) and stuns the one who moved out of range for 1 round-a successful Fortitude save halves the damage and negates the stun effect. This blast ends the spell and severs the connection between you and your target.&lt;/p&gt;&lt;p&gt;Although the &lt;i&gt;shining cord&lt;/i&gt; makes a visible connection between you and your target, creatures can move through it without ill effect. The cord even passes through solid objects as necessary to maintain the connection between you and the target.&lt;/p&gt;&lt;/h4&gt;&lt;/div&gt;</t>
  </si>
  <si>
    <t>Siphon Magic</t>
  </si>
  <si>
    <t>V, S, M (a coiled length of copper wire wrapped around the palm)</t>
  </si>
  <si>
    <t>This spell attempts to transfer a magical effect from a creature you touch to yourself. When you touch the creature, siphon magic attempts to end one ongoing spell that has been cast on that creature, as if via a targeted dispel magic. If you know the specific spell effect you wish to target, you can name that spell effect to target that specific spell; otherwise siphon magic begins with the highest-level spell in effect and works its way down through all spells affecting the target until it dispels one or runs out of effects, as per dispel magic. If siphon magic successfully ends a spell effect on the target, the remaining duration of that spell effect is transferred to you. That spell effect plays out for the rest of its duration as if you had been the original target. If the spell allows a saving throw to resist the effect, you gain a saving throw as if the spell were just being cast upon you, although this does not "reset" the spell's duration.</t>
  </si>
  <si>
    <t>&lt;p&gt;This spell attempts to transfer a magical effect from a creature you touch to yourself. When you touch the creature, &lt;i&gt;siphon magic&lt;/i&gt; attempts to end one ongoing spell that has been cast on that creature, as if via a targeted &lt;i&gt;dispel magic&lt;/i&gt;. If you know the specific spell effect you wish to target, you can name that spell effect to target that specific spell; otherwise &lt;i&gt;siphon magic&lt;/i&gt; begins with the highest-level spell in effect and works its way down through all spells affecting the target until it dispels one or runs out of effects, as per &lt;i&gt;dispel magic&lt;/i&gt;.&lt;/p&gt;&lt;p&gt;If &lt;i&gt;siphon magic&lt;/i&gt; successfully ends a spell effect on the target, the remaining duration of that spell effect is transferred to you. That spell effect plays out for the rest of its duration as if you had been the original target. If the spell allows a saving throw to resist the effect, you gain a saving throw as if the spell were just being cast upon you, although this does not "reset" the spell's duration.&lt;/p&gt;</t>
  </si>
  <si>
    <t>&lt;link rel="stylesheet"href="PF.css"&gt;&lt;div class="heading"&gt;&lt;p class="alignleft"&gt;Siphon Magic&lt;/p&gt;&lt;div style="clear: both;"&gt;&lt;/div&gt;&lt;/div&gt;&lt;div&gt;&lt;h5&gt;&lt;b&gt;School &lt;/b&gt;abjuration; &lt;b&gt;Level &lt;/b&gt;cleric 5/oracle 5, sorcerer/wizard 5, witch 5&lt;/h5&gt;&lt;/div&gt;&lt;hr/&gt;&lt;div&gt;&lt;h5&gt;&lt;b&gt;CASTING&lt;/b&gt;&lt;/h5&gt;&lt;/div&gt;&lt;hr/&gt;&lt;div&gt;&lt;h5&gt;&lt;b&gt;Casting Time &lt;/b&gt;1 standard action&lt;/h5&gt;&lt;h5&gt;&lt;b&gt;Components &lt;/b&gt;V, S, M (a coiled length of copper wire wrapped around the palm)&lt;/h5&gt;&lt;/div&gt;&lt;hr/&gt;&lt;div&gt;&lt;h5&gt;&lt;b&gt;EFFECT&lt;/b&gt;&lt;/h5&gt;&lt;/div&gt;&lt;hr/&gt;&lt;div&gt;&lt;h5&gt;&lt;b&gt;Range &lt;/b&gt;touch&lt;/h5&gt;&lt;h5&gt;&lt;b&gt;Targets &lt;/b&gt;creature touched&lt;/h5&gt;&lt;h5&gt;&lt;b&gt;Duration &lt;/b&gt;instantaneous&lt;/h5&gt;&lt;h5&gt;&lt;b&gt;Saving Throw &lt;/b&gt;none; &lt;b&gt;Spell Resistance &lt;/b&gt;no&lt;/h5&gt;&lt;/div&gt;&lt;hr/&gt;&lt;div&gt;&lt;h5&gt;&lt;b&gt;DESCRIPTION&lt;/b&gt;&lt;/h5&gt;&lt;/div&gt;&lt;hr/&gt;&lt;div&gt;&lt;h4&gt;&lt;p&gt;This spell attempts to transfer a magical effect from a creature you touch to yourself. When you touch the creature, &lt;i&gt;siphon magic&lt;/i&gt; attempts to end one ongoing spell that has been cast on that creature, as if via a targeted &lt;i&gt;dispel magic&lt;/i&gt;. If you know the specific spell effect you wish to target, you can name that spell effect to target that specific spell; otherwise &lt;i&gt;siphon magic&lt;/i&gt; begins with the highest-level spell in effect and works its way down through all spells affecting the target until it dispels one or runs out of effects, as per &lt;i&gt;dispel magic&lt;/i&gt;.&lt;/p&gt;&lt;p&gt;If &lt;i&gt;siphon magic&lt;/i&gt; successfully ends a spell effect on the target, the remaining duration of that spell effect is transferred to you. That spell effect plays out for the rest of its duration as if you had been the original target. If the spell allows a saving throw to resist the effect, you gain a saving throw as if the spell were just being cast upon you, although this does not "reset" the spell's duration.&lt;/p&gt;&lt;/h4&gt;&lt;/div&gt;</t>
  </si>
  <si>
    <t>Song of Kyonin</t>
  </si>
  <si>
    <t>1 round/level or until performance ends or changes (see text)</t>
  </si>
  <si>
    <t>Certain elven bards of Kyonin are known for the restorative power of their performances-mostly as a result of this spell. You must have a bardic performance in effect to cast this spell (although this spell is called song of Kyonin, the bardic performance need not be singing). As long as that performance continues, up to 3 creatures affected by the performance gain fast healing 2. When this bardic performance ends or you change to a different bardic performance, the fast healing granted by this spell ends as well, but all creatures affected by this spell heal 1d8 points of damage + 1 point per caster level (maximum +15) and are cured of any of the following conditions: exhausted, fatigued, nauseated, paralyzed, sickened, or stunned.</t>
  </si>
  <si>
    <t>&lt;p&gt;Certain elven bards of Kyonin are known for the restorative power of their performances-mostly as a result of this spell. You must have a bardic performance in effect to cast this spell (although this spell is called &lt;i&gt;song of Kyonin&lt;/i&gt;, the bardic performance need not be singing). As long as that performance continues, up to 3 creatures affected by the performance gain fast healing 2. When this bardic performance ends or you change to a different bardic performance, the fast healing granted by this spell ends as well, but all creatures affected by this spell heal 1d8 points of damage + 1 point per caster level (maximum +15) and are cured of any of the following conditions: exhausted, fatigued, nauseated, paralyzed, sickened, or stunned.&lt;/p&gt;</t>
  </si>
  <si>
    <t>&lt;link rel="stylesheet"href="PF.css"&gt;&lt;div class="heading"&gt;&lt;p class="alignleft"&gt;Song of Kyonin&lt;/p&gt;&lt;div style="clear: both;"&gt;&lt;/div&gt;&lt;/div&gt;&lt;div&gt;&lt;h5&gt;&lt;b&gt;School &lt;/b&gt;conjuration (healing); &lt;b&gt;Level &lt;/b&gt;bard 4&lt;/h5&gt;&lt;/div&gt;&lt;hr/&gt;&lt;div&gt;&lt;h5&gt;&lt;b&gt;CASTING&lt;/b&gt;&lt;/h5&gt;&lt;/div&gt;&lt;hr/&gt;&lt;div&gt;&lt;h5&gt;&lt;b&gt;Casting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&lt;/b&gt;up to 3 creatures, no two of which can be more than 30 ft. apart&lt;/h5&gt;&lt;h5&gt;&lt;b&gt;Duration &lt;/b&gt;1 round/level or until performance ends or changes (see text)&lt;/h5&gt;&lt;/div&gt;&lt;hr/&gt;&lt;div&gt;&lt;h5&gt;&lt;b&gt;DESCRIPTION&lt;/b&gt;&lt;/h5&gt;&lt;/div&gt;&lt;hr/&gt;&lt;div&gt;&lt;h4&gt;&lt;p&gt;Certain elven bards of Kyonin are known for the restorative power of their performances-mostly as a result of this spell. You must have a bardic performance in effect to cast this spell (although this spell is called &lt;i&gt;song of Kyonin&lt;/i&gt;, the bardic performance need not be singing). As long as that performance continues, up to 3 creatures affected by the performance gain fast healing 2. When this bardic performance ends or you change to a different bardic performance, the fast healing granted by this spell ends as well, but all creatures affected by this spell heal 1d8 points of damage + 1 point per caster level (maximum +15) and are cured of any of the following conditions: exhausted, fatigued, nauseated, paralyzed, sickened, or stunned.&lt;/p&gt;&lt;/h4&gt;&lt;/div&gt;</t>
  </si>
  <si>
    <t>Spell Absorption</t>
  </si>
  <si>
    <t>V, S, M (a prism)</t>
  </si>
  <si>
    <t>If you successfully counterspell a 3rd-level or lower level spell (through either dispel magic or normal means) while spell absorption is in effect, you absorb the countered spell and use it to regain spells you have already cast. If you're a wizard, you regain the use of any single spell that you have cast since the last time you prepared spells. If you're a sorcerer, you regain a single spell slot. The spell recovered or spell slot regained must be of an equal level or lower than the spell you counterspelled.</t>
  </si>
  <si>
    <t>&lt;p&gt;If you successfully counterspell a 3rd-level or lower level spell (through either &lt;i&gt;dispel magic&lt;/i&gt; or normal means) while &lt;i&gt;spell absorption&lt;/i&gt; is in effect, you absorb the countered spell and use it to regain spells you have already cast. If you're a wizard, you regain the use of any single spell that you have cast since the last time you prepared spells. If you're a sorcerer, you regain a single spell slot. The spell recovered or spell slot regained must be of an equal level or lower than the spell you counterspelled.&lt;/p&gt;</t>
  </si>
  <si>
    <t>&lt;link rel="stylesheet"href="PF.css"&gt;&lt;div class="heading"&gt;&lt;p class="alignleft"&gt;Spell Absorption&lt;/p&gt;&lt;div style="clear: both;"&gt;&lt;/div&gt;&lt;/div&gt;&lt;div&gt;&lt;h5&gt;&lt;b&gt;School &lt;/b&gt;abjuration; &lt;b&gt;Level &lt;/b&gt;sorcerer/wizard 5&lt;/h5&gt;&lt;/div&gt;&lt;hr/&gt;&lt;div&gt;&lt;h5&gt;&lt;b&gt;CASTING&lt;/b&gt;&lt;/h5&gt;&lt;/div&gt;&lt;hr/&gt;&lt;div&gt;&lt;h5&gt;&lt;b&gt;Casting Time &lt;/b&gt;1 round&lt;/h5&gt;&lt;h5&gt;&lt;b&gt;Components &lt;/b&gt;V, S, M (a prism)&lt;/h5&gt;&lt;/div&gt;&lt;hr/&gt;&lt;div&gt;&lt;h5&gt;&lt;b&gt;EFFECT&lt;/b&gt;&lt;/h5&gt;&lt;/div&gt;&lt;hr/&gt;&lt;div&gt;&lt;h5&gt;&lt;b&gt;Range &lt;/b&gt;personal&lt;/h5&gt;&lt;h5&gt;&lt;b&gt;Targets &lt;/b&gt;you&lt;/h5&gt;&lt;h5&gt;&lt;b&gt;Duration &lt;/b&gt;1 round/level&lt;/h5&gt;&lt;/div&gt;&lt;hr/&gt;&lt;div&gt;&lt;h5&gt;&lt;b&gt;DESCRIPTION&lt;/b&gt;&lt;/h5&gt;&lt;/div&gt;&lt;hr/&gt;&lt;div&gt;&lt;h4&gt;&lt;p&gt;If you successfully counterspell a 3rd-level or lower level spell (through either &lt;i&gt;dispel magic&lt;/i&gt; or normal means) while &lt;i&gt;spell absorption&lt;/i&gt; is in effect, you absorb the countered spell and use it to regain spells you have already cast. If you're a wizard, you regain the use of any single spell that you have cast since the last time you prepared spells. If you're a sorcerer, you regain a single spell slot. The spell recovered or spell slot regained must be of an equal level or lower than the spell you counterspelled.&lt;/p&gt;&lt;/h4&gt;&lt;/div&gt;</t>
  </si>
  <si>
    <t>Spell Absorption, Greater</t>
  </si>
  <si>
    <t>This spell functions as spell absorption, save that you can absorb countered spells of 6th level or lower.</t>
  </si>
  <si>
    <t>&lt;p&gt;This spell functions as spell absorption, save that you can absorb countered spells of 6th level or lower.&lt;/p&gt;</t>
  </si>
  <si>
    <t>&lt;link rel="stylesheet"href="PF.css"&gt;&lt;div class="heading"&gt;&lt;p class="alignleft"&gt;Spell Absorption, Greater&lt;/p&gt;&lt;div style="clear: both;"&gt;&lt;/div&gt;&lt;/div&gt;&lt;div&gt;&lt;h5&gt;&lt;b&gt;School &lt;/b&gt;abjuration; &lt;b&gt;Level &lt;/b&gt;sorcerer/wizard 8&lt;/h5&gt;&lt;/div&gt;&lt;hr/&gt;&lt;div&gt;&lt;h5&gt;&lt;b&gt;CASTING&lt;/b&gt;&lt;/h5&gt;&lt;/div&gt;&lt;hr/&gt;&lt;div&gt;&lt;h5&gt;&lt;b&gt;Casting Time &lt;/b&gt;1 round&lt;/h5&gt;&lt;h5&gt;&lt;b&gt;Components &lt;/b&gt;V, S, M (a prism)&lt;/h5&gt;&lt;/div&gt;&lt;hr/&gt;&lt;div&gt;&lt;h5&gt;&lt;b&gt;EFFECT&lt;/b&gt;&lt;/h5&gt;&lt;/div&gt;&lt;hr/&gt;&lt;div&gt;&lt;h5&gt;&lt;b&gt;Range &lt;/b&gt;personal&lt;/h5&gt;&lt;h5&gt;&lt;b&gt;Targets &lt;/b&gt;you&lt;/h5&gt;&lt;h5&gt;&lt;b&gt;Duration &lt;/b&gt;1 round/level&lt;/h5&gt;&lt;/div&gt;&lt;hr/&gt;&lt;div&gt;&lt;h5&gt;&lt;b&gt;DESCRIPTION&lt;/b&gt;&lt;/h5&gt;&lt;/div&gt;&lt;hr/&gt;&lt;div&gt;&lt;h4&gt;&lt;p&gt;This spell functions as spell absorption, save that you can absorb countered spells of 6th level or lower.&lt;/p&gt;&lt;/h4&gt;&lt;/div&gt;</t>
  </si>
  <si>
    <t>Spellscar</t>
  </si>
  <si>
    <t>V, S, M (a pinch of sand from the Spellscar Desert)</t>
  </si>
  <si>
    <t>This potent spell invokes the same sort of magical devastation that created the Mana Wastes so long ago- albeit on a much more localized (and thankfully temporary) scale. Within the area you choose to affect with spellscar, the terrain takes on a strange pale hue, as if colors were muted. Periodically, ripples of vibrant color wriggle through the terrain. Within this area, any spell, spell-like ability, or magic item activation automatically triggers a primal magic event-a spellcaster can avoid triggering such an event by making a concentration check (DC 15 + twice the spell's level), but non-spellcasters who activate magic items have no such option. You gain a +4 insight bonus on concentration checks made to avoid triggering primal magic events while within a spellscar you have created, and if you do trigger a primal magic event, you may roll d% twice and pick which of the two results you wish to have occur.</t>
  </si>
  <si>
    <t>&lt;p&gt;This potent spell invokes the same sort of magical devastation that created the Mana Wastes so long ago- albeit on a much more localized (and thankfully temporary) scale. Within the area you choose to affect with &lt;i&gt;spellscar&lt;/i&gt;, the terrain takes on a strange pale hue, as if colors were muted. Periodically, ripples of vibrant color wriggle through the terrain. Within this area, any spell, spell-like ability, or magic item activation automatically triggers a primal magic event-a spellcaster can avoid triggering such an event by making a concentration check (DC 15 + twice the spell's level), but non-spellcasters who activate magic items have no such option.&lt;/p&gt;&lt;p&gt;You gain a +4 insight bonus on concentration checks made to avoid triggering primal magic events while within a &lt;i&gt;spellscar&lt;/i&gt; you have created, and if you do trigger a primal magic event, you may roll d% twice and pick which of the two results you wish to have occur.&lt;/p&gt;</t>
  </si>
  <si>
    <t>&lt;link rel="stylesheet"href="PF.css"&gt;&lt;div class="heading"&gt;&lt;p class="alignleft"&gt;Spellscar&lt;/p&gt;&lt;div style="clear: both;"&gt;&lt;/div&gt;&lt;/div&gt;&lt;div&gt;&lt;h5&gt;&lt;b&gt;School &lt;/b&gt;abjuration; &lt;b&gt;Level &lt;/b&gt;cleric 8/oracle 8, sorcerer/wizard 8&lt;/h5&gt;&lt;/div&gt;&lt;hr/&gt;&lt;div&gt;&lt;h5&gt;&lt;b&gt;CASTING&lt;/b&gt;&lt;/h5&gt;&lt;/div&gt;&lt;hr/&gt;&lt;div&gt;&lt;h5&gt;&lt;b&gt;Casting Time &lt;/b&gt;1 standard action&lt;/h5&gt;&lt;h5&gt;&lt;b&gt;Components &lt;/b&gt;V, S, M (a pinch of sand from the Spellscar Desert)&lt;/h5&gt;&lt;/div&gt;&lt;hr/&gt;&lt;div&gt;&lt;h5&gt;&lt;b&gt;EFFECT&lt;/b&gt;&lt;/h5&gt;&lt;/div&gt;&lt;hr/&gt;&lt;div&gt;&lt;h5&gt;&lt;b&gt;Range &lt;/b&gt;medium (100 ft. + 10 ft./level)&lt;/h5&gt;&lt;h5&gt;&lt;b&gt;Area &lt;/b&gt;two 10-ft. cubes per level (S)&lt;/h5&gt;&lt;h5&gt;&lt;b&gt;Duration &lt;/b&gt;10 minutes/level (D)&lt;/h5&gt;&lt;/div&gt;&lt;hr/&gt;&lt;div&gt;&lt;h5&gt;&lt;b&gt;DESCRIPTION&lt;/b&gt;&lt;/h5&gt;&lt;/div&gt;&lt;hr/&gt;&lt;div&gt;&lt;h4&gt;&lt;p&gt;This potent spell invokes the same sort of magical devastation that created the Mana Wastes so long ago- albeit on a much more localized (and thankfully temporary) scale. Within the area you choose to affect with &lt;i&gt;spellscar&lt;/i&gt;, the terrain takes on a strange pale hue, as if colors were muted. Periodically, ripples of vibrant color wriggle through the terrain. Within this area, any spell, spell-like ability, or magic item activation automatically triggers a primal magic event-a spellcaster can avoid triggering such an event by making a concentration check (DC 15 + twice the spell's level), but non-spellcasters who activate magic items have no such option.&lt;/p&gt;&lt;p&gt;You gain a +4 insight bonus on concentration checks made to avoid triggering primal magic events while within a &lt;i&gt;spellscar&lt;/i&gt; you have created, and if you do trigger a primal magic event, you may roll d% twice and pick which of the two results you wish to have occur.&lt;/p&gt;&lt;/h4&gt;&lt;/div&gt;</t>
  </si>
  <si>
    <t>Suppress Primal Magic</t>
  </si>
  <si>
    <t>Nexian wizards first created this spell while researching the nature of the Mana Wastes, hoping to create small zones within the magic-starved region where their own spells could still function reliably. The best the Nexians could manage was this spell-a method to temporarily stabilize magic so that spellcasting within a small area can be accomplished without fear of triggering primal magic events. In the area of effect of this spell, primal magic events cannot be triggered. The emanation grants a +4 circumstance bonus on all saving throws against effects generated by primal magic outside of the spell's effect that expand into the area. Unfortunately, suppressed primal magic tends to build up around the emanation created by this spell. When suppress primal magic's duration ends (or when the spell is dispelled), a primal magic event is immediately triggered at the center of the emanation if that point is still in an area where primal magic is active. The CR of this event is equal to the caster level of the recently ended suppress primal magic spell. The original caster of the suppress primal magic spell can attempt to negate this triggered primal magic event by making a DC 20 Will save-most spellcasters instead relocate to an area not affected by primal magic if they can so that they can end the spell's effect safely.</t>
  </si>
  <si>
    <t>&lt;p&gt;Nexian wizards first created this spell while researching the nature of the Mana Wastes, hoping to create small zones within the magic-starved region where their own spells could still function reliably. The best the Nexians could manage was this spell-a method to temporarily stabilize magic so that spellcasting within a small area can be accomplished without fear of triggering primal magic events. In the area of effect of this spell, primal magic events cannot be triggered.&lt;/p&gt;&lt;p&gt;The emanation grants a +4 circumstance bonus on all saving throws against effects generated by primal magic outside of the spell's effect that expand into the area.&lt;/p&gt;&lt;p&gt;Unfortunately, suppressed primal magic tends to build up around the emanation created by this spell. When &lt;i&gt;suppress primal magic&lt;/i&gt;'s duration ends (or when the spell is dispelled), a primal magic event is immediately triggered at the center of the emanation if that point is still in an area where primal magic is active. The CR of this event is equal to the caster level of the recently ended &lt;i&gt;suppress primal magic&lt;/i&gt; spell. The original caster of the &lt;i&gt;suppress primal magic&lt;/i&gt; spell can attempt to negate this triggered primal magic event by making a DC 20 Will save-most spellcasters instead relocate to an area not affected by primal magic if they can so that they can end the spell's effect safely.&lt;/p&gt;</t>
  </si>
  <si>
    <t>&lt;link rel="stylesheet"href="PF.css"&gt;&lt;div class="heading"&gt;&lt;p class="alignleft"&gt;Suppress Primal Magic&lt;/p&gt;&lt;div style="clear: both;"&gt;&lt;/div&gt;&lt;/div&gt;&lt;div&gt;&lt;h5&gt;&lt;b&gt;School &lt;/b&gt;abjuration; &lt;b&gt;Level &lt;/b&gt;cleric 4/oracle 4, sorcerer/wizard 4&lt;/h5&gt;&lt;/div&gt;&lt;hr/&gt;&lt;div&gt;&lt;h5&gt;&lt;b&gt;CASTING&lt;/b&gt;&lt;/h5&gt;&lt;/div&gt;&lt;hr/&gt;&lt;div&gt;&lt;h5&gt;&lt;b&gt;Casting Time &lt;/b&gt;1 standard action&lt;/h5&gt;&lt;h5&gt;&lt;b&gt;Components &lt;/b&gt;V, S, M (a pinch of sand from the Spellscar Desert)&lt;/h5&gt;&lt;/div&gt;&lt;hr/&gt;&lt;div&gt;&lt;h5&gt;&lt;b&gt;EFFECT&lt;/b&gt;&lt;/h5&gt;&lt;/div&gt;&lt;hr/&gt;&lt;div&gt;&lt;h5&gt;&lt;b&gt;Range &lt;/b&gt;10 ft.&lt;/h5&gt;&lt;h5&gt;&lt;b&gt;Area &lt;/b&gt;10-ft.-radius emanation centered on you&lt;/h5&gt;&lt;h5&gt;&lt;b&gt;Duration &lt;/b&gt;1 round/level&lt;/h5&gt;&lt;/div&gt;&lt;hr/&gt;&lt;div&gt;&lt;h5&gt;&lt;b&gt;DESCRIPTION&lt;/b&gt;&lt;/h5&gt;&lt;/div&gt;&lt;hr/&gt;&lt;div&gt;&lt;h4&gt;&lt;p&gt;Nexian wizards first created this spell while researching the nature of the Mana Wastes, hoping to create small zones within the magic-starved region where their own spells could still function reliably. The best the Nexians could manage was this spell-a method to temporarily stabilize magic so that spellcasting within a small area can be accomplished without fear of triggering primal magic events. In the area of effect of this spell, primal magic events cannot be triggered.&lt;/p&gt;&lt;p&gt;The emanation grants a +4 circumstance bonus on all saving throws against effects generated by primal magic outside of the spell's effect that expand into the area.&lt;/p&gt;&lt;p&gt;Unfortunately, suppressed primal magic tends to build up around the emanation created by this spell. When &lt;i&gt;suppress primal magic&lt;/i&gt;'s duration ends (or when the spell is dispelled), a primal magic event is immediately triggered at the center of the emanation if that point is still in an area where primal magic is active. The CR of this event is equal to the caster level of the recently ended &lt;i&gt;suppress primal magic&lt;/i&gt; spell. The original caster of the &lt;i&gt;suppress primal magic&lt;/i&gt; spell can attempt to negate this triggered primal magic event by making a DC 20 Will save-most spellcasters instead relocate to an area not affected by primal magic if they can so that they can end the spell's effect safely.&lt;/p&gt;&lt;/h4&gt;&lt;/div&gt;</t>
  </si>
  <si>
    <t>Tattoo Potion</t>
  </si>
  <si>
    <t>alchemist 2, bard 2, sorcerer/wizard 2, witch 2</t>
  </si>
  <si>
    <t>V, S, M (a potion to be tattooed, special inks worth 500 gp)</t>
  </si>
  <si>
    <t>one potion</t>
  </si>
  <si>
    <t>one spell tattoo</t>
  </si>
  <si>
    <t>When you cast this spell, you mix special tattoo inks into a potion of your choice. Once you finish casting tattoo potion, the potion begins bubbling and fizzing-if no one drinks the potion within 1 minute of the spell being cast, the potion bubbles away into vapor and is destroyed. When a potion under the effects of tattoo potion is imbibed, the effects of the potion do not occur. Instead, the potion transforms into a spell tattoo (see page 16) on the drinker's chest tattoo slot-if the drinker already has a magic tattoo in this location, the tattoo potion is wasted. Once the potion transforms into a spell tattoo, it remains in place permanently until it is used as a spell tattoo.</t>
  </si>
  <si>
    <t>&lt;p&gt;When you cast this spell, you mix special tattoo inks into a potion of your choice. Once you finish casting &lt;i&gt;tattoo potion&lt;/i&gt;, the potion begins bubbling and fizzing-if no one drinks the potion within 1 minute of the spell being cast, the potion bubbles away into vapor and is destroyed.&lt;/p&gt;&lt;p&gt;When a potion under the effects of &lt;i&gt;tattoo potion&lt;/i&gt; is imbibed, the effects of the potion do not occur. Instead, the potion transforms into a &lt;i&gt;spell tattoo&lt;/i&gt; (see page 16) on the drinker's chest tattoo slot-if the drinker already has a magic tattoo in this location, the &lt;i&gt;tattoo potion&lt;/i&gt; is wasted. Once the potion transforms into a &lt;i&gt;spell tattoo&lt;/i&gt;, it remains in place permanently until it is used as a &lt;i&gt;spell tattoo&lt;/i&gt;.&lt;/p&gt;</t>
  </si>
  <si>
    <t>&lt;link rel="stylesheet"href="PF.css"&gt;&lt;div class="heading"&gt;&lt;p class="alignleft"&gt;Tattoo Potion&lt;/p&gt;&lt;div style="clear: both;"&gt;&lt;/div&gt;&lt;/div&gt;&lt;div&gt;&lt;h5&gt;&lt;b&gt;School &lt;/b&gt;transmutation; &lt;b&gt;Level &lt;/b&gt;alchemist 2, bard 2, sorcerer/wizard 2, witch 2&lt;/h5&gt;&lt;/div&gt;&lt;hr/&gt;&lt;div&gt;&lt;h5&gt;&lt;b&gt;CASTING&lt;/b&gt;&lt;/h5&gt;&lt;/div&gt;&lt;hr/&gt;&lt;div&gt;&lt;h5&gt;&lt;b&gt;Casting Time &lt;/b&gt;1 minute&lt;/h5&gt;&lt;h5&gt;&lt;b&gt;Components &lt;/b&gt;V, S, M (a potion to be tattooed, special inks worth 500 gp)&lt;/h5&gt;&lt;/div&gt;&lt;hr/&gt;&lt;div&gt;&lt;h5&gt;&lt;b&gt;EFFECT&lt;/b&gt;&lt;/h5&gt;&lt;/div&gt;&lt;hr/&gt;&lt;div&gt;&lt;h5&gt;&lt;b&gt;Range &lt;/b&gt;one potion&lt;/h5&gt;&lt;h5&gt;&lt;b&gt;Effect &lt;/b&gt;one spell tattoo&lt;/h5&gt;&lt;h5&gt;&lt;b&gt;Duration &lt;/b&gt;instantaneous&lt;/h5&gt;&lt;h5&gt;&lt;b&gt;Saving Throw &lt;/b&gt;none; &lt;b&gt;Spell Resistance &lt;/b&gt;no&lt;/h5&gt;&lt;/div&gt;&lt;hr/&gt;&lt;div&gt;&lt;h5&gt;&lt;b&gt;DESCRIPTION&lt;/b&gt;&lt;/h5&gt;&lt;/div&gt;&lt;hr/&gt;&lt;div&gt;&lt;h4&gt;&lt;p&gt;When you cast this spell, you mix special tattoo inks into a potion of your choice. Once you finish casting &lt;i&gt;tattoo potion&lt;/i&gt;, the potion begins bubbling and fizzing-if no one drinks the potion within 1 minute of the spell being cast, the potion bubbles away into vapor and is destroyed.&lt;/p&gt;&lt;p&gt;When a potion under the effects of &lt;i&gt;tattoo potion&lt;/i&gt; is imbibed, the effects of the potion do not occur. Instead, the potion transforms into a &lt;i&gt;spell tattoo&lt;/i&gt; (see page 16) on the drinker's chest tattoo slot-if the drinker already has a magic tattoo in this location, the &lt;i&gt;tattoo potion&lt;/i&gt; is wasted. Once the potion transforms into a &lt;i&gt;spell tattoo&lt;/i&gt;, it remains in place permanently until it is used as a &lt;i&gt;spell tattoo&lt;/i&gt;.&lt;/p&gt;&lt;/h4&gt;&lt;/div&gt;</t>
  </si>
  <si>
    <t>Transfer Tattoo</t>
  </si>
  <si>
    <t>V, S, M (tattooing needle)</t>
  </si>
  <si>
    <t>one magic tattoo</t>
  </si>
  <si>
    <t>With this spell, you can transfer one magic tattoo from one creature to another. A target that isn't willing to have his tattoo removed or to receive the transferred tattoo can resist this spell with a Fortitude save-if successful, the transfer fails and the caster of this spell is staggered for 1 round by the backlash of magical energy. A tattoo can be transferred from a dead creature in this manner to a living host, provided the body has been dead no longer than one hour per caster level.</t>
  </si>
  <si>
    <t>&lt;p&gt;With this spell, you can transfer one magic tattoo from one creature to another. A target that isn't willing to have his tattoo removed or to receive the transferred tattoo can resist this spell with a Fortitude save-if successful, the transfer fails and the caster of this spell is staggered for 1 round by the backlash of magical energy. A tattoo can be transferred from a dead creature in this manner to a living host, provided the body has been dead no longer than one hour per caster level.&lt;/p&gt;</t>
  </si>
  <si>
    <t>&lt;link rel="stylesheet"href="PF.css"&gt;&lt;div class="heading"&gt;&lt;p class="alignleft"&gt;Transfer Tattoo&lt;/p&gt;&lt;div style="clear: both;"&gt;&lt;/div&gt;&lt;/div&gt;&lt;div&gt;&lt;h5&gt;&lt;b&gt;School &lt;/b&gt;transmutation; &lt;b&gt;Level &lt;/b&gt;bard 1, sorcerer/wizard 1, witch 1&lt;/h5&gt;&lt;/div&gt;&lt;hr/&gt;&lt;div&gt;&lt;h5&gt;&lt;b&gt;CASTING&lt;/b&gt;&lt;/h5&gt;&lt;/div&gt;&lt;hr/&gt;&lt;div&gt;&lt;h5&gt;&lt;b&gt;Casting Time &lt;/b&gt;1 standard action&lt;/h5&gt;&lt;h5&gt;&lt;b&gt;Components &lt;/b&gt;V, S, M (tattooing needle)&lt;/h5&gt;&lt;/div&gt;&lt;hr/&gt;&lt;div&gt;&lt;h5&gt;&lt;b&gt;EFFECT&lt;/b&gt;&lt;/h5&gt;&lt;/div&gt;&lt;hr/&gt;&lt;div&gt;&lt;h5&gt;&lt;b&gt;Range &lt;/b&gt;touch&lt;/h5&gt;&lt;h5&gt;&lt;b&gt;Targets &lt;/b&gt;one magic tattoo&lt;/h5&gt;&lt;h5&gt;&lt;b&gt;Duration &lt;/b&gt;instantaneous&lt;/h5&gt;&lt;h5&gt;&lt;b&gt;Saving Throw &lt;/b&gt;Fortitude negates; &lt;b&gt;Spell Resistance &lt;/b&gt;yes&lt;/h5&gt;&lt;/div&gt;&lt;hr/&gt;&lt;div&gt;&lt;h5&gt;&lt;b&gt;DESCRIPTION&lt;/b&gt;&lt;/h5&gt;&lt;/div&gt;&lt;hr/&gt;&lt;div&gt;&lt;h4&gt;&lt;p&gt;With this spell, you can transfer one magic tattoo from one creature to another. A target that isn't willing to have his tattoo removed or to receive the transferred tattoo can resist this spell with a Fortitude save-if successful, the transfer fails and the caster of this spell is staggered for 1 round by the backlash of magical energy. A tattoo can be transferred from a dead creature in this manner to a living host, provided the body has been dead no longer than one hour per caster level.&lt;/p&gt;&lt;/h4&gt;&lt;/div&gt;</t>
  </si>
  <si>
    <t>Vengeful Comets</t>
  </si>
  <si>
    <t>1 comet per 4 levels</t>
  </si>
  <si>
    <t>1 round/level or until completely discharged (see below)</t>
  </si>
  <si>
    <t>This spell causes a number of miniature comets (up to one per four caster levels) to orbit in the air above your head. Bits of snow and cold wind drift down from the orbiting comets, granting you a circumstance bonus equal to the number of comets on all saving throws against fire effects. The actual use for the comets, though, is to make vengeful strikes against foes who dare to target you with offensive spells. As an immediate action whenever you are affected by a spell cast by another creature, you can fire one of your vengeful comets as a bolt of icy retribution (provided the source of the offensive spell is within range of your vengeful comet, of course). The comet requires a ranged touch attack to hit. If it hits, a comet deals 1d6 points of bludgeoning damage and 3d6 points of cold damage to the target, plus an additional amount of cold damage equal to the level of the spell you are retaliating against. If the spell you're retaliating against had the fire descriptor, you may opt to fire two comets instead of one.</t>
  </si>
  <si>
    <t>&lt;p&gt;This spell causes a number of miniature comets (up to one per four caster levels) to orbit in the air above your head. Bits of snow and cold wind drift down from the orbiting comets, granting you a circumstance bonus equal to the number of comets on all saving throws against fire effects.&lt;/p&gt;&lt;p&gt;The actual use for the comets, though, is to make vengeful strikes against foes who dare to target you with offensive spells. As an immediate action whenever you are affected by a spell cast by another creature, you can fire one of your &lt;i&gt;&lt;i&gt;vengeful comet&lt;/i&gt;s&lt;/i&gt; as a bolt of icy retribution (provided the source of the offensive spell is within range of your &lt;i&gt;vengeful comet&lt;/i&gt;, of course). The comet requires a ranged touch attack to hit. If it hits, a comet deals 1d6 points of bludgeoning damage and 3d6 points of cold damage to the target, plus an additional amount of cold damage equal to the level of the spell you are retaliating against. If the spell you're retaliating against had the fire descriptor, you may opt to fire two comets instead of one.&lt;/p&gt;</t>
  </si>
  <si>
    <t>&lt;link rel="stylesheet"href="PF.css"&gt;&lt;div class="heading"&gt;&lt;p class="alignleft"&gt;Vengeful Comets&lt;/p&gt;&lt;div style="clear: both;"&gt;&lt;/div&gt;&lt;/div&gt;&lt;div&gt;&lt;h5&gt;&lt;b&gt;School &lt;/b&gt;evocation [cold]; &lt;b&gt;Level &lt;/b&gt;druid 3, sorcerer/wizard 3&lt;/h5&gt;&lt;/div&gt;&lt;hr/&gt;&lt;div&gt;&lt;h5&gt;&lt;b&gt;CASTING&lt;/b&gt;&lt;/h5&gt;&lt;/div&gt;&lt;hr/&gt;&lt;div&gt;&lt;h5&gt;&lt;b&gt;Casting Time &lt;/b&gt;1 standard action&lt;/h5&gt;&lt;h5&gt;&lt;b&gt;Components &lt;/b&gt;V, S&lt;/h5&gt;&lt;/div&gt;&lt;hr/&gt;&lt;div&gt;&lt;h5&gt;&lt;b&gt;EFFECT&lt;/b&gt;&lt;/h5&gt;&lt;/div&gt;&lt;hr/&gt;&lt;div&gt;&lt;h5&gt;&lt;b&gt;Range &lt;/b&gt;long (400 ft. + 40 ft./level)&lt;/h5&gt;&lt;h5&gt;&lt;b&gt;Effect &lt;/b&gt;1 comet per 4 levels&lt;/h5&gt;&lt;h5&gt;&lt;b&gt;Duration &lt;/b&gt;1 round/level or until completely discharged (see below)&lt;/h5&gt;&lt;h5&gt;&lt;b&gt;Saving Throw &lt;/b&gt;none; &lt;b&gt;Spell Resistance &lt;/b&gt;yes&lt;/h5&gt;&lt;/div&gt;&lt;hr/&gt;&lt;div&gt;&lt;h5&gt;&lt;b&gt;DESCRIPTION&lt;/b&gt;&lt;/h5&gt;&lt;/div&gt;&lt;hr/&gt;&lt;div&gt;&lt;h4&gt;&lt;p&gt;This spell causes a number of miniature comets (up to one per four caster levels) to orbit in the air above your head. Bits of snow and cold wind drift down from the orbiting comets, granting you a circumstance bonus equal to the number of comets on all saving throws against fire effects.&lt;/p&gt;&lt;p&gt;The actual use for the comets, though, is to make vengeful strikes against foes who dare to target you with offensive spells. As an immediate action whenever you are affected by a spell cast by another creature, you can fire one of your &lt;i&gt;&lt;i&gt;vengeful comet&lt;/i&gt;s&lt;/i&gt; as a bolt of icy retribution (provided the source of the offensive spell is within range of your &lt;i&gt;vengeful comet&lt;/i&gt;, of course). The comet requires a ranged touch attack to hit. If it hits, a comet deals 1d6 points of bludgeoning damage and 3d6 points of cold damage to the target, plus an additional amount of cold damage equal to the level of the spell you are retaliating against. If the spell you're retaliating against had the fire descriptor, you may opt to fire two comets instead of one.&lt;/p&gt;&lt;/h4&gt;&lt;/div&gt;</t>
  </si>
  <si>
    <t>Vex Giant</t>
  </si>
  <si>
    <t>V, S, M (a fragment from a Large or larger weapon)</t>
  </si>
  <si>
    <t>1 round per level</t>
  </si>
  <si>
    <t>The giants and their kin have long plagued the peoples of Varisia, particularly the Shoanti of the Storval Plateau. Among the various tactics and methods the Shoanti have developed to fight against their enemies, this spell is one of the most widespread today. When you cast vex giant, your senses and reflexes become particularly honed against a single target within 60 feet, provided the target is at least one size category larger than you. You may select your focused foe as a free action when you cast this spell-switching your focus to a different foe within 60 feet is a move action. If a foe moves beyond 60 feet from you, you lose your focus on that foe, although you may regain it by moving within 60 feet and spending a move action. Although the name of the spell is vex giant, it works equally well on any foe that's at least one size category larger than you. Against a foe you are focused on, you do not provoke attacks of opportunity by moving through their threatened area. Additionally, the first successful melee attack you make against the foe in a round deals an additional 1d6 points of damage. Finally, you gain a +4 insight bonus on all combat maneuver checks made against your focused foe.</t>
  </si>
  <si>
    <t>&lt;p&gt;The giants and their kin have long plagued the peoples of Varisia, particularly the Shoanti of the Storval Plateau. Among the various tactics and methods the Shoanti have developed to fight against their enemies, this spell is one of the most widespread today.&lt;/p&gt;&lt;p&gt;When you cast &lt;i&gt;vex giant&lt;/i&gt;, your senses and reflexes become particularly honed against a single target within 60 feet, provided the target is at least one size category larger than you. You may select your focused foe as a free action when you cast this spell-switching your focus to a different foe within 60 feet is a move action. If a foe moves beyond 60 feet from you, you lose your focus on that foe, although you may regain it by moving within 60 feet and spending a move action. Although the name of the spell is &lt;i&gt;vex giant&lt;/i&gt;, it works equally well on any foe that's at least one size category larger than you.&lt;/p&gt;&lt;p&gt;Against a foe you are focused on, you do not provoke attacks of opportunity by moving through their threatened area. Additionally, the first successful melee attack you make against the foe in a round deals an additional 1d6 points of damage. Finally, you gain a +4 insight bonus on all combat maneuver checks made against your focused foe.&lt;/p&gt;</t>
  </si>
  <si>
    <t>&lt;link rel="stylesheet"href="PF.css"&gt;&lt;div class="heading"&gt;&lt;p class="alignleft"&gt;Vex Giant&lt;/p&gt;&lt;div style="clear: both;"&gt;&lt;/div&gt;&lt;/div&gt;&lt;div&gt;&lt;h5&gt;&lt;b&gt;School &lt;/b&gt;transmutation; &lt;b&gt;Level &lt;/b&gt;ranger 3&lt;/h5&gt;&lt;/div&gt;&lt;hr/&gt;&lt;div&gt;&lt;h5&gt;&lt;b&gt;CASTING&lt;/b&gt;&lt;/h5&gt;&lt;/div&gt;&lt;hr/&gt;&lt;div&gt;&lt;h5&gt;&lt;b&gt;Casting Time &lt;/b&gt;1 standard action&lt;/h5&gt;&lt;h5&gt;&lt;b&gt;Components &lt;/b&gt;V, S, M (a fragment from a Large or larger weapon)&lt;/h5&gt;&lt;/div&gt;&lt;hr/&gt;&lt;div&gt;&lt;h5&gt;&lt;b&gt;EFFECT&lt;/b&gt;&lt;/h5&gt;&lt;/div&gt;&lt;hr/&gt;&lt;div&gt;&lt;h5&gt;&lt;b&gt;Range &lt;/b&gt;personal&lt;/h5&gt;&lt;h5&gt;&lt;b&gt;Targets &lt;/b&gt;you&lt;/h5&gt;&lt;h5&gt;&lt;b&gt;Duration &lt;/b&gt;1 round per level&lt;/h5&gt;&lt;/div&gt;&lt;hr/&gt;&lt;div&gt;&lt;h5&gt;&lt;b&gt;DESCRIPTION&lt;/b&gt;&lt;/h5&gt;&lt;/div&gt;&lt;hr/&gt;&lt;div&gt;&lt;h4&gt;&lt;p&gt;The giants and their kin have long plagued the peoples of Varisia, particularly the Shoanti of the Storval Plateau. Among the various tactics and methods the Shoanti have developed to fight against their enemies, this spell is one of the most widespread today.&lt;/p&gt;&lt;p&gt;When you cast &lt;i&gt;vex giant&lt;/i&gt;, your senses and reflexes become particularly honed against a single target within 60 feet, provided the target is at least one size category larger than you. You may select your focused foe as a free action when you cast this spell-switching your focus to a different foe within 60 feet is a move action. If a foe moves beyond 60 feet from you, you lose your focus on that foe, although you may regain it by moving within 60 feet and spending a move action. Although the name of the spell is &lt;i&gt;vex giant&lt;/i&gt;, it works equally well on any foe that's at least one size category larger than you.&lt;/p&gt;&lt;p&gt;Against a foe you are focused on, you do not provoke attacks of opportunity by moving through their threatened area. Additionally, the first successful melee attack you make against the foe in a round deals an additional 1d6 points of damage. Finally, you gain a +4 insight bonus on all combat maneuver checks made against your focused foe.&lt;/p&gt;&lt;/h4&gt;&lt;/div&gt;</t>
  </si>
  <si>
    <t>Weaponwand</t>
  </si>
  <si>
    <t>bard 1, cleric 1/oracle 1, inquisitor 1, magus 1</t>
  </si>
  <si>
    <t>V, S, F (a magic wand)</t>
  </si>
  <si>
    <t>one weapon</t>
  </si>
  <si>
    <t>When you cast this spell on a weapon, you cause a portion of the weapon to open like the skin of a partially peeled apple, revealing a space large enough to insert a single wand within. As part of the spell's casting, you can insert a single wand into the weapon, at which point the weapon returns to its original form with the wand held inside of it without negatively impacting the weapon's integrity. For the spell's duration, a character who wields the transmuted weapon is also considered to be wielding the wand as well. You can attack normally with the weapon or use the weapon as if it were the encased wand. If the effect created by the wand requires an attack roll to successfully strike a foe, you may make the attack roll as if you were making an attack with the weapon at its highest bonus (including any bonuses the weapon would normally receive) rather than just a normal attack with the wand-doing so does not allow you to add the weapon's damage to the wand's attack roll, but instead allows you to use your skill with the weapon to boost your chance of hitting with the spell. At the end of the spell's duration, the encased wand is ejected from the weapon. If you have a free hand, you may catch the weapon as a free action; otherwise, the wand drops to the ground. If the weapon housing the wand is broken or destroyed during the duration of weaponwand, the encased wand is similarly broken or destroyed.</t>
  </si>
  <si>
    <t>&lt;p&gt;When you cast this spell on a weapon, you cause a portion of the weapon to open like the skin of a partially peeled apple, revealing a space large enough to insert a single wand within.&lt;/p&gt;&lt;p&gt;As part of the spell's casting, you can insert a single wand into the weapon, at which point the weapon returns to its original form with the wand held inside of it without negatively impacting the weapon's integrity. For the spell's duration, a character who wields the transmuted weapon is also considered to be wielding the wand as well. You can attack normally with the weapon or use the weapon as if it were the encased wand. If the effect created by the wand requires an attack roll to successfully strike a foe, you may make the attack roll as if you were making an attack with the weapon at its highest bonus (including any bonuses the weapon would normally receive) rather than just a normal attack with the wand-doing so does not allow you to add the weapon's damage to the wand's attack roll, but instead allows you to use your skill with the weapon to boost your chance of hitting with the spell.&lt;/p&gt;&lt;p&gt;At the end of the spell's duration, the encased wand is ejected from the weapon. If you have a free hand, you may catch the weapon as a free action; otherwise, the wand drops to the ground. If the weapon housing the wand is broken or destroyed during the duration of &lt;i&gt;weaponwand&lt;/i&gt;, the encased wand is similarly broken or destroyed.&lt;/p&gt;</t>
  </si>
  <si>
    <t>&lt;link rel="stylesheet"href="PF.css"&gt;&lt;div class="heading"&gt;&lt;p class="alignleft"&gt;Weaponwand&lt;/p&gt;&lt;div style="clear: both;"&gt;&lt;/div&gt;&lt;/div&gt;&lt;div&gt;&lt;h5&gt;&lt;b&gt;School &lt;/b&gt;transmutation; &lt;b&gt;Level &lt;/b&gt;bard 1, cleric 1/oracle 1, inquisitor 1, magus 1&lt;/h5&gt;&lt;/div&gt;&lt;hr/&gt;&lt;div&gt;&lt;h5&gt;&lt;b&gt;CASTING&lt;/b&gt;&lt;/h5&gt;&lt;/div&gt;&lt;hr/&gt;&lt;div&gt;&lt;h5&gt;&lt;b&gt;Casting Time &lt;/b&gt;1 round&lt;/h5&gt;&lt;h5&gt;&lt;b&gt;Components &lt;/b&gt;V, S, F (a magic wand)&lt;/h5&gt;&lt;/div&gt;&lt;hr/&gt;&lt;div&gt;&lt;h5&gt;&lt;b&gt;EFFECT&lt;/b&gt;&lt;/h5&gt;&lt;/div&gt;&lt;hr/&gt;&lt;div&gt;&lt;h5&gt;&lt;b&gt;Range &lt;/b&gt;touch&lt;/h5&gt;&lt;h5&gt;&lt;b&gt;Targets &lt;/b&gt;one weapon&lt;/h5&gt;&lt;h5&gt;&lt;b&gt;Duration &lt;/b&gt;1 minute/level&lt;/h5&gt;&lt;h5&gt;&lt;b&gt;Saving Throw &lt;/b&gt;Will negates (harmless, object); &lt;b&gt;Spell Resistance &lt;/b&gt;yes (harmless, object)&lt;/h5&gt;&lt;/div&gt;&lt;hr/&gt;&lt;div&gt;&lt;h5&gt;&lt;b&gt;DESCRIPTION&lt;/b&gt;&lt;/h5&gt;&lt;/div&gt;&lt;hr/&gt;&lt;div&gt;&lt;h4&gt;&lt;p&gt;When you cast this spell on a weapon, you cause a portion of the weapon to open like the skin of a partially peeled apple, revealing a space large enough to insert a single wand within.&lt;/p&gt;&lt;p&gt;As part of the spell's casting, you can insert a single wand into the weapon, at which point the weapon returns to its original form with the wand held inside of it without negatively impacting the weapon's integrity. For the spell's duration, a character who wields the transmuted weapon is also considered to be wielding the wand as well. You can attack normally with the weapon or use the weapon as if it were the encased wand. If the effect created by the wand requires an attack roll to successfully strike a foe, you may make the attack roll as if you were making an attack with the weapon at its highest bonus (including any bonuses the weapon would normally receive) rather than just a normal attack with the wand-doing so does not allow you to add the weapon's damage to the wand's attack roll, but instead allows you to use your skill with the weapon to boost your chance of hitting with the spell.&lt;/p&gt;&lt;p&gt;At the end of the spell's duration, the encased wand is ejected from the weapon. If you have a free hand, you may catch the weapon as a free action; otherwise, the wand drops to the ground. If the weapon housing the wand is broken or destroyed during the duration of &lt;i&gt;weaponwand&lt;/i&gt;, the encased wand is similarly broken or destroyed.&lt;/p&gt;&lt;/h4&gt;&lt;/div&gt;</t>
  </si>
  <si>
    <t>Zone of Foul Flames</t>
  </si>
  <si>
    <t>V, S, M (a sliver of tree bark from a burnt tree from the Uskwood)</t>
  </si>
  <si>
    <t>The twisted druids of the Uskwood forsook fire in ages past for the glory of Zon-Kuthon. Despite this aversion, these servants of Nidal know well the sting of flame, and have learned to turn it back on those that wield it. This spell creates a zone where magical fire effects twist and lash out against those who create the effects. A zone of foul flames looks unremarkable to the casual observer, but a Perception check (DC = 20 + the caster's level) reveals a faint rippling effect in the area, as if of heat distortions in the air. Whenever a creature casts a spell with the fire descriptor or activates a magical fire effect (as from a magic item or a special attack) while that creature is located in a zone of foul flames, that creature takes full fire damage from the effect. If the effect allows a saving throw to reduce the damage, the victim may attempt the same saving throw to reduce the damage. All creatures in a zone of foul flames gain a +4 circumstance bonus on all saving throws against fire effects, except for those made by a creature attempting to save against fire damage from his own magic. Nonmagical fire in a zone of foul flames burns half as brightly but is otherwise not affected.</t>
  </si>
  <si>
    <t>&lt;p&gt;The twisted druids of the Uskwood forsook fire in ages past for the glory of Zon-Kuthon. Despite this aversion, these servants of Nidal know well the sting of flame, and have learned to turn it back on those that wield it. This spell creates a zone where magical fire effects twist and lash out against those who create the effects. A &lt;i&gt;zone of foul flames&lt;/i&gt; looks unremarkable to the casual observer, but a Perception check (DC = 20 + the caster's level) reveals a faint rippling effect in the area, as if of heat distortions in the air.&lt;/p&gt;&lt;p&gt;Whenever a creature casts a spell with the fire descriptor or activates a magical fire effect (as from a magic item or a special attack) while that creature is located in a &lt;i&gt;zone of foul flames&lt;/i&gt;, that creature takes full fire damage from the effect.&lt;/p&gt;&lt;p&gt;If the effect allows a saving throw to reduce the damage, the victim may attempt the same saving throw to reduce the damage. All creatures in a &lt;i&gt;zone of foul flames&lt;/i&gt; gain a +4 circumstance bonus on all saving throws against fire effects, except for those made by a creature attempting to save against fire damage from his own magic. Nonmagical fire in a &lt;i&gt;zone of foul flames&lt;/i&gt; burns half as brightly but is otherwise not affected.&lt;/p&gt;</t>
  </si>
  <si>
    <t>&lt;link rel="stylesheet"href="PF.css"&gt;&lt;div class="heading"&gt;&lt;p class="alignleft"&gt;Zone of Foul Flames&lt;/p&gt;&lt;div style="clear: both;"&gt;&lt;/div&gt;&lt;/div&gt;&lt;div&gt;&lt;h5&gt;&lt;b&gt;School &lt;/b&gt;transmutation; &lt;b&gt;Level &lt;/b&gt;druid 4&lt;/h5&gt;&lt;/div&gt;&lt;hr/&gt;&lt;div&gt;&lt;h5&gt;&lt;b&gt;CASTING&lt;/b&gt;&lt;/h5&gt;&lt;/div&gt;&lt;hr/&gt;&lt;div&gt;&lt;h5&gt;&lt;b&gt;Casting Time &lt;/b&gt;1 standard action&lt;/h5&gt;&lt;h5&gt;&lt;b&gt;Components &lt;/b&gt;V, S, M (a sliver of tree bark from a burnt tree from the Uskwood)&lt;/h5&gt;&lt;/div&gt;&lt;hr/&gt;&lt;div&gt;&lt;h5&gt;&lt;b&gt;EFFECT&lt;/b&gt;&lt;/h5&gt;&lt;/div&gt;&lt;hr/&gt;&lt;div&gt;&lt;h5&gt;&lt;b&gt;Range &lt;/b&gt;close (25 ft. + 5 ft./2 levels)&lt;/h5&gt;&lt;h5&gt;&lt;b&gt;Area &lt;/b&gt;20-ft.-radius spread&lt;/h5&gt;&lt;h5&gt;&lt;b&gt;Duration &lt;/b&gt;1 minute/level&lt;/h5&gt;&lt;h5&gt;&lt;b&gt;Saving Throw &lt;/b&gt;Will negates; &lt;b&gt;Spell Resistance &lt;/b&gt;yes&lt;/h5&gt;&lt;/div&gt;&lt;hr/&gt;&lt;div&gt;&lt;h5&gt;&lt;b&gt;DESCRIPTION&lt;/b&gt;&lt;/h5&gt;&lt;/div&gt;&lt;hr/&gt;&lt;div&gt;&lt;h4&gt;&lt;p&gt;The twisted druids of the Uskwood forsook fire in ages past for the glory of Zon-Kuthon. Despite this aversion, these servants of Nidal know well the sting of flame, and have learned to turn it back on those that wield it. This spell creates a zone where magical fire effects twist and lash out against those who create the effects. A &lt;i&gt;zone of foul flames&lt;/i&gt; looks unremarkable to the casual observer, but a Perception check (DC = 20 + the caster's level) reveals a faint rippling effect in the area, as if of heat distortions in the air.&lt;/p&gt;&lt;p&gt;Whenever a creature casts a spell with the fire descriptor or activates a magical fire effect (as from a magic item or a special attack) while that creature is located in a &lt;i&gt;zone of foul flames&lt;/i&gt;, that creature takes full fire damage from the effect.&lt;/p&gt;&lt;p&gt;If the effect allows a saving throw to reduce the damage, the victim may attempt the same saving throw to reduce the damage. All creatures in a &lt;i&gt;zone of foul flames&lt;/i&gt; gain a +4 circumstance bonus on all saving throws against fire effects, except for those made by a creature attempting to save against fire damage from his own magic. Nonmagical fire in a &lt;i&gt;zone of foul flames&lt;/i&gt; burns half as brightly but is otherwise not affected.&lt;/p&gt;&lt;/h4&gt;&lt;/div&gt;</t>
  </si>
  <si>
    <t>Ablative Barrier</t>
  </si>
  <si>
    <t>alchemist 2, magus 2, sorcerer/wizard 3, summoner 2</t>
  </si>
  <si>
    <t>V, S, M (a piece of metal cut from a shield)</t>
  </si>
  <si>
    <t>Invisible layers of solid force surround and protect the target, granting that target a +2 armor bonus to AC. Additionally, the first 5 points of lethal damage the target takes from each attack are converted into nonlethal damage. Against attacks that already deal nonlethal damage, the target gains DR 5/-. Once this spell has converted 5 points of damage to nonlethal damage per caster level (maximum 50 points), the spell is discharged.</t>
  </si>
  <si>
    <t>&lt;p&gt;Invisible layers of solid force surround and protect the target, granting that target a +2 armor bonus to AC. Additionally, the first 5 points of lethal damage the target takes from each attack are converted into nonlethal damage. Against attacks that already deal nonlethal damage, the target gains DR 5/-. Once this spell has converted 5 points of damage to nonlethal damage per caster level (maximum 50 points), the spell is discharged.&lt;/p&gt;</t>
  </si>
  <si>
    <t>Ultimate Combat</t>
  </si>
  <si>
    <t>&lt;link rel="stylesheet"href="PF.css"&gt;&lt;div class="heading"&gt;&lt;p class="alignleft"&gt;Ablative Barrier&lt;/p&gt;&lt;div style="clear: both;"&gt;&lt;/div&gt;&lt;/div&gt;&lt;div&gt;&lt;h5&gt;&lt;b&gt;School &lt;/b&gt;conjuration (creation) [force]; &lt;b&gt;Level &lt;/b&gt;alchemist 2, magus 2, sorcerer/wizard 3, summoner 2&lt;/h5&gt;&lt;/div&gt;&lt;hr/&gt;&lt;div&gt;&lt;h5&gt;&lt;b&gt;CASTING&lt;/b&gt;&lt;/h5&gt;&lt;/div&gt;&lt;hr/&gt;&lt;div&gt;&lt;h5&gt;&lt;b&gt;Casting Time &lt;/b&gt;1 standard action&lt;/h5&gt;&lt;h5&gt;&lt;b&gt;Components &lt;/b&gt;V, S, M (a piece of metal cut from a shield)&lt;/h5&gt;&lt;/div&gt;&lt;hr/&gt;&lt;div&gt;&lt;h5&gt;&lt;b&gt;EFFECT&lt;/b&gt;&lt;/h5&gt;&lt;/div&gt;&lt;hr/&gt;&lt;div&gt;&lt;h5&gt;&lt;b&gt;Range &lt;/b&gt;touch&lt;/h5&gt;&lt;h5&gt;&lt;b&gt;Targets &lt;/b&gt;creature touched&lt;/h5&gt;&lt;h5&gt;&lt;b&gt;Duration &lt;/b&gt;1 hour/level or until discharged&lt;/h5&gt;&lt;h5&gt;&lt;b&gt;Saving Throw &lt;/b&gt;Will negates (harmless); &lt;b&gt;Spell Resistance &lt;/b&gt;no&lt;/h5&gt;&lt;/div&gt;&lt;hr/&gt;&lt;div&gt;&lt;h5&gt;&lt;b&gt;DESCRIPTION&lt;/b&gt;&lt;/h5&gt;&lt;/div&gt;&lt;hr/&gt;&lt;div&gt;&lt;h4&gt;&lt;p&gt;Invisible layers of solid force surround and protect the target, granting that target a +2 armor bonus to AC. Additionally, the first 5 points of lethal damage the target takes from each attack are converted into nonlethal damage. Against attacks that already deal nonlethal damage, the target gains DR 5/-. Once this spell has converted 5 points of damage to nonlethal damage per caster level (maximum 50 points), the spell is discharged.&lt;/p&gt;&lt;/h4&gt;&lt;h5&gt;&lt;b&gt;Mythic: &lt;/b&gt;Add half your tier to the spell's armor bonus. Add half your tier to the amount of lethal damage from each attack that is converted to nonlethal damage and to the DR against nonlethal damage. Add half your tier to your caster level when determining how much damage the spell converts before it's discharged.&lt;/h5&gt;&lt;/div&gt;</t>
  </si>
  <si>
    <t>Surrounds the target with layers of force.</t>
  </si>
  <si>
    <t>Add half your tier to the spell's armor bonus. Add half your tier to the amount of lethal damage from each attack that is converted to nonlethal damage and to the DR against nonlethal damage. Add half your tier to your caster level when determining how much damage the spell converts before it's discharged.</t>
  </si>
  <si>
    <t>Absorb Toxicity</t>
  </si>
  <si>
    <t>alchemist 3, druid 4, sorcerer/wizard 5, witch 4</t>
  </si>
  <si>
    <t>V, S, M (a thorn from a poisonous plant)</t>
  </si>
  <si>
    <t>You absorb the toxicity of your surroundings, becoming toxic as a result. While under the effect of this spell, you are immune to diseases and poisons with which you come into contact. When you are exposed to a disease or poison, you can choose to absorb it. Doing so ends the immunity due to this spell to any disease and poison other than the one you absorbed. You remain immune to the new affliction until this spell ends. Casting absorb toxicity on yourself a second time does not allow you to absorb a second toxin, but instead resets the duration of the effect to its full 10 minutes/level. While you have a disease or poison absorbed, you can use a melee touch attack to transfer that affliction to another creature. A missed attack does not discharge the spell, and you can try to transfer the affliction again in subsequent rounds. If you hit, this spell is discharged, and your target must make a saving throw against the transferred affliction (DC equal to this spell's save DC or the affliction's save DC, whichever is higher) or suffer its effect or initial effect immediately. The target then continues to suffer from the affliction's normal effects. If the spell's duration expires before you have transferred the affliction, you are exposed to any absorbed poison or disease as if you had transferred it to yourself, but you gain a +2 bonus on saves against that particular instance of the poison or disease.</t>
  </si>
  <si>
    <t>&lt;p&gt;You absorb the toxicity of your surroundings, becoming toxic as a result. While under the effect of this spell, you are immune to diseases and poisons with which you come into contact. When you are exposed to a disease or poison, you can choose to absorb it. Doing so ends the immunity due to this spell to any disease and poison other than the one you absorbed. You remain immune to the new affliction until this spell ends. Casting &lt;i&gt;absorb toxicity&lt;/i&gt; on yourself a second time does not allow you to absorb a second toxin, but instead resets the duration of the effect to its full 10 minutes/level. While you have a disease or poison absorbed, you can use a melee touch attack to transfer that affliction to another creature. A missed attack does not discharge the spell, and you can try to transfer the affliction again in subsequent rounds. If you hit, this spell is discharged, and your target must make a saving throw against the transferred affliction (DC equal to this spell's save DC or the affliction's save DC, whichever is higher) or suffer its effect or initial effect immediately. The target then continues to suffer from the affliction's normal effects. If the spell's duration expires before you have transferred the affliction, you are exposed to any absorbed poison or disease as if you had transferred it to yourself, but you gain a +2 bonus on saves against that particular instance of the poison or disease.&lt;/p&gt;</t>
  </si>
  <si>
    <t>&lt;link rel="stylesheet"href="PF.css"&gt;&lt;div class="heading"&gt;&lt;p class="alignleft"&gt;Absorb Toxicity&lt;/p&gt;&lt;div style="clear: both;"&gt;&lt;/div&gt;&lt;/div&gt;&lt;div&gt;&lt;h5&gt;&lt;b&gt;School &lt;/b&gt;necromancy; &lt;b&gt;Level &lt;/b&gt;alchemist 3, druid 4, sorcerer/wizard 5, witch 4&lt;/h5&gt;&lt;/div&gt;&lt;hr/&gt;&lt;div&gt;&lt;h5&gt;&lt;b&gt;CASTING&lt;/b&gt;&lt;/h5&gt;&lt;/div&gt;&lt;hr/&gt;&lt;div&gt;&lt;h5&gt;&lt;b&gt;Casting Time &lt;/b&gt;1 standard action&lt;/h5&gt;&lt;h5&gt;&lt;b&gt;Components &lt;/b&gt;V, S, M (a thorn from a poisonous plant)&lt;/h5&gt;&lt;/div&gt;&lt;hr/&gt;&lt;div&gt;&lt;h5&gt;&lt;b&gt;EFFECT&lt;/b&gt;&lt;/h5&gt;&lt;/div&gt;&lt;hr/&gt;&lt;div&gt;&lt;h5&gt;&lt;b&gt;Range &lt;/b&gt;personal&lt;/h5&gt;&lt;h5&gt;&lt;b&gt;Targets &lt;/b&gt;you&lt;/h5&gt;&lt;h5&gt;&lt;b&gt;Duration &lt;/b&gt;10 minutes/level or until discharged&lt;/h5&gt;&lt;h5&gt;&lt;b&gt;Saving Throw &lt;/b&gt;see text; &lt;b&gt;Spell Resistance &lt;/b&gt;no&lt;/h5&gt;&lt;/div&gt;&lt;hr/&gt;&lt;div&gt;&lt;h5&gt;&lt;b&gt;DESCRIPTION&lt;/b&gt;&lt;/h5&gt;&lt;/div&gt;&lt;hr/&gt;&lt;div&gt;&lt;h4&gt;&lt;p&gt;You absorb the toxicity of your surroundings, becoming toxic as a result. While under the effect of this spell, you are immune to diseases and poisons with which you come into contact. When you are exposed to a disease or poison, you can choose to absorb it. Doing so ends the immunity due to this spell to any disease and poison other than the one you absorbed. You remain immune to the new affliction until this spell ends. Casting &lt;i&gt;absorb toxicity&lt;/i&gt; on yourself a second time does not allow you to absorb a second toxin, but instead resets the duration of the effect to its full 10 minutes/level. While you have a disease or poison absorbed, you can use a melee touch attack to transfer that affliction to another creature. A missed attack does not discharge the spell, and you can try to transfer the affliction again in subsequent rounds. If you hit, this spell is discharged, and your target must make a saving throw against the transferred affliction (DC equal to this spell's save DC or the affliction's save DC, whichever is higher) or suffer its effect or initial effect immediately. The target then continues to suffer from the affliction's normal effects. If the spell's duration expires before you have transferred the affliction, you are exposed to any absorbed poison or disease as if you had transferred it to yourself, but you gain a +2 bonus on saves against that particular instance of the poison or disease.&lt;/p&gt;&lt;/h4&gt;&lt;/div&gt;</t>
  </si>
  <si>
    <t>You become immune to diseases and toxins, absorb one, and then spread it to others.</t>
  </si>
  <si>
    <t>Abundant Ammunition</t>
  </si>
  <si>
    <t>bard 1, cleric 1/oracle 1, ranger 1, sorcerer/wizard 1</t>
  </si>
  <si>
    <t>V, S, M/DF (a single piece of ammunition)</t>
  </si>
  <si>
    <t>one container touched</t>
  </si>
  <si>
    <t>When cast on a container such as a quiver or a pouch that contains nonmagical ammunition or shuriken (including masterwork ammunition or shuriken), at the start of each round this spell replaces any ammunition taken from the container the round before. The ammunition taken from the container the round before vanishes. If, after casting this spell, you cast a spell that enhances projectiles, such as align weapon or greater magic weapon, on the same container, all projectiles this spell conjures are affected by that spell.</t>
  </si>
  <si>
    <t>&lt;p&gt;When cast on a container such as a quiver or a pouch that contains nonmagical ammunition or shuriken (including masterwork ammunition or shuriken), at the start of each round this spell replaces any ammunition taken from the container the round before. The ammunition taken from the container the round before vanishes. If, after casting this spell, you cast a spell that enhances projectiles, such as &lt;i&gt;align weapon&lt;/i&gt; or &lt;i&gt;greater magic weapon&lt;/i&gt;, on the same container, all projectiles this spell conjures are affected by that spell.&lt;/p&gt;</t>
  </si>
  <si>
    <t>&lt;link rel="stylesheet"href="PF.css"&gt;&lt;div class="heading"&gt;&lt;p class="alignleft"&gt;Abundant Ammunition&lt;/p&gt;&lt;div style="clear: both;"&gt;&lt;/div&gt;&lt;/div&gt;&lt;div&gt;&lt;h5&gt;&lt;b&gt;School &lt;/b&gt;conjuration (summoning); &lt;b&gt;Level &lt;/b&gt;bard 1, cleric 1/oracle 1, ranger 1, sorcerer/wizard 1&lt;/h5&gt;&lt;/div&gt;&lt;hr/&gt;&lt;div&gt;&lt;h5&gt;&lt;b&gt;CASTING&lt;/b&gt;&lt;/h5&gt;&lt;/div&gt;&lt;hr/&gt;&lt;div&gt;&lt;h5&gt;&lt;b&gt;Casting Time &lt;/b&gt;1 standard action&lt;/h5&gt;&lt;h5&gt;&lt;b&gt;Components &lt;/b&gt;V, S, M/DF (a single piece of ammunition)&lt;/h5&gt;&lt;/div&gt;&lt;hr/&gt;&lt;div&gt;&lt;h5&gt;&lt;b&gt;EFFECT&lt;/b&gt;&lt;/h5&gt;&lt;/div&gt;&lt;hr/&gt;&lt;div&gt;&lt;h5&gt;&lt;b&gt;Targets &lt;/b&gt;one container touched&lt;/h5&gt;&lt;h5&gt;&lt;b&gt;Duration &lt;/b&gt;1 minute/level&lt;/h5&gt;&lt;h5&gt;&lt;b&gt;Saving Throw &lt;/b&gt;none; &lt;b&gt;Spell Resistance &lt;/b&gt;no&lt;/h5&gt;&lt;/div&gt;&lt;hr/&gt;&lt;div&gt;&lt;h5&gt;&lt;b&gt;DESCRIPTION&lt;/b&gt;&lt;/h5&gt;&lt;/div&gt;&lt;hr/&gt;&lt;div&gt;&lt;h4&gt;&lt;p&gt;When cast on a container such as a quiver or a pouch that contains nonmagical ammunition or shuriken (including masterwork ammunition or shuriken), at the start of each round this spell replaces any ammunition taken from the container the round before. The ammunition taken from the container the round before vanishes. If, after casting this spell, you cast a spell that enhances projectiles, such as &lt;i&gt;align weapon&lt;/i&gt; or &lt;i&gt;greater magic weapon&lt;/i&gt;, on the same container, all projectiles this spell conjures are affected by that spell.&lt;/p&gt;&lt;/h4&gt;&lt;/div&gt;</t>
  </si>
  <si>
    <t>Replaces nonmagical ammunition every round.</t>
  </si>
  <si>
    <t>Adjuring Step</t>
  </si>
  <si>
    <t>alchemist 1, bard 1, magus 1, sorcerer/wizard 1</t>
  </si>
  <si>
    <t>V, S, M (a rabbit's foot)</t>
  </si>
  <si>
    <t>This spell creates a subtle and complicated force effect that is most effective when used by a still or slow-moving spellcaster or formula user. While you are subject to this spell, you can take two 5-foot steps each round and still cast spells and use spell-like abilities without provoke attacks of opportunity. This spell automatically discharges as soon as you make an attack, cast a harmful spell against another creature, or move more than 5 feet with a single move action. If the action that discharges the spell also provokes attacks of opportunity, that action still provokes attacks of opportunity as normal.</t>
  </si>
  <si>
    <t>&lt;p&gt;This spell creates a subtle and complicated force effect that is most effective when used by a still or slow-moving spellcaster or formula user. While you are subject to this spell, you can take two 5-foot steps each round and still cast spells and use spell-like abilities without provoke attacks of opportunity. This spell automatically discharges as soon as you make an attack, cast a harmful spell against another creature, or move more than 5 feet with a single move action. If the action that discharges the spell also provokes attacks of opportunity, that action still provokes attacks of opportunity as normal.&lt;/p&gt;</t>
  </si>
  <si>
    <t>&lt;link rel="stylesheet"href="PF.css"&gt;&lt;div class="heading"&gt;&lt;p class="alignleft"&gt;Adjuring Step&lt;/p&gt;&lt;div style="clear: both;"&gt;&lt;/div&gt;&lt;/div&gt;&lt;div&gt;&lt;h5&gt;&lt;b&gt;School &lt;/b&gt;abjuration [force]; &lt;b&gt;Level &lt;/b&gt;alchemist 1, bard 1, magus 1, sorcerer/wizard 1&lt;/h5&gt;&lt;/div&gt;&lt;hr/&gt;&lt;div&gt;&lt;h5&gt;&lt;b&gt;CASTING&lt;/b&gt;&lt;/h5&gt;&lt;/div&gt;&lt;hr/&gt;&lt;div&gt;&lt;h5&gt;&lt;b&gt;Casting Time &lt;/b&gt;1 standard action&lt;/h5&gt;&lt;h5&gt;&lt;b&gt;Components &lt;/b&gt;V, S, M (a rabbit's foot)&lt;/h5&gt;&lt;/div&gt;&lt;hr/&gt;&lt;div&gt;&lt;h5&gt;&lt;b&gt;EFFECT&lt;/b&gt;&lt;/h5&gt;&lt;/div&gt;&lt;hr/&gt;&lt;div&gt;&lt;h5&gt;&lt;b&gt;Range &lt;/b&gt;personal&lt;/h5&gt;&lt;h5&gt;&lt;b&gt;Targets &lt;/b&gt;you&lt;/h5&gt;&lt;h5&gt;&lt;b&gt;Duration &lt;/b&gt;1 round/level or until discharged&lt;/h5&gt;&lt;/div&gt;&lt;hr/&gt;&lt;div&gt;&lt;h5&gt;&lt;b&gt;DESCRIPTION&lt;/b&gt;&lt;/h5&gt;&lt;/div&gt;&lt;hr/&gt;&lt;div&gt;&lt;h4&gt;&lt;p&gt;This spell creates a subtle and complicated force effect that is most effective when used by a still or slow-moving spellcaster or formula user. While you are subject to this spell, you can take two 5-foot steps each round and still cast spells and use spell-like abilities without provoke attacks of opportunity. This spell automatically discharges as soon as you make an attack, cast a harmful spell against another creature, or move more than 5 feet with a single move action. If the action that discharges the spell also provokes attacks of opportunity, that action still provokes attacks of opportunity as normal.&lt;/p&gt;&lt;/h4&gt;&lt;/div&gt;</t>
  </si>
  <si>
    <t>You can move slowly and safely and still cast spells, until you move quickly, make an attack, or cast a harmful spell.</t>
  </si>
  <si>
    <t>Adoration</t>
  </si>
  <si>
    <t>The target of this spell is the subject of adoration by those whom it tries to affect with Diplomacy or during performance combat. If the target is out of combat, it receives a +2 morale bonus on all Diplomacy checks it makes to influence creatures. If the creature is engaged in performance combat (see page 153), the target gains a +2 morale bonus on all performance combat checks.</t>
  </si>
  <si>
    <t>&lt;p&gt;The target of this spell is the subject of adoration by those whom it tries to affect with Diplomacy or during performance combat. If the target is out of combat, it receives a +2 morale bonus on all Diplomacy checks it makes to influence creatures. If the creature is engaged in performance combat (see page 153), the target gains a +2 morale bonus on all performance combat checks.&lt;/p&gt;</t>
  </si>
  <si>
    <t>&lt;link rel="stylesheet"href="PF.css"&gt;&lt;div class="heading"&gt;&lt;p class="alignleft"&gt;Adoration&lt;/p&gt;&lt;div style="clear: both;"&gt;&lt;/div&gt;&lt;/div&gt;&lt;div&gt;&lt;h5&gt;&lt;b&gt;School &lt;/b&gt;transmutation; &lt;b&gt;Level &lt;/b&gt;bard 1, sorcerer/wizard 2, witch 2&lt;/h5&gt;&lt;/div&gt;&lt;hr/&gt;&lt;div&gt;&lt;h5&gt;&lt;b&gt;CASTING&lt;/b&gt;&lt;/h5&gt;&lt;/div&gt;&lt;hr/&gt;&lt;div&gt;&lt;h5&gt;&lt;b&gt;Casting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&lt;/b&gt;1 minute/level&lt;/h5&gt;&lt;h5&gt;&lt;b&gt;Saving Throw &lt;/b&gt;Will negates (harmless); &lt;b&gt;Spell Resistance &lt;/b&gt;yes&lt;/h5&gt;&lt;/div&gt;&lt;hr/&gt;&lt;div&gt;&lt;h5&gt;&lt;b&gt;DESCRIPTION&lt;/b&gt;&lt;/h5&gt;&lt;/div&gt;&lt;hr/&gt;&lt;div&gt;&lt;h4&gt;&lt;p&gt;The target of this spell is the subject of adoration by those whom it tries to affect with Diplomacy or during performance combat. If the target is out of combat, it receives a +2 morale bonus on all Diplomacy checks it makes to influence creatures. If the creature is engaged in performance combat (see page 153), the target gains a +2 morale bonus on all performance combat checks.&lt;/p&gt;&lt;/h4&gt;&lt;/div&gt;</t>
  </si>
  <si>
    <t>You gain a bonus on Diplomacy checks and performance combat checks.</t>
  </si>
  <si>
    <t>Air Bubble</t>
  </si>
  <si>
    <t>cleric 1/oracle 1, druid 1, ranger 1, sorcerer/wizard 1, witch 1</t>
  </si>
  <si>
    <t>S, M/DF (a small bladder filled with air)</t>
  </si>
  <si>
    <t>one creature or one object no larger than a Large two-handed weapon</t>
  </si>
  <si>
    <t>Air bubble creates a small pocket of breathable air that surrounds the touched creature's head or the touched object. The air bubble allows the creature touched to breathe underwater or in similar airless environments, or protects the object touched from water damage. A firearm within an air bubble can be loaded-assuming the black powder comes from a powder horn, a cartridge, or some other airtight protective device-and fired. When shooting such a firearm underwater, the shot still takes the standard -2 penalty on attack rolls for every 5 feet of water the bullet passes through, in addition to normal penalties due to range. If a firearm within the air bubble explodes, the explosion occurs normally.</t>
  </si>
  <si>
    <t>&lt;p&gt;&lt;i&gt;Air bubble&lt;/i&gt; creates a small pocket of breathable air that surrounds the touched creature's head or the touched object. The &lt;i&gt;air bubble&lt;/i&gt; allows the creature touched to breathe underwater or in similar airless environments, or protects the object touched from water damage. A firearm within an &lt;i&gt;air bubble&lt;/i&gt; can be loaded-assuming the black powder comes from a powder horn, a cartridge, or some other airtight protective device-and fired. When shooting such a firearm underwater, the shot still takes the standard -2 penalty on attack rolls for every 5 feet of water the bullet passes through, in addition to normal penalties due to range. If a firearm within the &lt;i&gt;air bubble&lt;/i&gt; explodes, the explosion occurs normally.&lt;/p&gt;</t>
  </si>
  <si>
    <t>&lt;link rel="stylesheet"href="PF.css"&gt;&lt;div class="heading"&gt;&lt;p class="alignleft"&gt;Air Bubble&lt;/p&gt;&lt;div style="clear: both;"&gt;&lt;/div&gt;&lt;/div&gt;&lt;div&gt;&lt;h5&gt;&lt;b&gt;School &lt;/b&gt;conjuration; &lt;b&gt;Level &lt;/b&gt;cleric 1/oracle 1, druid 1, ranger 1, sorcerer/wizard 1, witch 1&lt;/h5&gt;&lt;/div&gt;&lt;hr/&gt;&lt;div&gt;&lt;h5&gt;&lt;b&gt;CASTING&lt;/b&gt;&lt;/h5&gt;&lt;/div&gt;&lt;hr/&gt;&lt;div&gt;&lt;h5&gt;&lt;b&gt;Casting Time &lt;/b&gt;1 standard action&lt;/h5&gt;&lt;h5&gt;&lt;b&gt;Components &lt;/b&gt;S, M/DF (a small bladder filled with air)&lt;/h5&gt;&lt;/div&gt;&lt;hr/&gt;&lt;div&gt;&lt;h5&gt;&lt;b&gt;EFFECT&lt;/b&gt;&lt;/h5&gt;&lt;/div&gt;&lt;hr/&gt;&lt;div&gt;&lt;h5&gt;&lt;b&gt;Range &lt;/b&gt;touch&lt;/h5&gt;&lt;h5&gt;&lt;b&gt;Targets &lt;/b&gt;one creature or one object no larger than a Large two-handed weapon&lt;/h5&gt;&lt;h5&gt;&lt;b&gt;Duration &lt;/b&gt;1 minute/level&lt;/h5&gt;&lt;h5&gt;&lt;b&gt;Saving Throw &lt;/b&gt;Will negates (harmless); &lt;b&gt;Spell Resistance &lt;/b&gt;yes (harmless)&lt;/h5&gt;&lt;/div&gt;&lt;hr/&gt;&lt;div&gt;&lt;h5&gt;&lt;b&gt;DESCRIPTION&lt;/b&gt;&lt;/h5&gt;&lt;/div&gt;&lt;hr/&gt;&lt;div&gt;&lt;h4&gt;&lt;p&gt;&lt;i&gt;Air bubble&lt;/i&gt; creates a small pocket of breathable air that surrounds the touched creature's head or the touched object. The &lt;i&gt;air bubble&lt;/i&gt; allows the creature touched to breathe underwater or in similar airless environments, or protects the object touched from water damage. A firearm within an &lt;i&gt;air bubble&lt;/i&gt; can be loaded-assuming the black powder comes from a powder horn, a cartridge, or some other airtight protective device-and fired. When shooting such a firearm underwater, the shot still takes the standard -2 penalty on attack rolls for every 5 feet of water the bullet passes through, in addition to normal penalties due to range. If a firearm within the &lt;i&gt;air bubble&lt;/i&gt; explodes, the explosion occurs normally.&lt;/p&gt;&lt;/h4&gt;&lt;/div&gt;</t>
  </si>
  <si>
    <t>Creates a small pocket of air around your head or an object.</t>
  </si>
  <si>
    <t>Air Walk, Communal</t>
  </si>
  <si>
    <t>alchemist 4, cleric 5/oracle 5, druid 5</t>
  </si>
  <si>
    <t>creatures touched</t>
  </si>
  <si>
    <t>This spell functions like air walk, except divide the duration in 10-minute intervals among the creatures touched.</t>
  </si>
  <si>
    <t>&lt;p&gt;This spell functions like &lt;i&gt;air walk&lt;/i&gt;, except divide the duration in 10-minute intervals among the creatures touched.&lt;/p&gt;</t>
  </si>
  <si>
    <t>&lt;link rel="stylesheet"href="PF.css"&gt;&lt;div class="heading"&gt;&lt;p class="alignleft"&gt;Air Walk, Communal&lt;/p&gt;&lt;div style="clear: both;"&gt;&lt;/div&gt;&lt;/div&gt;&lt;div&gt;&lt;h5&gt;&lt;b&gt;School &lt;/b&gt;transmutation [air]; &lt;b&gt;Level &lt;/b&gt;alchemist 4, cleric 5/oracle 5, druid 5&lt;/h5&gt;&lt;/div&gt;&lt;hr/&gt;&lt;div&gt;&lt;h5&gt;&lt;b&gt;CASTING&lt;/b&gt;&lt;/h5&gt;&lt;/div&gt;&lt;hr/&gt;&lt;div&gt;&lt;h5&gt;&lt;b&gt;Casting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&lt;/b&gt;creatures touched&lt;/h5&gt;&lt;h5&gt;&lt;b&gt;Duration &lt;/b&gt;10 min./level&lt;/h5&gt;&lt;h5&gt;&lt;b&gt;Saving Throw &lt;/b&gt;none; &lt;b&gt;Spell Resistance &lt;/b&gt;yes (harmless)&lt;/h5&gt;&lt;/div&gt;&lt;hr/&gt;&lt;div&gt;&lt;h5&gt;&lt;b&gt;DESCRIPTION&lt;/b&gt;&lt;/h5&gt;&lt;/div&gt;&lt;hr/&gt;&lt;div&gt;&lt;h4&gt;&lt;p&gt;This spell functions like &lt;i&gt;air walk&lt;/i&gt;, except divide the duration in 10-minute intervals among the creatures touched.&lt;/p&gt;&lt;/h4&gt;&lt;/div&gt;</t>
  </si>
  <si>
    <t>As air walk, but you may divide the duration among creatures touched.</t>
  </si>
  <si>
    <t>Animal Aspect</t>
  </si>
  <si>
    <t>alchemist 2, magus 2, druid 2, ranger 2, sorcerer/wizard 2</t>
  </si>
  <si>
    <t>V, S, M/DF (a part of the animal)</t>
  </si>
  <si>
    <t>You gain some of the beneficial qualities of an animal. Your base form is largely unchanged and your size is unaltered, but some of your body parts are altered. Armor or gear you are wearing adjusts to your new shape for the duration of the spell. When you cast animal aspect, choose one of the following animals to gain the associated benefits. You can only have one animal aspect or greater animal aspect spell active on you at a time. Frog: Your legs become elongated and muscular. You gain a +4 competence bonus on Acrobatics checks, and you always jump as if you had a running start. Gorilla: Your arms become long, flexible, and strong like those of a great ape. Your unarmed damage die type increases by one step, and you gain a +4 competence bonus on combat maneuver checks when making the grapple or reposition combat maneuver. Monkey: Your hands and arms become dexterous like those of a simian. You gain a +4 competence bonus on Climb checks, and you can throw objects as if you had the Throw Anything feat. Otter: Your hands and feet gain webbing, and your lungs gain capacity, allowing you to move through the water with ease. You gain a Swim speed equal to half your speed, and all the benefits of having a swim speed. Additionally, you can hold your breath for 4 rounds per point of Constitution before being forced to make Constitution checks to keep holding your breath. Raccoon: Your hands become extremely dexterous, and your feet become padded. You gain a +2 competence bonus on Disable Device, Sleight of Hand, and Stealth checks. Raptor: Your legs become built for running speed, like those of a deinonychus. You gain a enhancement bonus of +20 feet to your base speed. Tree Lizard: Your hands and feet gain climbing claws and climbing pads. You gain a climb speed equal to half your normal speed and all the benefits of having a natural climb speed.</t>
  </si>
  <si>
    <t>&lt;p&gt;You gain some of the beneficial qualities of an animal. Your base form is largely unchanged and your size is unaltered, but some of your body parts are altered. Armor or gear you are wearing adjusts to your new shape for the duration of the spell. When you cast &lt;i&gt;animal aspect&lt;/i&gt;, choose one of the following animals to gain the associated benefits. You can only have one &lt;i&gt;animal aspect&lt;/i&gt; or greater &lt;i&gt;animal aspect&lt;/i&gt; spell active on you at a time. &lt;br&gt;&lt;i&gt;Frog&lt;/i&gt;: Your legs become elongated and muscular. You gain a +4 competence bonus on Acrobatics checks, and you always jump as if you had a running start. &lt;br&gt;&lt;i&gt;Gorilla&lt;/i&gt;: Your arms become long, flexible, and strong like those of a great ape. Your unarmed damage die type increases by one step, and you gain a +4 competence bonus on combat maneuver checks when making the grapple or reposition combat maneuver. &lt;br&gt;&lt;i&gt;Monkey&lt;/i&gt;: Your hands and arms become dexterous like those of a simian. You gain a +4 competence bonus on Climb checks, and you can throw objects as if you had the Throw Anything feat. &lt;br&gt;&lt;i&gt;Otter&lt;/i&gt;: Your hands and feet gain webbing, and your lungs gain capacity, allowing you to move through the water with ease. You gain a Swim speed equal to half your speed, and all the benefits of having a swim speed. Additionally, you can hold your breath for 4 rounds per point of Constitution before being forced to make Constitution checks to keep holding your breath. &lt;br&gt;&lt;i&gt;Raccoon&lt;/i&gt;: Your hands become extremely dexterous, and your feet become padded. You gain a +2 competence bonus on Disable Device, Sleight of Hand, and Stealth checks. &lt;br&gt;&lt;i&gt;Raptor&lt;/i&gt;: Your legs become built for running speed, like those of a deinonychus. You gain a enhancement bonus of +20 feet to your base speed. &lt;br&gt;&lt;i&gt;Tree Lizard&lt;/i&gt;: Your hands and feet gain climbing claws and climbing pads. You gain a climb speed equal to half your normal speed and all the benefits of having a natural climb speed.&lt;/p&gt;</t>
  </si>
  <si>
    <t>&lt;link rel="stylesheet"href="PF.css"&gt;&lt;div class="heading"&gt;&lt;p class="alignleft"&gt;Animal Aspect&lt;/p&gt;&lt;div style="clear: both;"&gt;&lt;/div&gt;&lt;/div&gt;&lt;div&gt;&lt;h5&gt;&lt;b&gt;School &lt;/b&gt;transmutation (polymorph); &lt;b&gt;Level &lt;/b&gt;alchemist 2, magus 2, druid 2, ranger 2, sorcerer/wizard 2&lt;/h5&gt;&lt;/div&gt;&lt;hr/&gt;&lt;div&gt;&lt;h5&gt;&lt;b&gt;CASTING&lt;/b&gt;&lt;/h5&gt;&lt;/div&gt;&lt;hr/&gt;&lt;div&gt;&lt;h5&gt;&lt;b&gt;Casting Time &lt;/b&gt;1 standard action&lt;/h5&gt;&lt;h5&gt;&lt;b&gt;Components &lt;/b&gt;V, S, M/DF (a part of the animal)&lt;/h5&gt;&lt;/div&gt;&lt;hr/&gt;&lt;div&gt;&lt;h5&gt;&lt;b&gt;EFFECT&lt;/b&gt;&lt;/h5&gt;&lt;/div&gt;&lt;hr/&gt;&lt;div&gt;&lt;h5&gt;&lt;b&gt;Range &lt;/b&gt;personal&lt;/h5&gt;&lt;h5&gt;&lt;b&gt;Targets &lt;/b&gt;you&lt;/h5&gt;&lt;h5&gt;&lt;b&gt;Duration &lt;/b&gt;1 minute/level (D)&lt;/h5&gt;&lt;h5&gt;&lt;b&gt;Saving Throw &lt;/b&gt;none; &lt;b&gt;Spell Resistance &lt;/b&gt;yes (harmless)&lt;/h5&gt;&lt;/div&gt;&lt;hr/&gt;&lt;div&gt;&lt;h5&gt;&lt;b&gt;DESCRIPTION&lt;/b&gt;&lt;/h5&gt;&lt;/div&gt;&lt;hr/&gt;&lt;div&gt;&lt;h4&gt;&lt;p&gt;You gain some of the beneficial qualities of an animal. Your base form is largely unchanged and your size is unaltered, but some of your body parts are altered. Armor or gear you are wearing adjusts to your new shape for the duration of the spell. When you cast &lt;i&gt;animal aspect&lt;/i&gt;, choose one of the following animals to gain the associated benefits. You can only have one &lt;i&gt;animal aspect&lt;/i&gt; or greater &lt;i&gt;animal aspect&lt;/i&gt; spell active on you at a time. &lt;br&gt;&lt;i&gt;Frog&lt;/i&gt;: Your legs become elongated and muscular. You gain a +4 competence bonus on Acrobatics checks, and you always jump as if you had a running start. &lt;br&gt;&lt;i&gt;Gorilla&lt;/i&gt;: Your arms become long, flexible, and strong like those of a great ape. Your unarmed damage die type increases by one step, and you gain a +4 competence bonus on combat maneuver checks when making the grapple or reposition combat maneuver. &lt;br&gt;&lt;i&gt;Monkey&lt;/i&gt;: Your hands and arms become dexterous like those of a simian. You gain a +4 competence bonus on Climb checks, and you can throw objects as if you had the Throw Anything feat. &lt;br&gt;&lt;i&gt;Otter&lt;/i&gt;: Your hands and feet gain webbing, and your lungs gain capacity, allowing you to move through the water with ease. You gain a Swim speed equal to half your speed, and all the benefits of having a swim speed. Additionally, you can hold your breath for 4 rounds per point of Constitution before being forced to make Constitution checks to keep holding your breath. &lt;br&gt;&lt;i&gt;Raccoon&lt;/i&gt;: Your hands become extremely dexterous, and your feet become padded. You gain a +2 competence bonus on Disable Device, Sleight of Hand, and Stealth checks. &lt;br&gt;&lt;i&gt;Raptor&lt;/i&gt;: Your legs become built for running speed, like those of a deinonychus. You gain a enhancement bonus of +20 feet to your base speed. &lt;br&gt;&lt;i&gt;Tree Lizard&lt;/i&gt;: Your hands and feet gain climbing claws and climbing pads. You gain a climb speed equal to half your normal speed and all the benefits of having a natural climb speed.&lt;/p&gt;&lt;/h4&gt;&lt;h5&gt;&lt;b&gt;Mythic: &lt;/b&gt;You gain low-light vision, a +2 size bonus to the physical ability score of your choice, and a +1 enhancement bonus to your natural armor. Alternatively, you may cast the non-mythic form of this spell on a touched willing creature.&lt;/h5&gt;&lt;/div&gt;</t>
  </si>
  <si>
    <t>You gain some of the beneficial qualities of an animal.</t>
  </si>
  <si>
    <t>You gain low-light vision, a +2 size bonus to the physical ability score of your choice, and a +1 enhancement bonus to your natural armor. Alternatively, you may cast the non-mythic form of this spell on a touched willing creature.</t>
  </si>
  <si>
    <t>Animal Aspect, Greater</t>
  </si>
  <si>
    <t>alchemist 3, magus 3, druid 3, ranger 3, sorcerer/wizard 4</t>
  </si>
  <si>
    <t>This spell functions like animal aspect, except you can either gain two aspects at once or one aspect that adds effects to the aspects that animal aspect grants, as described below. Frog: You gain a Swim speed equal to half your normal speed, and all the benefits of having a swim speed. Gorilla: You gain a +2 competence bonus on Perception checks, and a +1 competence bonus on Fortitude saves. Monkey: You gain a +4 competence bonus on Acrobatics checks. Otter: Your swim speed increases to your full normal speed, and you need not make concentration checks to cast spells underwater. Raccoon: Your competence bonuses on Disable Device, Sleight of Hand, and Stealth checks increase to +4. Raptor: Your enhancement bonus to speed increases to +30 feet, and you gain the benefit of the Run feat. Tree Lizard: You gain a +4 competence bonus on Stealth checks.</t>
  </si>
  <si>
    <t>&lt;p&gt;This spell functions like &lt;i&gt;animal aspect&lt;/i&gt;, except you can either gain two aspects at once or one aspect that adds effects to the aspects that &lt;i&gt;animal aspect&lt;/i&gt; grants, as described below. &lt;br&gt;&lt;i&gt;Frog&lt;/i&gt;: You gain a Swim speed equal to half your normal speed, and all the benefits of having a swim speed. &lt;br&gt;&lt;i&gt;Gorilla&lt;/i&gt;: You gain a +2 competence bonus on Perception checks, and a +1 competence bonus on Fortitude saves. &lt;br&gt;&lt;i&gt;Monkey&lt;/i&gt;: You gain a +4 competence bonus on Acrobatics checks. &lt;br&gt;&lt;i&gt;Otter&lt;/i&gt;: Your swim speed increases to your full normal speed, and you need not make concentration checks to cast spells underwater. &lt;br&gt;&lt;i&gt;Raccoon&lt;/i&gt;: Your competence bonuses on Disable Device, Sleight of Hand, and Stealth checks increase to +4. &lt;br&gt;&lt;i&gt;Raptor&lt;/i&gt;: Your enhancement bonus to speed increases to +30 feet, and you gain the benefit of the Run feat. &lt;br&gt;&lt;i&gt;Tree Lizard&lt;/i&gt;: You gain a +4 competence bonus on Stealth checks.&lt;/p&gt;</t>
  </si>
  <si>
    <t>&lt;link rel="stylesheet"href="PF.css"&gt;&lt;div class="heading"&gt;&lt;p class="alignleft"&gt;Animal Aspect, Greater&lt;/p&gt;&lt;div style="clear: both;"&gt;&lt;/div&gt;&lt;/div&gt;&lt;div&gt;&lt;h5&gt;&lt;b&gt;School &lt;/b&gt;transmutation (polymorph); &lt;b&gt;Level &lt;/b&gt;alchemist 3, magus 3, druid 3, ranger 3, sorcerer/wizard 4&lt;/h5&gt;&lt;/div&gt;&lt;hr/&gt;&lt;div&gt;&lt;h5&gt;&lt;b&gt;CASTING&lt;/b&gt;&lt;/h5&gt;&lt;/div&gt;&lt;hr/&gt;&lt;div&gt;&lt;h5&gt;&lt;b&gt;Casting Time &lt;/b&gt;1 standard action&lt;/h5&gt;&lt;h5&gt;&lt;b&gt;Components &lt;/b&gt;V, S, M/DF (a part of the animal)&lt;/h5&gt;&lt;/div&gt;&lt;hr/&gt;&lt;div&gt;&lt;h5&gt;&lt;b&gt;EFFECT&lt;/b&gt;&lt;/h5&gt;&lt;/div&gt;&lt;hr/&gt;&lt;div&gt;&lt;h5&gt;&lt;b&gt;Range &lt;/b&gt;personal&lt;/h5&gt;&lt;h5&gt;&lt;b&gt;Targets &lt;/b&gt;you&lt;/h5&gt;&lt;h5&gt;&lt;b&gt;Duration &lt;/b&gt;1 minute/level (D)&lt;/h5&gt;&lt;h5&gt;&lt;b&gt;Saving Throw &lt;/b&gt;none; &lt;b&gt;Spell Resistance &lt;/b&gt;yes (harmless)&lt;/h5&gt;&lt;/div&gt;&lt;hr/&gt;&lt;div&gt;&lt;h5&gt;&lt;b&gt;DESCRIPTION&lt;/b&gt;&lt;/h5&gt;&lt;/div&gt;&lt;hr/&gt;&lt;div&gt;&lt;h4&gt;&lt;p&gt;This spell functions like &lt;i&gt;animal aspect&lt;/i&gt;, except you can either gain two aspects at once or one aspect that adds effects to the aspects that &lt;i&gt;animal aspect&lt;/i&gt; grants, as described below. &lt;br&gt;&lt;i&gt;Frog&lt;/i&gt;: You gain a Swim speed equal to half your normal speed, and all the benefits of having a swim speed. &lt;br&gt;&lt;i&gt;Gorilla&lt;/i&gt;: You gain a +2 competence bonus on Perception checks, and a +1 competence bonus on Fortitude saves. &lt;br&gt;&lt;i&gt;Monkey&lt;/i&gt;: You gain a +4 competence bonus on Acrobatics checks. &lt;br&gt;&lt;i&gt;Otter&lt;/i&gt;: Your swim speed increases to your full normal speed, and you need not make concentration checks to cast spells underwater. &lt;br&gt;&lt;i&gt;Raccoon&lt;/i&gt;: Your competence bonuses on Disable Device, Sleight of Hand, and Stealth checks increase to +4. &lt;br&gt;&lt;i&gt;Raptor&lt;/i&gt;: Your enhancement bonus to speed increases to +30 feet, and you gain the benefit of the Run feat. &lt;br&gt;&lt;i&gt;Tree Lizard&lt;/i&gt;: You gain a +4 competence bonus on Stealth checks.&lt;/p&gt;&lt;/h4&gt;&lt;/div&gt;</t>
  </si>
  <si>
    <t>As animal aspect, but you gain two animal qualities.</t>
  </si>
  <si>
    <t>Ant Haul, Communal</t>
  </si>
  <si>
    <t>alchemist 2, cleric 2/oracle 2, druid 2, ranger 2, sorcerer/wizard 2, summoner 2</t>
  </si>
  <si>
    <t>This spell functions like ant haul (see page 202 of the Pathfinder RPG Advanced Player's Guide), except you may divide the duration in 2-hour intervals among the creatures touched.</t>
  </si>
  <si>
    <t>&lt;p&gt;This spell functions like ant haul (see page 202 of the Pathfinder RPG Advanced Player's Guide), except you may divide the duration in 2-hour intervals among the creatures touched.&lt;/p&gt;</t>
  </si>
  <si>
    <t>&lt;link rel="stylesheet"href="PF.css"&gt;&lt;div class="heading"&gt;&lt;p class="alignleft"&gt;Ant Haul, Communal&lt;/p&gt;&lt;div style="clear: both;"&gt;&lt;/div&gt;&lt;/div&gt;&lt;div&gt;&lt;h5&gt;&lt;b&gt;School &lt;/b&gt;transmutation; &lt;b&gt;Level &lt;/b&gt;alchemist 2, cleric 2/oracle 2, druid 2, ranger 2, sorcerer/wizard 2, summoner 2&lt;/h5&gt;&lt;/div&gt;&lt;hr/&gt;&lt;div&gt;&lt;h5&gt;&lt;b&gt;CASTING&lt;/b&gt;&lt;/h5&gt;&lt;/div&gt;&lt;hr/&gt;&lt;div&gt;&lt;h5&gt;&lt;b&gt;Casting Time &lt;/b&gt;1 standard action&lt;/h5&gt;&lt;h5&gt;&lt;b&gt;Components &lt;/b&gt;V, S, M/DF (a small pulley)&lt;/h5&gt;&lt;/div&gt;&lt;hr/&gt;&lt;div&gt;&lt;h5&gt;&lt;b&gt;EFFECT&lt;/b&gt;&lt;/h5&gt;&lt;/div&gt;&lt;hr/&gt;&lt;div&gt;&lt;h5&gt;&lt;b&gt;Range &lt;/b&gt;touch&lt;/h5&gt;&lt;h5&gt;&lt;b&gt;Targets &lt;/b&gt;creatures touched&lt;/h5&gt;&lt;h5&gt;&lt;b&gt;Duration &lt;/b&gt;2 hours/level&lt;/h5&gt;&lt;h5&gt;&lt;b&gt;Saving Throw &lt;/b&gt;Fortitude negates (harmless); &lt;b&gt;Spell Resistance &lt;/b&gt;yes (harmless)&lt;/h5&gt;&lt;/div&gt;&lt;hr/&gt;&lt;div&gt;&lt;h5&gt;&lt;b&gt;DESCRIPTION&lt;/b&gt;&lt;/h5&gt;&lt;/div&gt;&lt;hr/&gt;&lt;div&gt;&lt;h4&gt;&lt;p&gt;This spell functions like ant haul (see page 202 of the Pathfinder RPG Advanced Player's Guide), except you may divide the duration in 2-hour intervals among the creatures touched.&lt;/p&gt;&lt;/h4&gt;&lt;/div&gt;</t>
  </si>
  <si>
    <t>As ant haul, but you may divide the duration among creatures touched.</t>
  </si>
  <si>
    <t>Arcane Cannon</t>
  </si>
  <si>
    <t>V, S, F (an ornate miniature cannon forged with a drop of your blood that costs 5,000 gp)</t>
  </si>
  <si>
    <t>one magically animated cannon</t>
  </si>
  <si>
    <t>Your focus becomes a Medium arcane cannon that appears in an unoccupied square within the spell's range. If no unoccupied square is within range, the spell fails. The cannon comes into existence loaded. Each round thereafter, the cannon can either fire or load. A cannon must be loaded to fire. You do not need to supply ammunition for the cannon. On your turn, you can spend a move action to direct the cannon to wheel itself to a new location, moving the cannon up to 20 feet. If the arcane cannon ever leaves your line of sight, it winks out of existence, and the spell's duration ends. The cannon has a range increment of 50 feet. It targets touch attack in the first range increment, and it has no misfire chance. The cannon acts as a weapon with the conductive special weapon ability (see page 286 of the Advanced Player's Guide), which you can use to channel your spell-like or supernatural abilities as long as you are within the range of arcane cannon. The cannon's attack bonus is equal to your caster level + your Intelligence bonus or your Charisma bonus (for wizards or sorcerers, respectively) with an additional +1 per four caster levels (maximum +5 at 20th level). On a hit, the cannon deals 4d10 damage. The arcane cannon attacks have a critical modifier of x4. The cannon has AC 10, hardness 10, and 80 hit points. If the cannon is subject to a spell or effect that requires a save, it uses your saving throw modifiers. The cannon never provokes attacks of opportunity. If the cannon is destroyed, so is your focus.</t>
  </si>
  <si>
    <t>&lt;p&gt;Your focus becomes a Medium arcane cannon that appears in an unoccupied square within the spell's range. If no unoccupied square is within range, the spell fails. The cannon comes into existence loaded. Each round thereafter, the cannon can either fire or load. A cannon must be loaded to fire. You do not need to supply ammunition for the cannon.&lt;/p&gt;&lt;p&gt;On your turn, you can spend a move action to direct the cannon to wheel itself to a new location, moving the cannon up to 20 feet. If the arcane cannon ever leaves your line of sight, it winks out of existence, and the spell's duration ends.&lt;/p&gt;&lt;p&gt;The cannon has a range increment of 50 feet. It targets touch attack in the first range increment, and it has no misfire chance.&lt;/p&gt;&lt;p&gt;The cannon acts as a weapon with the conductive special weapon ability (see page 286 of the Advanced Player's Guide), which you can use to channel your spell-like or supernatural abilities as long as you are within the range of arcane cannon. The cannon's attack bonus is equal to your caster level + your Intelligence bonus or your Charisma bonus (for wizards or sorcerers, respectively) with an additional +1 per four caster levels (maximum +5 at 20th level). On a hit, the cannon deals 4d10 damage. The arcane cannon attacks have a critical modifier of x4.&lt;/p&gt;&lt;p&gt;The cannon has AC 10, hardness 10, and 80 hit points. If the cannon is subject to a spell or effect that requires a save, it uses your saving throw modifiers. The cannon never provokes attacks of opportunity. If the cannon is destroyed, so is your focus.&lt;/p&gt;</t>
  </si>
  <si>
    <t>&lt;link rel="stylesheet"href="PF.css"&gt;&lt;div class="heading"&gt;&lt;p class="alignleft"&gt;Arcane Cannon&lt;/p&gt;&lt;div style="clear: both;"&gt;&lt;/div&gt;&lt;/div&gt;&lt;div&gt;&lt;h5&gt;&lt;b&gt;School &lt;/b&gt;transmutation; &lt;b&gt;Level &lt;/b&gt;sorcerer/wizard 7&lt;/h5&gt;&lt;/div&gt;&lt;hr/&gt;&lt;div&gt;&lt;h5&gt;&lt;b&gt;CASTING&lt;/b&gt;&lt;/h5&gt;&lt;/div&gt;&lt;hr/&gt;&lt;div&gt;&lt;h5&gt;&lt;b&gt;Casting Time &lt;/b&gt;1 round&lt;/h5&gt;&lt;h5&gt;&lt;b&gt;Components &lt;/b&gt;V, S, F (an ornate miniature cannon forged with a drop of your blood that costs 5,000 gp)&lt;/h5&gt;&lt;/div&gt;&lt;hr/&gt;&lt;div&gt;&lt;h5&gt;&lt;b&gt;EFFECT&lt;/b&gt;&lt;/h5&gt;&lt;/div&gt;&lt;hr/&gt;&lt;div&gt;&lt;h5&gt;&lt;b&gt;Range &lt;/b&gt;close (25 ft. + 5 ft./2 levels)&lt;/h5&gt;&lt;h5&gt;&lt;b&gt;Effect &lt;/b&gt;one magically animated cannon&lt;/h5&gt;&lt;h5&gt;&lt;b&gt;Duration &lt;/b&gt;1 round/level&lt;/h5&gt;&lt;h5&gt;&lt;b&gt;Saving Throw &lt;/b&gt;none; &lt;b&gt;Spell Resistance &lt;/b&gt;no&lt;/h5&gt;&lt;/div&gt;&lt;hr/&gt;&lt;div&gt;&lt;h5&gt;&lt;b&gt;DESCRIPTION&lt;/b&gt;&lt;/h5&gt;&lt;/div&gt;&lt;hr/&gt;&lt;div&gt;&lt;h4&gt;&lt;p&gt;Your focus becomes a Medium arcane cannon that appears in an unoccupied square within the spell's range. If no unoccupied square is within range, the spell fails. The cannon comes into existence loaded. Each round thereafter, the cannon can either fire or load. A cannon must be loaded to fire. You do not need to supply ammunition for the cannon.&lt;/p&gt;&lt;p&gt;On your turn, you can spend a move action to direct the cannon to wheel itself to a new location, moving the cannon up to 20 feet. If the arcane cannon ever leaves your line of sight, it winks out of existence, and the spell's duration ends.&lt;/p&gt;&lt;p&gt;The cannon has a range increment of 50 feet. It targets touch attack in the first range increment, and it has no misfire chance.&lt;/p&gt;&lt;p&gt;The cannon acts as a weapon with the conductive special weapon ability (see page 286 of the Advanced Player's Guide), which you can use to channel your spell-like or supernatural abilities as long as you are within the range of arcane cannon. The cannon's attack bonus is equal to your caster level + your Intelligence bonus or your Charisma bonus (for wizards or sorcerers, respectively) with an additional +1 per four caster levels (maximum +5 at 20th level). On a hit, the cannon deals 4d10 damage. The arcane cannon attacks have a critical modifier of x4.&lt;/p&gt;&lt;p&gt;The cannon has AC 10, hardness 10, and 80 hit points. If the cannon is subject to a spell or effect that requires a save, it uses your saving throw modifiers. The cannon never provokes attacks of opportunity. If the cannon is destroyed, so is your focus.&lt;/p&gt;&lt;/h4&gt;&lt;/div&gt;</t>
  </si>
  <si>
    <t>Your focus becomes a magical cannon that fires on its own.</t>
  </si>
  <si>
    <t>Bestow Weapon Proficiency</t>
  </si>
  <si>
    <t>alchemist 2, antipaladin 2, cleric 2/oracle 2, magus 2, inquisitor 2, paladin 2, sorcerer/wizard 2, witch 2</t>
  </si>
  <si>
    <t>V, S, M (pieces of shaved metal)</t>
  </si>
  <si>
    <t>You bestow the subject with the ability to use a single type of weapon he is not proficient in as if he were proficient with that weapon. The weapon can be any type, including an exotic weapon, but the subject of the spell must be holding the spell when you cast it.</t>
  </si>
  <si>
    <t>&lt;p&gt;You bestow the subject with the ability to use a single type of weapon he is not proficient in as if he were proficient with that weapon. The weapon can be any type, including an exotic weapon, but the subject of the spell must be holding the spell when you cast it.&lt;/p&gt;</t>
  </si>
  <si>
    <t>&lt;link rel="stylesheet"href="PF.css"&gt;&lt;div class="heading"&gt;&lt;p class="alignleft"&gt;Bestow Weapon Proficiency&lt;/p&gt;&lt;div style="clear: both;"&gt;&lt;/div&gt;&lt;/div&gt;&lt;div&gt;&lt;h5&gt;&lt;b&gt;School &lt;/b&gt;enchantment (compulsion); &lt;b&gt;Level &lt;/b&gt;alchemist 2, antipaladin 2, cleric 2/oracle 2, magus 2, inquisitor 2, paladin 2, sorcerer/wizard 2, witch 2&lt;/h5&gt;&lt;/div&gt;&lt;hr/&gt;&lt;div&gt;&lt;h5&gt;&lt;b&gt;CASTING&lt;/b&gt;&lt;/h5&gt;&lt;/div&gt;&lt;hr/&gt;&lt;div&gt;&lt;h5&gt;&lt;b&gt;Casting Time &lt;/b&gt;1 standard action&lt;/h5&gt;&lt;h5&gt;&lt;b&gt;Components &lt;/b&gt;V, S, M (pieces of shaved metal)&lt;/h5&gt;&lt;/div&gt;&lt;hr/&gt;&lt;div&gt;&lt;h5&gt;&lt;b&gt;EFFECT&lt;/b&gt;&lt;/h5&gt;&lt;/div&gt;&lt;hr/&gt;&lt;div&gt;&lt;h5&gt;&lt;b&gt;Range &lt;/b&gt;close (25 ft. + 5 ft./2 levels)&lt;/h5&gt;&lt;h5&gt;&lt;b&gt;Targets &lt;/b&gt;one creature&lt;/h5&gt;&lt;h5&gt;&lt;b&gt;Duration &lt;/b&gt;1 minute/level&lt;/h5&gt;&lt;h5&gt;&lt;b&gt;Saving Throw &lt;/b&gt;Will negates (harmless); &lt;b&gt;Spell Resistance &lt;/b&gt;yes (harmless)&lt;/h5&gt;&lt;/div&gt;&lt;hr/&gt;&lt;div&gt;&lt;h5&gt;&lt;b&gt;DESCRIPTION&lt;/b&gt;&lt;/h5&gt;&lt;/div&gt;&lt;hr/&gt;&lt;div&gt;&lt;h4&gt;&lt;p&gt;You bestow the subject with the ability to use a single type of weapon he is not proficient in as if he were proficient with that weapon. The weapon can be any type, including an exotic weapon, but the subject of the spell must be holding the spell when you cast it.&lt;/p&gt;&lt;/h4&gt;&lt;/div&gt;</t>
  </si>
  <si>
    <t>Grants a creature proficiency in a single weapon for short period of time.</t>
  </si>
  <si>
    <t>Blistering Invective</t>
  </si>
  <si>
    <t>fire, language-dependent</t>
  </si>
  <si>
    <t>alchemist 2, bard 2, inquisitor 2</t>
  </si>
  <si>
    <t>30-ft. radius</t>
  </si>
  <si>
    <t>special, see below</t>
  </si>
  <si>
    <t>You unleash an insulting tirade so vicious and spiteful that enemies who hear it are physically scorched by your fury. When you cast this spell, make an Intimidate check to demoralize each enemy within 30 feet of you (see page 99 of the Pathfinder RPG Core Rulebook). Enemies that are demoralized this way take 1d10 points of fire damage and must succeed at a Reflex save or catch fire. Spell resistance can negate the fire damage caused by this spell, but does not protect the creature from the demoralizing effect.</t>
  </si>
  <si>
    <t>&lt;p&gt;You unleash an insulting tirade so vicious and spiteful that enemies who hear it are physically scorched by your fury. When you cast this spell, make an Intimidate check to demoralize each enemy within 30 feet of you (see page 99 of the &lt;i&gt;Pathfinder RPG Core&lt;/i&gt; Rulebook). Enemies that are demoralized this way take 1d10 points of fire damage and must succeed at a Reflex save or catch fire. Spell resistance can negate the fire damage caused by this spell, but does not protect the creature from the demoralizing effect.&lt;/p&gt;</t>
  </si>
  <si>
    <t>&lt;link rel="stylesheet"href="PF.css"&gt;&lt;div class="heading"&gt;&lt;p class="alignleft"&gt;Blistering Invective&lt;/p&gt;&lt;div style="clear: both;"&gt;&lt;/div&gt;&lt;/div&gt;&lt;div&gt;&lt;h5&gt;&lt;b&gt;School &lt;/b&gt;evocation [fire, language-dependent]; &lt;b&gt;Level &lt;/b&gt;alchemist 2, bard 2, inquisitor 2&lt;/h5&gt;&lt;/div&gt;&lt;hr/&gt;&lt;div&gt;&lt;h5&gt;&lt;b&gt;CASTING&lt;/b&gt;&lt;/h5&gt;&lt;/div&gt;&lt;hr/&gt;&lt;div&gt;&lt;h5&gt;&lt;b&gt;Casting Time &lt;/b&gt;1 standard action&lt;/h5&gt;&lt;h5&gt;&lt;b&gt;Components &lt;/b&gt;V, S&lt;/h5&gt;&lt;/div&gt;&lt;hr/&gt;&lt;div&gt;&lt;h5&gt;&lt;b&gt;EFFECT&lt;/b&gt;&lt;/h5&gt;&lt;/div&gt;&lt;hr/&gt;&lt;div&gt;&lt;h5&gt;&lt;b&gt;Range &lt;/b&gt;personal&lt;/h5&gt;&lt;h5&gt;&lt;b&gt;Area &lt;/b&gt;30-ft. radius&lt;/h5&gt;&lt;h5&gt;&lt;b&gt;Duration &lt;/b&gt;instantaneous&lt;/h5&gt;&lt;h5&gt;&lt;b&gt;Saving Throw &lt;/b&gt;Reflex partial, see text; &lt;b&gt;Spell Resistance &lt;/b&gt;special, see below&lt;/h5&gt;&lt;/div&gt;&lt;hr/&gt;&lt;div&gt;&lt;h5&gt;&lt;b&gt;DESCRIPTION&lt;/b&gt;&lt;/h5&gt;&lt;/div&gt;&lt;hr/&gt;&lt;div&gt;&lt;h4&gt;&lt;p&gt;You unleash an insulting tirade so vicious and spiteful that enemies who hear it are physically scorched by your fury. When you cast this spell, make an Intimidate check to demoralize each enemy within 30 feet of you (see page 99 of the &lt;i&gt;Pathfinder RPG Core&lt;/i&gt; Rulebook). Enemies that are demoralized this way take 1d10 points of fire damage and must succeed at a Reflex save or catch fire. Spell resistance can negate the fire damage caused by this spell, but does not protect the creature from the demoralizing effect.&lt;/p&gt;&lt;/h4&gt;&lt;h5&gt;&lt;b&gt;Mythic: &lt;/b&gt;Enemies that are demoralized by your Intimidate check take 2d8 points of fire damage and catch fire (no saving throw). Any Reflex save attempted to extinguish the flames automatically fails as long as the creature remains demoralized by your Intimidate check.&lt;/h5&gt;&lt;h5&gt;&lt;b&gt;Augmented (5th)&lt;/b&gt;: If you expend two uses of mythic power, the spell doesn't have the language-dependent descriptor and you don't take a penalty on your Intimidate check to demoralize creatures that are larger than you.&lt;/h5&gt;&lt;/div&gt;</t>
  </si>
  <si>
    <t>Make an Intimidate check against all foes within 30 feet; those demoralized also take fire damage.</t>
  </si>
  <si>
    <t>Enemies that are demoralized by your Intimidate check take 2d8 points of fire damage and catch fire (no saving throw). Any Reflex save attempted to extinguish the flames automatically fails as long as the creature remains demoralized by your Intimidate check.</t>
  </si>
  <si>
    <t>Augmented (5th): If you expend two uses of mythic power, the spell doesn't have the language-dependent descriptor and you don't take a penalty on your Intimidate check to demoralize creatures that are larger than you.</t>
  </si>
  <si>
    <t>Bowstaff</t>
  </si>
  <si>
    <t>inquisitor 1, paladin 1, ranger 1</t>
  </si>
  <si>
    <t>one weapon (bow)</t>
  </si>
  <si>
    <t>The bow that is touched takes on the rigidity and toughness of forged steel, allowing it to be used as a melee weapon. The spell allows a shortbow to be used as a club or a longbow to be used as a quarterstaff, although the bow retains its normal hit points and hardness. The bow's enhancement bonus, if any, applies on melee attack and damage rolls. Additional weapon special weapon qualities also apply to melee attacks if such qualities can be added to a melee weapon.</t>
  </si>
  <si>
    <t>&lt;p&gt;The bow that is touched takes on the rigidity and toughness of forged steel, allowing it to be used as a melee weapon. The spell allows a shortbow to be used as a club or a longbow to be used as a quarterstaff, although the bow retains its normal hit points and hardness. The bow's enhancement bonus, if any, applies on melee attack and damage rolls. Additional weapon special weapon qualities also apply to melee attacks if such qualities can be added to a melee weapon.&lt;/p&gt;</t>
  </si>
  <si>
    <t>&lt;link rel="stylesheet"href="PF.css"&gt;&lt;div class="heading"&gt;&lt;p class="alignleft"&gt;Bowstaff&lt;/p&gt;&lt;div style="clear: both;"&gt;&lt;/div&gt;&lt;/div&gt;&lt;div&gt;&lt;h5&gt;&lt;b&gt;School &lt;/b&gt;transmutation; &lt;b&gt;Level &lt;/b&gt;inquisitor 1, paladin 1, ranger 1&lt;/h5&gt;&lt;/div&gt;&lt;hr/&gt;&lt;div&gt;&lt;h5&gt;&lt;b&gt;CASTING&lt;/b&gt;&lt;/h5&gt;&lt;/div&gt;&lt;hr/&gt;&lt;div&gt;&lt;h5&gt;&lt;b&gt;Casting Time &lt;/b&gt;1 swift action&lt;/h5&gt;&lt;h5&gt;&lt;b&gt;Components &lt;/b&gt;V&lt;/h5&gt;&lt;/div&gt;&lt;hr/&gt;&lt;div&gt;&lt;h5&gt;&lt;b&gt;EFFECT&lt;/b&gt;&lt;/h5&gt;&lt;/div&gt;&lt;hr/&gt;&lt;div&gt;&lt;h5&gt;&lt;b&gt;Range &lt;/b&gt;personal&lt;/h5&gt;&lt;h5&gt;&lt;b&gt;Targets &lt;/b&gt;one weapon (bow)&lt;/h5&gt;&lt;h5&gt;&lt;b&gt;Duration &lt;/b&gt;1 round/level (D)&lt;/h5&gt;&lt;h5&gt;&lt;b&gt;Saving Throw &lt;/b&gt;Will negates (harmless, object); &lt;b&gt;Spell Resistance &lt;/b&gt;yes (harmless, object)&lt;/h5&gt;&lt;/div&gt;&lt;hr/&gt;&lt;div&gt;&lt;h5&gt;&lt;b&gt;DESCRIPTION&lt;/b&gt;&lt;/h5&gt;&lt;/div&gt;&lt;hr/&gt;&lt;div&gt;&lt;h4&gt;&lt;p&gt;The bow that is touched takes on the rigidity and toughness of forged steel, allowing it to be used as a melee weapon. The spell allows a shortbow to be used as a club or a longbow to be used as a quarterstaff, although the bow retains its normal hit points and hardness. The bow's enhancement bonus, if any, applies on melee attack and damage rolls. Additional weapon special weapon qualities also apply to melee attacks if such qualities can be added to a melee weapon.&lt;/p&gt;&lt;/h4&gt;&lt;/div&gt;</t>
  </si>
  <si>
    <t>A shortbow may double as a club, or a longbow as a quarterstaff.</t>
  </si>
  <si>
    <t>Brow Gasher</t>
  </si>
  <si>
    <t>inquisitor 2, magus 2, ranger 2, sorcerer/wizard 2</t>
  </si>
  <si>
    <t>one slashing melee weapon touched</t>
  </si>
  <si>
    <t>You imbue a slashing melee weapon with the ability to deal a gruesome head wound. When the target weapon hits a living creature, in addition to the normal effects of that hit, the wielder can discharge this spell as a free action to open a gash on the target's forehead that deals bleed damage equal to half your caster level. At the start of each of the target's turns, when it takes bleed damage, it also takes a cumulative -1 penalty on all attack rolls. When that penalty reaches -3, the target also treats all targets as having concealment (20% miss chance). When the penalty reaches -5, the target is blinded. Stopping the bleed damage ends the effects this spell imposes on the bleeding creature. A target that is immune to bleed damage is also immune to all this spell's effects.</t>
  </si>
  <si>
    <t>&lt;p&gt;You imbue a slashing melee weapon with the ability to deal a gruesome head wound. When the target weapon hits a living creature, in addition to the normal effects of that hit, the wielder can discharge this spell as a free action to open a gash on the target's forehead that deals bleed damage equal to half your caster level. At the start of each of the target's turns, when it takes bleed damage, it also takes a cumulative -1 penalty on all attack rolls. When that penalty reaches -3, the target also treats all targets as having concealment (20% miss chance). When the penalty reaches -5, the target is blinded. Stopping the bleed damage ends the effects this spell imposes on the bleeding creature. A target that is immune to bleed damage is also immune to all this spell's effects.&lt;/p&gt;</t>
  </si>
  <si>
    <t>&lt;link rel="stylesheet"href="PF.css"&gt;&lt;div class="heading"&gt;&lt;p class="alignleft"&gt;Brow Gasher&lt;/p&gt;&lt;div style="clear: both;"&gt;&lt;/div&gt;&lt;/div&gt;&lt;div&gt;&lt;h5&gt;&lt;b&gt;School &lt;/b&gt;necromancy; &lt;b&gt;Level &lt;/b&gt;inquisitor 2, magus 2, ranger 2, sorcerer/wizard 2&lt;/h5&gt;&lt;/div&gt;&lt;hr/&gt;&lt;div&gt;&lt;h5&gt;&lt;b&gt;CASTING&lt;/b&gt;&lt;/h5&gt;&lt;/div&gt;&lt;hr/&gt;&lt;div&gt;&lt;h5&gt;&lt;b&gt;Casting Time &lt;/b&gt;1 standard action&lt;/h5&gt;&lt;h5&gt;&lt;b&gt;Components &lt;/b&gt;V, S&lt;/h5&gt;&lt;/div&gt;&lt;hr/&gt;&lt;div&gt;&lt;h5&gt;&lt;b&gt;EFFECT&lt;/b&gt;&lt;/h5&gt;&lt;/div&gt;&lt;hr/&gt;&lt;div&gt;&lt;h5&gt;&lt;b&gt;Range &lt;/b&gt;touch&lt;/h5&gt;&lt;h5&gt;&lt;b&gt;Area &lt;/b&gt;one slashing melee weapon touched&lt;/h5&gt;&lt;h5&gt;&lt;b&gt;Duration &lt;/b&gt;1 round/level or until discharged&lt;/h5&gt;&lt;h5&gt;&lt;b&gt;Saving Throw &lt;/b&gt;Will negates (harmless, object); &lt;b&gt;Spell Resistance &lt;/b&gt;yes (harmless, object)&lt;/h5&gt;&lt;/div&gt;&lt;hr/&gt;&lt;div&gt;&lt;h5&gt;&lt;b&gt;DESCRIPTION&lt;/b&gt;&lt;/h5&gt;&lt;/div&gt;&lt;hr/&gt;&lt;div&gt;&lt;h4&gt;&lt;p&gt;You imbue a slashing melee weapon with the ability to deal a gruesome head wound. When the target weapon hits a living creature, in addition to the normal effects of that hit, the wielder can discharge this spell as a free action to open a gash on the target's forehead that deals bleed damage equal to half your caster level. At the start of each of the target's turns, when it takes bleed damage, it also takes a cumulative -1 penalty on all attack rolls. When that penalty reaches -3, the target also treats all targets as having concealment (20% miss chance). When the penalty reaches -5, the target is blinded. Stopping the bleed damage ends the effects this spell imposes on the bleeding creature. A target that is immune to bleed damage is also immune to all this spell's effects.&lt;/p&gt;&lt;/h4&gt;&lt;/div&gt;</t>
  </si>
  <si>
    <t>Slashing weapon deals bleed damage to an opponent's head.</t>
  </si>
  <si>
    <t>Bullet Shield</t>
  </si>
  <si>
    <t>alchemist 2, sorcerer/wizard 2</t>
  </si>
  <si>
    <t>V, S, M (a bullet)</t>
  </si>
  <si>
    <t>The warded creature gains a +4 deflection bonus to AC against firearm and ranged attacks, with an additional +1 to the bonus for every five caster levels you have (to a maximum of +8 at 20th level). Though the spell is called bullet shield, it also grants this protection from attacks made from firearms with the scatter weapon quality.</t>
  </si>
  <si>
    <t>&lt;p&gt;The warded creature gains a +4 deflection bonus to AC against firearm and ranged attacks, with an additional +1 to the bonus for every five caster levels you have (to a maximum of +8 at 20th level). Though the spell is called bullet shield, it also grants this protection from attacks made from firearms with the scatter weapon quality.&lt;/p&gt;</t>
  </si>
  <si>
    <t>&lt;link rel="stylesheet"href="PF.css"&gt;&lt;div class="heading"&gt;&lt;p class="alignleft"&gt;Bullet Shield&lt;/p&gt;&lt;div style="clear: both;"&gt;&lt;/div&gt;&lt;/div&gt;&lt;div&gt;&lt;h5&gt;&lt;b&gt;School &lt;/b&gt;abjuration; &lt;b&gt;Level &lt;/b&gt;alchemist 2, sorcerer/wizard 2&lt;/h5&gt;&lt;/div&gt;&lt;hr/&gt;&lt;div&gt;&lt;h5&gt;&lt;b&gt;CASTING&lt;/b&gt;&lt;/h5&gt;&lt;/div&gt;&lt;hr/&gt;&lt;div&gt;&lt;h5&gt;&lt;b&gt;Casting Time &lt;/b&gt;1 standard action&lt;/h5&gt;&lt;h5&gt;&lt;b&gt;Components &lt;/b&gt;V, S, M (a bullet)&lt;/h5&gt;&lt;/div&gt;&lt;hr/&gt;&lt;div&gt;&lt;h5&gt;&lt;b&gt;EFFECT&lt;/b&gt;&lt;/h5&gt;&lt;/div&gt;&lt;hr/&gt;&lt;div&gt;&lt;h5&gt;&lt;b&gt;Range &lt;/b&gt;touch&lt;/h5&gt;&lt;h5&gt;&lt;b&gt;Targets &lt;/b&gt;creature touched&lt;/h5&gt;&lt;h5&gt;&lt;b&gt;Duration &lt;/b&gt;10 minutes/level (D)&lt;/h5&gt;&lt;h5&gt;&lt;b&gt;Saving Throw &lt;/b&gt;Will negates (harmless); &lt;b&gt;Spell Resistance &lt;/b&gt;yes (harmless)&lt;/h5&gt;&lt;/div&gt;&lt;hr/&gt;&lt;div&gt;&lt;h5&gt;&lt;b&gt;DESCRIPTION&lt;/b&gt;&lt;/h5&gt;&lt;/div&gt;&lt;hr/&gt;&lt;div&gt;&lt;h4&gt;&lt;p&gt;The warded creature gains a +4 deflection bonus to AC against firearm and ranged attacks, with an additional +1 to the bonus for every five caster levels you have (to a maximum of +8 at 20th level). Though the spell is called bullet shield, it also grants this protection from attacks made from firearms with the scatter weapon quality.&lt;/p&gt;&lt;/h4&gt;&lt;/div&gt;</t>
  </si>
  <si>
    <t>You gain a +4 deflection bonus to AC against firearm attacks.</t>
  </si>
  <si>
    <t>Burst of Speed</t>
  </si>
  <si>
    <t>alchemist 3, antipaladin 3, magus 3, inquisitor 3, paladin 3, ranger 3</t>
  </si>
  <si>
    <t>Until the end of your turn, you gain a +20-foot bonus to speed (or +10-foot bonus if you are wearing Medium or Heavy armor), your movement does not provoke attacks of opportunity, and you can move through the space of creatures that are larger than you are, but you cannot end your movement this round in a space occupied by a creature.</t>
  </si>
  <si>
    <t>&lt;p&gt;Until the end of your turn, you gain a +20-foot bonus to speed (or +10-foot bonus if you are wearing Medium or Heavy armor), your movement does not provoke attacks of opportunity, and you can move through the space of creatures that are larger than you are, but you cannot end your movement this round in a space occupied by a creature.&lt;/p&gt;</t>
  </si>
  <si>
    <t>&lt;link rel="stylesheet"href="PF.css"&gt;&lt;div class="heading"&gt;&lt;p class="alignleft"&gt;Burst of Speed&lt;/p&gt;&lt;div style="clear: both;"&gt;&lt;/div&gt;&lt;/div&gt;&lt;div&gt;&lt;h5&gt;&lt;b&gt;School &lt;/b&gt;transmutation; &lt;b&gt;Level &lt;/b&gt;alchemist 3, antipaladin 3, magus 3, inquisitor 3, paladin 3, ranger 3&lt;/h5&gt;&lt;/div&gt;&lt;hr/&gt;&lt;div&gt;&lt;h5&gt;&lt;b&gt;CASTING&lt;/b&gt;&lt;/h5&gt;&lt;/div&gt;&lt;hr/&gt;&lt;div&gt;&lt;h5&gt;&lt;b&gt;Casting Time &lt;/b&gt;1 swift action&lt;/h5&gt;&lt;h5&gt;&lt;b&gt;Components &lt;/b&gt;V&lt;/h5&gt;&lt;/div&gt;&lt;hr/&gt;&lt;div&gt;&lt;h5&gt;&lt;b&gt;EFFECT&lt;/b&gt;&lt;/h5&gt;&lt;/div&gt;&lt;hr/&gt;&lt;div&gt;&lt;h5&gt;&lt;b&gt;Range &lt;/b&gt;personal&lt;/h5&gt;&lt;h5&gt;&lt;b&gt;Targets &lt;/b&gt;you&lt;/h5&gt;&lt;h5&gt;&lt;b&gt;Duration &lt;/b&gt;see text&lt;/h5&gt;&lt;/div&gt;&lt;hr/&gt;&lt;div&gt;&lt;h5&gt;&lt;b&gt;DESCRIPTION&lt;/b&gt;&lt;/h5&gt;&lt;/div&gt;&lt;hr/&gt;&lt;div&gt;&lt;h4&gt;&lt;p&gt;Until the end of your turn, you gain a +20-foot bonus to speed (or +10-foot bonus if you are wearing Medium or Heavy armor), your movement does not provoke attacks of opportunity, and you can move through the space of creatures that are larger than you are, but you cannot end your movement this round in a space occupied by a creature.&lt;/p&gt;&lt;/h4&gt;&lt;/div&gt;</t>
  </si>
  <si>
    <t>You gain increased speed, and your movement ignores attacks of opportunity and allows you to move through the space of creatures larger than you are.</t>
  </si>
  <si>
    <t>Caging Bomb Admixture</t>
  </si>
  <si>
    <t>Upon drinking an extract created with this formulae, you make a significant change to your magical reserve that modifies the nature of all bombs you create and throw during this extract's duration. This effect on your magical reserve has no effect on any discoveries that you use to modify your bombs, but you can only have one admixture effect (formulae with the word "bomb admixture" in its title) active at a time. If you drink another bomb admixture, the effects of the former bomb admixture end and the new one becomes active. When you throw a bomb and hit a direct target, it creates an invisible cubical prison composed of a solid wall of force. The prison is as large as the splash area of the bomb that you threw, and traps any creature that is entirely inside the area. Creatures within the area are caught and contained unless any creature within the splash radius is too big to fit inside, in which case the effect automatically fails. Teleportation and other forms of astral travel provide means for escape, but the force walls extend into the Ethereal Plane, blocking ethereal travel. Like a wall of force, the cage created by the caging bomb admixture resists dispel magic, although a mage's disjunction still functions. The walls of the cage can be damaged by spells as normal, except for disintegrate, which automatically destroys the cage. The walls of this cage can be damaged by weapons and supernatural abilities, but the cage has a hardness of 20 and a number of hit points equal to 20 per alchemist level. Contact with a sphere of annihilation or a rod of cancellation instantly destroys this cage. When using caging bomb admixture, an alchemist can only have one cage in effect at a time. If the alchemist throws another bomb during the duration of caging bomb admixture, any other cage created by the earlier admixture ends, and a new one is created. When the duration of the caging bomb admixture ends, so does any remaining cage created by this admixture's effect.</t>
  </si>
  <si>
    <t>&lt;p&gt;Upon drinking an extract created with this formulae, you make a significant change to your magical reserve that modifies the nature of all bombs you create and throw during this extract's duration. This effect on your magical reserve has no effect on any discoveries that you use to modify your bombs, but you can only have one admixture effect (formulae with the word "bomb admixture" in its title) active at a time. If you drink another bomb admixture, the effects of the former bomb admixture end and the new one becomes active.&lt;/p&gt;&lt;p&gt;When you throw a bomb and hit a direct target, it creates an invisible cubical prison composed of a solid wall of force.&lt;/p&gt;&lt;p&gt;The prison is as large as the splash area of the bomb that you threw, and traps any creature that is entirely inside the area.&lt;/p&gt;&lt;p&gt;Creatures within the area are caught and contained unless any creature within the splash radius is too big to fit inside, in which case the effect automatically fails. Teleportation and other forms of astral travel provide means for escape, but the force walls extend into the Ethereal Plane, blocking ethereal travel.&lt;/p&gt;&lt;p&gt;Like a wall of force, the cage created by the caging bomb admixture resists dispel magic, although a mage's disjunction still functions. The walls of the cage can be damaged by spells as normal, except for disintegrate, which automatically destroys the cage. The walls of this cage can be damaged by weapons and supernatural abilities, but the cage has a hardness of 20 and a number of hit points equal to 20 per alchemist level.&lt;/p&gt;&lt;p&gt;Contact with a sphere of annihilation or a rod of cancellation instantly destroys this cage.&lt;/p&gt;&lt;p&gt;When using caging bomb admixture, an alchemist can only have one cage in effect at a time. If the alchemist throws another bomb during the duration of caging bomb admixture, any other cage created by the earlier admixture ends, and a new one is created. When the duration of the caging bomb admixture ends, so does any remaining cage created by this admixture's effect.&lt;/p&gt;</t>
  </si>
  <si>
    <t>&lt;link rel="stylesheet"href="PF.css"&gt;&lt;div class="heading"&gt;&lt;p class="alignleft"&gt;Caging Bomb Admixture&lt;/p&gt;&lt;div style="clear: both;"&gt;&lt;/div&gt;&lt;/div&gt;&lt;div&gt;&lt;h5&gt;&lt;b&gt;School &lt;/b&gt;evocation [force]; &lt;b&gt;Level &lt;/b&gt;alchemist 6&lt;/h5&gt;&lt;/div&gt;&lt;hr/&gt;&lt;div&gt;&lt;h5&gt;&lt;b&gt;CASTING&lt;/b&gt;&lt;/h5&gt;&lt;/div&gt;&lt;hr/&gt;&lt;div&gt;&lt;h5&gt;&lt;b&gt;Casting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round/level&lt;/h5&gt;&lt;/div&gt;&lt;hr/&gt;&lt;div&gt;&lt;h5&gt;&lt;b&gt;DESCRIPTION&lt;/b&gt;&lt;/h5&gt;&lt;/div&gt;&lt;hr/&gt;&lt;div&gt;&lt;h4&gt;&lt;p&gt;Upon drinking an extract created with this formulae, you make a significant change to your magical reserve that modifies the nature of all bombs you create and throw during this extract's duration. This effect on your magical reserve has no effect on any discoveries that you use to modify your bombs, but you can only have one admixture effect (formulae with the word "bomb admixture" in its title) active at a time. If you drink another bomb admixture, the effects of the former bomb admixture end and the new one becomes active.&lt;/p&gt;&lt;p&gt;When you throw a bomb and hit a direct target, it creates an invisible cubical prison composed of a solid wall of force.&lt;/p&gt;&lt;p&gt;The prison is as large as the splash area of the bomb that you threw, and traps any creature that is entirely inside the area.&lt;/p&gt;&lt;p&gt;Creatures within the area are caught and contained unless any creature within the splash radius is too big to fit inside, in which case the effect automatically fails. Teleportation and other forms of astral travel provide means for escape, but the force walls extend into the Ethereal Plane, blocking ethereal travel.&lt;/p&gt;&lt;p&gt;Like a wall of force, the cage created by the caging bomb admixture resists dispel magic, although a mage's disjunction still functions. The walls of the cage can be damaged by spells as normal, except for disintegrate, which automatically destroys the cage. The walls of this cage can be damaged by weapons and supernatural abilities, but the cage has a hardness of 20 and a number of hit points equal to 20 per alchemist level.&lt;/p&gt;&lt;p&gt;Contact with a sphere of annihilation or a rod of cancellation instantly destroys this cage.&lt;/p&gt;&lt;p&gt;When using caging bomb admixture, an alchemist can only have one cage in effect at a time. If the alchemist throws another bomb during the duration of caging bomb admixture, any other cage created by the earlier admixture ends, and a new one is created. When the duration of the caging bomb admixture ends, so does any remaining cage created by this admixture's effect.&lt;/p&gt;&lt;/h4&gt;&lt;/div&gt;</t>
  </si>
  <si>
    <t>Your bombs create a cage of force that traps creatures inside the bomb's splash radius.</t>
  </si>
  <si>
    <t>Certain Grip</t>
  </si>
  <si>
    <t>V, S, M/DF (a tiny ball of tar)</t>
  </si>
  <si>
    <t>The subject's grip and footing become sure, granting a +4 competence bonus on Climb checks, on Acrobatics checks to balance, and to CMD against bull rush, drag, reposition, and trip attempts. While affected by this spell, the target is also immune to the disarm combat maneuver.</t>
  </si>
  <si>
    <t>&lt;p&gt;The subject's grip and footing become sure, granting a +4 competence bonus on Climb checks, on Acrobatics checks to balance, and to CMD against bull rush, drag, reposition, and trip attempts. While affected by this spell, the target is also immune to the disarm combat maneuver.&lt;/p&gt;</t>
  </si>
  <si>
    <t>&lt;link rel="stylesheet"href="PF.css"&gt;&lt;div class="heading"&gt;&lt;p class="alignleft"&gt;Certain Grip&lt;/p&gt;&lt;div style="clear: both;"&gt;&lt;/div&gt;&lt;/div&gt;&lt;div&gt;&lt;h5&gt;&lt;b&gt;School &lt;/b&gt;transmutation; &lt;b&gt;Level &lt;/b&gt;alchemist 2, druid 2, sorcerer/wizard 2&lt;/h5&gt;&lt;/div&gt;&lt;hr/&gt;&lt;div&gt;&lt;h5&gt;&lt;b&gt;CASTING&lt;/b&gt;&lt;/h5&gt;&lt;/div&gt;&lt;hr/&gt;&lt;div&gt;&lt;h5&gt;&lt;b&gt;Casting Time &lt;/b&gt;1 standard action&lt;/h5&gt;&lt;h5&gt;&lt;b&gt;Components &lt;/b&gt;V, S, M/DF (a tiny ball of tar)&lt;/h5&gt;&lt;/div&gt;&lt;hr/&gt;&lt;div&gt;&lt;h5&gt;&lt;b&gt;EFFECT&lt;/b&gt;&lt;/h5&gt;&lt;/div&gt;&lt;hr/&gt;&lt;div&gt;&lt;h5&gt;&lt;b&gt;Targets &lt;/b&gt;creature touched&lt;/h5&gt;&lt;h5&gt;&lt;b&gt;Duration &lt;/b&gt;10 minutes/level (D)&lt;/h5&gt;&lt;h5&gt;&lt;b&gt;Saving Throw &lt;/b&gt;Will negates (harmless); &lt;b&gt;Spell Resistance &lt;/b&gt;yes (harmless)&lt;/h5&gt;&lt;/div&gt;&lt;hr/&gt;&lt;div&gt;&lt;h5&gt;&lt;b&gt;DESCRIPTION&lt;/b&gt;&lt;/h5&gt;&lt;/div&gt;&lt;hr/&gt;&lt;div&gt;&lt;h4&gt;&lt;p&gt;The subject's grip and footing become sure, granting a +4 competence bonus on Climb checks, on Acrobatics checks to balance, and to CMD against bull rush, drag, reposition, and trip attempts. While affected by this spell, the target is also immune to the disarm combat maneuver.&lt;/p&gt;&lt;/h4&gt;&lt;/div&gt;</t>
  </si>
  <si>
    <t>You gain a +4 competence bonus on Acrobatics and Climb checks and to CMD.</t>
  </si>
  <si>
    <t>Chain of Perdition</t>
  </si>
  <si>
    <t>cleric 3/oracle 3, sorcerer/wizard 3</t>
  </si>
  <si>
    <t>V, S, M/DF (chain link)</t>
  </si>
  <si>
    <t>10-ft. chain</t>
  </si>
  <si>
    <t>A floating chain of force with hooks at each end appears within an unoccupied space of your choosing within range. This chain is a Medium object that has a 10-foot reach. Physical attacks cannot hit or harm the chain of perdition, but dispel magic, disintegrate, a sphere of annihilation, or a rod of cancellation affects it normally. The chain's AC against touch attacks is 10 + your Charisma modifier (sorcerer), Intelligence modifier (wizard), or Wisdom modifier (cleric). The chain can perform the dirty trick (blind or entangle), drag, reposition, and trip combat maneuvers, using your caster level in place of your Combat Maneuver Bonus, and your Charisma modifier (sorcerer), Intelligence modifier (wizard), or Wisdom modifier (cleric) in place of your Strength or Dexterity modifier. The chain does not provoke attacks of opportunity for making combat maneuvers. It suffers no penalty or miss chance due to darkness, invisibility, or other forms of concealment. As a move action, you can move the chain up to 30 feet. If the chain goes beyond the spell's range or out of your sight, it returns to you. If a creature that the chain attacks has spell resistance, you must make a caster level check (1d20 + caster level) against that spell resistance the first time the chain performs a successful maneuver against that creature. If the chain is successfully resisted, the spell is dispelled. If not, the weapon has its normal full effect on that creature for the duration of the spell.</t>
  </si>
  <si>
    <t>&lt;p&gt;A floating chain of force with hooks at each end appears within an unoccupied space of your choosing within range. This chain is a Medium object that has a 10-foot reach. Physical attacks cannot hit or harm the chain of perdition, but dispel magic, disintegrate, a sphere of annihilation, or a rod of cancellation affects it normally. The chain's AC against touch attacks is 10 + your Charisma modifier (sorcerer), Intelligence modifier (wizard), or Wisdom modifier (cleric).&lt;/p&gt;&lt;p&gt;The chain can perform the dirty trick (blind or entangle), drag, reposition, and trip combat maneuvers, using your caster level in place of your Combat Maneuver Bonus, and your Charisma modifier (sorcerer), Intelligence modifier (wizard), or Wisdom modifier (cleric) in place of your Strength or Dexterity modifier. The chain does not provoke attacks of opportunity for making combat maneuvers. It suffers no penalty or miss chance due to darkness, invisibility, or other forms of concealment.&lt;/p&gt;&lt;p&gt;As a move action, you can move the chain up to 30 feet. If the chain goes beyond the spell's range or out of your sight, it returns to you.&lt;/p&gt;&lt;p&gt;If a creature that the chain attacks has spell resistance, you must make a caster level check (1d20 + caster level) against that spell resistance the first time the chain performs a successful maneuver against that creature. If the chain is successfully resisted, the spell is dispelled. If not, the weapon has its normal full effect on that creature for the duration of the spell.&lt;/p&gt;</t>
  </si>
  <si>
    <t>&lt;link rel="stylesheet"href="PF.css"&gt;&lt;div class="heading"&gt;&lt;p class="alignleft"&gt;Chain of Perdition&lt;/p&gt;&lt;div style="clear: both;"&gt;&lt;/div&gt;&lt;/div&gt;&lt;div&gt;&lt;h5&gt;&lt;b&gt;School &lt;/b&gt;evocation [force]; &lt;b&gt;Level &lt;/b&gt;cleric 3/oracle 3, sorcerer/wizard 3&lt;/h5&gt;&lt;/div&gt;&lt;hr/&gt;&lt;div&gt;&lt;h5&gt;&lt;b&gt;CASTING&lt;/b&gt;&lt;/h5&gt;&lt;/div&gt;&lt;hr/&gt;&lt;div&gt;&lt;h5&gt;&lt;b&gt;Casting Time &lt;/b&gt;1 standard action&lt;/h5&gt;&lt;h5&gt;&lt;b&gt;Components &lt;/b&gt;V, S, M/DF (chain link)&lt;/h5&gt;&lt;/div&gt;&lt;hr/&gt;&lt;div&gt;&lt;h5&gt;&lt;b&gt;EFFECT&lt;/b&gt;&lt;/h5&gt;&lt;/div&gt;&lt;hr/&gt;&lt;div&gt;&lt;h5&gt;&lt;b&gt;Range &lt;/b&gt;close (25 ft. + 5 ft./2 levels)&lt;/h5&gt;&lt;h5&gt;&lt;b&gt;Effect &lt;/b&gt;10-ft. chain&lt;/h5&gt;&lt;h5&gt;&lt;b&gt;Duration &lt;/b&gt;1 round/level (D)&lt;/h5&gt;&lt;h5&gt;&lt;b&gt;Saving Throw &lt;/b&gt;none; &lt;b&gt;Spell Resistance &lt;/b&gt;yes&lt;/h5&gt;&lt;/div&gt;&lt;hr/&gt;&lt;div&gt;&lt;h5&gt;&lt;b&gt;DESCRIPTION&lt;/b&gt;&lt;/h5&gt;&lt;/div&gt;&lt;hr/&gt;&lt;div&gt;&lt;h4&gt;&lt;p&gt;A floating chain of force with hooks at each end appears within an unoccupied space of your choosing within range. This chain is a Medium object that has a 10-foot reach. Physical attacks cannot hit or harm the chain of perdition, but dispel magic, disintegrate, a sphere of annihilation, or a rod of cancellation affects it normally. The chain's AC against touch attacks is 10 + your Charisma modifier (sorcerer), Intelligence modifier (wizard), or Wisdom modifier (cleric).&lt;/p&gt;&lt;p&gt;The chain can perform the dirty trick (blind or entangle), drag, reposition, and trip combat maneuvers, using your caster level in place of your Combat Maneuver Bonus, and your Charisma modifier (sorcerer), Intelligence modifier (wizard), or Wisdom modifier (cleric) in place of your Strength or Dexterity modifier. The chain does not provoke attacks of opportunity for making combat maneuvers. It suffers no penalty or miss chance due to darkness, invisibility, or other forms of concealment.&lt;/p&gt;&lt;p&gt;As a move action, you can move the chain up to 30 feet. If the chain goes beyond the spell's range or out of your sight, it returns to you.&lt;/p&gt;&lt;p&gt;If a creature that the chain attacks has spell resistance, you must make a caster level check (1d20 + caster level) against that spell resistance the first time the chain performs a successful maneuver against that creature. If the chain is successfully resisted, the spell is dispelled. If not, the weapon has its normal full effect on that creature for the duration of the spell.&lt;/p&gt;&lt;/h4&gt;&lt;/div&gt;</t>
  </si>
  <si>
    <t>Creates a floating chain of force.</t>
  </si>
  <si>
    <t>Companion Mind Link</t>
  </si>
  <si>
    <t>your animal companion</t>
  </si>
  <si>
    <t>The link between you and your animal companion becomes stronger. As long as you are within line of sight of your animal companion, you can telepathically communicate with it as if you two shared a language. Also, as long as you are within line of sight of the animal companion, you can push your animal companion a swift action instead of a move action, and you do not need to succeed at Handle Animal checks to handle your animal companion. Such checks automatically succeed.</t>
  </si>
  <si>
    <t>&lt;p&gt;The link between you and your animal companion becomes stronger. As long as you are within line of sight of your animal companion, you can telepathically communicate with it as if you two shared a language. Also, as long as you are within line of sight of the animal companion, you can push your animal companion a swift action instead of a move action, and you do not need to succeed at Handle Animal checks to handle your animal companion. Such checks automatically succeed.&lt;/p&gt;</t>
  </si>
  <si>
    <t>&lt;link rel="stylesheet"href="PF.css"&gt;&lt;div class="heading"&gt;&lt;p class="alignleft"&gt;Companion Mind Link&lt;/p&gt;&lt;div style="clear: both;"&gt;&lt;/div&gt;&lt;/div&gt;&lt;div&gt;&lt;h5&gt;&lt;b&gt;School &lt;/b&gt;enchantment (charm); &lt;b&gt;Level &lt;/b&gt;druid 3, ranger 3&lt;/h5&gt;&lt;/div&gt;&lt;hr/&gt;&lt;div&gt;&lt;h5&gt;&lt;b&gt;CASTING&lt;/b&gt;&lt;/h5&gt;&lt;/div&gt;&lt;hr/&gt;&lt;div&gt;&lt;h5&gt;&lt;b&gt;Casting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&lt;/b&gt;your animal companion&lt;/h5&gt;&lt;h5&gt;&lt;b&gt;Duration &lt;/b&gt;1 minute/level&lt;/h5&gt;&lt;/div&gt;&lt;hr/&gt;&lt;div&gt;&lt;h5&gt;&lt;b&gt;DESCRIPTION&lt;/b&gt;&lt;/h5&gt;&lt;/div&gt;&lt;hr/&gt;&lt;div&gt;&lt;h4&gt;&lt;p&gt;The link between you and your animal companion becomes stronger. As long as you are within line of sight of your animal companion, you can telepathically communicate with it as if you two shared a language. Also, as long as you are within line of sight of the animal companion, you can push your animal companion a swift action instead of a move action, and you do not need to succeed at Handle Animal checks to handle your animal companion. Such checks automatically succeed.&lt;/p&gt;&lt;/h4&gt;&lt;h5&gt;&lt;b&gt;Mythic: &lt;/b&gt;Your animal companion understands complex instructions transmitted by the spell. It can perform any trick (even one it doesn't know) as well as any activity that could be understood by a creature with an Intelligence score of 8.&lt;/h5&gt;&lt;/div&gt;</t>
  </si>
  <si>
    <t>You can talk with your animal companion, and can handle it with supernatural ease.</t>
  </si>
  <si>
    <t>Your animal companion understands complex instructions transmitted by the spell. It can perform any trick (even one it doesn't know) as well as any activity that could be understood by a creature with an Intelligence score of 8.</t>
  </si>
  <si>
    <t>Compel Hostility</t>
  </si>
  <si>
    <t>bard 1, cleric 1/oracle 1, inquisitor 1, paladin 1, ranger 1, summoner 1, witch 1</t>
  </si>
  <si>
    <t>Whenever a creature you can see that threatens you makes an attack against one of your allies, as an immediate action, you can compel that creature to attack you instead. When you compel a creature to attack you, you must first overcome that creature's spell resistance, and the creature can attempt a Will saving throw to ignore the compulsion. A summoner casting this spell can choose his eidolon as the target of the spell.</t>
  </si>
  <si>
    <t>&lt;p&gt;Whenever a creature you can see that threatens you makes an attack against one of your allies, as an immediate action, you can compel that creature to attack you instead. When you compel a creature to attack you, you must first overcome that creature's spell resistance, and the creature can attempt a Will saving throw to ignore the compulsion.&lt;/p&gt;&lt;p&gt;A summoner casting this spell can choose his eidolon as the target of the spell.&lt;/p&gt;</t>
  </si>
  <si>
    <t>&lt;link rel="stylesheet"href="PF.css"&gt;&lt;div class="heading"&gt;&lt;p class="alignleft"&gt;Compel Hostility&lt;/p&gt;&lt;div style="clear: both;"&gt;&lt;/div&gt;&lt;/div&gt;&lt;div&gt;&lt;h5&gt;&lt;b&gt;School &lt;/b&gt;enchantment (compulsion) [mind-affecting]; &lt;b&gt;Level &lt;/b&gt;bard 1, cleric 1/oracle 1, inquisitor 1, paladin 1, ranger 1, summoner 1, witch 1&lt;/h5&gt;&lt;/div&gt;&lt;hr/&gt;&lt;div&gt;&lt;h5&gt;&lt;b&gt;CASTING&lt;/b&gt;&lt;/h5&gt;&lt;/div&gt;&lt;hr/&gt;&lt;div&gt;&lt;h5&gt;&lt;b&gt;Casting Time &lt;/b&gt;1 standard action&lt;/h5&gt;&lt;h5&gt;&lt;b&gt;Components &lt;/b&gt;V, S, M (a drop of your blood)&lt;/h5&gt;&lt;/div&gt;&lt;hr/&gt;&lt;div&gt;&lt;h5&gt;&lt;b&gt;EFFECT&lt;/b&gt;&lt;/h5&gt;&lt;/div&gt;&lt;hr/&gt;&lt;div&gt;&lt;h5&gt;&lt;b&gt;Range &lt;/b&gt;personal&lt;/h5&gt;&lt;h5&gt;&lt;b&gt;Targets &lt;/b&gt;you&lt;/h5&gt;&lt;h5&gt;&lt;b&gt;Duration &lt;/b&gt;1 round/level&lt;/h5&gt;&lt;h5&gt;&lt;b&gt;Saving Throw &lt;/b&gt;see text; &lt;b&gt;Spell Resistance &lt;/b&gt;see text&lt;/h5&gt;&lt;/div&gt;&lt;hr/&gt;&lt;div&gt;&lt;h5&gt;&lt;b&gt;DESCRIPTION&lt;/b&gt;&lt;/h5&gt;&lt;/div&gt;&lt;hr/&gt;&lt;div&gt;&lt;h4&gt;&lt;p&gt;Whenever a creature you can see that threatens you makes an attack against one of your allies, as an immediate action, you can compel that creature to attack you instead. When you compel a creature to attack you, you must first overcome that creature's spell resistance, and the creature can attempt a Will saving throw to ignore the compulsion.&lt;/p&gt;&lt;p&gt;A summoner casting this spell can choose his eidolon as the target of the spell.&lt;/p&gt;&lt;/h4&gt;&lt;/div&gt;</t>
  </si>
  <si>
    <t>Compels opponents to attack you instead of your allies.</t>
  </si>
  <si>
    <t>Damp Powder</t>
  </si>
  <si>
    <t>druid 1, sorcerer/wizard 1, witch 1</t>
  </si>
  <si>
    <t>V, S, M/DF (a damp piece of cotton)</t>
  </si>
  <si>
    <t>1 loaded firearm</t>
  </si>
  <si>
    <t>This spell causes ammunition already loaded into the target firearm is ruined with moisture. Any attempt to fire that ammunition fails, with no chance for misfire, and the user must then take a full-round action to clear the weapon before reloading and firing it. If aware of this spell's effect prior to firing the altered ammunition (a DC 16 Spellcraft check to identify the spell being cast or similar effect), the firearm's user can spend a standard action to clear the altered ammunition from the firearm. Doing so destroys that ammunition.</t>
  </si>
  <si>
    <t>&lt;p&gt;This spell causes ammunition already loaded into the target firearm is ruined with moisture. Any attempt to fire that ammunition fails, with no chance for misfire, and the user must then take a full-round action to clear the weapon before reloading and firing it. If aware of this spell's effect prior to firing the altered ammunition (a DC 16 Spellcraft check to identify the spell being cast or similar effect), the firearm's user can spend a standard action to clear the altered ammunition from the firearm. Doing so destroys that ammunition.&lt;/p&gt;</t>
  </si>
  <si>
    <t>&lt;link rel="stylesheet"href="PF.css"&gt;&lt;div class="heading"&gt;&lt;p class="alignleft"&gt;Damp Powder&lt;/p&gt;&lt;div style="clear: both;"&gt;&lt;/div&gt;&lt;/div&gt;&lt;div&gt;&lt;h5&gt;&lt;b&gt;School &lt;/b&gt;transmutation; &lt;b&gt;Level &lt;/b&gt;druid 1, sorcerer/wizard 1, witch 1&lt;/h5&gt;&lt;/div&gt;&lt;hr/&gt;&lt;div&gt;&lt;h5&gt;&lt;b&gt;CASTING&lt;/b&gt;&lt;/h5&gt;&lt;/div&gt;&lt;hr/&gt;&lt;div&gt;&lt;h5&gt;&lt;b&gt;Casting Time &lt;/b&gt;1 standard action&lt;/h5&gt;&lt;h5&gt;&lt;b&gt;Components &lt;/b&gt;V, S, M/DF (a damp piece of cotton)&lt;/h5&gt;&lt;/div&gt;&lt;hr/&gt;&lt;div&gt;&lt;h5&gt;&lt;b&gt;EFFECT&lt;/b&gt;&lt;/h5&gt;&lt;/div&gt;&lt;hr/&gt;&lt;div&gt;&lt;h5&gt;&lt;b&gt;Range &lt;/b&gt;close (25 ft. + 5 ft./2 levels)&lt;/h5&gt;&lt;h5&gt;&lt;b&gt;Targets &lt;/b&gt;1 loaded firearm&lt;/h5&gt;&lt;h5&gt;&lt;b&gt;Duration &lt;/b&gt;instantaneous&lt;/h5&gt;&lt;h5&gt;&lt;b&gt;Saving Throw &lt;/b&gt;Will negates (object); &lt;b&gt;Spell Resistance &lt;/b&gt;yes (object)&lt;/h5&gt;&lt;/div&gt;&lt;hr/&gt;&lt;div&gt;&lt;h5&gt;&lt;b&gt;DESCRIPTION&lt;/b&gt;&lt;/h5&gt;&lt;/div&gt;&lt;hr/&gt;&lt;div&gt;&lt;h4&gt;&lt;p&gt;This spell causes ammunition already loaded into the target firearm is ruined with moisture. Any attempt to fire that ammunition fails, with no chance for misfire, and the user must then take a full-round action to clear the weapon before reloading and firing it. If aware of this spell's effect prior to firing the altered ammunition (a DC 16 Spellcraft check to identify the spell being cast or similar effect), the firearm's user can spend a standard action to clear the altered ammunition from the firearm. Doing so destroys that ammunition.&lt;/p&gt;&lt;/h4&gt;&lt;/div&gt;</t>
  </si>
  <si>
    <t>Ruins ammunition loaded in the targeted firearm.</t>
  </si>
  <si>
    <t>Darkvision, Communal</t>
  </si>
  <si>
    <t>alchemist 3, antipaladin 3, ranger 4, sorcerer/wizard 3</t>
  </si>
  <si>
    <t>This spell functions like darkvision, except you may divide the duration in 1-hour intervals among the creatures touched.</t>
  </si>
  <si>
    <t>&lt;p&gt;This spell functions like darkvision, except you may divide the duration in 1-hour intervals among the creatures touched.&lt;/p&gt;</t>
  </si>
  <si>
    <t>&lt;link rel="stylesheet"href="PF.css"&gt;&lt;div class="heading"&gt;&lt;p class="alignleft"&gt;Darkvision, Communal&lt;/p&gt;&lt;div style="clear: both;"&gt;&lt;/div&gt;&lt;/div&gt;&lt;div&gt;&lt;h5&gt;&lt;b&gt;School &lt;/b&gt;transmutation; &lt;b&gt;Level &lt;/b&gt;alchemist 3, antipaladin 3, ranger 4, sorcerer/wizard 3&lt;/h5&gt;&lt;/div&gt;&lt;hr/&gt;&lt;div&gt;&lt;h5&gt;&lt;b&gt;CASTING&lt;/b&gt;&lt;/h5&gt;&lt;/div&gt;&lt;hr/&gt;&lt;div&gt;&lt;h5&gt;&lt;b&gt;Casting Time &lt;/b&gt;1 standard action&lt;/h5&gt;&lt;h5&gt;&lt;b&gt;Components &lt;/b&gt;V, S, M (either a pinch of dried carrot or an agate)&lt;/h5&gt;&lt;/div&gt;&lt;hr/&gt;&lt;div&gt;&lt;h5&gt;&lt;b&gt;EFFECT&lt;/b&gt;&lt;/h5&gt;&lt;/div&gt;&lt;hr/&gt;&lt;div&gt;&lt;h5&gt;&lt;b&gt;Range &lt;/b&gt;touch&lt;/h5&gt;&lt;h5&gt;&lt;b&gt;Targets &lt;/b&gt;creatures touched&lt;/h5&gt;&lt;h5&gt;&lt;b&gt;Duration &lt;/b&gt;1 hour/level&lt;/h5&gt;&lt;h5&gt;&lt;b&gt;Saving Throw &lt;/b&gt;Will negates (harmless); &lt;b&gt;Spell Resistance &lt;/b&gt;yes (harmless)&lt;/h5&gt;&lt;/div&gt;&lt;hr/&gt;&lt;div&gt;&lt;h5&gt;&lt;b&gt;DESCRIPTION&lt;/b&gt;&lt;/h5&gt;&lt;/div&gt;&lt;hr/&gt;&lt;div&gt;&lt;h4&gt;&lt;p&gt;This spell functions like darkvision, except you may divide the duration in 1-hour intervals among the creatures touched.&lt;/p&gt;&lt;/h4&gt;&lt;/div&gt;</t>
  </si>
  <si>
    <t>As darkvision, but you may divide the duration among creatures touched.</t>
  </si>
  <si>
    <t>Daybreak Arrow</t>
  </si>
  <si>
    <t>cleric/oracle 3, inquisitor 3, paladin 3</t>
  </si>
  <si>
    <t>up to 50 pieces of ammunition, all of which must be together at the time of casting</t>
  </si>
  <si>
    <t>Fortitude negates (harmless, object)</t>
  </si>
  <si>
    <t>You cause ammunition, including shuriken, to exude radiant energy. Creatures that take penalties in bright light take these penalties for 1 round after being struck by such ammunition. Undead and creatures harmed by sunlight take an additional 1d6 points of damage from such projectiles. This extra damage and half of any other damage you deal with an affected projectile results directly from radiant energy and is not subject to damage resistance. Such a projectile sheds light as if it were a sunrod for 1 round after it is fired or thrown.</t>
  </si>
  <si>
    <t>&lt;p&gt;You cause ammunition, including shuriken, to exude radiant energy. Creatures that take penalties in bright light take these penalties for 1 round after being struck by such ammunition. Undead and creatures harmed by sunlight take an additional 1d6 points of damage from such projectiles. This extra damage and half of any other damage you deal with an affected projectile results directly from radiant energy and is not subject to damage resistance. Such a projectile sheds light as if it were a sunrod for 1 round after it is fired or thrown.&lt;/p&gt;</t>
  </si>
  <si>
    <t>&lt;link rel="stylesheet"href="PF.css"&gt;&lt;div class="heading"&gt;&lt;p class="alignleft"&gt;Daybreak Arrow&lt;/p&gt;&lt;div style="clear: both;"&gt;&lt;/div&gt;&lt;/div&gt;&lt;div&gt;&lt;h5&gt;&lt;b&gt;School &lt;/b&gt;evocation [light]; &lt;b&gt;Level &lt;/b&gt;cleric/oracle 3, inquisitor 3, paladin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&lt;/b&gt;up to 50 pieces of ammunition, all of which must be together at the time of casting&lt;/h5&gt;&lt;h5&gt;&lt;b&gt;Duration &lt;/b&gt;10 minutes/level&lt;/h5&gt;&lt;h5&gt;&lt;b&gt;Saving Throw &lt;/b&gt;Fortitude negates (harmless, object); &lt;b&gt;Spell Resistance &lt;/b&gt;yes (harmless, object)&lt;/h5&gt;&lt;/div&gt;&lt;hr/&gt;&lt;div&gt;&lt;h5&gt;&lt;b&gt;DESCRIPTION&lt;/b&gt;&lt;/h5&gt;&lt;/div&gt;&lt;hr/&gt;&lt;div&gt;&lt;h4&gt;&lt;p&gt;You cause ammunition, including shuriken, to exude radiant energy. Creatures that take penalties in bright light take these penalties for 1 round after being struck by such ammunition. Undead and creatures harmed by sunlight take an additional 1d6 points of damage from such projectiles. This extra damage and half of any other damage you deal with an affected projectile results directly from radiant energy and is not subject to damage resistance. Such a projectile sheds light as if it were a sunrod for 1 round after it is fired or thrown.&lt;/p&gt;&lt;/h4&gt;&lt;h5&gt;&lt;b&gt;Mythic: &lt;/b&gt;The additional damage to undead and creatures harmed by sunlight increases to 1d8. The affected ammunition is entirely composed of radiant energy, and bypasses all damage resistance from undead targets and those harmed by sunlight. The duration of the sunrod light effect increases to 1 minute.&lt;/h5&gt;&lt;/div&gt;</t>
  </si>
  <si>
    <t>Targeted ammunition exudes radiant energy.</t>
  </si>
  <si>
    <t>The additional damage to undead and creatures harmed by sunlight increases to 1d8. The affected ammunition is entirely composed of radiant energy, and bypasses all damage resistance from undead targets and those harmed by sunlight. The duration of the sunrod light effect increases to 1 minute.</t>
  </si>
  <si>
    <t>Deadly Juggernaut</t>
  </si>
  <si>
    <t>antipaladin 3, cleric 3/oracle 3, inquisitor 3, paladin 3</t>
  </si>
  <si>
    <t>With every enemy life you take, you become increasingly dangerous and difficult to stop. During the duration of the spell, you gain a cumulative +1 luck bonus on melee attack rolls, melee weapon damage rolls, Strength checks, and Strength-based skill checks as well as DR 2/- each time you reduce a qualifying opponent to 0 or few hit points (maximum +5 bonus and DR 10/-) with a melee attack. A qualifying opponent has a number of Hit Dice equal to or greater than your Hit Dice -4.</t>
  </si>
  <si>
    <t>&lt;p&gt;With every enemy life you take, you become increasingly dangerous and difficult to stop. During the duration of the spell, you gain a cumulative +1 luck bonus on melee attack rolls, melee weapon damage rolls, Strength checks, and Strength-based skill checks as well as DR 2/- each time you reduce a qualifying opponent to 0 or few hit points (maximum +5 bonus and DR 10/-) with a melee attack. A qualifying opponent has a number of Hit Dice equal to or greater than your Hit Dice -4.&lt;/p&gt;</t>
  </si>
  <si>
    <t>&lt;link rel="stylesheet"href="PF.css"&gt;&lt;div class="heading"&gt;&lt;p class="alignleft"&gt;Deadly Juggernaut&lt;/p&gt;&lt;div style="clear: both;"&gt;&lt;/div&gt;&lt;/div&gt;&lt;div&gt;&lt;h5&gt;&lt;b&gt;School &lt;/b&gt;necromancy [death]; &lt;b&gt;Level &lt;/b&gt;antipaladin 3, cleric 3/oracle 3, inquisitor 3, paladin 3&lt;/h5&gt;&lt;/div&gt;&lt;hr/&gt;&lt;div&gt;&lt;h5&gt;&lt;b&gt;CASTING&lt;/b&gt;&lt;/h5&gt;&lt;/div&gt;&lt;hr/&gt;&lt;div&gt;&lt;h5&gt;&lt;b&gt;Casting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minute/level&lt;/h5&gt;&lt;/div&gt;&lt;hr/&gt;&lt;div&gt;&lt;h5&gt;&lt;b&gt;DESCRIPTION&lt;/b&gt;&lt;/h5&gt;&lt;/div&gt;&lt;hr/&gt;&lt;div&gt;&lt;h4&gt;&lt;p&gt;With every enemy life you take, you become increasingly dangerous and difficult to stop. During the duration of the spell, you gain a cumulative +1 luck bonus on melee attack rolls, melee weapon damage rolls, Strength checks, and Strength-based skill checks as well as DR 2/- each time you reduce a qualifying opponent to 0 or few hit points (maximum +5 bonus and DR 10/-) with a melee attack. A qualifying opponent has a number of Hit Dice equal to or greater than your Hit Dice -4.&lt;/p&gt;&lt;/h4&gt;&lt;/div&gt;</t>
  </si>
  <si>
    <t>Your might increases with every kill you make.</t>
  </si>
  <si>
    <t>Deadeye's Lore</t>
  </si>
  <si>
    <t>bard 1, cleric 1/oracle 1, druid 1, inquisitor 1, ranger 1</t>
  </si>
  <si>
    <t>While subject to this spell, you take upon yourself the mantle of the hunter, channeling the insights of the spirits of the wild. You gain a +4 sacred bonus on all Survival checks for the duration of the spell, and you do not have to move at half your speed while traveling through the wilderness or while tracking.</t>
  </si>
  <si>
    <t>&lt;p&gt;While subject to this spell, you take upon yourself the mantle of the hunter, channeling the insights of the spirits of the wild. You gain a +4 sacred bonus on all Survival checks for the duration of the spell, and you do not have to move at half your speed while traveling through the wilderness or while tracking.&lt;/p&gt;</t>
  </si>
  <si>
    <t>&lt;link rel="stylesheet"href="PF.css"&gt;&lt;div class="heading"&gt;&lt;p class="alignleft"&gt;Deadeye's Lore&lt;/p&gt;&lt;div style="clear: both;"&gt;&lt;/div&gt;&lt;/div&gt;&lt;div&gt;&lt;h5&gt;&lt;b&gt;School &lt;/b&gt;divination; &lt;b&gt;Level &lt;/b&gt;bard 1, cleric 1/oracle 1, druid 1, inquisitor 1, ranger 1&lt;/h5&gt;&lt;/div&gt;&lt;hr/&gt;&lt;div&gt;&lt;h5&gt;&lt;b&gt;CASTING&lt;/b&gt;&lt;/h5&gt;&lt;/div&gt;&lt;hr/&gt;&lt;div&gt;&lt;h5&gt;&lt;b&gt;Casting Time &lt;/b&gt;1 round&lt;/h5&gt;&lt;h5&gt;&lt;b&gt;Components &lt;/b&gt;V, S&lt;/h5&gt;&lt;/div&gt;&lt;hr/&gt;&lt;div&gt;&lt;h5&gt;&lt;b&gt;EFFECT&lt;/b&gt;&lt;/h5&gt;&lt;/div&gt;&lt;hr/&gt;&lt;div&gt;&lt;h5&gt;&lt;b&gt;Range &lt;/b&gt;personal&lt;/h5&gt;&lt;h5&gt;&lt;b&gt;Targets &lt;/b&gt;you&lt;/h5&gt;&lt;h5&gt;&lt;b&gt;Duration &lt;/b&gt;1 hour/level&lt;/h5&gt;&lt;/div&gt;&lt;hr/&gt;&lt;div&gt;&lt;h5&gt;&lt;b&gt;DESCRIPTION&lt;/b&gt;&lt;/h5&gt;&lt;/div&gt;&lt;hr/&gt;&lt;div&gt;&lt;h4&gt;&lt;p&gt;While subject to this spell, you take upon yourself the mantle of the hunter, channeling the insights of the spirits of the wild. You gain a +4 sacred bonus on all Survival checks for the duration of the spell, and you do not have to move at half your speed while traveling through the wilderness or while tracking.&lt;/p&gt;&lt;/h4&gt;&lt;/div&gt;</t>
  </si>
  <si>
    <t>Gain a +4 bonus on Survival and move full speed while tracking.</t>
  </si>
  <si>
    <t>Debilitating Portent</t>
  </si>
  <si>
    <t>cleric 4/oracle 4, witch 4</t>
  </si>
  <si>
    <t>1 round/level (D) see text</t>
  </si>
  <si>
    <t>The target is surrounded by a glowing green aura of ill fate. Each time the spell's subject makes an attack or casts a spell, it must succeed at a Will saving throw with a DC = 10 + 1/2 caster level + Charisma (in the case of oracles) or Wisdom (in the case of clerics). If it fails the saving throw, it deals half damage with the attack or spell. You can dismiss this spell as an immediate action when the target confirms a critical hit; doing so negates the critical hit. The attack that you negated still hits, but only deals half damage.</t>
  </si>
  <si>
    <t>&lt;p&gt;The target is surrounded by a glowing green aura of ill fate. Each time the spell's subject makes an attack or casts a spell, it must succeed at a Will saving throw with a DC = 10 + 1/2 caster level + Charisma (in the case of oracles) or Wisdom (in the case of clerics).&lt;/p&gt;&lt;p&gt;If it fails the saving throw, it deals half damage with the attack or spell. You can dismiss this spell as an immediate action when the target confirms a critical hit; doing so negates the critical hit. The attack that you negated still hits, but only deals half damage.&lt;/p&gt;</t>
  </si>
  <si>
    <t>&lt;link rel="stylesheet"href="PF.css"&gt;&lt;div class="heading"&gt;&lt;p class="alignleft"&gt;Debilitating Portent&lt;/p&gt;&lt;div style="clear: both;"&gt;&lt;/div&gt;&lt;/div&gt;&lt;div&gt;&lt;h5&gt;&lt;b&gt;School &lt;/b&gt;enchantment (compulsion); &lt;b&gt;Level &lt;/b&gt;cleric 4/oracle 4, witch 4&lt;/h5&gt;&lt;/div&gt;&lt;hr/&gt;&lt;div&gt;&lt;h5&gt;&lt;b&gt;CASTING&lt;/b&gt;&lt;/h5&gt;&lt;/div&gt;&lt;hr/&gt;&lt;div&gt;&lt;h5&gt;&lt;b&gt;Casting Time &lt;/b&gt;1 standard action&lt;/h5&gt;&lt;h5&gt;&lt;b&gt;Components &lt;/b&gt;V, S, DF&lt;/h5&gt;&lt;/div&gt;&lt;hr/&gt;&lt;div&gt;&lt;h5&gt;&lt;b&gt;EFFECT&lt;/b&gt;&lt;/h5&gt;&lt;/div&gt;&lt;hr/&gt;&lt;div&gt;&lt;h5&gt;&lt;b&gt;Range &lt;/b&gt;medium (100 ft. + 10 ft./level)&lt;/h5&gt;&lt;h5&gt;&lt;b&gt;Targets &lt;/b&gt;one creature&lt;/h5&gt;&lt;h5&gt;&lt;b&gt;Duration &lt;/b&gt;1 round/level (D) see text&lt;/h5&gt;&lt;h5&gt;&lt;b&gt;Saving Throw &lt;/b&gt;none; &lt;b&gt;Spell Resistance &lt;/b&gt;yes&lt;/h5&gt;&lt;/div&gt;&lt;hr/&gt;&lt;div&gt;&lt;h5&gt;&lt;b&gt;DESCRIPTION&lt;/b&gt;&lt;/h5&gt;&lt;/div&gt;&lt;hr/&gt;&lt;div&gt;&lt;h4&gt;&lt;p&gt;The target is surrounded by a glowing green aura of ill fate. Each time the spell's subject makes an attack or casts a spell, it must succeed at a Will saving throw with a DC = 10 + 1/2 caster level + Charisma (in the case of oracles) or Wisdom (in the case of clerics).&lt;/p&gt;&lt;p&gt;If it fails the saving throw, it deals half damage with the attack or spell. You can dismiss this spell as an immediate action when the target confirms a critical hit; doing so negates the critical hit. The attack that you negated still hits, but only deals half damage.&lt;/p&gt;&lt;/h4&gt;&lt;/div&gt;</t>
  </si>
  <si>
    <t>Inflicts an ill fate on a creature, halving its damage when it attacks or casts a spell</t>
  </si>
  <si>
    <t>Delay Poison, Communal</t>
  </si>
  <si>
    <t>alchemist 3, bard 3, cleric 3/oracle 3, druid 3, inquisitor 3, paladin 3, ranger 3, witch 3</t>
  </si>
  <si>
    <t>This spell functions like delay poison, except you divide the duration in 1-hour intervals among the creatures touched.</t>
  </si>
  <si>
    <t>&lt;p&gt;This spell functions like &lt;i&gt;delay poison&lt;/i&gt;, except you divide the duration in 1-hour intervals among the creatures touched.&lt;/p&gt;</t>
  </si>
  <si>
    <t>&lt;link rel="stylesheet"href="PF.css"&gt;&lt;div class="heading"&gt;&lt;p class="alignleft"&gt;Delay Poison, Communal&lt;/p&gt;&lt;div style="clear: both;"&gt;&lt;/div&gt;&lt;/div&gt;&lt;div&gt;&lt;h5&gt;&lt;b&gt;School &lt;/b&gt;conjuration (healing); &lt;b&gt;Level &lt;/b&gt;alchemist 3, bard 3, cleric 3/oracle 3, druid 3, inquisitor 3, paladin 3, ranger 3, witch 3&lt;/h5&gt;&lt;/div&gt;&lt;hr/&gt;&lt;div&gt;&lt;h5&gt;&lt;b&gt;CASTING&lt;/b&gt;&lt;/h5&gt;&lt;/div&gt;&lt;hr/&gt;&lt;div&gt;&lt;h5&gt;&lt;b&gt;Casting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&lt;/b&gt;creatures touched&lt;/h5&gt;&lt;h5&gt;&lt;b&gt;Duration &lt;/b&gt;1 hour/level&lt;/h5&gt;&lt;h5&gt;&lt;b&gt;Saving Throw &lt;/b&gt;Fortitude negates (harmless); &lt;b&gt;Spell Resistance &lt;/b&gt;yes (harmless)&lt;/h5&gt;&lt;/div&gt;&lt;hr/&gt;&lt;div&gt;&lt;h5&gt;&lt;b&gt;DESCRIPTION&lt;/b&gt;&lt;/h5&gt;&lt;/div&gt;&lt;hr/&gt;&lt;div&gt;&lt;h4&gt;&lt;p&gt;This spell functions like &lt;i&gt;delay poison&lt;/i&gt;, except you divide the duration in 1-hour intervals among the creatures touched.&lt;/p&gt;&lt;/h4&gt;&lt;/div&gt;</t>
  </si>
  <si>
    <t>As delay poison, but you may divide the duration among creatures touched.</t>
  </si>
  <si>
    <t>Destabilize Powder</t>
  </si>
  <si>
    <t>V, S, M (a few drops of liquor)</t>
  </si>
  <si>
    <t>This spell makes the ammunition in the target firearm is prone to misfire. Increase the misfire range by 1 + 1 per five caster levels (maximum +5) for the ammunition currently loaded into that firearm. If aware of this spell's effect prior to firing the altered ammunition (a DC 17 Spellcraft check to identify the spell being cast or similar effect), the firearm's user can spend a standard action to clear the altered ammunition from the firearm. Doing so destroys that ammunition.</t>
  </si>
  <si>
    <t>&lt;p&gt;This spell makes the ammunition in the target firearm is prone to misfire. Increase the misfire range by 1 + 1 per five caster levels (maximum +5) for the ammunition currently loaded into that firearm. If aware of this spell's effect prior to firing the altered ammunition (a DC 17 Spellcraft check to identify the spell being cast or similar effect), the firearm's user can spend a standard action to clear the altered ammunition from the firearm. Doing so destroys that ammunition.&lt;/p&gt;</t>
  </si>
  <si>
    <t>&lt;link rel="stylesheet"href="PF.css"&gt;&lt;div class="heading"&gt;&lt;p class="alignleft"&gt;Destabilize Powder&lt;/p&gt;&lt;div style="clear: both;"&gt;&lt;/div&gt;&lt;/div&gt;&lt;div&gt;&lt;h5&gt;&lt;b&gt;School &lt;/b&gt;transmutation; &lt;b&gt;Level &lt;/b&gt;sorcerer/wizard 2, witch 2&lt;/h5&gt;&lt;/div&gt;&lt;hr/&gt;&lt;div&gt;&lt;h5&gt;&lt;b&gt;CASTING&lt;/b&gt;&lt;/h5&gt;&lt;/div&gt;&lt;hr/&gt;&lt;div&gt;&lt;h5&gt;&lt;b&gt;Casting Time &lt;/b&gt;1 standard action&lt;/h5&gt;&lt;h5&gt;&lt;b&gt;Components &lt;/b&gt;V, S, M (a few drops of liquor)&lt;/h5&gt;&lt;/div&gt;&lt;hr/&gt;&lt;div&gt;&lt;h5&gt;&lt;b&gt;EFFECT&lt;/b&gt;&lt;/h5&gt;&lt;/div&gt;&lt;hr/&gt;&lt;div&gt;&lt;h5&gt;&lt;b&gt;Range &lt;/b&gt;close (25 ft. + 5 ft./2 levels)&lt;/h5&gt;&lt;h5&gt;&lt;b&gt;Targets &lt;/b&gt;1 loaded firearm&lt;/h5&gt;&lt;h5&gt;&lt;b&gt;Duration &lt;/b&gt;instantaneous&lt;/h5&gt;&lt;h5&gt;&lt;b&gt;Saving Throw &lt;/b&gt;Will negates (object); &lt;b&gt;Spell Resistance &lt;/b&gt;yes (object)&lt;/h5&gt;&lt;/div&gt;&lt;hr/&gt;&lt;div&gt;&lt;h5&gt;&lt;b&gt;DESCRIPTION&lt;/b&gt;&lt;/h5&gt;&lt;/div&gt;&lt;hr/&gt;&lt;div&gt;&lt;h4&gt;&lt;p&gt;This spell makes the ammunition in the target firearm is prone to misfire. Increase the misfire range by 1 + 1 per five caster levels (maximum +5) for the ammunition currently loaded into that firearm. If aware of this spell's effect prior to firing the altered ammunition (a DC 17 Spellcraft check to identify the spell being cast or similar effect), the firearm's user can spend a standard action to clear the altered ammunition from the firearm. Doing so destroys that ammunition.&lt;/p&gt;&lt;/h4&gt;&lt;/div&gt;</t>
  </si>
  <si>
    <t>Ammunition in the targeted firearm is prone to misfire.</t>
  </si>
  <si>
    <t>Discovery Torch</t>
  </si>
  <si>
    <t>bard 2, cleric 3/oracle 3, inquisitor 2</t>
  </si>
  <si>
    <t>20-ft.-radius emanation or 40-ft.-radius emanation from object touched (see below)</t>
  </si>
  <si>
    <t>An object you touch emanates bright light within the spell's area. The effect looks like a regular flame but creates no heat and uses no oxygen. Allies within the area of this light gain a +2 enhancement bonus on Perception and Sense Motive checks, as well as on Knowledge checks to identify monsters that are also within the area and their special powers and vulnerabilities. When an inquisitor casts this spell, the light emanation doubles (40-ft.-radius emanation) while that inquisitor has a judgment active. Light spells counter and dispel darkness spells of an equal or lower level.</t>
  </si>
  <si>
    <t>&lt;p&gt;An object you touch emanates bright light within the spell's area. The effect looks like a regular flame but creates no heat and uses no oxygen. Allies within the area of this light gain a +2 enhancement bonus on Perception and Sense Motive checks, as well as on Knowledge checks to identify monsters that are also within the area and their special powers and vulnerabilities. When an inquisitor casts this spell, the light emanation doubles (40-ft.-radius emanation) while that inquisitor has a judgment active. Light spells counter and dispel darkness spells of an equal or lower level.&lt;/p&gt;</t>
  </si>
  <si>
    <t>&lt;link rel="stylesheet"href="PF.css"&gt;&lt;div class="heading"&gt;&lt;p class="alignleft"&gt;Discovery Torch&lt;/p&gt;&lt;div style="clear: both;"&gt;&lt;/div&gt;&lt;/div&gt;&lt;div&gt;&lt;h5&gt;&lt;b&gt;School &lt;/b&gt;evocation [light]; &lt;b&gt;Level &lt;/b&gt;bard 2, cleric 3/oracle 3, inquisitor 2&lt;/h5&gt;&lt;/div&gt;&lt;hr/&gt;&lt;div&gt;&lt;h5&gt;&lt;b&gt;CASTING&lt;/b&gt;&lt;/h5&gt;&lt;/div&gt;&lt;hr/&gt;&lt;div&gt;&lt;h5&gt;&lt;b&gt;Casting Time &lt;/b&gt;1 round&lt;/h5&gt;&lt;h5&gt;&lt;b&gt;Components &lt;/b&gt;V, S&lt;/h5&gt;&lt;/div&gt;&lt;hr/&gt;&lt;div&gt;&lt;h5&gt;&lt;b&gt;EFFECT&lt;/b&gt;&lt;/h5&gt;&lt;/div&gt;&lt;hr/&gt;&lt;div&gt;&lt;h5&gt;&lt;b&gt;Range &lt;/b&gt;touch&lt;/h5&gt;&lt;h5&gt;&lt;b&gt;Area &lt;/b&gt;20-ft.-radius emanation or 40-ft.-radius emanation from object touched (see below)&lt;/h5&gt;&lt;h5&gt;&lt;b&gt;Targets &lt;/b&gt;object touched&lt;/h5&gt;&lt;h5&gt;&lt;b&gt;Duration &lt;/b&gt;10 minutes/level&lt;/h5&gt;&lt;h5&gt;&lt;b&gt;Saving Throw &lt;/b&gt;none; &lt;b&gt;Spell Resistance &lt;/b&gt;no&lt;/h5&gt;&lt;/div&gt;&lt;hr/&gt;&lt;div&gt;&lt;h5&gt;&lt;b&gt;DESCRIPTION&lt;/b&gt;&lt;/h5&gt;&lt;/div&gt;&lt;hr/&gt;&lt;div&gt;&lt;h4&gt;&lt;p&gt;An object you touch emanates bright light within the spell's area. The effect looks like a regular flame but creates no heat and uses no oxygen. Allies within the area of this light gain a +2 enhancement bonus on Perception and Sense Motive checks, as well as on Knowledge checks to identify monsters that are also within the area and their special powers and vulnerabilities. When an inquisitor casts this spell, the light emanation doubles (40-ft.-radius emanation) while that inquisitor has a judgment active. Light spells counter and dispel darkness spells of an equal or lower level.&lt;/p&gt;&lt;/h4&gt;&lt;/div&gt;</t>
  </si>
  <si>
    <t>Object touched emanates bright light, granting Perception and Sense Motive bonuses.</t>
  </si>
  <si>
    <t>Divine Arrow</t>
  </si>
  <si>
    <t>one projectile</t>
  </si>
  <si>
    <t>You imbue a projectile, such as an arrow or shuriken, with holy energy so that it deals extra damage to undead equal to that dealt by your lay on hands feature. This extra damage is not multiplied on a critical hit. Although this spell does not expend a daily use of your lay on hands class feature, you must have at least one daily use available to cast this spell. If the projectile hits a target or is destroyed before the duration ends, the spell is discharged.</t>
  </si>
  <si>
    <t>&lt;p&gt;You imbue a projectile, such as an arrow or shuriken, with holy energy so that it deals extra damage to undead equal to that dealt by your lay on hands feature. This extra damage is not multiplied on a critical hit. Although this spell does not expend a daily use of your lay on hands class feature, you must have at least one daily use available to cast this spell. If the projectile hits a target or is destroyed before the duration ends, the spell is discharged.&lt;/p&gt;</t>
  </si>
  <si>
    <t>&lt;link rel="stylesheet"href="PF.css"&gt;&lt;div class="heading"&gt;&lt;p class="alignleft"&gt;Divine Arrow&lt;/p&gt;&lt;div style="clear: both;"&gt;&lt;/div&gt;&lt;/div&gt;&lt;div&gt;&lt;h5&gt;&lt;b&gt;School &lt;/b&gt;transmutation [good]; &lt;b&gt;Level &lt;/b&gt;paladin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&lt;/b&gt;one projectile&lt;/h5&gt;&lt;h5&gt;&lt;b&gt;Duration &lt;/b&gt;1 round/level or until discharged&lt;/h5&gt;&lt;h5&gt;&lt;b&gt;Saving Throw &lt;/b&gt;none; &lt;b&gt;Spell Resistance &lt;/b&gt;no&lt;/h5&gt;&lt;/div&gt;&lt;hr/&gt;&lt;div&gt;&lt;h5&gt;&lt;b&gt;DESCRIPTION&lt;/b&gt;&lt;/h5&gt;&lt;/div&gt;&lt;hr/&gt;&lt;div&gt;&lt;h4&gt;&lt;p&gt;You imbue a projectile, such as an arrow or shuriken, with holy energy so that it deals extra damage to undead equal to that dealt by your lay on hands feature. This extra damage is not multiplied on a critical hit. Although this spell does not expend a daily use of your lay on hands class feature, you must have at least one daily use available to cast this spell. If the projectile hits a target or is destroyed before the duration ends, the spell is discharged.&lt;/p&gt;&lt;/h4&gt;&lt;/div&gt;</t>
  </si>
  <si>
    <t>Imbues a projectile with holy energy.</t>
  </si>
  <si>
    <t>Dust Form</t>
  </si>
  <si>
    <t>alchemist 5, cleric 6/oracle 6, druid 6, witch 6</t>
  </si>
  <si>
    <t>V, S, M (a pinch of dust gathered from a gravestone or sacred shrine)</t>
  </si>
  <si>
    <t>Upon casting this spell, you keep your relative form, but you and your equipment become composed entirely of dust. While in this dust form, you take no penalties for squeezing, and can move through spaces as if you were a creature three size categories smaller without penalty. You are also considered incorporeal, though any nonmagical attack you make deals half damage (50%). Magic attacks are unaffected, and you can still use your magic items and other equipment as normal. If the duration ends in a square that your normal space cannot occupy, you take 3d6 damage and are shunted to the nearest open space that you can normally occupy.</t>
  </si>
  <si>
    <t>&lt;p&gt;Upon casting this spell, you keep your relative form, but you and your equipment become composed entirely of dust. While in this dust form, you take no penalties for squeezing, and can move through spaces as if you were a creature three size categories smaller without penalty. You are also considered incorporeal, though any nonmagical attack you make deals half damage (50%). Magic attacks are unaffected, and you can still use your magic items and other equipment as normal. If the duration ends in a square that your normal space cannot occupy, you take 3d6 damage and are shunted to the nearest open space that you can normally occupy.&lt;/p&gt;</t>
  </si>
  <si>
    <t>&lt;link rel="stylesheet"href="PF.css"&gt;&lt;div class="heading"&gt;&lt;p class="alignleft"&gt;Dust Form&lt;/p&gt;&lt;div style="clear: both;"&gt;&lt;/div&gt;&lt;/div&gt;&lt;div&gt;&lt;h5&gt;&lt;b&gt;School &lt;/b&gt;transmutation (polymorph); &lt;b&gt;Level &lt;/b&gt;alchemist 5, cleric 6/oracle 6, druid 6, witch 6&lt;/h5&gt;&lt;/div&gt;&lt;hr/&gt;&lt;div&gt;&lt;h5&gt;&lt;b&gt;CASTING&lt;/b&gt;&lt;/h5&gt;&lt;/div&gt;&lt;hr/&gt;&lt;div&gt;&lt;h5&gt;&lt;b&gt;Casting Time &lt;/b&gt;1 standard action&lt;/h5&gt;&lt;h5&gt;&lt;b&gt;Components &lt;/b&gt;V, S, M (a pinch of dust gathered from a gravestone or sacred shrine)&lt;/h5&gt;&lt;/div&gt;&lt;hr/&gt;&lt;div&gt;&lt;h5&gt;&lt;b&gt;EFFECT&lt;/b&gt;&lt;/h5&gt;&lt;/div&gt;&lt;hr/&gt;&lt;div&gt;&lt;h5&gt;&lt;b&gt;Range &lt;/b&gt;personal&lt;/h5&gt;&lt;h5&gt;&lt;b&gt;Targets &lt;/b&gt;you&lt;/h5&gt;&lt;h5&gt;&lt;b&gt;Duration &lt;/b&gt;1 round/level&lt;/h5&gt;&lt;/div&gt;&lt;hr/&gt;&lt;div&gt;&lt;h5&gt;&lt;b&gt;DESCRIPTION&lt;/b&gt;&lt;/h5&gt;&lt;/div&gt;&lt;hr/&gt;&lt;div&gt;&lt;h4&gt;&lt;p&gt;Upon casting this spell, you keep your relative form, but you and your equipment become composed entirely of dust. While in this dust form, you take no penalties for squeezing, and can move through spaces as if you were a creature three size categories smaller without penalty. You are also considered incorporeal, though any nonmagical attack you make deals half damage (50%). Magic attacks are unaffected, and you can still use your magic items and other equipment as normal. If the duration ends in a square that your normal space cannot occupy, you take 3d6 damage and are shunted to the nearest open space that you can normally occupy.&lt;/p&gt;&lt;/h4&gt;&lt;/div&gt;</t>
  </si>
  <si>
    <t>You become an incorporeal creature of dust for a short period of time.</t>
  </si>
  <si>
    <t>Effortless Armor</t>
  </si>
  <si>
    <t>cleric 2/oracle 2, inquisitor 2, magus 2, paladin 2, ranger 2</t>
  </si>
  <si>
    <t>Armor you wear no longer reduces your speed. You also reduce the armor's armor check penalty by 1 + 1 per five caster levels (maximum 5).</t>
  </si>
  <si>
    <t>&lt;p&gt;Armor you wear no longer reduces your speed. You also reduce the armor's armor check penalty by 1 + 1 per five caster levels (maximum 5).&lt;/p&gt;</t>
  </si>
  <si>
    <t>&lt;link rel="stylesheet"href="PF.css"&gt;&lt;div class="heading"&gt;&lt;p class="alignleft"&gt;Effortless Armor&lt;/p&gt;&lt;div style="clear: both;"&gt;&lt;/div&gt;&lt;/div&gt;&lt;div&gt;&lt;h5&gt;&lt;b&gt;School &lt;/b&gt;transmutation; &lt;b&gt;Level &lt;/b&gt;cleric 2/oracle 2, inquisitor 2, magus 2, paladin 2, ranger 2&lt;/h5&gt;&lt;/div&gt;&lt;hr/&gt;&lt;div&gt;&lt;h5&gt;&lt;b&gt;CASTING&lt;/b&gt;&lt;/h5&gt;&lt;/div&gt;&lt;hr/&gt;&lt;div&gt;&lt;h5&gt;&lt;b&gt;Casting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minute/level&lt;/h5&gt;&lt;/div&gt;&lt;hr/&gt;&lt;div&gt;&lt;h5&gt;&lt;b&gt;DESCRIPTION&lt;/b&gt;&lt;/h5&gt;&lt;/div&gt;&lt;hr/&gt;&lt;div&gt;&lt;h4&gt;&lt;p&gt;Armor you wear no longer reduces your speed. You also reduce the armor's armor check penalty by 1 + 1 per five caster levels (maximum 5).&lt;/p&gt;&lt;/h4&gt;&lt;/div&gt;</t>
  </si>
  <si>
    <t>Armor you wear no longer slows your speed.</t>
  </si>
  <si>
    <t>Endure Elements, Communal</t>
  </si>
  <si>
    <t>alchemist 3, cleric 2/oracle 2, druid 2, paladin 2, ranger 2, sorcerer/wizard 2</t>
  </si>
  <si>
    <t>This spell functions like endure elements, except you divide the duration in 1-hour increments among the creatures touched.</t>
  </si>
  <si>
    <t>&lt;p&gt;This spell functions like &lt;i&gt;endure elements&lt;/i&gt;, except you divide the duration in 1-hour increments among the creatures touched.&lt;/p&gt;</t>
  </si>
  <si>
    <t>&lt;link rel="stylesheet"href="PF.css"&gt;&lt;div class="heading"&gt;&lt;p class="alignleft"&gt;Endure Elements, Communal&lt;/p&gt;&lt;div style="clear: both;"&gt;&lt;/div&gt;&lt;/div&gt;&lt;div&gt;&lt;h5&gt;&lt;b&gt;School &lt;/b&gt;abjuration; &lt;b&gt;Level &lt;/b&gt;alchemist 3, cleric 2/oracle 2, druid 2, paladin 2, ranger 2, sorcerer/wizard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&lt;/b&gt;creatures touched&lt;/h5&gt;&lt;h5&gt;&lt;b&gt;Duration &lt;/b&gt;24 hours&lt;/h5&gt;&lt;h5&gt;&lt;b&gt;Saving Throw &lt;/b&gt;Will negates (harmless); &lt;b&gt;Spell Resistance &lt;/b&gt;yes (harmless)&lt;/h5&gt;&lt;/div&gt;&lt;hr/&gt;&lt;div&gt;&lt;h5&gt;&lt;b&gt;DESCRIPTION&lt;/b&gt;&lt;/h5&gt;&lt;/div&gt;&lt;hr/&gt;&lt;div&gt;&lt;h4&gt;&lt;p&gt;This spell functions like &lt;i&gt;endure elements&lt;/i&gt;, except you divide the duration in 1-hour increments among the creatures touched.&lt;/p&gt;&lt;/h4&gt;&lt;/div&gt;</t>
  </si>
  <si>
    <t>As endure elements, but you may divide the duration among creatures touched.</t>
  </si>
  <si>
    <t>Energy Siege Shot</t>
  </si>
  <si>
    <t>variable</t>
  </si>
  <si>
    <t>V, S, M (a ball of pitch)</t>
  </si>
  <si>
    <t>one Large siege engine</t>
  </si>
  <si>
    <t>yes (harmless/object)</t>
  </si>
  <si>
    <t>This spell transforms any ammunition fired by the target ranged siege engine into ammunition made of pure energy. When casting the spell, the caster picks a one of the following energy types: acid, cold, electricity, fire, sonic, or force. The ammunition within the siege weapon now deals that type of energy damage on a hit, though the amount of damage dealt by the ammunition does not change, nor does it change any of the other effects of the ammunition. Unlike other forms of energy damage, this energy damage does full damage to objects. Based on the type of energy the caster chose while casting, the ammunition also gains one of the following effects. Acid: The ammunition deals half its damage in a splash to all creatures and unattended objects within 15 feet of the target hit by the siege engine. Creatures can halve the splash damage with a Reflex saving throw. The DC of the splash is the same as the DC of the spell. Cold: The ammunition creates an ice sheen within a 20-foot-radius burst around the target of the siege engine's attack. That sheen lasts 1d6 rounds. Creatures within the ice sheen are entangled. Any creature within the area of the ice sheen at the start of its turn takes 2d6 cold damage. Electricity: Creatures hit by the siege engine attack or within 15 feet of the attack are staggered for 1 round. Fire: Creatures and wood objects within 15 feet of the attack may catch on fire (Core Rulebook 444 and page 164 of this book). Sonic: Creatures hit by the attack or within 20 feet of the attack must succeed at a Fortitude saving throw or be deafened for one hour. The DC of this effect is the same as the spell DC. Force: No extra effect.</t>
  </si>
  <si>
    <t>&lt;p&gt;This spell transforms any ammunition fired by the target ranged siege engine into ammunition made of pure energy. When casting the spell, the caster picks a one of the following energy types: acid, cold, electricity, fire, sonic, or force. The ammunition within the siege weapon now deals that type of energy damage on a hit, though the amount of damage dealt by the ammunition does not change, nor does it change any of the other effects of the ammunition. Unlike other forms of energy damage, this energy damage does full damage to objects. Based on the type of energy the caster chose while casting, the ammunition also gains one of the following effects. &lt;br&gt;&lt;i&gt;Acid&lt;/i&gt;: The ammunition deals half its damage in a splash to all creatures and unattended objects within 15 feet of the target hit by the siege engine. Creatures can halve the splash damage with a Reflex saving throw. The DC of the splash is the same as the DC of the spell. &lt;br&gt; &lt;i&gt;Cold&lt;/i&gt;: The ammunition creates an ice sheen within a 20-foot-radius burst around the target of the siege engine's attack. That sheen lasts 1d6 rounds. Creatures within the ice sheen are entangled. Any creature within the area of the ice sheen at the start of its turn takes 2d6 cold damage. &lt;br&gt;&lt;i&gt;Electricity&lt;/i&gt;: Creatures hit by the siege engine attack or within 15 feet of the attack are staggered for 1 round. &lt;br&gt;&lt;i&gt;Fire&lt;/i&gt;: Creatures and wood objects within 15 feet of the attack may catch on fire (&lt;i&gt;Core Rulebook&lt;/i&gt; 444 and page 164 of this book). &lt;br&gt;&lt;i&gt;Sonic&lt;/i&gt;: Creatures hit by the attack or within 20 feet of the attack must succeed at a Fortitude saving throw or be deafened for one hour. The DC of this effect is the same as the spell DC. &lt;br&gt;&lt;i&gt;Force&lt;/i&gt;: No extra effect.&lt;/p&gt;</t>
  </si>
  <si>
    <t>&lt;link rel="stylesheet"href="PF.css"&gt;&lt;div class="heading"&gt;&lt;p class="alignleft"&gt;Energy Siege Shot&lt;/p&gt;&lt;div style="clear: both;"&gt;&lt;/div&gt;&lt;/div&gt;&lt;div&gt;&lt;h5&gt;&lt;b&gt;School &lt;/b&gt;transmutation [variable]; &lt;b&gt;Level &lt;/b&gt;sorcerer/wizard 5, summoner 5&lt;/h5&gt;&lt;/div&gt;&lt;hr/&gt;&lt;div&gt;&lt;h5&gt;&lt;b&gt;CASTING&lt;/b&gt;&lt;/h5&gt;&lt;/div&gt;&lt;hr/&gt;&lt;div&gt;&lt;h5&gt;&lt;b&gt;Casting Time &lt;/b&gt;10 minutes&lt;/h5&gt;&lt;h5&gt;&lt;b&gt;Components &lt;/b&gt;V, S, M (a ball of pitch)&lt;/h5&gt;&lt;/div&gt;&lt;hr/&gt;&lt;div&gt;&lt;h5&gt;&lt;b&gt;EFFECT&lt;/b&gt;&lt;/h5&gt;&lt;/div&gt;&lt;hr/&gt;&lt;div&gt;&lt;h5&gt;&lt;b&gt;Range &lt;/b&gt;close (25 ft. + 5 ft./2 levels)&lt;/h5&gt;&lt;h5&gt;&lt;b&gt;Targets &lt;/b&gt;one Large siege engine&lt;/h5&gt;&lt;h5&gt;&lt;b&gt;Duration &lt;/b&gt;10 minute/level&lt;/h5&gt;&lt;h5&gt;&lt;b&gt;Saving Throw &lt;/b&gt;Fortitude negates (harmless, object); &lt;b&gt;Spell Resistance &lt;/b&gt;yes (harmless/object)&lt;/h5&gt;&lt;/div&gt;&lt;hr/&gt;&lt;div&gt;&lt;h5&gt;&lt;b&gt;DESCRIPTION&lt;/b&gt;&lt;/h5&gt;&lt;/div&gt;&lt;hr/&gt;&lt;div&gt;&lt;h4&gt;&lt;p&gt;This spell transforms any ammunition fired by the target ranged siege engine into ammunition made of pure energy. When casting the spell, the caster picks a one of the following energy types: acid, cold, electricity, fire, sonic, or force. The ammunition within the siege weapon now deals that type of energy damage on a hit, though the amount of damage dealt by the ammunition does not change, nor does it change any of the other effects of the ammunition. Unlike other forms of energy damage, this energy damage does full damage to objects. Based on the type of energy the caster chose while casting, the ammunition also gains one of the following effects. &lt;br&gt;&lt;i&gt;Acid&lt;/i&gt;: The ammunition deals half its damage in a splash to all creatures and unattended objects within 15 feet of the target hit by the siege engine. Creatures can halve the splash damage with a Reflex saving throw. The DC of the splash is the same as the DC of the spell. &lt;br&gt;&lt;i&gt;Cold&lt;/i&gt;: The ammunition creates an ice sheen within a 20-foot-radius burst around the target of the siege engine's attack. That sheen lasts 1d6 rounds. Creatures within the ice sheen are entangled. Any creature within the area of the ice sheen at the start of its turn takes 2d6 cold damage. &lt;br&gt;&lt;i&gt;Electricity&lt;/i&gt;: Creatures hit by the siege engine attack or within 15 feet of the attack are staggered for 1 round. &lt;br&gt;&lt;i&gt;Fire&lt;/i&gt;: Creatures and wood objects within 15 feet of the attack may catch on fire (&lt;i&gt;Core Rulebook&lt;/i&gt; 444 and page 164 of this book). &lt;br&gt;&lt;i&gt;Sonic&lt;/i&gt;: Creatures hit by the attack or within 20 feet of the attack must succeed at a Fortitude saving throw or be deafened for one hour. The DC of this effect is the same as the spell DC. &lt;br&gt;&lt;i&gt;Force&lt;/i&gt;: No extra effect.&lt;/p&gt;&lt;/h4&gt;&lt;/div&gt;</t>
  </si>
  <si>
    <t>A Large siege engine deals energy damage that you designate with other effects depending on the type of energy you choose.</t>
  </si>
  <si>
    <t>Energy Siege Shot, Greater</t>
  </si>
  <si>
    <t>sorcerer/wizard 6, summoner 6</t>
  </si>
  <si>
    <t>one siege engine of any size</t>
  </si>
  <si>
    <t>This spell functions like energy shot, except it can target siege engines of any size, not just Large siege engines.</t>
  </si>
  <si>
    <t>&lt;p&gt;This spell functions like energy shot, except it can target siege engines of any size, not just Large siege engines.&lt;/p&gt;</t>
  </si>
  <si>
    <t>&lt;link rel="stylesheet"href="PF.css"&gt;&lt;div class="heading"&gt;&lt;p class="alignleft"&gt;Energy Siege Shot, Greater&lt;/p&gt;&lt;div style="clear: both;"&gt;&lt;/div&gt;&lt;/div&gt;&lt;div&gt;&lt;h5&gt;&lt;b&gt;School &lt;/b&gt;evocation [variable]; &lt;b&gt;Level &lt;/b&gt;sorcerer/wizard 6, summoner 6&lt;/h5&gt;&lt;/div&gt;&lt;hr/&gt;&lt;div&gt;&lt;h5&gt;&lt;b&gt;CASTING&lt;/b&gt;&lt;/h5&gt;&lt;/div&gt;&lt;hr/&gt;&lt;div&gt;&lt;h5&gt;&lt;b&gt;Casting Time &lt;/b&gt;10 minutes&lt;/h5&gt;&lt;h5&gt;&lt;b&gt;Components &lt;/b&gt;V, S, M (a ball of pitch)&lt;/h5&gt;&lt;/div&gt;&lt;hr/&gt;&lt;div&gt;&lt;h5&gt;&lt;b&gt;EFFECT&lt;/b&gt;&lt;/h5&gt;&lt;/div&gt;&lt;hr/&gt;&lt;div&gt;&lt;h5&gt;&lt;b&gt;Range &lt;/b&gt;close (25 ft. + 5 ft./2 levels)&lt;/h5&gt;&lt;h5&gt;&lt;b&gt;Targets &lt;/b&gt;one siege engine of any size&lt;/h5&gt;&lt;h5&gt;&lt;b&gt;Duration &lt;/b&gt;10 minute/level&lt;/h5&gt;&lt;h5&gt;&lt;b&gt;Saving Throw &lt;/b&gt;Fortitude negates (harmless, object); &lt;b&gt;Spell Resistance &lt;/b&gt;yes (harmless/object)&lt;/h5&gt;&lt;/div&gt;&lt;hr/&gt;&lt;div&gt;&lt;h5&gt;&lt;b&gt;DESCRIPTION&lt;/b&gt;&lt;/h5&gt;&lt;/div&gt;&lt;hr/&gt;&lt;div&gt;&lt;h4&gt;&lt;p&gt;This spell functions like energy shot, except it can target siege engines of any size, not just Large siege engines.&lt;/p&gt;&lt;/h4&gt;&lt;/div&gt;</t>
  </si>
  <si>
    <t>As energy siege shot, but you can affect any size siege engine.</t>
  </si>
  <si>
    <t>Fabricate Bullets</t>
  </si>
  <si>
    <t>V, S, M (1 pound of lead or other soft metal worth 2 gp)</t>
  </si>
  <si>
    <t>1 pound of soft metal</t>
  </si>
  <si>
    <t>You convert 1 pound of lead into bullets. When you cast this spell, you decide whether you create normal sling bullets, firearm bullets, or firearm pellets. The spell creates two sling bullets, 30 firearm bullets, or 10 uses of pellets.</t>
  </si>
  <si>
    <t>&lt;p&gt;You convert 1 pound of lead into bullets. When you cast this spell, you decide whether you create normal sling bullets, firearm bullets, or firearm pellets. The spell creates two sling bullets, 30 firearm bullets, or 10 uses of pellets.&lt;/p&gt;</t>
  </si>
  <si>
    <t>&lt;link rel="stylesheet"href="PF.css"&gt;&lt;div class="heading"&gt;&lt;p class="alignleft"&gt;Fabricate Bullets&lt;/p&gt;&lt;div style="clear: both;"&gt;&lt;/div&gt;&lt;/div&gt;&lt;div&gt;&lt;h5&gt;&lt;b&gt;School &lt;/b&gt;transmutation; &lt;b&gt;Level &lt;/b&gt;sorcerer/wizard 1&lt;/h5&gt;&lt;/div&gt;&lt;hr/&gt;&lt;div&gt;&lt;h5&gt;&lt;b&gt;CASTING&lt;/b&gt;&lt;/h5&gt;&lt;/div&gt;&lt;hr/&gt;&lt;div&gt;&lt;h5&gt;&lt;b&gt;Casting Time &lt;/b&gt;1 round&lt;/h5&gt;&lt;h5&gt;&lt;b&gt;Components &lt;/b&gt;V, S, M (1 pound of lead or other soft metal worth 2 gp)&lt;/h5&gt;&lt;/div&gt;&lt;hr/&gt;&lt;div&gt;&lt;h5&gt;&lt;b&gt;EFFECT&lt;/b&gt;&lt;/h5&gt;&lt;/div&gt;&lt;hr/&gt;&lt;div&gt;&lt;h5&gt;&lt;b&gt;Range &lt;/b&gt;touch&lt;/h5&gt;&lt;h5&gt;&lt;b&gt;Targets &lt;/b&gt;1 pound of soft metal&lt;/h5&gt;&lt;h5&gt;&lt;b&gt;Duration &lt;/b&gt;instantaneous&lt;/h5&gt;&lt;h5&gt;&lt;b&gt;Saving Throw &lt;/b&gt;none; &lt;b&gt;Spell Resistance &lt;/b&gt;no&lt;/h5&gt;&lt;/div&gt;&lt;hr/&gt;&lt;div&gt;&lt;h5&gt;&lt;b&gt;DESCRIPTION&lt;/b&gt;&lt;/h5&gt;&lt;/div&gt;&lt;hr/&gt;&lt;div&gt;&lt;h4&gt;&lt;p&gt;You convert 1 pound of lead into bullets. When you cast this spell, you decide whether you create normal sling bullets, firearm bullets, or firearm pellets. The spell creates two sling bullets, 30 firearm bullets, or 10 uses of pellets.&lt;/p&gt;&lt;/h4&gt;&lt;/div&gt;</t>
  </si>
  <si>
    <t>Converts 1 pound of metal into ammunition.</t>
  </si>
  <si>
    <t>Fiery Shuriken</t>
  </si>
  <si>
    <t>V, S, M (a pinch of sulfur and a single shuriken worth 2 sp)</t>
  </si>
  <si>
    <t>Two or more fiery shuriken</t>
  </si>
  <si>
    <t>You call forth two fiery projectiles resembling shuriken, plus one more for every two caster levels beyond 3rd (to a maximum of eight shuriken at 15th level), which hover in front of you. When these shuriken appear, you can launch some or all of them at the same target or different targets. Each shuriken requires a ranged touch attack roll to hit and deals 1d8 points of fire damage. You provoke no attacks of opportunity when launching them. Any shuriken you do not launch as part of casting this spell remains floating near you for the spell's duration. On rounds subsequent to your casting of this spell, you can spend a swift action to launch one of these remaining shuriken or a standard action to launch any number of these remaining shuriken. If you fail to launch a shuriken before the duration ends, that shuriken disappears and is wasted.</t>
  </si>
  <si>
    <t>&lt;p&gt;You call forth two fiery projectiles resembling shuriken, plus one more for every two caster levels beyond 3rd (to a maximum of eight shuriken at 15th level), which hover in front of you. When these shuriken appear, you can launch some or all of them at the same target or different targets. Each shuriken requires a ranged touch attack roll to hit and deals 1d8 points of fire damage. You provoke no attacks of opportunity when launching them. Any shuriken you do not launch as part of casting this spell remains floating near you for the spell's duration. On rounds subsequent to your casting of this spell, you can spend a swift action to launch one of these remaining shuriken or a standard action to launch any number of these remaining shuriken. If you fail to launch a shuriken before the duration ends, that shuriken disappears and is wasted.&lt;/p&gt;</t>
  </si>
  <si>
    <t>&lt;link rel="stylesheet"href="PF.css"&gt;&lt;div class="heading"&gt;&lt;p class="alignleft"&gt;Fiery Shuriken&lt;/p&gt;&lt;div style="clear: both;"&gt;&lt;/div&gt;&lt;/div&gt;&lt;div&gt;&lt;h5&gt;&lt;b&gt;School &lt;/b&gt;conjuration (creation) [fire]; &lt;b&gt;Level &lt;/b&gt;sorcerer/wizard 2&lt;/h5&gt;&lt;/div&gt;&lt;hr/&gt;&lt;div&gt;&lt;h5&gt;&lt;b&gt;CASTING&lt;/b&gt;&lt;/h5&gt;&lt;/div&gt;&lt;hr/&gt;&lt;div&gt;&lt;h5&gt;&lt;b&gt;Casting Time &lt;/b&gt;1 standard action&lt;/h5&gt;&lt;h5&gt;&lt;b&gt;Components &lt;/b&gt;V, S, M (a pinch of sulfur and a single shuriken worth 2 sp)&lt;/h5&gt;&lt;/div&gt;&lt;hr/&gt;&lt;div&gt;&lt;h5&gt;&lt;b&gt;EFFECT&lt;/b&gt;&lt;/h5&gt;&lt;/div&gt;&lt;hr/&gt;&lt;div&gt;&lt;h5&gt;&lt;b&gt;Range &lt;/b&gt;close (25 ft. + 5 ft./2 levels)&lt;/h5&gt;&lt;h5&gt;&lt;b&gt;Effect &lt;/b&gt;Two or more fiery shuriken&lt;/h5&gt;&lt;h5&gt;&lt;b&gt;Duration &lt;/b&gt;1 round/level (D)&lt;/h5&gt;&lt;h5&gt;&lt;b&gt;Saving Throw &lt;/b&gt;none; &lt;b&gt;Spell Resistance &lt;/b&gt;yes&lt;/h5&gt;&lt;/div&gt;&lt;hr/&gt;&lt;div&gt;&lt;h5&gt;&lt;b&gt;DESCRIPTION&lt;/b&gt;&lt;/h5&gt;&lt;/div&gt;&lt;hr/&gt;&lt;div&gt;&lt;h4&gt;&lt;p&gt;You call forth two fiery projectiles resembling shuriken, plus one more for every two caster levels beyond 3rd (to a maximum of eight shuriken at 15th level), which hover in front of you. When these shuriken appear, you can launch some or all of them at the same target or different targets. Each shuriken requires a ranged touch attack roll to hit and deals 1d8 points of fire damage. You provoke no attacks of opportunity when launching them. Any shuriken you do not launch as part of casting this spell remains floating near you for the spell's duration. On rounds subsequent to your casting of this spell, you can spend a swift action to launch one of these remaining shuriken or a standard action to launch any number of these remaining shuriken. If you fail to launch a shuriken before the duration ends, that shuriken disappears and is wasted.&lt;/p&gt;&lt;/h4&gt;&lt;/div&gt;</t>
  </si>
  <si>
    <t>Calls forth several fiery projectiles ready to be flung at opponents.</t>
  </si>
  <si>
    <t>Find Quarry</t>
  </si>
  <si>
    <t>inquisitor 4, ranger 4</t>
  </si>
  <si>
    <t>You sense whether a well-known creature you can clearly visualize is within a 20-mile radius of your current location, as well as the distance and direction to the creature in relation to you. You also discern whether the creature is moving, and its direction, speed, and mode of movement. The radius you can sense increases by 5 miles for every two caster levels you have above 10th (to a maximum of a 45-mile radius at 20th level).</t>
  </si>
  <si>
    <t>&lt;p&gt;You sense whether a well-known creature you can clearly visualize is within a 20-mile radius of your current location, as well as the distance and direction to the creature in relation to you. You also discern whether the creature is moving, and its direction, speed, and mode of movement. The radius you can sense increases by 5 miles for every two caster levels you have above 10th (to a maximum of a 45-mile radius at 20th level).&lt;/p&gt;</t>
  </si>
  <si>
    <t>&lt;link rel="stylesheet"href="PF.css"&gt;&lt;div class="heading"&gt;&lt;p class="alignleft"&gt;Find Quarry&lt;/p&gt;&lt;div style="clear: both;"&gt;&lt;/div&gt;&lt;/div&gt;&lt;div&gt;&lt;h5&gt;&lt;b&gt;School &lt;/b&gt;divination; &lt;b&gt;Level &lt;/b&gt;inquisitor 4, ranger 4&lt;/h5&gt;&lt;/div&gt;&lt;hr/&gt;&lt;div&gt;&lt;h5&gt;&lt;b&gt;CASTING&lt;/b&gt;&lt;/h5&gt;&lt;/div&gt;&lt;hr/&gt;&lt;div&gt;&lt;h5&gt;&lt;b&gt;Casting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&lt;/b&gt;you&lt;/h5&gt;&lt;h5&gt;&lt;b&gt;Duration &lt;/b&gt;instantaneous&lt;/h5&gt;&lt;h5&gt;&lt;b&gt;Saving Throw &lt;/b&gt;none; &lt;b&gt;Spell Resistance &lt;/b&gt;no&lt;/h5&gt;&lt;/div&gt;&lt;hr/&gt;&lt;div&gt;&lt;h5&gt;&lt;b&gt;DESCRIPTION&lt;/b&gt;&lt;/h5&gt;&lt;/div&gt;&lt;hr/&gt;&lt;div&gt;&lt;h4&gt;&lt;p&gt;You sense whether a well-known creature you can clearly visualize is within a 20-mile radius of your current location, as well as the distance and direction to the creature in relation to you. You also discern whether the creature is moving, and its direction, speed, and mode of movement. The radius you can sense increases by 5 miles for every two caster levels you have above 10th (to a maximum of a 45-mile radius at 20th level).&lt;/p&gt;&lt;/h4&gt;&lt;/div&gt;</t>
  </si>
  <si>
    <t>You can sense whether a particular creature is within 20 miles of your location.</t>
  </si>
  <si>
    <t>Flash Fire</t>
  </si>
  <si>
    <t>V, S, M (a pinch of powdered fool's gold)</t>
  </si>
  <si>
    <t>1 firearm</t>
  </si>
  <si>
    <t>Will negates (object); see text</t>
  </si>
  <si>
    <t>The firearm fires with a blinding flash, even if the firearm is not currently loaded. Every creature within 15 feet of the creature carrying the weapon must succeed at a Fortitude save or be blinded for 1d4 rounds. The creature carrying the firearm takes a -4 penalty on this saving throw. If the firearm is loaded, the ammunition is wasted.</t>
  </si>
  <si>
    <t>&lt;p&gt;The firearm fires with a blinding flash, even if the firearm is not currently loaded. Every creature within 15 feet of the creature carrying the weapon must succeed at a Fortitude save or be blinded for 1d4 rounds. The creature carrying the firearm takes a -4 penalty on this saving throw. If the firearm is loaded, the ammunition is wasted.&lt;/p&gt;</t>
  </si>
  <si>
    <t>&lt;link rel="stylesheet"href="PF.css"&gt;&lt;div class="heading"&gt;&lt;p class="alignleft"&gt;Flash Fire&lt;/p&gt;&lt;div style="clear: both;"&gt;&lt;/div&gt;&lt;/div&gt;&lt;div&gt;&lt;h5&gt;&lt;b&gt;School &lt;/b&gt;transmutation; &lt;b&gt;Level &lt;/b&gt;sorcerer/wizard 3, witch 3&lt;/h5&gt;&lt;/div&gt;&lt;hr/&gt;&lt;div&gt;&lt;h5&gt;&lt;b&gt;CASTING&lt;/b&gt;&lt;/h5&gt;&lt;/div&gt;&lt;hr/&gt;&lt;div&gt;&lt;h5&gt;&lt;b&gt;Casting Time &lt;/b&gt;1 standard action&lt;/h5&gt;&lt;h5&gt;&lt;b&gt;Components &lt;/b&gt;V, S, M (a pinch of powdered fool's gold)&lt;/h5&gt;&lt;/div&gt;&lt;hr/&gt;&lt;div&gt;&lt;h5&gt;&lt;b&gt;EFFECT&lt;/b&gt;&lt;/h5&gt;&lt;/div&gt;&lt;hr/&gt;&lt;div&gt;&lt;h5&gt;&lt;b&gt;Range &lt;/b&gt;close (25 ft. + 5 ft./2 levels)&lt;/h5&gt;&lt;h5&gt;&lt;b&gt;Targets &lt;/b&gt;1 firearm&lt;/h5&gt;&lt;h5&gt;&lt;b&gt;Duration &lt;/b&gt;instantaneous&lt;/h5&gt;&lt;h5&gt;&lt;b&gt;Saving Throw &lt;/b&gt;Will negates (object); see text; &lt;b&gt;Spell Resistance &lt;/b&gt;yes (object); see text&lt;/h5&gt;&lt;/div&gt;&lt;hr/&gt;&lt;div&gt;&lt;h5&gt;&lt;b&gt;DESCRIPTION&lt;/b&gt;&lt;/h5&gt;&lt;/div&gt;&lt;hr/&gt;&lt;div&gt;&lt;h4&gt;&lt;p&gt;The firearm fires with a blinding flash, even if the firearm is not currently loaded. Every creature within 15 feet of the creature carrying the weapon must succeed at a Fortitude save or be blinded for 1d4 rounds. The creature carrying the firearm takes a -4 penalty on this saving throw. If the firearm is loaded, the ammunition is wasted.&lt;/p&gt;&lt;/h4&gt;&lt;/div&gt;</t>
  </si>
  <si>
    <t>Ammunition in the targeted firearm creates a tremendous flash capable of blinding the weapon's bearer and those around him.</t>
  </si>
  <si>
    <t>Forest Friend</t>
  </si>
  <si>
    <t>V, S, M (a pinch of manure)</t>
  </si>
  <si>
    <t>one willing living creature per three levels, no two of which may be more than 30 ft. apart.</t>
  </si>
  <si>
    <t>While subject to this spell, the targets find that forested areas become helpful instead of hindering. The targets suffer no hindrances to movement and suffer no penalties on Acrobatics and Stealth checks from undergrowth in forested terrain. Furthermore, forested overgrowth imposes a miss chance 10% lower than normal. When moving in and among trees, those subject to the spell gain a +5 circumstance bonus on Acrobatics checks and Climb checks. Rangers in their favored terrain can also add their favored terrain bonus on such Acrobatics and Climb checks.</t>
  </si>
  <si>
    <t>&lt;p&gt;While subject to this spell, the targets find that forested areas become helpful instead of hindering. The targets suffer no hindrances to movement and suffer no penalties on Acrobatics and Stealth checks from undergrowth in forested terrain. Furthermore, forested overgrowth imposes a miss chance 10% lower than normal. When moving in and among trees, those subject to the spell gain a +5 circumstance bonus on Acrobatics checks and Climb checks. &lt;b&gt;Range&lt;/b&gt;rs in their favored terrain can also add their favored terrain bonus on such Acrobatics and Climb checks.&lt;/p&gt;</t>
  </si>
  <si>
    <t>&lt;link rel="stylesheet"href="PF.css"&gt;&lt;div class="heading"&gt;&lt;p class="alignleft"&gt;Forest Friend&lt;/p&gt;&lt;div style="clear: both;"&gt;&lt;/div&gt;&lt;/div&gt;&lt;div&gt;&lt;h5&gt;&lt;b&gt;School &lt;/b&gt;abjuration; &lt;b&gt;Level &lt;/b&gt;druid 2, ranger 2&lt;/h5&gt;&lt;/div&gt;&lt;hr/&gt;&lt;div&gt;&lt;h5&gt;&lt;b&gt;CASTING&lt;/b&gt;&lt;/h5&gt;&lt;/div&gt;&lt;hr/&gt;&lt;div&gt;&lt;h5&gt;&lt;b&gt;Casting Time &lt;/b&gt;1 round&lt;/h5&gt;&lt;h5&gt;&lt;b&gt;Components &lt;/b&gt;V, S, M (a pinch of manure)&lt;/h5&gt;&lt;/div&gt;&lt;hr/&gt;&lt;div&gt;&lt;h5&gt;&lt;b&gt;EFFECT&lt;/b&gt;&lt;/h5&gt;&lt;/div&gt;&lt;hr/&gt;&lt;div&gt;&lt;h5&gt;&lt;b&gt;Range &lt;/b&gt;close (25 ft. + 5 ft./2 levels)&lt;/h5&gt;&lt;h5&gt;&lt;b&gt;Targets &lt;/b&gt;one willing living creature per three levels, no two of which may be more than 30 ft. apart.&lt;/h5&gt;&lt;h5&gt;&lt;b&gt;Duration &lt;/b&gt;1 minute/level&lt;/h5&gt;&lt;h5&gt;&lt;b&gt;Saving Throw &lt;/b&gt;none; &lt;b&gt;Spell Resistance &lt;/b&gt;no&lt;/h5&gt;&lt;/div&gt;&lt;hr/&gt;&lt;div&gt;&lt;h5&gt;&lt;b&gt;DESCRIPTION&lt;/b&gt;&lt;/h5&gt;&lt;/div&gt;&lt;hr/&gt;&lt;div&gt;&lt;h4&gt;&lt;p&gt;While subject to this spell, the targets find that forested areas become helpful instead of hindering. The targets suffer no hindrances to movement and suffer no penalties on Acrobatics and Stealth checks from undergrowth in forested terrain. Furthermore, forested overgrowth imposes a miss chance 10% lower than normal. When moving in and among trees, those subject to the spell gain a +5 circumstance bonus on Acrobatics checks and Climb checks. &lt;b&gt;Range&lt;/b&gt;rs in their favored terrain can also add their favored terrain bonus on such Acrobatics and Climb checks.&lt;/p&gt;&lt;/h4&gt;&lt;/div&gt;</t>
  </si>
  <si>
    <t>Plants in a forested area become helpful instead of hindering you and your allies.</t>
  </si>
  <si>
    <t>Frightful Aspect</t>
  </si>
  <si>
    <t>?</t>
  </si>
  <si>
    <t>V, S, M (the skin of a toad)</t>
  </si>
  <si>
    <t>You become a larger, awful version of yourself. You grow to size Large, and take on features that horrify your enemies. You gain the following abilities: a +6 size bonus to Strength, a +4 size bonus to Constitution, a +6 natural armor bonus, DR 10/ magic, and spell resistance equal to 10 + half your caster level. You also emit an aura that emanates 30 feet from you. Enemy creatures within the aura are shaken. Each time a creature shaken by this aura hits you with a melee attack, that creature becomes frightened for 1d4 rounds, though at the end of that duration it is no longer affected by this aura. The aura's effect is a fear and mind-affecting effect.</t>
  </si>
  <si>
    <t>&lt;p&gt;You become a larger, awful version of yourself. You grow to size Large, and take on features that horrify your enemies. You gain the following abilities: a +6 size bonus to Strength, a +4 size bonus to Constitution, a +6 natural armor bonus, DR 10/ magic, and spell resistance equal to 10 + half your caster level. You also emit an aura that emanates 30 feet from you. Enemy creatures within the aura are shaken. Each time a creature shaken by this aura hits you with a melee attack, that creature becomes frightened for 1d4 rounds, though at the end of that duration it is no longer affected by this aura. The aura's effect is a fear and mind-affecting effect.&lt;/p&gt;</t>
  </si>
  <si>
    <t>&lt;link rel="stylesheet"href="PF.css"&gt;&lt;div class="heading"&gt;&lt;p class="alignleft"&gt;Frightful Aspect&lt;/p&gt;&lt;div style="clear: both;"&gt;&lt;/div&gt;&lt;/div&gt;&lt;div&gt;&lt;h5&gt;&lt;b&gt;School &lt;/b&gt;transmutation (polymorph); &lt;b&gt;Level &lt;/b&gt;cleric 8/oracle 8, druid 8, sorcerer/wizard 8, witch 8&lt;/h5&gt;&lt;/div&gt;&lt;hr/&gt;&lt;div&gt;&lt;h5&gt;&lt;b&gt;CASTING&lt;/b&gt;&lt;/h5&gt;&lt;/div&gt;&lt;hr/&gt;&lt;div&gt;&lt;h5&gt;&lt;b&gt;Casting Time &lt;/b&gt;?&lt;/h5&gt;&lt;h5&gt;&lt;b&gt;Components &lt;/b&gt;V, S, M (the skin of a toad)&lt;/h5&gt;&lt;/div&gt;&lt;hr/&gt;&lt;div&gt;&lt;h5&gt;&lt;b&gt;EFFECT&lt;/b&gt;&lt;/h5&gt;&lt;/div&gt;&lt;hr/&gt;&lt;div&gt;&lt;h5&gt;&lt;b&gt;Range &lt;/b&gt;personal&lt;/h5&gt;&lt;h5&gt;&lt;b&gt;Targets &lt;/b&gt;you&lt;/h5&gt;&lt;h5&gt;&lt;b&gt;Duration &lt;/b&gt;1 minute/level&lt;/h5&gt;&lt;/div&gt;&lt;hr/&gt;&lt;div&gt;&lt;h5&gt;&lt;b&gt;DESCRIPTION&lt;/b&gt;&lt;/h5&gt;&lt;/div&gt;&lt;hr/&gt;&lt;div&gt;&lt;h4&gt;&lt;p&gt;You become a larger, awful version of yourself. You grow to size Large, and take on features that horrify your enemies. You gain the following abilities: a +6 size bonus to Strength, a +4 size bonus to Constitution, a +6 natural armor bonus, DR 10/ magic, and spell resistance equal to 10 + half your caster level. You also emit an aura that emanates 30 feet from you. Enemy creatures within the aura are shaken. Each time a creature shaken by this aura hits you with a melee attack, that creature becomes frightened for 1d4 rounds, though at the end of that duration it is no longer affected by this aura. The aura's effect is a fear and mind-affecting effect.&lt;/p&gt;&lt;/h4&gt;&lt;/div&gt;</t>
  </si>
  <si>
    <t>You take on a terrifying, Large-sized form of yourself and emit an aura that causes creatures to become shaken or frightened.</t>
  </si>
  <si>
    <t>Frost Fall</t>
  </si>
  <si>
    <t>5-foot radius burst</t>
  </si>
  <si>
    <t>1 round/2 levels</t>
  </si>
  <si>
    <t>The area of this spell is covered in chilling frost, dealing 2d6 points of cold damage to all creatures within it. Creatures that the spell initially damages must succeed at a Fortitude save or become staggered for 1 round. The area remains chilled for the spell's duration. Any creature that starts your turn within the spell's area takes 1d6 points of cold damage (Fortitude saving throw for half) but does not become staggered even on a failed saving throw.</t>
  </si>
  <si>
    <t>&lt;p&gt;The area of this spell is covered in chilling frost, dealing 2d6 points of cold damage to all creatures within it. Creatures that the spell initially damages must succeed at a Fortitude save or become staggered for 1 round. The area remains chilled for the spell's duration. Any creature that starts your turn within the spell's area takes 1d6 points of cold damage (Fortitude saving throw for half) but does not become staggered even on a failed saving throw.&lt;/p&gt;</t>
  </si>
  <si>
    <t>&lt;link rel="stylesheet"href="PF.css"&gt;&lt;div class="heading"&gt;&lt;p class="alignleft"&gt;Frost Fall&lt;/p&gt;&lt;div style="clear: both;"&gt;&lt;/div&gt;&lt;/div&gt;&lt;div&gt;&lt;h5&gt;&lt;b&gt;School &lt;/b&gt;evocation [cold]; &lt;b&gt;Level &lt;/b&gt;druid 2, sorcerer/wizard 2, witch 2&lt;/h5&gt;&lt;/div&gt;&lt;hr/&gt;&lt;div&gt;&lt;h5&gt;&lt;b&gt;CASTING&lt;/b&gt;&lt;/h5&gt;&lt;/div&gt;&lt;hr/&gt;&lt;div&gt;&lt;h5&gt;&lt;b&gt;Casting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levels)&lt;/h5&gt;&lt;h5&gt;&lt;b&gt;Area &lt;/b&gt;5-foot radius burst&lt;/h5&gt;&lt;h5&gt;&lt;b&gt;Duration &lt;/b&gt;1 round/2 levels&lt;/h5&gt;&lt;h5&gt;&lt;b&gt;Saving Throw &lt;/b&gt;Fortitude partial; &lt;b&gt;Spell Resistance &lt;/b&gt;yes&lt;/h5&gt;&lt;/div&gt;&lt;hr/&gt;&lt;div&gt;&lt;h5&gt;&lt;b&gt;DESCRIPTION&lt;/b&gt;&lt;/h5&gt;&lt;/div&gt;&lt;hr/&gt;&lt;div&gt;&lt;h4&gt;&lt;p&gt;The area of this spell is covered in chilling frost, dealing 2d6 points of cold damage to all creatures within it. Creatures that the spell initially damages must succeed at a Fortitude save or become staggered for 1 round. The area remains chilled for the spell's duration. Any creature that starts your turn within the spell's area takes 1d6 points of cold damage (Fortitude saving throw for half) but does not become staggered even on a failed saving throw.&lt;/p&gt;&lt;/h4&gt;&lt;/div&gt;</t>
  </si>
  <si>
    <t>The area is covered in a chilling frost.</t>
  </si>
  <si>
    <t>Haunted Fey Aspect</t>
  </si>
  <si>
    <t>Personal</t>
  </si>
  <si>
    <t>You</t>
  </si>
  <si>
    <t>You surround yourself with disturbing illusions, making you look and sound like a bizarre, insane fey creature. You gain DR 1/cold iron against a single opponent until the end of the spell, or until you take damage.</t>
  </si>
  <si>
    <t>&lt;p&gt;You surround yourself with disturbing illusions, making you look and sound like a bizarre, insane fey creature. You gain DR 1/cold iron against a single opponent until the end of the spell, or until you take damage.&lt;/p&gt;</t>
  </si>
  <si>
    <t>&lt;link rel="stylesheet"href="PF.css"&gt;&lt;div class="heading"&gt;&lt;p class="alignleft"&gt;Haunted Fey Aspect&lt;/p&gt;&lt;div style="clear: both;"&gt;&lt;/div&gt;&lt;/div&gt;&lt;div&gt;&lt;h5&gt;&lt;b&gt;School &lt;/b&gt;illusion (glamer); &lt;b&gt;Level &lt;/b&gt;bard 0, sorcerer/wizard 0&lt;/h5&gt;&lt;/div&gt;&lt;hr/&gt;&lt;div&gt;&lt;h5&gt;&lt;b&gt;CASTING&lt;/b&gt;&lt;/h5&gt;&lt;/div&gt;&lt;hr/&gt;&lt;div&gt;&lt;h5&gt;&lt;b&gt;Casting Time &lt;/b&gt;1 standard action&lt;/h5&gt;&lt;h5&gt;&lt;b&gt;Components &lt;/b&gt;S&lt;/h5&gt;&lt;/div&gt;&lt;hr/&gt;&lt;div&gt;&lt;h5&gt;&lt;b&gt;EFFECT&lt;/b&gt;&lt;/h5&gt;&lt;/div&gt;&lt;hr/&gt;&lt;div&gt;&lt;h5&gt;&lt;b&gt;Range &lt;/b&gt;Personal&lt;/h5&gt;&lt;h5&gt;&lt;b&gt;Targets &lt;/b&gt;You&lt;/h5&gt;&lt;h5&gt;&lt;b&gt;Duration &lt;/b&gt;1 round/level (D)&lt;/h5&gt;&lt;/div&gt;&lt;hr/&gt;&lt;div&gt;&lt;h5&gt;&lt;b&gt;DESCRIPTION&lt;/b&gt;&lt;/h5&gt;&lt;/div&gt;&lt;hr/&gt;&lt;div&gt;&lt;h4&gt;&lt;p&gt;You surround yourself with disturbing illusions, making you look and sound like a bizarre, insane fey creature. You gain DR 1/cold iron against a single opponent until the end of the spell, or until you take damage.&lt;/p&gt;&lt;/h4&gt;&lt;/div&gt;</t>
  </si>
  <si>
    <t>You surround yourself with disturbing illusions.</t>
  </si>
  <si>
    <t>Healing Thief</t>
  </si>
  <si>
    <t>V, S, M (a bit of sponge, damp with tears)</t>
  </si>
  <si>
    <t>With this spell you can steal the healing of the target creature. You must succeed at a melee touch attack to strike the target. If you do, until the effect ends, whenever your target is subject to a healing spell or a supernatural effect that heals hit points, the target only receives half the healing (rounded down) and you receive the other half (also rounded down). You must remain within 25 feet (plus 5 feet per two caster levels) of the target to gain this benefit. If you move outside that range, the spell is discharged. Once you steal 5 hit points per your caster level (maximum 50 hit points) of healing from this spell's effect, the spell is discharged.</t>
  </si>
  <si>
    <t>&lt;p&gt;With this spell you can steal the healing of the target creature. You must succeed at a melee touch attack to strike the target. If you do, until the effect ends, whenever your target is subject to a healing spell or a supernatural effect that heals hit points, the target only receives half the healing (rounded down) and you receive the other half (also rounded down). You must remain within 25 feet (plus 5 feet per two caster levels) of the target to gain this benefit. If you move outside that range, the spell is discharged. Once you steal 5 hit points per your caster level (maximum 50 hit points) of healing from this spell's effect, the spell is discharged.&lt;/p&gt;</t>
  </si>
  <si>
    <t>&lt;link rel="stylesheet"href="PF.css"&gt;&lt;div class="heading"&gt;&lt;p class="alignleft"&gt;Healing Thief&lt;/p&gt;&lt;div style="clear: both;"&gt;&lt;/div&gt;&lt;/div&gt;&lt;div&gt;&lt;h5&gt;&lt;b&gt;School &lt;/b&gt;necromancy; &lt;b&gt;Level &lt;/b&gt;sorcerer/wizard 3, witch 3&lt;/h5&gt;&lt;/div&gt;&lt;hr/&gt;&lt;div&gt;&lt;h5&gt;&lt;b&gt;CASTING&lt;/b&gt;&lt;/h5&gt;&lt;/div&gt;&lt;hr/&gt;&lt;div&gt;&lt;h5&gt;&lt;b&gt;Casting Time &lt;/b&gt;1 standard action&lt;/h5&gt;&lt;h5&gt;&lt;b&gt;Components &lt;/b&gt;V, S, M (a bit of sponge, damp with tears)&lt;/h5&gt;&lt;/div&gt;&lt;hr/&gt;&lt;div&gt;&lt;h5&gt;&lt;b&gt;EFFECT&lt;/b&gt;&lt;/h5&gt;&lt;/div&gt;&lt;hr/&gt;&lt;div&gt;&lt;h5&gt;&lt;b&gt;Range &lt;/b&gt;touch&lt;/h5&gt;&lt;h5&gt;&lt;b&gt;Targets &lt;/b&gt;creature touched&lt;/h5&gt;&lt;h5&gt;&lt;b&gt;Duration &lt;/b&gt;1 round/level or until discharged&lt;/h5&gt;&lt;h5&gt;&lt;b&gt;Saving Throw &lt;/b&gt;none; &lt;b&gt;Spell Resistance &lt;/b&gt;yes&lt;/h5&gt;&lt;/div&gt;&lt;hr/&gt;&lt;div&gt;&lt;h5&gt;&lt;b&gt;DESCRIPTION&lt;/b&gt;&lt;/h5&gt;&lt;/div&gt;&lt;hr/&gt;&lt;div&gt;&lt;h4&gt;&lt;p&gt;With this spell you can steal the healing of the target creature. You must succeed at a melee touch attack to strike the target. If you do, until the effect ends, whenever your target is subject to a healing spell or a supernatural effect that heals hit points, the target only receives half the healing (rounded down) and you receive the other half (also rounded down). You must remain within 25 feet (plus 5 feet per two caster levels) of the target to gain this benefit. If you move outside that range, the spell is discharged. Once you steal 5 hit points per your caster level (maximum 50 hit points) of healing from this spell's effect, the spell is discharged.&lt;/p&gt;&lt;/h4&gt;&lt;h5&gt;&lt;b&gt;Mythic: &lt;/b&gt;Instead of stealing half the target's healing, you steal all of it. The amount of damage you steal before the spell is discharged increases to 10 points per caster level (maximum 100 points).&lt;/h5&gt;&lt;h5&gt;&lt;b&gt;Augmented (3rd)&lt;/b&gt;: If you expend two uses of mythic power, the range of the spell changes to close (25 feet + 5 feet per 2 caster levels). If the target has fast healing or regeneration, you steal half of its fast healing or regeneration. Healing from these abilities count toward the maximum healing stolen before the spell is discharged.&lt;/h5&gt;&lt;/div&gt;</t>
  </si>
  <si>
    <t>You siphon half of all magical healing that the targeted creature receives.</t>
  </si>
  <si>
    <t>Instead of stealing half the target's healing, you steal all of it. The amount of damage you steal before the spell is discharged increases to 10 points per caster level (maximum 100 points).</t>
  </si>
  <si>
    <t>Augmented (3rd): If you expend two uses of mythic power, the range of the spell changes to close (25 feet + 5 feet per 2 caster levels). If the target has fast healing or regeneration, you steal half of its fast healing or regeneration. Healing from these abilities count toward the maximum healing stolen before the spell is discharged.</t>
  </si>
  <si>
    <t>Heroic Invocation</t>
  </si>
  <si>
    <t>10 minutes /level</t>
  </si>
  <si>
    <t>Using worlds of ancient power, you bestow heroic powers on all creatures subject to this spell. They gain a +4 morale bonus on attack and damage rolls, gain 2d8+4 temporary hit points, and become immune to both fear and charm effects for the spell's duration. At the end of the spell's duration, the subjects become fatigued.</t>
  </si>
  <si>
    <t>&lt;p&gt;Using worlds of ancient power, you bestow heroic powers on all creatures subject to this spell. They gain a +4 morale bonus on attack and damage rolls, gain 2d8+4 temporary hit points, and become immune to both fear and charm effects for the spell's duration. At the end of the spell's duration, the subjects become fatigued.&lt;/p&gt;</t>
  </si>
  <si>
    <t>&lt;link rel="stylesheet"href="PF.css"&gt;&lt;div class="heading"&gt;&lt;p class="alignleft"&gt;Heroic Invocation&lt;/p&gt;&lt;div style="clear: both;"&gt;&lt;/div&gt;&lt;/div&gt;&lt;div&gt;&lt;h5&gt;&lt;b&gt;School &lt;/b&gt;enchantment (compulsion) [mind-affecting]; &lt;b&gt;Level &lt;/b&gt;sorcerer/wizard 9, witch 9&lt;/h5&gt;&lt;/div&gt;&lt;hr/&gt;&lt;div&gt;&lt;h5&gt;&lt;b&gt;CASTING&lt;/b&gt;&lt;/h5&gt;&lt;/div&gt;&lt;hr/&gt;&lt;div&gt;&lt;h5&gt;&lt;b&gt;Casting Time &lt;/b&gt;10 minutes&lt;/h5&gt;&lt;h5&gt;&lt;b&gt;Components &lt;/b&gt;V, S&lt;/h5&gt;&lt;/div&gt;&lt;hr/&gt;&lt;div&gt;&lt;h5&gt;&lt;b&gt;EFFECT&lt;/b&gt;&lt;/h5&gt;&lt;/div&gt;&lt;hr/&gt;&lt;div&gt;&lt;h5&gt;&lt;b&gt;Range &lt;/b&gt;close (25 ft. + 5 ft./2 levels)&lt;/h5&gt;&lt;h5&gt;&lt;b&gt;Targets &lt;/b&gt;one or more creatures, no two of which can be more than 30 ft. apart&lt;/h5&gt;&lt;h5&gt;&lt;b&gt;Duration &lt;/b&gt;10 minutes /level&lt;/h5&gt;&lt;h5&gt;&lt;b&gt;Saving Throw &lt;/b&gt;Will negates (harmless); &lt;b&gt;Spell Resistance &lt;/b&gt;yes (harmless)&lt;/h5&gt;&lt;/div&gt;&lt;hr/&gt;&lt;div&gt;&lt;h5&gt;&lt;b&gt;DESCRIPTION&lt;/b&gt;&lt;/h5&gt;&lt;/div&gt;&lt;hr/&gt;&lt;div&gt;&lt;h4&gt;&lt;p&gt;Using worlds of ancient power, you bestow heroic powers on all creatures subject to this spell. They gain a +4 morale bonus on attack and damage rolls, gain 2d8+4 temporary hit points, and become immune to both fear and charm effects for the spell's duration. At the end of the spell's duration, the subjects become fatigued.&lt;/p&gt;&lt;/h4&gt;&lt;/div&gt;</t>
  </si>
  <si>
    <t>Grants a number of creatures bonuses on attacks and damage, temporary hit points, and immunity to fear and charm effects.</t>
  </si>
  <si>
    <t>Hostile Juxtaposition</t>
  </si>
  <si>
    <t>V, S, M (a coin)</t>
  </si>
  <si>
    <t>one creature of your size or smaller</t>
  </si>
  <si>
    <t>You create a dimensional link to the target creature. When attacked or the subject of a spell that deals damage to you, you can spend an immediate action to cause yourself and the target creature to teleport and switch places. The target then becomes the target of the triggering attack or spell instead of you. If you fail to teleport out of the area of an effect, that effect might still affect you. If the target creature cannot fit safely into the new space without squeezing, or you try to teleport the target into an occupied space or a space it could not normally stand within, the juxtaposition fails. Further, if the target is unconscious or dead when you attempt to switch places, the juxtaposition fails. Once you have used it to teleport once, this spell is discharged.</t>
  </si>
  <si>
    <t>&lt;p&gt;You create a dimensional link to the target creature. When attacked or the subject of a spell that deals damage to you, you can spend an immediate action to cause yourself and the target creature to teleport and switch places. The target then becomes the target of the triggering attack or spell instead of you. If you fail to teleport out of the area of an effect, that effect might still affect you. If the target creature cannot fit safely into the new space without squeezing, or you try to teleport the target into an occupied space or a space it could not normally stand within, the juxtaposition fails. Further, if the target is unconscious or dead when you attempt to switch places, the juxtaposition fails. Once you have used it to teleport once, this spell is discharged.&lt;/p&gt;</t>
  </si>
  <si>
    <t>&lt;link rel="stylesheet"href="PF.css"&gt;&lt;div class="heading"&gt;&lt;p class="alignleft"&gt;Hostile Juxtaposition&lt;/p&gt;&lt;div style="clear: both;"&gt;&lt;/div&gt;&lt;/div&gt;&lt;div&gt;&lt;h5&gt;&lt;b&gt;School &lt;/b&gt;conjuration (teleportation); &lt;b&gt;Level &lt;/b&gt;sorcerer/wizard 5, summoner 4, witch 5&lt;/h5&gt;&lt;/div&gt;&lt;hr/&gt;&lt;div&gt;&lt;h5&gt;&lt;b&gt;CASTING&lt;/b&gt;&lt;/h5&gt;&lt;/div&gt;&lt;hr/&gt;&lt;div&gt;&lt;h5&gt;&lt;b&gt;Casting Time &lt;/b&gt;1 standard action&lt;/h5&gt;&lt;h5&gt;&lt;b&gt;Components &lt;/b&gt;V, S, M (a coin)&lt;/h5&gt;&lt;/div&gt;&lt;hr/&gt;&lt;div&gt;&lt;h5&gt;&lt;b&gt;EFFECT&lt;/b&gt;&lt;/h5&gt;&lt;/div&gt;&lt;hr/&gt;&lt;div&gt;&lt;h5&gt;&lt;b&gt;Range &lt;/b&gt;close (25 ft. + 5 ft./2 levels)&lt;/h5&gt;&lt;h5&gt;&lt;b&gt;Targets &lt;/b&gt;one creature of your size or smaller&lt;/h5&gt;&lt;h5&gt;&lt;b&gt;Duration &lt;/b&gt;1 round/level or until discharged&lt;/h5&gt;&lt;h5&gt;&lt;b&gt;Saving Throw &lt;/b&gt;Will negates; &lt;b&gt;Spell Resistance &lt;/b&gt;yes&lt;/h5&gt;&lt;/div&gt;&lt;hr/&gt;&lt;div&gt;&lt;h5&gt;&lt;b&gt;DESCRIPTION&lt;/b&gt;&lt;/h5&gt;&lt;/div&gt;&lt;hr/&gt;&lt;div&gt;&lt;h4&gt;&lt;p&gt;You create a dimensional link to the target creature. When attacked or the subject of a spell that deals damage to you, you can spend an immediate action to cause yourself and the target creature to teleport and switch places. The target then becomes the target of the triggering attack or spell instead of you. If you fail to teleport out of the area of an effect, that effect might still affect you. If the target creature cannot fit safely into the new space without squeezing, or you try to teleport the target into an occupied space or a space it could not normally stand within, the juxtaposition fails. Further, if the target is unconscious or dead when you attempt to switch places, the juxtaposition fails. Once you have used it to teleport once, this spell is discharged.&lt;/p&gt;&lt;/h4&gt;&lt;/div&gt;</t>
  </si>
  <si>
    <t>You create a dimensional link with a targeted creature, and switch spots with it.</t>
  </si>
  <si>
    <t>Hostile Juxtaposition, Greater</t>
  </si>
  <si>
    <t>sorcerer/wizard 7, summoner 6, witch 7</t>
  </si>
  <si>
    <t>one creature/4 levels</t>
  </si>
  <si>
    <t>This spell functions like hostile juxtaposition, except you can target one creature for every four caster levels you have or you can target a single creature that is larger than you are. You can switch places with each target only once while the effect lasts. Once you have used it to teleport and switch places with each affected target, the spell is discharged.</t>
  </si>
  <si>
    <t>&lt;p&gt;This spell functions like &lt;i&gt;hostile juxtaposition&lt;/i&gt;, except you can target one creature for every four caster levels you have or you can target a single creature that is larger than you are. You can switch places with each target only once while the effect lasts. Once you have used it to teleport and switch places with each affected target, the spell is discharged.&lt;/p&gt;</t>
  </si>
  <si>
    <t>&lt;link rel="stylesheet"href="PF.css"&gt;&lt;div class="heading"&gt;&lt;p class="alignleft"&gt;Hostile Juxtaposition, Greater&lt;/p&gt;&lt;div style="clear: both;"&gt;&lt;/div&gt;&lt;/div&gt;&lt;div&gt;&lt;h5&gt;&lt;b&gt;School &lt;/b&gt;conjuration (teleportation); &lt;b&gt;Level &lt;/b&gt;sorcerer/wizard 7, summoner 6, witch 7&lt;/h5&gt;&lt;/div&gt;&lt;hr/&gt;&lt;div&gt;&lt;h5&gt;&lt;b&gt;CASTING&lt;/b&gt;&lt;/h5&gt;&lt;/div&gt;&lt;hr/&gt;&lt;div&gt;&lt;h5&gt;&lt;b&gt;Casting Time &lt;/b&gt;1 standard action&lt;/h5&gt;&lt;h5&gt;&lt;b&gt;Components &lt;/b&gt;V, S, M (a coin)&lt;/h5&gt;&lt;/div&gt;&lt;hr/&gt;&lt;div&gt;&lt;h5&gt;&lt;b&gt;EFFECT&lt;/b&gt;&lt;/h5&gt;&lt;/div&gt;&lt;hr/&gt;&lt;div&gt;&lt;h5&gt;&lt;b&gt;Range &lt;/b&gt;close (25 ft. + 5 ft./2 levels)&lt;/h5&gt;&lt;h5&gt;&lt;b&gt;Targets &lt;/b&gt;one creature/4 levels&lt;/h5&gt;&lt;h5&gt;&lt;b&gt;Duration &lt;/b&gt;1 round/level or until discharged&lt;/h5&gt;&lt;h5&gt;&lt;b&gt;Saving Throw &lt;/b&gt;Will negates; &lt;b&gt;Spell Resistance &lt;/b&gt;yes&lt;/h5&gt;&lt;/div&gt;&lt;hr/&gt;&lt;div&gt;&lt;h5&gt;&lt;b&gt;DESCRIPTION&lt;/b&gt;&lt;/h5&gt;&lt;/div&gt;&lt;hr/&gt;&lt;div&gt;&lt;h4&gt;&lt;p&gt;This spell functions like &lt;i&gt;hostile juxtaposition&lt;/i&gt;, except you can target one creature for every four caster levels you have or you can target a single creature that is larger than you are. You can switch places with each target only once while the effect lasts. Once you have used it to teleport and switch places with each affected target, the spell is discharged.&lt;/p&gt;&lt;/h4&gt;&lt;/div&gt;</t>
  </si>
  <si>
    <t>You may target one creature for every four of your caster levels.</t>
  </si>
  <si>
    <t>Hostile Levitation</t>
  </si>
  <si>
    <t>V, S, M (a leather loop studded with lodestones)</t>
  </si>
  <si>
    <t>You levitate the target a few inches off the ground, removing solid footing and halving the target's speed. The target also takes a -4 penalty to CMD against bull rush, drag, and reposition attempts. A targeted creature that attacks with a melee or ranged weapon finds itself increasingly unstable; the first attack has a -1 penalty on attack rolls, the second -2, and so on, to a maximum penalty of -5. A full-round action spent stabilizing allows the creature to begin again at -1. This spell fails if cast on a flying creature.</t>
  </si>
  <si>
    <t>&lt;p&gt;You levitate the target a few inches off the ground, removing solid footing and halving the target's speed. The target also takes a -4 penalty to CMD against bull rush, drag, and reposition attempts. A targeted creature that attacks with a melee or ranged weapon finds itself increasingly unstable; the first attack has a -1 penalty on attack rolls, the second -2, and so on, to a maximum penalty of -5. A full-round action spent stabilizing allows the creature to begin again at -1. This spell fails if cast on a flying creature.&lt;/p&gt;</t>
  </si>
  <si>
    <t>&lt;link rel="stylesheet"href="PF.css"&gt;&lt;div class="heading"&gt;&lt;p class="alignleft"&gt;Hostile Levitation&lt;/p&gt;&lt;div style="clear: both;"&gt;&lt;/div&gt;&lt;/div&gt;&lt;div&gt;&lt;h5&gt;&lt;b&gt;School &lt;/b&gt;transmutation; &lt;b&gt;Level &lt;/b&gt;sorcerer/wizard 3, witch 3&lt;/h5&gt;&lt;/div&gt;&lt;hr/&gt;&lt;div&gt;&lt;h5&gt;&lt;b&gt;CASTING&lt;/b&gt;&lt;/h5&gt;&lt;/div&gt;&lt;hr/&gt;&lt;div&gt;&lt;h5&gt;&lt;b&gt;Casting Time &lt;/b&gt;1 standard action&lt;/h5&gt;&lt;h5&gt;&lt;b&gt;Components &lt;/b&gt;V, S, M (a leather loop studded with lodestones)&lt;/h5&gt;&lt;/div&gt;&lt;hr/&gt;&lt;div&gt;&lt;h5&gt;&lt;b&gt;EFFECT&lt;/b&gt;&lt;/h5&gt;&lt;/div&gt;&lt;hr/&gt;&lt;div&gt;&lt;h5&gt;&lt;b&gt;Range &lt;/b&gt;close (25 ft. + 5 ft./2 levels)&lt;/h5&gt;&lt;h5&gt;&lt;b&gt;Targets &lt;/b&gt;one creature&lt;/h5&gt;&lt;h5&gt;&lt;b&gt;Duration &lt;/b&gt;1 round/level&lt;/h5&gt;&lt;h5&gt;&lt;b&gt;Saving Throw &lt;/b&gt;Will negates; &lt;b&gt;Spell Resistance &lt;/b&gt;yes&lt;/h5&gt;&lt;/div&gt;&lt;hr/&gt;&lt;div&gt;&lt;h5&gt;&lt;b&gt;DESCRIPTION&lt;/b&gt;&lt;/h5&gt;&lt;/div&gt;&lt;hr/&gt;&lt;div&gt;&lt;h4&gt;&lt;p&gt;You levitate the target a few inches off the ground, removing solid footing and halving the target's speed. The target also takes a -4 penalty to CMD against bull rush, drag, and reposition attempts. A targeted creature that attacks with a melee or ranged weapon finds itself increasingly unstable; the first attack has a -1 penalty on attack rolls, the second -2, and so on, to a maximum penalty of -5. A full-round action spent stabilizing allows the creature to begin again at -1. This spell fails if cast on a flying creature.&lt;/p&gt;&lt;/h4&gt;&lt;/div&gt;</t>
  </si>
  <si>
    <t>Levitates the targeted creature up off the ground.</t>
  </si>
  <si>
    <t>Illusion of Calm</t>
  </si>
  <si>
    <t>alchemist 1, magus 1, sorcerer/wizard 1</t>
  </si>
  <si>
    <t>Will disbelieve (on hit; see below)</t>
  </si>
  <si>
    <t>When casting this spell, you create an illusory double that takes the same space of you. That double makes it look like you are standing still, even when you are not. While under the effects of this spell, you do not provoke attacks of opportunity when you cast a spell, make a ranged attack with a thrown weapon, or move out of your first square during a move action. It does not hide ranged attacks made with any type of projectile weapon. When a creature hits you with an attack of any type, it gains a saving throw to disbelieve the figment. On a successful saving throw, it successfully disbelieves and the spell's effect ends for that creature.</t>
  </si>
  <si>
    <t>&lt;p&gt;When casting this spell, you create an illusory double that takes the same space of you. That double makes it look like you are standing still, even when you are not. While under the effects of this spell, you do not provoke attacks of opportunity when you cast a spell, make a ranged attack with a thrown weapon, or move out of your first square during a move action. It does not hide ranged attacks made with any type of projectile weapon. When a creature hits you with an attack of any type, it gains a saving throw to disbelieve the figment. On a successful saving throw, it successfully disbelieves and the spell's effect ends for that creature.&lt;/p&gt;</t>
  </si>
  <si>
    <t>&lt;link rel="stylesheet"href="PF.css"&gt;&lt;div class="heading"&gt;&lt;p class="alignleft"&gt;Illusion of Calm&lt;/p&gt;&lt;div style="clear: both;"&gt;&lt;/div&gt;&lt;/div&gt;&lt;div&gt;&lt;h5&gt;&lt;b&gt;School &lt;/b&gt;illusion (figment); &lt;b&gt;Level &lt;/b&gt;alchemist 1, magus 1, sorcerer/wizard 1&lt;/h5&gt;&lt;/div&gt;&lt;hr/&gt;&lt;div&gt;&lt;h5&gt;&lt;b&gt;CASTING&lt;/b&gt;&lt;/h5&gt;&lt;/div&gt;&lt;hr/&gt;&lt;div&gt;&lt;h5&gt;&lt;b&gt;Casting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minute/level&lt;/h5&gt;&lt;h5&gt;&lt;b&gt;Saving Throw &lt;/b&gt;Will disbelieve (on hit; see below); &lt;b&gt;Spell Resistance &lt;/b&gt;no&lt;/h5&gt;&lt;/div&gt;&lt;hr/&gt;&lt;div&gt;&lt;h5&gt;&lt;b&gt;DESCRIPTION&lt;/b&gt;&lt;/h5&gt;&lt;/div&gt;&lt;hr/&gt;&lt;div&gt;&lt;h4&gt;&lt;p&gt;When casting this spell, you create an illusory double that takes the same space of you. That double makes it look like you are standing still, even when you are not. While under the effects of this spell, you do not provoke attacks of opportunity when you cast a spell, make a ranged attack with a thrown weapon, or move out of your first square during a move action. It does not hide ranged attacks made with any type of projectile weapon. When a creature hits you with an attack of any type, it gains a saving throw to disbelieve the figment. On a successful saving throw, it successfully disbelieves and the spell's effect ends for that creature.&lt;/p&gt;&lt;/h4&gt;&lt;/div&gt;</t>
  </si>
  <si>
    <t>You appear to be standing still, even when you take some actions.</t>
  </si>
  <si>
    <t>Instrument of Agony</t>
  </si>
  <si>
    <t>1 minutes/level</t>
  </si>
  <si>
    <t>Will negates (harmless, object), see text</t>
  </si>
  <si>
    <t>yes (harmless, object), see text</t>
  </si>
  <si>
    <t>You cause a weapon to exude a palpable aura of divine fury. While wielding this weapon, a creature gains a +2 morale bonus on Intimidate checks. When an attack made using the targeted weapon hits, the wielder can spend a free action to discharge the effect to inflict agony on the creature the weapon hit. If that creature has spell resistance, it applies against this effect. If the creature fails a Will save, it is nauseated for 1d4+1 rounds. If it succeeds at the saving throw, the creature is instead sickened for 1 round. The sickened condition created by the instrument is a mind-affecting effect.</t>
  </si>
  <si>
    <t>&lt;p&gt;You cause a weapon to exude a palpable aura of divine fury. While wielding this weapon, a creature gains a +2 morale bonus on Intimidate checks. When an attack made using the targeted weapon hits, the wielder can spend a free action to discharge the effect to inflict agony on the creature the weapon hit. If that creature has spell resistance, it applies against this effect. If the creature fails a Will save, it is nauseated for 1d4+1 rounds. If it succeeds at the saving throw, the creature is instead sickened for 1 round. The sickened condition created by the instrument is a mind-affecting effect.&lt;/p&gt;</t>
  </si>
  <si>
    <t>&lt;link rel="stylesheet"href="PF.css"&gt;&lt;div class="heading"&gt;&lt;p class="alignleft"&gt;Instrument of Agony&lt;/p&gt;&lt;div style="clear: both;"&gt;&lt;/div&gt;&lt;/div&gt;&lt;div&gt;&lt;h5&gt;&lt;b&gt;School &lt;/b&gt;transmutation; &lt;b&gt;Level &lt;/b&gt;cleric 2/oracle 2, inquisitor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&lt;/b&gt;weapon touched&lt;/h5&gt;&lt;h5&gt;&lt;b&gt;Duration &lt;/b&gt;1 minutes/level&lt;/h5&gt;&lt;h5&gt;&lt;b&gt;Saving Throw &lt;/b&gt;Will negates (harmless, object), see text; &lt;b&gt;Spell Resistance &lt;/b&gt;yes (harmless, object), see text&lt;/h5&gt;&lt;/div&gt;&lt;hr/&gt;&lt;div&gt;&lt;h5&gt;&lt;b&gt;DESCRIPTION&lt;/b&gt;&lt;/h5&gt;&lt;/div&gt;&lt;hr/&gt;&lt;div&gt;&lt;h4&gt;&lt;p&gt;You cause a weapon to exude a palpable aura of divine fury. While wielding this weapon, a creature gains a +2 morale bonus on Intimidate checks. When an attack made using the targeted weapon hits, the wielder can spend a free action to discharge the effect to inflict agony on the creature the weapon hit. If that creature has spell resistance, it applies against this effect. If the creature fails a Will save, it is nauseated for 1d4+1 rounds. If it succeeds at the saving throw, the creature is instead sickened for 1 round. The sickened condition created by the instrument is a mind-affecting effect.&lt;/p&gt;&lt;/h4&gt;&lt;/div&gt;</t>
  </si>
  <si>
    <t>Weapon exudes divine fury, granting a bonus on Intimidate checks.</t>
  </si>
  <si>
    <t>Jolting Portent</t>
  </si>
  <si>
    <t>The creature you designate is surrounded by a glowing red aura of vengeful fate. Once per round when the target makes an attack or casts a spell, it must succeed at a Fortitude saving throw with a DC = 10 + 1/2 caster level + Charisma (in the case of oracles) or Wisdom (in the case of clerics). If the target fails the saving throw, it takes 4d6 + your Charisma modifier (in the case of oracles) or Wisdom modifier (in the case of clerics) electricity damage. It takes no damage on a successful saving throw. You can dismiss this spell as an immediate action when its subject confirms a critical hit to negate the critical hit and daze the creature for 1 round. The attack still hits its target and deals normal damage. The effects of the daze occur after the attack.</t>
  </si>
  <si>
    <t>&lt;p&gt;The creature you designate is surrounded by a glowing red aura of vengeful fate. Once per round when the target makes an attack or casts a spell, it must succeed at a Fortitude saving throw with a DC = 10 + 1/2 caster level + Charisma (in the case of oracles) or Wisdom (in the case of clerics). If the target fails the saving throw, it takes 4d6 + your Charisma modifier (in the case of oracles) or Wisdom modifier (in the case of clerics) electricity damage. It takes no damage on a successful saving throw. You can dismiss this spell as an immediate action when its subject confirms a critical hit to negate the critical hit and daze the creature for 1 round. The attack still hits its target and deals normal damage. The effects of the daze occur after the attack.&lt;/p&gt;</t>
  </si>
  <si>
    <t>&lt;link rel="stylesheet"href="PF.css"&gt;&lt;div class="heading"&gt;&lt;p class="alignleft"&gt;Jolting Portent&lt;/p&gt;&lt;div style="clear: both;"&gt;&lt;/div&gt;&lt;/div&gt;&lt;div&gt;&lt;h5&gt;&lt;b&gt;School &lt;/b&gt;evocation [electricity]; &lt;b&gt;Level &lt;/b&gt;cleric 7/oracle 7&lt;/h5&gt;&lt;/div&gt;&lt;hr/&gt;&lt;div&gt;&lt;h5&gt;&lt;b&gt;CASTING&lt;/b&gt;&lt;/h5&gt;&lt;/div&gt;&lt;hr/&gt;&lt;div&gt;&lt;h5&gt;&lt;b&gt;Casting Time &lt;/b&gt;1 standard action&lt;/h5&gt;&lt;h5&gt;&lt;b&gt;Components &lt;/b&gt;V, S, DF&lt;/h5&gt;&lt;/div&gt;&lt;hr/&gt;&lt;div&gt;&lt;h5&gt;&lt;b&gt;EFFECT&lt;/b&gt;&lt;/h5&gt;&lt;/div&gt;&lt;hr/&gt;&lt;div&gt;&lt;h5&gt;&lt;b&gt;Range &lt;/b&gt;medium (100 ft. + 10 ft./level)&lt;/h5&gt;&lt;h5&gt;&lt;b&gt;Targets &lt;/b&gt;one creature&lt;/h5&gt;&lt;h5&gt;&lt;b&gt;Duration &lt;/b&gt;1 round/level (D) see text&lt;/h5&gt;&lt;h5&gt;&lt;b&gt;Saving Throw &lt;/b&gt;none; &lt;b&gt;Spell Resistance &lt;/b&gt;yes&lt;/h5&gt;&lt;/div&gt;&lt;hr/&gt;&lt;div&gt;&lt;h5&gt;&lt;b&gt;DESCRIPTION&lt;/b&gt;&lt;/h5&gt;&lt;/div&gt;&lt;hr/&gt;&lt;div&gt;&lt;h4&gt;&lt;p&gt;The creature you designate is surrounded by a glowing red aura of vengeful fate. Once per round when the target makes an attack or casts a spell, it must succeed at a Fortitude saving throw with a DC = 10 + 1/2 caster level + Charisma (in the case of oracles) or Wisdom (in the case of clerics). If the target fails the saving throw, it takes 4d6 + your Charisma modifier (in the case of oracles) or Wisdom modifier (in the case of clerics) electricity damage. It takes no damage on a successful saving throw. You can dismiss this spell as an immediate action when its subject confirms a critical hit to negate the critical hit and daze the creature for 1 round. The attack still hits its target and deals normal damage. The effects of the daze occur after the attack.&lt;/p&gt;&lt;/h4&gt;&lt;/div&gt;</t>
  </si>
  <si>
    <t>You inflict a vengeful fate on a creature, dealing electricity damage each time it attacks or casts a spell.</t>
  </si>
  <si>
    <t>Judgment Light</t>
  </si>
  <si>
    <t>instantaneous, see text</t>
  </si>
  <si>
    <t>An inquisitor may only cast this spell while she has a judgment active. When she does cast this spell, it causes one or more of the following effects based on the inquisitor's active judgments. Destruction: Red light erupts from the caster. Enemies in the area take 4d8 points of damage and become shaken for 1d4 rounds. A successful Will saving throw halves the damage and negates the shaken effect. Healing: Green light erupts from the caster. Allies in the area regain a number of hit points equal to 1d8 + the caster's Wisdom modifier. Justice: Blue light erupts from the caster, revealing hidden and invisible creatures to all. The light outlines such creatures for 1 round per caster level, imposing a -20 penalty on Stealth checks on those creatures. Piercing: Violet light erupts from the caster, reducing the spell resistance of enemies within the burst by 5 for 1 round per caster level. Protection: Amber light erupts from the caster, granting allies in the burst a +2 sacred bonus to AC and CMD, and a +4 bonus to AC against critical confirmation attack rolls for 1 round per caster level. Purity: White light erupts from the caster, allowing each ally within the burst to attempt a saving throw against a single effect that allows a saving throw with a +2 sacred bonus on the roll. Resiliency: Golden light erupts from the caster, granting allies within the burst DR 3/magic or the alignment your judgment allows for 1 round per caster level. Resistance: Copper light erupts from the caster, granting allies within the burst resistance 5 against the energy the judgment protects the inquisitor against when she casts this spell for 1 round per caster level. Smiting: Silver light erupts from the caster, making allies' weapons within the burst count as magic, the alignment her weapon is, and adamantine for purposes of overcoming damage reduction for 1 round per caster level.</t>
  </si>
  <si>
    <t>&lt;p&gt;An inquisitor may only cast this spell while she has a judgment active. When she does cast this spell, it causes one or more of the following effects based on the inquisitor's active judgments. &lt;br&gt;&lt;i&gt;Destruction&lt;/i&gt;: Red light erupts from the caster. Enemies in the area take 4d8 points of damage and become shaken for 1d4 rounds. A successful Will saving throw halves the damage and negates the shaken effect. &lt;br&gt;&lt;i&gt;Healing&lt;/i&gt;: Green light erupts from the caster. Allies in the area regain a number of hit points equal to 1d8 + the caster's Wisdom modifier. &lt;br&gt;&lt;i&gt;Justice&lt;/i&gt;: Blue light erupts from the caster, revealing hidden and invisible creatures to all. The light outlines such creatures for 1 round per caster level, imposing a -20 penalty on Stealth checks on those creatures.&lt;/p&gt;&lt;p&gt;&lt;i&gt;Piercing&lt;/i&gt;: Violet light erupts from the caster, reducing the spell resistance of enemies within the burst by 5 for 1 round per caster level. &lt;br&gt;&lt;i&gt;Protection&lt;/i&gt;: Amber light erupts from the caster, granting allies in the burst a +2 sacred bonus to AC and CMD, and a +4 bonus to AC against critical confirmation attack rolls for 1 round per caster level. &lt;br&gt;&lt;i&gt;Purity&lt;/i&gt;: White light erupts from the caster, allowing each ally within the burst to attempt a saving throw against a single effect that allows a saving throw with a +2 sacred bonus on the roll. &lt;br&gt;&lt;i&gt;Resiliency&lt;/i&gt;: Golden light erupts from the caster, granting allies within the burst DR 3/magic or the alignment your judgment allows for 1 round per caster level. &lt;br&gt;&lt;i&gt;Resistance&lt;/i&gt;: Copper light erupts from the caster, granting allies within the burst resistance 5 against the energy the judgment protects the inquisitor against when she casts this spell for 1 round per caster level. &lt;br&gt;&lt;i&gt;Smiting&lt;/i&gt;: Silver light erupts from the caster, making allies' weapons within the burst count as magic, the alignment her weapon is, and adamantine for purposes of overcoming damage reduction for 1 round per caster level.&lt;/p&gt;</t>
  </si>
  <si>
    <t>&lt;link rel="stylesheet"href="PF.css"&gt;&lt;div class="heading"&gt;&lt;p class="alignleft"&gt;Judgment Light&lt;/p&gt;&lt;div style="clear: both;"&gt;&lt;/div&gt;&lt;/div&gt;&lt;div&gt;&lt;h5&gt;&lt;b&gt;School &lt;/b&gt;evocation [light]; &lt;b&gt;Level &lt;/b&gt;inquisitor 4&lt;/h5&gt;&lt;/div&gt;&lt;hr/&gt;&lt;div&gt;&lt;h5&gt;&lt;b&gt;CASTING&lt;/b&gt;&lt;/h5&gt;&lt;/div&gt;&lt;hr/&gt;&lt;div&gt;&lt;h5&gt;&lt;b&gt;Casting Time &lt;/b&gt;1 standard action&lt;/h5&gt;&lt;h5&gt;&lt;b&gt;Components &lt;/b&gt;V, S&lt;/h5&gt;&lt;/div&gt;&lt;hr/&gt;&lt;div&gt;&lt;h5&gt;&lt;b&gt;EFFECT&lt;/b&gt;&lt;/h5&gt;&lt;/div&gt;&lt;hr/&gt;&lt;div&gt;&lt;h5&gt;&lt;b&gt;Range &lt;/b&gt;personal&lt;/h5&gt;&lt;h5&gt;&lt;b&gt;Area &lt;/b&gt;30-ft.-radius burst&lt;/h5&gt;&lt;h5&gt;&lt;b&gt;Duration &lt;/b&gt;instantaneous, see text&lt;/h5&gt;&lt;/div&gt;&lt;hr/&gt;&lt;div&gt;&lt;h5&gt;&lt;b&gt;DESCRIPTION&lt;/b&gt;&lt;/h5&gt;&lt;/div&gt;&lt;hr/&gt;&lt;div&gt;&lt;h4&gt;&lt;p&gt;An inquisitor may only cast this spell while she has a judgment active. When she does cast this spell, it causes one or more of the following effects based on the inquisitor's active judgments. &lt;br&gt;&lt;i&gt;Destruction&lt;/i&gt;: Red light erupts from the caster. Enemies in the area take 4d8 points of damage and become shaken for 1d4 rounds. A successful Will saving throw halves the damage and negates the shaken effect. &lt;br&gt;&lt;i&gt;Healing&lt;/i&gt;: Green light erupts from the caster. Allies in the area regain a number of hit points equal to 1d8 + the caster's Wisdom modifier. &lt;br&gt;&lt;i&gt;Justice&lt;/i&gt;: Blue light erupts from the caster, revealing hidden and invisible creatures to all. The light outlines such creatures for 1 round per caster level, imposing a -20 penalty on Stealth checks on those creatures.&lt;/p&gt;&lt;p&gt;&lt;i&gt;Piercing&lt;/i&gt;: Violet light erupts from the caster, reducing the spell resistance of enemies within the burst by 5 for 1 round per caster level. &lt;br&gt;&lt;i&gt;Protection&lt;/i&gt;: Amber light erupts from the caster, granting allies in the burst a +2 sacred bonus to AC and CMD, and a +4 bonus to AC against critical confirmation attack rolls for 1 round per caster level. &lt;br&gt;&lt;i&gt;Purity&lt;/i&gt;: White light erupts from the caster, allowing each ally within the burst to attempt a saving throw against a single effect that allows a saving throw with a +2 sacred bonus on the roll. &lt;br&gt;&lt;i&gt;Resiliency&lt;/i&gt;: Golden light erupts from the caster, granting allies within the burst DR 3/magic or the alignment your judgment allows for 1 round per caster level. &lt;br&gt;&lt;i&gt;Resistance&lt;/i&gt;: Copper light erupts from the caster, granting allies within the burst resistance 5 against the energy the judgment protects the inquisitor against when she casts this spell for 1 round per caster level. &lt;br&gt;&lt;i&gt;Smiting&lt;/i&gt;: Silver light erupts from the caster, making allies' weapons within the burst count as magic, the alignment her weapon is, and adamantine for purposes of overcoming damage reduction for 1 round per caster level.&lt;/p&gt;&lt;/h4&gt;&lt;/div&gt;</t>
  </si>
  <si>
    <t>You gain an additional effect while a judgment is active.</t>
  </si>
  <si>
    <t>Jury-Rig</t>
  </si>
  <si>
    <t>bard 1, magus 1, sorcerer/wizard 1, summoner 1, witch 1</t>
  </si>
  <si>
    <t>one broken object of up to 2 lbs./level</t>
  </si>
  <si>
    <t>When you cast this spell, a spectral force binds a broken weapon together, relieving the broken condition for a short time. While under the effects of this spell, an item with the broken condition suffers no adverse effects from that condition, and is treated as if it is not broken. The object regains no hit points, and damage can still destroy the object.</t>
  </si>
  <si>
    <t>&lt;p&gt;When you cast this spell, a spectral force binds a broken weapon together, relieving the broken condition for a short time. While under the effects of this spell, an item with the broken condition suffers no adverse effects from that condition, and is treated as if it is not broken. The object regains no hit points, and damage can still destroy the object.&lt;/p&gt;</t>
  </si>
  <si>
    <t>&lt;link rel="stylesheet"href="PF.css"&gt;&lt;div class="heading"&gt;&lt;p class="alignleft"&gt;Jury-Rig&lt;/p&gt;&lt;div style="clear: both;"&gt;&lt;/div&gt;&lt;/div&gt;&lt;div&gt;&lt;h5&gt;&lt;b&gt;School &lt;/b&gt;transmutation; &lt;b&gt;Level &lt;/b&gt;bard 1, magus 1, sorcerer/wizard 1, summoner 1, witch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&lt;/b&gt;one broken object of up to 2 lbs./level&lt;/h5&gt;&lt;h5&gt;&lt;b&gt;Duration &lt;/b&gt;1 round/level&lt;/h5&gt;&lt;h5&gt;&lt;b&gt;Saving Throw &lt;/b&gt;Will negates (harmless, object); &lt;b&gt;Spell Resistance &lt;/b&gt;yes (harmless, object)&lt;/h5&gt;&lt;/div&gt;&lt;hr/&gt;&lt;div&gt;&lt;h5&gt;&lt;b&gt;DESCRIPTION&lt;/b&gt;&lt;/h5&gt;&lt;/div&gt;&lt;hr/&gt;&lt;div&gt;&lt;h4&gt;&lt;p&gt;When you cast this spell, a spectral force binds a broken weapon together, relieving the broken condition for a short time. While under the effects of this spell, an item with the broken condition suffers no adverse effects from that condition, and is treated as if it is not broken. The object regains no hit points, and damage can still destroy the object.&lt;/p&gt;&lt;/h4&gt;&lt;/div&gt;</t>
  </si>
  <si>
    <t>Removes the broken condition from the targeted object.</t>
  </si>
  <si>
    <t>Kinetic Reverberation</t>
  </si>
  <si>
    <t>V, S, M (rubber tree sap)</t>
  </si>
  <si>
    <t>This spell converts the momentum and force from melee attacks made against the target of the spell, reflecting them back upon the attacker's weapon. After making a successful melee attack against the target, an attacker must make a Fortitude saving throw for the weapon used. If the weapon fails the save, it takes damage equal to the damage rolled against the target. Creatures using natural attacks or unarmed strikes are unaffected by this spell.</t>
  </si>
  <si>
    <t>&lt;p&gt;This spell converts the momentum and force from melee attacks made against the target of the spell, reflecting them back upon the attacker's weapon. After making a successful melee attack against the target, an attacker must make a Fortitude saving throw for the weapon used. If the weapon fails the save, it takes damage equal to the damage rolled against the target. Creatures using natural attacks or unarmed strikes are unaffected by this spell.&lt;/p&gt;</t>
  </si>
  <si>
    <t>&lt;link rel="stylesheet"href="PF.css"&gt;&lt;div class="heading"&gt;&lt;p class="alignleft"&gt;Kinetic Reverberation&lt;/p&gt;&lt;div style="clear: both;"&gt;&lt;/div&gt;&lt;/div&gt;&lt;div&gt;&lt;h5&gt;&lt;b&gt;School &lt;/b&gt;transmutation; &lt;b&gt;Level &lt;/b&gt;alchemist 2, sorcerer/wizard 2&lt;/h5&gt;&lt;/div&gt;&lt;hr/&gt;&lt;div&gt;&lt;h5&gt;&lt;b&gt;CASTING&lt;/b&gt;&lt;/h5&gt;&lt;/div&gt;&lt;hr/&gt;&lt;div&gt;&lt;h5&gt;&lt;b&gt;Casting Time &lt;/b&gt;1 standard action&lt;/h5&gt;&lt;h5&gt;&lt;b&gt;Components &lt;/b&gt;V, S, M (rubber tree sap)&lt;/h5&gt;&lt;/div&gt;&lt;hr/&gt;&lt;div&gt;&lt;h5&gt;&lt;b&gt;EFFECT&lt;/b&gt;&lt;/h5&gt;&lt;/div&gt;&lt;hr/&gt;&lt;div&gt;&lt;h5&gt;&lt;b&gt;Range &lt;/b&gt;touch&lt;/h5&gt;&lt;h5&gt;&lt;b&gt;Targets &lt;/b&gt;creature touched&lt;/h5&gt;&lt;h5&gt;&lt;b&gt;Duration &lt;/b&gt;1 round/level&lt;/h5&gt;&lt;h5&gt;&lt;b&gt;Saving Throw &lt;/b&gt;Fortitude negates (object); &lt;b&gt;Spell Resistance &lt;/b&gt;yes (object)&lt;/h5&gt;&lt;/div&gt;&lt;hr/&gt;&lt;div&gt;&lt;h5&gt;&lt;b&gt;DESCRIPTION&lt;/b&gt;&lt;/h5&gt;&lt;/div&gt;&lt;hr/&gt;&lt;div&gt;&lt;h4&gt;&lt;p&gt;This spell converts the momentum and force from melee attacks made against the target of the spell, reflecting them back upon the attacker's weapon. After making a successful melee attack against the target, an attacker must make a Fortitude saving throw for the weapon used. If the weapon fails the save, it takes damage equal to the damage rolled against the target. Creatures using natural attacks or unarmed strikes are unaffected by this spell.&lt;/p&gt;&lt;/h4&gt;&lt;/div&gt;</t>
  </si>
  <si>
    <t>Channels the force of an enemy's attack back into its weapon.</t>
  </si>
  <si>
    <t>Languid Bomb Admixture</t>
  </si>
  <si>
    <t>Will negates (special, see below)</t>
  </si>
  <si>
    <t>Upon drinking an extract created with this formula, you make a significant change to your magical reserve that modifies the nature of all bombs you create and throw during this extract's duration. This effect on your magical reserve has no effect on any discoveries that you use to modify your bombs, but you can only have one admixture effect (formulae with the words "bomb admixture" in their titles) active at a time. If you drink another bomb admixture, the effects of the former bomb admixture end and the those of the new one become active. When you throw a bomb and hit a direct target, it affects up to four creatures-the creature the bomb hit directly, and up to three other creatures damaged by the splash (alchemist's choice). Those creatures must succeed at a Will saving throw or become fatigued.</t>
  </si>
  <si>
    <t>&lt;p&gt;Upon drinking an extract created with this formula, you make a significant change to your magical reserve that modifies the nature of all bombs you create and throw during this extract's duration. This effect on your magical reserve has no effect on any discoveries that you use to modify your bombs, but you can only have one admixture effect (formulae with the words "bomb admixture" in their titles) active at a time. If you drink another bomb admixture, the effects of the former bomb admixture end and the those of the new one become active. When you throw a bomb and hit a direct target, it affects up to four creatures-the creature the bomb hit directly, and up to three other creatures damaged by the splash (alchemist's choice). Those creatures must succeed at a Will saving throw or become fatigued.&lt;/p&gt;</t>
  </si>
  <si>
    <t>&lt;link rel="stylesheet"href="PF.css"&gt;&lt;div class="heading"&gt;&lt;p class="alignleft"&gt;Languid Bomb Admixture&lt;/p&gt;&lt;div style="clear: both;"&gt;&lt;/div&gt;&lt;/div&gt;&lt;div&gt;&lt;h5&gt;&lt;b&gt;School &lt;/b&gt;enchantment (compulsion) [mind-affecting]; &lt;b&gt;Level &lt;/b&gt;alchemist 5&lt;/h5&gt;&lt;/div&gt;&lt;hr/&gt;&lt;div&gt;&lt;h5&gt;&lt;b&gt;CASTING&lt;/b&gt;&lt;/h5&gt;&lt;/div&gt;&lt;hr/&gt;&lt;div&gt;&lt;h5&gt;&lt;b&gt;Casting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round/level&lt;/h5&gt;&lt;h5&gt;&lt;b&gt;Saving Throw &lt;/b&gt;Will negates (special, see below); &lt;b&gt;Spell Resistance &lt;/b&gt;yes&lt;/h5&gt;&lt;/div&gt;&lt;hr/&gt;&lt;div&gt;&lt;h5&gt;&lt;b&gt;DESCRIPTION&lt;/b&gt;&lt;/h5&gt;&lt;/div&gt;&lt;hr/&gt;&lt;div&gt;&lt;h4&gt;&lt;p&gt;Upon drinking an extract created with this formula, you make a significant change to your magical reserve that modifies the nature of all bombs you create and throw during this extract's duration. This effect on your magical reserve has no effect on any discoveries that you use to modify your bombs, but you can only have one admixture effect (formulae with the words "bomb admixture" in their titles) active at a time. If you drink another bomb admixture, the effects of the former bomb admixture end and the those of the new one become active. When you throw a bomb and hit a direct target, it affects up to four creatures-the creature the bomb hit directly, and up to three other creatures damaged by the splash (alchemist's choice). Those creatures must succeed at a Will saving throw or become fatigued.&lt;/p&gt;&lt;/h4&gt;&lt;/div&gt;</t>
  </si>
  <si>
    <t>Empowers bombs you throw to cause fatigue in those directly hit or splashed by the bomb.</t>
  </si>
  <si>
    <t>Liberating Command</t>
  </si>
  <si>
    <t>&lt;p&gt;If the target is bound, grappled, or otherwise restrained, he may make an Escape Artist check to escape as an immediate action. He gains a competence bonus on this check equal to twice your caster level (maximum +20). This spell has no effect if the target could not get free by using the Escape Artist skill (for example, if he were under the effects of a &lt;i&gt;hold person&lt;/i&gt; spell or paralyzed by Strength damage).&lt;/p&gt;</t>
  </si>
  <si>
    <t>&lt;link rel="stylesheet"href="PF.css"&gt;&lt;div class="heading"&gt;&lt;p class="alignleft"&gt;Liberating Command&lt;/p&gt;&lt;div style="clear: both;"&gt;&lt;/div&gt;&lt;/div&gt;&lt;div&gt;&lt;h5&gt;&lt;b&gt;School &lt;/b&gt;transmutation; &lt;b&gt;Level &lt;/b&gt;bard 1, cleric 1/oracle 1, druid 1, paladin 1, ranger 1, sorcerer/wizard 1&lt;/h5&gt;&lt;/div&gt;&lt;hr/&gt;&lt;div&gt;&lt;h5&gt;&lt;b&gt;CASTING&lt;/b&gt;&lt;/h5&gt;&lt;/div&gt;&lt;hr/&gt;&lt;div&gt;&lt;h5&gt;&lt;b&gt;Casting Time &lt;/b&gt;1 immediate action&lt;/h5&gt;&lt;h5&gt;&lt;b&gt;Components &lt;/b&gt;V&lt;/h5&gt;&lt;/div&gt;&lt;hr/&gt;&lt;div&gt;&lt;h5&gt;&lt;b&gt;EFFECT&lt;/b&gt;&lt;/h5&gt;&lt;/div&gt;&lt;hr/&gt;&lt;div&gt;&lt;h5&gt;&lt;b&gt;Range &lt;/b&gt;close (25 ft. + 5 ft./2 levels)&lt;/h5&gt;&lt;h5&gt;&lt;b&gt;Targets &lt;/b&gt;one creature&lt;/h5&gt;&lt;h5&gt;&lt;b&gt;Duration &lt;/b&gt;instantaneous&lt;/h5&gt;&lt;h5&gt;&lt;b&gt;Saving Throw &lt;/b&gt;Will negates (harmless); &lt;b&gt;Spell Resistance &lt;/b&gt;yes (harmless)&lt;/h5&gt;&lt;/div&gt;&lt;hr/&gt;&lt;div&gt;&lt;h5&gt;&lt;b&gt;DESCRIPTION&lt;/b&gt;&lt;/h5&gt;&lt;/div&gt;&lt;hr/&gt;&lt;div&gt;&lt;h4&gt;&lt;p&gt;If the target is bound, grappled, or otherwise restrained, he may make an Escape Artist check to escape as an immediate action. He gains a competence bonus on this check equal to twice your caster level (maximum +20). This spell has no effect if the target could not get free by using the Escape Artist skill (for example, if he were under the effects of a &lt;i&gt;hold person&lt;/i&gt; spell or paralyzed by Strength damage).&lt;/p&gt;&lt;/h4&gt;&lt;/div&gt;</t>
  </si>
  <si>
    <t>Target makes an Escape Artist check as an immediate action and gains a bonus on it.</t>
  </si>
  <si>
    <t>Life Conduit</t>
  </si>
  <si>
    <t>You utilize life conduit to share hit points with your eidolon. While this spell is active, you can spend a swift action to transfer 1d6 hit points between you and your eidolon, either taking damage yourself and healing your eidolon or healing yourself and damaging your eidolon. If your eidolon moves farther than 50 feet from you, this spell ends.</t>
  </si>
  <si>
    <t>&lt;p&gt;You utilize &lt;i&gt;life conduit&lt;/i&gt; to share hit points with your eidolon. While this spell is active, you can spend a swift action to transfer 1d6 hit points between you and your eidolon, either taking damage yourself and healing your eidolon or healing yourself and damaging your eidolon. If your eidolon moves farther than 50 feet from you, this spell ends.&lt;/p&gt;</t>
  </si>
  <si>
    <t>&lt;link rel="stylesheet"href="PF.css"&gt;&lt;div class="heading"&gt;&lt;p class="alignleft"&gt;Life Conduit&lt;/p&gt;&lt;div style="clear: both;"&gt;&lt;/div&gt;&lt;/div&gt;&lt;div&gt;&lt;h5&gt;&lt;b&gt;School &lt;/b&gt;conjuration (healing); &lt;b&gt;Level &lt;/b&gt;summoner 1&lt;/h5&gt;&lt;/div&gt;&lt;hr/&gt;&lt;div&gt;&lt;h5&gt;&lt;b&gt;CASTING&lt;/b&gt;&lt;/h5&gt;&lt;/div&gt;&lt;hr/&gt;&lt;div&gt;&lt;h5&gt;&lt;b&gt;Casting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round/level&lt;/h5&gt;&lt;/div&gt;&lt;hr/&gt;&lt;div&gt;&lt;h5&gt;&lt;b&gt;DESCRIPTION&lt;/b&gt;&lt;/h5&gt;&lt;/div&gt;&lt;hr/&gt;&lt;div&gt;&lt;h4&gt;&lt;p&gt;You utilize &lt;i&gt;life conduit&lt;/i&gt; to share hit points with your eidolon. While this spell is active, you can spend a swift action to transfer 1d6 hit points between you and your eidolon, either taking damage yourself and healing your eidolon or healing yourself and damaging your eidolon. If your eidolon moves farther than 50 feet from you, this spell ends.&lt;/p&gt;&lt;/h4&gt;&lt;/div&gt;</t>
  </si>
  <si>
    <t>You are bound even tighter to your eidolon than normal, and may share hit points with it through your life link ability.</t>
  </si>
  <si>
    <t>Life Conduit, Greater</t>
  </si>
  <si>
    <t>This spell functions like life conduit, except you can transfer 3d6 hit points as a swift action.</t>
  </si>
  <si>
    <t>&lt;p&gt;This spell functions like &lt;i&gt;life conduit&lt;/i&gt;, except you can transfer 3d6 hit points as a swift action.&lt;/p&gt;</t>
  </si>
  <si>
    <t>&lt;link rel="stylesheet"href="PF.css"&gt;&lt;div class="heading"&gt;&lt;p class="alignleft"&gt;Life Conduit, Greater&lt;/p&gt;&lt;div style="clear: both;"&gt;&lt;/div&gt;&lt;/div&gt;&lt;div&gt;&lt;h5&gt;&lt;b&gt;School &lt;/b&gt;conjuration (healing); &lt;b&gt;Level &lt;/b&gt;summoner 5&lt;/h5&gt;&lt;/div&gt;&lt;hr/&gt;&lt;div&gt;&lt;h5&gt;&lt;b&gt;CASTING&lt;/b&gt;&lt;/h5&gt;&lt;/div&gt;&lt;hr/&gt;&lt;div&gt;&lt;h5&gt;&lt;b&gt;Casting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round/level&lt;/h5&gt;&lt;/div&gt;&lt;hr/&gt;&lt;div&gt;&lt;h5&gt;&lt;b&gt;DESCRIPTION&lt;/b&gt;&lt;/h5&gt;&lt;/div&gt;&lt;hr/&gt;&lt;div&gt;&lt;h4&gt;&lt;p&gt;This spell functions like &lt;i&gt;life conduit&lt;/i&gt;, except you can transfer 3d6 hit points as a swift action.&lt;/p&gt;&lt;/h4&gt;&lt;/div&gt;</t>
  </si>
  <si>
    <t>You transfer 3d6 hit points to your eidolon as a swift action.</t>
  </si>
  <si>
    <t>Life Conduit, Improved</t>
  </si>
  <si>
    <t>This spell functions like life conduit, except you can transfer 2d6 hit points as a swift action.</t>
  </si>
  <si>
    <t>&lt;p&gt;This spell functions like &lt;i&gt;life conduit&lt;/i&gt;, except you can transfer 2d6 hit points as a swift action.&lt;/p&gt;</t>
  </si>
  <si>
    <t>&lt;link rel="stylesheet"href="PF.css"&gt;&lt;div class="heading"&gt;&lt;p class="alignleft"&gt;Life Conduit, Improved&lt;/p&gt;&lt;div style="clear: both;"&gt;&lt;/div&gt;&lt;/div&gt;&lt;div&gt;&lt;h5&gt;&lt;b&gt;School &lt;/b&gt;conjuration (healing); &lt;b&gt;Level &lt;/b&gt;summoner 3&lt;/h5&gt;&lt;/div&gt;&lt;hr/&gt;&lt;div&gt;&lt;h5&gt;&lt;b&gt;CASTING&lt;/b&gt;&lt;/h5&gt;&lt;/div&gt;&lt;hr/&gt;&lt;div&gt;&lt;h5&gt;&lt;b&gt;Casting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round/level&lt;/h5&gt;&lt;/div&gt;&lt;hr/&gt;&lt;div&gt;&lt;h5&gt;&lt;b&gt;DESCRIPTION&lt;/b&gt;&lt;/h5&gt;&lt;/div&gt;&lt;hr/&gt;&lt;div&gt;&lt;h4&gt;&lt;p&gt;This spell functions like &lt;i&gt;life conduit&lt;/i&gt;, except you can transfer 2d6 hit points as a swift action.&lt;/p&gt;&lt;/h4&gt;&lt;/div&gt;</t>
  </si>
  <si>
    <t>Transfers 2d6 hit points to your eidolon as a swift action.</t>
  </si>
  <si>
    <t>Lightning Lash Bomb Admixture</t>
  </si>
  <si>
    <t>Upon drinking an extract created with this formula, you make a significant change to your magical reserve that modifies the nature of all bombs you create and throw during this extract's duration. This effect on your magical reserve has no effect on any discoveries that you use to modify your bombs, but you can only have one admixture effect (formulae with the word "bomb admixture" in its title) active at a time. If you drink another bomb admixture, the effects of the former bomb admixture end and those of the new one become active. When you throw a bomb and hit a direct target, lashes of electrical energy are released from the bomb, coalescing on the bomb's direct target and up to three creatures that take damage from the bomb's splash (alchemist's choice). Those affected by the electricity must succeed at a Reflex saving throw or take 1d6 points of electrical damage each time they take a move action to move more than 5 feet for the duration of the effect. This effect does not ignore spell resistance.</t>
  </si>
  <si>
    <t>&lt;p&gt;Upon drinking an extract created with this formula, you make a significant change to your magical reserve that modifies the nature of all bombs you create and throw during this extract's duration. This effect on your magical reserve has no effect on any discoveries that you use to modify your bombs, but you can only have one admixture effect (formulae with the word "bomb admixture" in its title) active at a time. If you drink another bomb admixture, the effects of the former bomb admixture end and those of the new one become active. When you throw a bomb and hit a direct target, lashes of electrical energy are released from the bomb, coalescing on the bomb's direct target and up to three creatures that take damage from the bomb's splash (alchemist's choice). Those affected by the electricity must succeed at a Reflex saving throw or take 1d6 points of electrical damage each time they take a move action to move more than 5 feet for the duration of the effect. This effect does not ignore spell resistance.&lt;/p&gt;</t>
  </si>
  <si>
    <t>&lt;link rel="stylesheet"href="PF.css"&gt;&lt;div class="heading"&gt;&lt;p class="alignleft"&gt;Lightning Lash Bomb Admixture&lt;/p&gt;&lt;div style="clear: both;"&gt;&lt;/div&gt;&lt;/div&gt;&lt;div&gt;&lt;h5&gt;&lt;b&gt;School &lt;/b&gt;evocation [electricity]; &lt;b&gt;Level &lt;/b&gt;alchemist 3&lt;/h5&gt;&lt;/div&gt;&lt;hr/&gt;&lt;div&gt;&lt;h5&gt;&lt;b&gt;CASTING&lt;/b&gt;&lt;/h5&gt;&lt;/div&gt;&lt;hr/&gt;&lt;div&gt;&lt;h5&gt;&lt;b&gt;Casting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round/level&lt;/h5&gt;&lt;h5&gt;&lt;b&gt;Saving Throw &lt;/b&gt;special, see below; &lt;b&gt;Spell Resistance &lt;/b&gt;special, see below&lt;/h5&gt;&lt;/div&gt;&lt;hr/&gt;&lt;div&gt;&lt;h5&gt;&lt;b&gt;DESCRIPTION&lt;/b&gt;&lt;/h5&gt;&lt;/div&gt;&lt;hr/&gt;&lt;div&gt;&lt;h4&gt;&lt;p&gt;Upon drinking an extract created with this formula, you make a significant change to your magical reserve that modifies the nature of all bombs you create and throw during this extract's duration. This effect on your magical reserve has no effect on any discoveries that you use to modify your bombs, but you can only have one admixture effect (formulae with the word "bomb admixture" in its title) active at a time. If you drink another bomb admixture, the effects of the former bomb admixture end and those of the new one become active. When you throw a bomb and hit a direct target, lashes of electrical energy are released from the bomb, coalescing on the bomb's direct target and up to three creatures that take damage from the bomb's splash (alchemist's choice). Those affected by the electricity must succeed at a Reflex saving throw or take 1d6 points of electrical damage each time they take a move action to move more than 5 feet for the duration of the effect. This effect does not ignore spell resistance.&lt;/p&gt;&lt;/h4&gt;&lt;/div&gt;</t>
  </si>
  <si>
    <t>Empowers bombs you throw with a ward that deals lightning damage each time those damaged by the bomb move more than 5 feet.</t>
  </si>
  <si>
    <t>Litany of Defense</t>
  </si>
  <si>
    <t>Invoking this litany strengthens your defenses. Any enhancement bonus your armor has is doubled and you are immune to fear. While subject to this spell, the target cannot be the target of another spell that has the word "litany" in the title.</t>
  </si>
  <si>
    <t>&lt;p&gt;Invoking this litany strengthens your defenses. Any enhancement bonus your armor has is doubled and you are immune to fear. While subject to this spell, the target cannot be the target of another spell that has the word "litany" in the title.&lt;/p&gt;</t>
  </si>
  <si>
    <t>&lt;link rel="stylesheet"href="PF.css"&gt;&lt;div class="heading"&gt;&lt;p class="alignleft"&gt;Litany of Defense&lt;/p&gt;&lt;div style="clear: both;"&gt;&lt;/div&gt;&lt;/div&gt;&lt;div&gt;&lt;h5&gt;&lt;b&gt;School &lt;/b&gt;transmutation; &lt;b&gt;Level &lt;/b&gt;antipaladin 2, inquisitor 2, paladin 2&lt;/h5&gt;&lt;/div&gt;&lt;hr/&gt;&lt;div&gt;&lt;h5&gt;&lt;b&gt;CASTING&lt;/b&gt;&lt;/h5&gt;&lt;/div&gt;&lt;hr/&gt;&lt;div&gt;&lt;h5&gt;&lt;b&gt;Casting Time &lt;/b&gt;1 swift action&lt;/h5&gt;&lt;h5&gt;&lt;b&gt;Components &lt;/b&gt;V, S, DF&lt;/h5&gt;&lt;/div&gt;&lt;hr/&gt;&lt;div&gt;&lt;h5&gt;&lt;b&gt;EFFECT&lt;/b&gt;&lt;/h5&gt;&lt;/div&gt;&lt;hr/&gt;&lt;div&gt;&lt;h5&gt;&lt;b&gt;Range &lt;/b&gt;personal&lt;/h5&gt;&lt;h5&gt;&lt;b&gt;Targets &lt;/b&gt;you&lt;/h5&gt;&lt;h5&gt;&lt;b&gt;Duration &lt;/b&gt;1 round&lt;/h5&gt;&lt;h5&gt;&lt;b&gt;Saving Throw &lt;/b&gt;no; &lt;b&gt;Spell Resistance &lt;/b&gt;yes&lt;/h5&gt;&lt;/div&gt;&lt;hr/&gt;&lt;div&gt;&lt;h5&gt;&lt;b&gt;DESCRIPTION&lt;/b&gt;&lt;/h5&gt;&lt;/div&gt;&lt;hr/&gt;&lt;div&gt;&lt;h4&gt;&lt;p&gt;Invoking this litany strengthens your defenses. Any enhancement bonus your armor has is doubled and you are immune to fear. While subject to this spell, the target cannot be the target of another spell that has the word "litany" in the title.&lt;/p&gt;&lt;/h4&gt;&lt;/div&gt;</t>
  </si>
  <si>
    <t>Doubles armor's enhancement bonus.</t>
  </si>
  <si>
    <t>Litany of Eloquence</t>
  </si>
  <si>
    <t>antipaladin 2, inquisitor 3, paladin 2</t>
  </si>
  <si>
    <t>Your litany is a fascinating diatribe of grace, causing your target to do nothing but listen. The target is fascinated. While subject to this spell, the target cannot be the target of another spell that has the word "litany" in the title.</t>
  </si>
  <si>
    <t>&lt;p&gt;Your litany is a fascinating diatribe of grace, causing your target to do nothing but listen. The target is fascinated. While subject to this spell, the target cannot be the target of another spell that has the word "litany" in the title.&lt;/p&gt;</t>
  </si>
  <si>
    <t>&lt;link rel="stylesheet"href="PF.css"&gt;&lt;div class="heading"&gt;&lt;p class="alignleft"&gt;Litany of Eloquence&lt;/p&gt;&lt;div style="clear: both;"&gt;&lt;/div&gt;&lt;/div&gt;&lt;div&gt;&lt;h5&gt;&lt;b&gt;School &lt;/b&gt;enchantment (charm) [language-dependent]; &lt;b&gt;Level &lt;/b&gt;antipaladin 2, inquisitor 3, paladin 2&lt;/h5&gt;&lt;/div&gt;&lt;hr/&gt;&lt;div&gt;&lt;h5&gt;&lt;b&gt;CASTING&lt;/b&gt;&lt;/h5&gt;&lt;/div&gt;&lt;hr/&gt;&lt;div&gt;&lt;h5&gt;&lt;b&gt;Casting Time &lt;/b&gt;1 swift action&lt;/h5&gt;&lt;h5&gt;&lt;b&gt;Components &lt;/b&gt;V, S, DF&lt;/h5&gt;&lt;/div&gt;&lt;hr/&gt;&lt;div&gt;&lt;h5&gt;&lt;b&gt;EFFECT&lt;/b&gt;&lt;/h5&gt;&lt;/div&gt;&lt;hr/&gt;&lt;div&gt;&lt;h5&gt;&lt;b&gt;Range &lt;/b&gt;close (25 ft. + 5 ft./2 levels)&lt;/h5&gt;&lt;h5&gt;&lt;b&gt;Targets &lt;/b&gt;one creature&lt;/h5&gt;&lt;h5&gt;&lt;b&gt;Duration &lt;/b&gt;1 round&lt;/h5&gt;&lt;h5&gt;&lt;b&gt;Saving Throw &lt;/b&gt;no; &lt;b&gt;Spell Resistance &lt;/b&gt;yes&lt;/h5&gt;&lt;/div&gt;&lt;hr/&gt;&lt;div&gt;&lt;h5&gt;&lt;b&gt;DESCRIPTION&lt;/b&gt;&lt;/h5&gt;&lt;/div&gt;&lt;hr/&gt;&lt;div&gt;&lt;h4&gt;&lt;p&gt;Your litany is a fascinating diatribe of grace, causing your target to do nothing but listen. The target is fascinated. While subject to this spell, the target cannot be the target of another spell that has the word "litany" in the title.&lt;/p&gt;&lt;/h4&gt;&lt;/div&gt;</t>
  </si>
  <si>
    <t>Fascinates a single creature for 1 round.</t>
  </si>
  <si>
    <t>Litany of Entanglement</t>
  </si>
  <si>
    <t>Your litany conjures chains of energy that lash upward from the ground and hamper the target's movement. The target is entangled. This spell has no effect on flying creatures, or creatures not standing upon solid ground. While subject to this spell, the target cannot be the target of another spell that has the word "litany" in the title.</t>
  </si>
  <si>
    <t>&lt;p&gt;Your litany conjures chains of energy that lash upward from the ground and hamper the target's movement. The target is entangled. This spell has no effect on flying creatures, or creatures not standing upon solid ground. While subject to this spell, the target cannot be the target of another spell that has the word "litany" in the title.&lt;/p&gt;</t>
  </si>
  <si>
    <t>&lt;link rel="stylesheet"href="PF.css"&gt;&lt;div class="heading"&gt;&lt;p class="alignleft"&gt;Litany of Entanglement&lt;/p&gt;&lt;div style="clear: both;"&gt;&lt;/div&gt;&lt;/div&gt;&lt;div&gt;&lt;h5&gt;&lt;b&gt;School &lt;/b&gt;conjuration (calling) [language-dependent]; &lt;b&gt;Level &lt;/b&gt;antipaladin 2, inquisitor 3, paladin 2&lt;/h5&gt;&lt;/div&gt;&lt;hr/&gt;&lt;div&gt;&lt;h5&gt;&lt;b&gt;CASTING&lt;/b&gt;&lt;/h5&gt;&lt;/div&gt;&lt;hr/&gt;&lt;div&gt;&lt;h5&gt;&lt;b&gt;Casting Time &lt;/b&gt;1 swift action&lt;/h5&gt;&lt;h5&gt;&lt;b&gt;Components &lt;/b&gt;V, S, DF&lt;/h5&gt;&lt;/div&gt;&lt;hr/&gt;&lt;div&gt;&lt;h5&gt;&lt;b&gt;EFFECT&lt;/b&gt;&lt;/h5&gt;&lt;/div&gt;&lt;hr/&gt;&lt;div&gt;&lt;h5&gt;&lt;b&gt;Range &lt;/b&gt;close (25 ft. + 5 ft./2 levels)&lt;/h5&gt;&lt;h5&gt;&lt;b&gt;Targets &lt;/b&gt;one creature&lt;/h5&gt;&lt;h5&gt;&lt;b&gt;Duration &lt;/b&gt;1 round&lt;/h5&gt;&lt;h5&gt;&lt;b&gt;Saving Throw &lt;/b&gt;Will negates; &lt;b&gt;Spell Resistance &lt;/b&gt;yes&lt;/h5&gt;&lt;/div&gt;&lt;hr/&gt;&lt;div&gt;&lt;h5&gt;&lt;b&gt;DESCRIPTION&lt;/b&gt;&lt;/h5&gt;&lt;/div&gt;&lt;hr/&gt;&lt;div&gt;&lt;h4&gt;&lt;p&gt;Your litany conjures chains of energy that lash upward from the ground and hamper the target's movement. The target is entangled. This spell has no effect on flying creatures, or creatures not standing upon solid ground. While subject to this spell, the target cannot be the target of another spell that has the word "litany" in the title.&lt;/p&gt;&lt;/h4&gt;&lt;/div&gt;</t>
  </si>
  <si>
    <t>Entangles a creature for 1 round.</t>
  </si>
  <si>
    <t>Litany of Escape</t>
  </si>
  <si>
    <t>antipaladin 3, inquisitor 4, paladin 3</t>
  </si>
  <si>
    <t>one willing creature that is grappled</t>
  </si>
  <si>
    <t>With a powerful prayer, you call upon the servants of your god to whisk a friend out of a grapple. The target loses the grappled and pinned conditions and is teleported 10 feet.</t>
  </si>
  <si>
    <t>&lt;p&gt;With a powerful prayer, you call upon the servants of your god to whisk a friend out of a grapple. The target loses the grappled and pinned conditions and is teleported 10 feet.&lt;/p&gt;</t>
  </si>
  <si>
    <t>&lt;link rel="stylesheet"href="PF.css"&gt;&lt;div class="heading"&gt;&lt;p class="alignleft"&gt;Litany of Escape&lt;/p&gt;&lt;div style="clear: both;"&gt;&lt;/div&gt;&lt;/div&gt;&lt;div&gt;&lt;h5&gt;&lt;b&gt;School &lt;/b&gt;conjuration (teleportation) [language-dependent]; &lt;b&gt;Level &lt;/b&gt;antipaladin 3, inquisitor 4, paladin 3&lt;/h5&gt;&lt;/div&gt;&lt;hr/&gt;&lt;div&gt;&lt;h5&gt;&lt;b&gt;CASTING&lt;/b&gt;&lt;/h5&gt;&lt;/div&gt;&lt;hr/&gt;&lt;div&gt;&lt;h5&gt;&lt;b&gt;Casting Time &lt;/b&gt;1 swift action&lt;/h5&gt;&lt;h5&gt;&lt;b&gt;Components &lt;/b&gt;V, S, DF&lt;/h5&gt;&lt;/div&gt;&lt;hr/&gt;&lt;div&gt;&lt;h5&gt;&lt;b&gt;EFFECT&lt;/b&gt;&lt;/h5&gt;&lt;/div&gt;&lt;hr/&gt;&lt;div&gt;&lt;h5&gt;&lt;b&gt;Range &lt;/b&gt;close (25 ft. + 5 ft./2 levels)&lt;/h5&gt;&lt;h5&gt;&lt;b&gt;Targets &lt;/b&gt;one willing creature that is grappled&lt;/h5&gt;&lt;h5&gt;&lt;b&gt;Duration &lt;/b&gt;instantaneous&lt;/h5&gt;&lt;h5&gt;&lt;b&gt;Saving Throw &lt;/b&gt;no; &lt;b&gt;Spell Resistance &lt;/b&gt;yes&lt;/h5&gt;&lt;/div&gt;&lt;hr/&gt;&lt;div&gt;&lt;h5&gt;&lt;b&gt;DESCRIPTION&lt;/b&gt;&lt;/h5&gt;&lt;/div&gt;&lt;hr/&gt;&lt;div&gt;&lt;h4&gt;&lt;p&gt;With a powerful prayer, you call upon the servants of your god to whisk a friend out of a grapple. The target loses the grappled and pinned conditions and is teleported 10 feet.&lt;/p&gt;&lt;/h4&gt;&lt;/div&gt;</t>
  </si>
  <si>
    <t>Teleports a friend out of a grapple.</t>
  </si>
  <si>
    <t>Litany of Madness</t>
  </si>
  <si>
    <t>antipaladin 4, inquisitor 6</t>
  </si>
  <si>
    <t>1 or more rounds (see below)</t>
  </si>
  <si>
    <t>no, see below</t>
  </si>
  <si>
    <t>This litany is a sermon of madness. The target is confused. At the start of each of its turns, it can make a saving throw against the confused effect (DC of the spell). If the target fails the save, it continues to be confused. If it makes the save, the effect ends. While subject to this spell, the target cannot be the target of another spell that has the word "litany" in the title.</t>
  </si>
  <si>
    <t>&lt;p&gt;This litany is a sermon of madness. The target is confused. At the start of each of its turns, it can make a saving throw against the confused effect (DC of the spell). If the target fails the save, it continues to be confused. If it makes the save, the effect ends. While subject to this spell, the target cannot be the target of another spell that has the word "litany" in the title.&lt;/p&gt;</t>
  </si>
  <si>
    <t>&lt;link rel="stylesheet"href="PF.css"&gt;&lt;div class="heading"&gt;&lt;p class="alignleft"&gt;Litany of Madness&lt;/p&gt;&lt;div style="clear: both;"&gt;&lt;/div&gt;&lt;/div&gt;&lt;div&gt;&lt;h5&gt;&lt;b&gt;School &lt;/b&gt;enchantment (charm) [language-dependent]; &lt;b&gt;Level &lt;/b&gt;antipaladin 4, inquisitor 6&lt;/h5&gt;&lt;/div&gt;&lt;hr/&gt;&lt;div&gt;&lt;h5&gt;&lt;b&gt;CASTING&lt;/b&gt;&lt;/h5&gt;&lt;/div&gt;&lt;hr/&gt;&lt;div&gt;&lt;h5&gt;&lt;b&gt;Casting Time &lt;/b&gt;1 swift action&lt;/h5&gt;&lt;h5&gt;&lt;b&gt;Components &lt;/b&gt;V, S, DF&lt;/h5&gt;&lt;/div&gt;&lt;hr/&gt;&lt;div&gt;&lt;h5&gt;&lt;b&gt;EFFECT&lt;/b&gt;&lt;/h5&gt;&lt;/div&gt;&lt;hr/&gt;&lt;div&gt;&lt;h5&gt;&lt;b&gt;Range &lt;/b&gt;close (25 ft. + 5 ft./2 levels)&lt;/h5&gt;&lt;h5&gt;&lt;b&gt;Targets &lt;/b&gt;one creature&lt;/h5&gt;&lt;h5&gt;&lt;b&gt;Duration &lt;/b&gt;1 or more rounds (see below)&lt;/h5&gt;&lt;h5&gt;&lt;b&gt;Saving Throw &lt;/b&gt;no, see below; &lt;b&gt;Spell Resistance &lt;/b&gt;yes&lt;/h5&gt;&lt;/div&gt;&lt;hr/&gt;&lt;div&gt;&lt;h5&gt;&lt;b&gt;DESCRIPTION&lt;/b&gt;&lt;/h5&gt;&lt;/div&gt;&lt;hr/&gt;&lt;div&gt;&lt;h4&gt;&lt;p&gt;This litany is a sermon of madness. The target is confused. At the start of each of its turns, it can make a saving throw against the confused effect (DC of the spell). If the target fails the save, it continues to be confused. If it makes the save, the effect ends. While subject to this spell, the target cannot be the target of another spell that has the word "litany" in the title.&lt;/p&gt;&lt;/h4&gt;&lt;/div&gt;</t>
  </si>
  <si>
    <t>A single target is confused for at least 1 round.</t>
  </si>
  <si>
    <t>Litany of Righteousness</t>
  </si>
  <si>
    <t>good, language-dependent</t>
  </si>
  <si>
    <t>Calling down a litany of anathema, you make an evil more susceptible to the attacks of good creatures. If the target is evil, it takes double damage from attacks made by creatures with a good aura (from a class feature or as a creature with the good subtype). If the target also has the evil subtype; when it is hit with attacks made by creatures with a good aura, it is also dazzled for 1d4 rounds. If this spell targets a nonevil creature (or one that lacks the evil subtype), it has no effect, and the spell is wasted. While subject to this spell, the target cannot be the target of another spell that has the word "litany" in the title.</t>
  </si>
  <si>
    <t>&lt;p&gt;Calling down a litany of anathema, you make an evil more susceptible to the attacks of good creatures. If the target is evil, it takes double damage from attacks made by creatures with a good aura (from a class feature or as a creature with the good subtype). If the target also has the evil subtype; when it is hit with attacks made by creatures with a good aura, it is also dazzled for 1d4 rounds. If this spell targets a nonevil creature (or one that lacks the evil subtype), it has no effect, and the spell is wasted. While subject to this spell, the target cannot be the target of another spell that has the word "litany" in the title.&lt;/p&gt;</t>
  </si>
  <si>
    <t>&lt;link rel="stylesheet"href="PF.css"&gt;&lt;div class="heading"&gt;&lt;p class="alignleft"&gt;Litany of Righteousness&lt;/p&gt;&lt;div style="clear: both;"&gt;&lt;/div&gt;&lt;/div&gt;&lt;div&gt;&lt;h5&gt;&lt;b&gt;School &lt;/b&gt;evocation [good, language-dependent]; &lt;b&gt;Level &lt;/b&gt;inquisitor 3, paladin 2&lt;/h5&gt;&lt;/div&gt;&lt;hr/&gt;&lt;div&gt;&lt;h5&gt;&lt;b&gt;CASTING&lt;/b&gt;&lt;/h5&gt;&lt;/div&gt;&lt;hr/&gt;&lt;div&gt;&lt;h5&gt;&lt;b&gt;Casting Time &lt;/b&gt;1 swift action&lt;/h5&gt;&lt;h5&gt;&lt;b&gt;Components &lt;/b&gt;V, S, DF&lt;/h5&gt;&lt;/div&gt;&lt;hr/&gt;&lt;div&gt;&lt;h5&gt;&lt;b&gt;EFFECT&lt;/b&gt;&lt;/h5&gt;&lt;/div&gt;&lt;hr/&gt;&lt;div&gt;&lt;h5&gt;&lt;b&gt;Range &lt;/b&gt;close (25 ft. + 5 ft./2 levels)&lt;/h5&gt;&lt;h5&gt;&lt;b&gt;Targets &lt;/b&gt;one creature&lt;/h5&gt;&lt;h5&gt;&lt;b&gt;Duration &lt;/b&gt;1 round&lt;/h5&gt;&lt;h5&gt;&lt;b&gt;Saving Throw &lt;/b&gt;no; &lt;b&gt;Spell Resistance &lt;/b&gt;yes&lt;/h5&gt;&lt;/div&gt;&lt;hr/&gt;&lt;div&gt;&lt;h5&gt;&lt;b&gt;DESCRIPTION&lt;/b&gt;&lt;/h5&gt;&lt;/div&gt;&lt;hr/&gt;&lt;div&gt;&lt;h4&gt;&lt;p&gt;Calling down a litany of anathema, you make an evil more susceptible to the attacks of good creatures. If the target is evil, it takes double damage from attacks made by creatures with a good aura (from a class feature or as a creature with the good subtype). If the target also has the evil subtype; when it is hit with attacks made by creatures with a good aura, it is also dazzled for 1d4 rounds. If this spell targets a nonevil creature (or one that lacks the evil subtype), it has no effect, and the spell is wasted. While subject to this spell, the target cannot be the target of another spell that has the word "litany" in the title.&lt;/p&gt;&lt;/h4&gt;&lt;/div&gt;</t>
  </si>
  <si>
    <t>A single evil creature takes more damage from creatures with a good aura.</t>
  </si>
  <si>
    <t>Litany of Sight</t>
  </si>
  <si>
    <t>This litany reveals the unseen to you. You can see invisible creatures and objects within 30 feet. While subject to this spell, the target cannot be the target of another spell that has the word "litany" in the title.</t>
  </si>
  <si>
    <t>&lt;p&gt;This litany reveals the unseen to you. You can see invisible creatures and objects within 30 feet. While subject to this spell, the target cannot be the target of another spell that has the word "litany" in the title.&lt;/p&gt;</t>
  </si>
  <si>
    <t>&lt;link rel="stylesheet"href="PF.css"&gt;&lt;div class="heading"&gt;&lt;p class="alignleft"&gt;Litany of Sight&lt;/p&gt;&lt;div style="clear: both;"&gt;&lt;/div&gt;&lt;/div&gt;&lt;div&gt;&lt;h5&gt;&lt;b&gt;School &lt;/b&gt;divination; &lt;b&gt;Level &lt;/b&gt;antipaladin 3, inquisitor 4, paladin 3&lt;/h5&gt;&lt;/div&gt;&lt;hr/&gt;&lt;div&gt;&lt;h5&gt;&lt;b&gt;CASTING&lt;/b&gt;&lt;/h5&gt;&lt;/div&gt;&lt;hr/&gt;&lt;div&gt;&lt;h5&gt;&lt;b&gt;Casting Time &lt;/b&gt;1 swift action&lt;/h5&gt;&lt;h5&gt;&lt;b&gt;Components &lt;/b&gt;V, S, DF&lt;/h5&gt;&lt;/div&gt;&lt;hr/&gt;&lt;div&gt;&lt;h5&gt;&lt;b&gt;EFFECT&lt;/b&gt;&lt;/h5&gt;&lt;/div&gt;&lt;hr/&gt;&lt;div&gt;&lt;h5&gt;&lt;b&gt;Range &lt;/b&gt;personal&lt;/h5&gt;&lt;h5&gt;&lt;b&gt;Targets &lt;/b&gt;you&lt;/h5&gt;&lt;h5&gt;&lt;b&gt;Duration &lt;/b&gt;1 round&lt;/h5&gt;&lt;h5&gt;&lt;b&gt;Saving Throw &lt;/b&gt;no; &lt;b&gt;Spell Resistance &lt;/b&gt;yes&lt;/h5&gt;&lt;/div&gt;&lt;hr/&gt;&lt;div&gt;&lt;h5&gt;&lt;b&gt;DESCRIPTION&lt;/b&gt;&lt;/h5&gt;&lt;/div&gt;&lt;hr/&gt;&lt;div&gt;&lt;h4&gt;&lt;p&gt;This litany reveals the unseen to you. You can see invisible creatures and objects within 30 feet. While subject to this spell, the target cannot be the target of another spell that has the word "litany" in the title.&lt;/p&gt;&lt;/h4&gt;&lt;/div&gt;</t>
  </si>
  <si>
    <t>You can see invisible creatures and objects within 30 feet of you.</t>
  </si>
  <si>
    <t>Litany of Sloth</t>
  </si>
  <si>
    <t>antipaladin 1, inquisitor 1, paladin 1</t>
  </si>
  <si>
    <t>With a litany against the wages of sloth, you slow the target's defenses. The target cannot make attacks of opportunity or cast spells defensively. While subject to this spell, the target cannot be the target of another spell that has the word "litany" in the title.</t>
  </si>
  <si>
    <t>&lt;p&gt;With a litany against the wages of sloth, you slow the target's defenses. The target cannot make attacks of opportunity or cast spells defensively. While subject to this spell, the target cannot be the target of another spell that has the word "litany" in the title.&lt;/p&gt;</t>
  </si>
  <si>
    <t>&lt;link rel="stylesheet"href="PF.css"&gt;&lt;div class="heading"&gt;&lt;p class="alignleft"&gt;Litany of Sloth&lt;/p&gt;&lt;div style="clear: both;"&gt;&lt;/div&gt;&lt;/div&gt;&lt;div&gt;&lt;h5&gt;&lt;b&gt;School &lt;/b&gt;enchantment (compulsion) [language-dependent, mind-affecting]; &lt;b&gt;Level &lt;/b&gt;antipaladin 1, inquisitor 1, paladin 1&lt;/h5&gt;&lt;/div&gt;&lt;hr/&gt;&lt;div&gt;&lt;h5&gt;&lt;b&gt;CASTING&lt;/b&gt;&lt;/h5&gt;&lt;/div&gt;&lt;hr/&gt;&lt;div&gt;&lt;h5&gt;&lt;b&gt;Casting Time &lt;/b&gt;1 swift action&lt;/h5&gt;&lt;h5&gt;&lt;b&gt;Components &lt;/b&gt;V, S, DF&lt;/h5&gt;&lt;/div&gt;&lt;hr/&gt;&lt;div&gt;&lt;h5&gt;&lt;b&gt;EFFECT&lt;/b&gt;&lt;/h5&gt;&lt;/div&gt;&lt;hr/&gt;&lt;div&gt;&lt;h5&gt;&lt;b&gt;Range &lt;/b&gt;close (25 ft. + 5 ft./2 levels)&lt;/h5&gt;&lt;h5&gt;&lt;b&gt;Targets &lt;/b&gt;one creature&lt;/h5&gt;&lt;h5&gt;&lt;b&gt;Duration &lt;/b&gt;1 round&lt;/h5&gt;&lt;h5&gt;&lt;b&gt;Saving Throw &lt;/b&gt;no; &lt;b&gt;Spell Resistance &lt;/b&gt;yes&lt;/h5&gt;&lt;/div&gt;&lt;hr/&gt;&lt;div&gt;&lt;h5&gt;&lt;b&gt;DESCRIPTION&lt;/b&gt;&lt;/h5&gt;&lt;/div&gt;&lt;hr/&gt;&lt;div&gt;&lt;h4&gt;&lt;p&gt;With a litany against the wages of sloth, you slow the target's defenses. The target cannot make attacks of opportunity or cast spells defensively. While subject to this spell, the target cannot be the target of another spell that has the word "litany" in the title.&lt;/p&gt;&lt;/h4&gt;&lt;/div&gt;</t>
  </si>
  <si>
    <t>Single target cannot make attacks of opportunity for 1 round.</t>
  </si>
  <si>
    <t>Litany of Thunder</t>
  </si>
  <si>
    <t>language-dependent, sonic</t>
  </si>
  <si>
    <t>You call down a thunderous boom upon your enemy. The target becomes deafened until the condition is removed, and is confused for 1 round. While subject to this spell, the target cannot be the target of another spell that has the word "litany" in the title.</t>
  </si>
  <si>
    <t>&lt;p&gt;You call down a thunderous boom upon your enemy. The target becomes deafened until the condition is removed, and is confused for 1 round. While subject to this spell, the target cannot be the target of another spell that has the word "litany" in the title.&lt;/p&gt;</t>
  </si>
  <si>
    <t>&lt;link rel="stylesheet"href="PF.css"&gt;&lt;div class="heading"&gt;&lt;p class="alignleft"&gt;Litany of Thunder&lt;/p&gt;&lt;div style="clear: both;"&gt;&lt;/div&gt;&lt;/div&gt;&lt;div&gt;&lt;h5&gt;&lt;b&gt;School &lt;/b&gt;evocation [language-dependent, sonic]; &lt;b&gt;Level &lt;/b&gt;antipaladin 4, inquisitor 5, paladin 4&lt;/h5&gt;&lt;/div&gt;&lt;hr/&gt;&lt;div&gt;&lt;h5&gt;&lt;b&gt;CASTING&lt;/b&gt;&lt;/h5&gt;&lt;/div&gt;&lt;hr/&gt;&lt;div&gt;&lt;h5&gt;&lt;b&gt;Casting Time &lt;/b&gt;1 swift action&lt;/h5&gt;&lt;h5&gt;&lt;b&gt;Components &lt;/b&gt;V, S, DF&lt;/h5&gt;&lt;/div&gt;&lt;hr/&gt;&lt;div&gt;&lt;h5&gt;&lt;b&gt;EFFECT&lt;/b&gt;&lt;/h5&gt;&lt;/div&gt;&lt;hr/&gt;&lt;div&gt;&lt;h5&gt;&lt;b&gt;Range &lt;/b&gt;close (25 ft. + 5 ft./2 levels)&lt;/h5&gt;&lt;h5&gt;&lt;b&gt;Targets &lt;/b&gt;one creature&lt;/h5&gt;&lt;h5&gt;&lt;b&gt;Duration &lt;/b&gt;1 round&lt;/h5&gt;&lt;h5&gt;&lt;b&gt;Saving Throw &lt;/b&gt;Fortitude negates; &lt;b&gt;Spell Resistance &lt;/b&gt;yes&lt;/h5&gt;&lt;/div&gt;&lt;hr/&gt;&lt;div&gt;&lt;h5&gt;&lt;b&gt;DESCRIPTION&lt;/b&gt;&lt;/h5&gt;&lt;/div&gt;&lt;hr/&gt;&lt;div&gt;&lt;h4&gt;&lt;p&gt;You call down a thunderous boom upon your enemy. The target becomes deafened until the condition is removed, and is confused for 1 round. While subject to this spell, the target cannot be the target of another spell that has the word "litany" in the title.&lt;/p&gt;&lt;/h4&gt;&lt;/div&gt;</t>
  </si>
  <si>
    <t>A single target is deafened until the condition is removed, and is confused for 1 round.</t>
  </si>
  <si>
    <t>Litany of Vengeance</t>
  </si>
  <si>
    <t>This litany causes your enemy to feel the pain of blows more sharply. Anyone who hits the target with an attack gains a +5 sacred or profane bonus (depending on the alignment of the caster) to that attack's damage. While subject to this spell, the target cannot be the target of another spell that has the word "litany" in the title.</t>
  </si>
  <si>
    <t>&lt;p&gt;This litany causes your enemy to feel the pain of blows more sharply. Anyone who hits the target with an attack gains a +5 sacred or profane bonus (depending on the alignment of the caster) to that attack's damage. While subject to this spell, the target cannot be the target of another spell that has the word "litany" in the title.&lt;/p&gt;</t>
  </si>
  <si>
    <t>&lt;link rel="stylesheet"href="PF.css"&gt;&lt;div class="heading"&gt;&lt;p class="alignleft"&gt;Litany of Vengeance&lt;/p&gt;&lt;div style="clear: both;"&gt;&lt;/div&gt;&lt;/div&gt;&lt;div&gt;&lt;h5&gt;&lt;b&gt;School &lt;/b&gt;transmutation [language-dependent]; &lt;b&gt;Level &lt;/b&gt;antipaladin 4, inquisitor 5, paladin 4&lt;/h5&gt;&lt;/div&gt;&lt;hr/&gt;&lt;div&gt;&lt;h5&gt;&lt;b&gt;CASTING&lt;/b&gt;&lt;/h5&gt;&lt;/div&gt;&lt;hr/&gt;&lt;div&gt;&lt;h5&gt;&lt;b&gt;Casting Time &lt;/b&gt;1 swift action&lt;/h5&gt;&lt;h5&gt;&lt;b&gt;Components &lt;/b&gt;V, S, DF&lt;/h5&gt;&lt;/div&gt;&lt;hr/&gt;&lt;div&gt;&lt;h5&gt;&lt;b&gt;EFFECT&lt;/b&gt;&lt;/h5&gt;&lt;/div&gt;&lt;hr/&gt;&lt;div&gt;&lt;h5&gt;&lt;b&gt;Range &lt;/b&gt;close (25 ft. + 5 ft./2 levels)&lt;/h5&gt;&lt;h5&gt;&lt;b&gt;Targets &lt;/b&gt;one creature&lt;/h5&gt;&lt;h5&gt;&lt;b&gt;Duration &lt;/b&gt;instantaneous&lt;/h5&gt;&lt;h5&gt;&lt;b&gt;Saving Throw &lt;/b&gt;no; &lt;b&gt;Spell Resistance &lt;/b&gt;yes&lt;/h5&gt;&lt;/div&gt;&lt;hr/&gt;&lt;div&gt;&lt;h5&gt;&lt;b&gt;DESCRIPTION&lt;/b&gt;&lt;/h5&gt;&lt;/div&gt;&lt;hr/&gt;&lt;div&gt;&lt;h4&gt;&lt;p&gt;This litany causes your enemy to feel the pain of blows more sharply. Anyone who hits the target with an attack gains a +5 sacred or profane bonus (depending on the alignment of the caster) to that attack's damage. While subject to this spell, the target cannot be the target of another spell that has the word "litany" in the title.&lt;/p&gt;&lt;/h4&gt;&lt;/div&gt;</t>
  </si>
  <si>
    <t>Allies attacking the target of the spell gain a +5 bonus on damage rolls for 1 round.</t>
  </si>
  <si>
    <t>Litany of Warding</t>
  </si>
  <si>
    <t>With this litany, you become more aware of your opponents. You can make two additional attacks of opportunity this round. Furthermore, you gain a +2 sacred bonus to AC against attacks of opportunity. While subject to this spell, the target cannot be the target of another spell that has the word "litany" in the title.</t>
  </si>
  <si>
    <t>&lt;p&gt;With this litany, you become more aware of your opponents. You can make two additional attacks of opportunity this round. Furthermore, you gain a +2 sacred bonus to AC against attacks of opportunity. While subject to this spell, the target cannot be the target of another spell that has the word "litany" in the title.&lt;/p&gt;</t>
  </si>
  <si>
    <t>&lt;link rel="stylesheet"href="PF.css"&gt;&lt;div class="heading"&gt;&lt;p class="alignleft"&gt;Litany of Warding&lt;/p&gt;&lt;div style="clear: both;"&gt;&lt;/div&gt;&lt;/div&gt;&lt;div&gt;&lt;h5&gt;&lt;b&gt;School &lt;/b&gt;transmutation; &lt;b&gt;Level &lt;/b&gt;antipaladin 2, inquisitor 3, paladin 2&lt;/h5&gt;&lt;/div&gt;&lt;hr/&gt;&lt;div&gt;&lt;h5&gt;&lt;b&gt;CASTING&lt;/b&gt;&lt;/h5&gt;&lt;/div&gt;&lt;hr/&gt;&lt;div&gt;&lt;h5&gt;&lt;b&gt;Casting Time &lt;/b&gt;1 swift action&lt;/h5&gt;&lt;h5&gt;&lt;b&gt;Components &lt;/b&gt;V, S, DF&lt;/h5&gt;&lt;/div&gt;&lt;hr/&gt;&lt;div&gt;&lt;h5&gt;&lt;b&gt;EFFECT&lt;/b&gt;&lt;/h5&gt;&lt;/div&gt;&lt;hr/&gt;&lt;div&gt;&lt;h5&gt;&lt;b&gt;Range &lt;/b&gt;personal&lt;/h5&gt;&lt;h5&gt;&lt;b&gt;Targets &lt;/b&gt;you&lt;/h5&gt;&lt;h5&gt;&lt;b&gt;Duration &lt;/b&gt;1 round&lt;/h5&gt;&lt;/div&gt;&lt;hr/&gt;&lt;div&gt;&lt;h5&gt;&lt;b&gt;DESCRIPTION&lt;/b&gt;&lt;/h5&gt;&lt;/div&gt;&lt;hr/&gt;&lt;div&gt;&lt;h4&gt;&lt;p&gt;With this litany, you become more aware of your opponents. You can make two additional attacks of opportunity this round. Furthermore, you gain a +2 sacred bonus to AC against attacks of opportunity. While subject to this spell, the target cannot be the target of another spell that has the word "litany" in the title.&lt;/p&gt;&lt;/h4&gt;&lt;/div&gt;</t>
  </si>
  <si>
    <t>You gain two additional attacks of opportunity for 1 round.</t>
  </si>
  <si>
    <t>Litany of Weakness</t>
  </si>
  <si>
    <t>antipaladin 1, inquisitor 1</t>
  </si>
  <si>
    <t>Your litany proclaims your target weak, sapping its strength. The target is fatigued for 1 round. While subject to this spell, the target cannot be the target of another spell that has the word "litany" in the title.</t>
  </si>
  <si>
    <t>&lt;p&gt;Your litany proclaims your target weak, sapping its strength. The target is fatigued for 1 round. While subject to this spell, the target cannot be the target of another spell that has the word "litany" in the title.&lt;/p&gt;</t>
  </si>
  <si>
    <t>&lt;link rel="stylesheet"href="PF.css"&gt;&lt;div class="heading"&gt;&lt;p class="alignleft"&gt;Litany of Weakness&lt;/p&gt;&lt;div style="clear: both;"&gt;&lt;/div&gt;&lt;/div&gt;&lt;div&gt;&lt;h5&gt;&lt;b&gt;School &lt;/b&gt;necromancy [language-dependent]; &lt;b&gt;Level &lt;/b&gt;antipaladin 1, inquisitor 1&lt;/h5&gt;&lt;/div&gt;&lt;hr/&gt;&lt;div&gt;&lt;h5&gt;&lt;b&gt;CASTING&lt;/b&gt;&lt;/h5&gt;&lt;/div&gt;&lt;hr/&gt;&lt;div&gt;&lt;h5&gt;&lt;b&gt;Casting Time &lt;/b&gt;1 swift action&lt;/h5&gt;&lt;h5&gt;&lt;b&gt;Components &lt;/b&gt;V, S, DF&lt;/h5&gt;&lt;/div&gt;&lt;hr/&gt;&lt;div&gt;&lt;h5&gt;&lt;b&gt;EFFECT&lt;/b&gt;&lt;/h5&gt;&lt;/div&gt;&lt;hr/&gt;&lt;div&gt;&lt;h5&gt;&lt;b&gt;Range &lt;/b&gt;close (25 ft. + 5 ft./2 levels)&lt;/h5&gt;&lt;h5&gt;&lt;b&gt;Targets &lt;/b&gt;one creature&lt;/h5&gt;&lt;h5&gt;&lt;b&gt;Duration &lt;/b&gt;1 round&lt;/h5&gt;&lt;h5&gt;&lt;b&gt;Saving Throw &lt;/b&gt;no; &lt;b&gt;Spell Resistance &lt;/b&gt;yes&lt;/h5&gt;&lt;/div&gt;&lt;hr/&gt;&lt;div&gt;&lt;h5&gt;&lt;b&gt;DESCRIPTION&lt;/b&gt;&lt;/h5&gt;&lt;/div&gt;&lt;hr/&gt;&lt;div&gt;&lt;h4&gt;&lt;p&gt;Your litany proclaims your target weak, sapping its strength. The target is fatigued for 1 round. While subject to this spell, the target cannot be the target of another spell that has the word "litany" in the title.&lt;/p&gt;&lt;/h4&gt;&lt;/div&gt;</t>
  </si>
  <si>
    <t>Single target is fatigued for 1 round.</t>
  </si>
  <si>
    <t>Locate Weakness</t>
  </si>
  <si>
    <t>inquisitor 3, magus 3, ranger 2, sorcerer/wizard 3, witch 3</t>
  </si>
  <si>
    <t>V, S, M/DF (a pickled predator's eye)</t>
  </si>
  <si>
    <t>You can sense your foes' weak points, granting you greater damage with critical hits. Whenever you score a critical hit, roll the attack's damage dice (but not extra or precision damage dice) twice and take the highest result.</t>
  </si>
  <si>
    <t>&lt;p&gt;You can sense your foes' weak points, granting you greater damage with critical hits. Whenever you score a critical hit, roll the attack's damage dice (but not extra or precision damage dice) twice and take the highest result.&lt;/p&gt;</t>
  </si>
  <si>
    <t>&lt;link rel="stylesheet"href="PF.css"&gt;&lt;div class="heading"&gt;&lt;p class="alignleft"&gt;Locate Weakness&lt;/p&gt;&lt;div style="clear: both;"&gt;&lt;/div&gt;&lt;/div&gt;&lt;div&gt;&lt;h5&gt;&lt;b&gt;School &lt;/b&gt;divination; &lt;b&gt;Level &lt;/b&gt;inquisitor 3, magus 3, ranger 2, sorcerer/wizard 3, witch 3&lt;/h5&gt;&lt;/div&gt;&lt;hr/&gt;&lt;div&gt;&lt;h5&gt;&lt;b&gt;CASTING&lt;/b&gt;&lt;/h5&gt;&lt;/div&gt;&lt;hr/&gt;&lt;div&gt;&lt;h5&gt;&lt;b&gt;Casting Time &lt;/b&gt;1 standard action&lt;/h5&gt;&lt;h5&gt;&lt;b&gt;Components &lt;/b&gt;V, S, M/DF (a pickled predator's eye)&lt;/h5&gt;&lt;/div&gt;&lt;hr/&gt;&lt;div&gt;&lt;h5&gt;&lt;b&gt;EFFECT&lt;/b&gt;&lt;/h5&gt;&lt;/div&gt;&lt;hr/&gt;&lt;div&gt;&lt;h5&gt;&lt;b&gt;Range &lt;/b&gt;personal&lt;/h5&gt;&lt;h5&gt;&lt;b&gt;Targets &lt;/b&gt;you&lt;/h5&gt;&lt;h5&gt;&lt;b&gt;Duration &lt;/b&gt;1 minute/level&lt;/h5&gt;&lt;/div&gt;&lt;hr/&gt;&lt;div&gt;&lt;h5&gt;&lt;b&gt;DESCRIPTION&lt;/b&gt;&lt;/h5&gt;&lt;/div&gt;&lt;hr/&gt;&lt;div&gt;&lt;h4&gt;&lt;p&gt;You can sense your foes' weak points, granting you greater damage with critical hits. Whenever you score a critical hit, roll the attack's damage dice (but not extra or precision damage dice) twice and take the highest result.&lt;/p&gt;&lt;/h4&gt;&lt;/div&gt;</t>
  </si>
  <si>
    <t>You roll damage twice when you roll damage for a critical hit and take the best damage.</t>
  </si>
  <si>
    <t>Lock Gaze</t>
  </si>
  <si>
    <t>bard 1, inquisitor 1, magus 1, sorcerer/wizard 1, witch 1</t>
  </si>
  <si>
    <t>You compel the target to look at you and only you for the spell's duration or until the spell is discharged. While staring at you, the target is considered to be averting its eyes from every creature but you, granting creatures other than you concealment against the target's attacks. If the target willingly leaves your line of sight, it is blinded for 1 round and the spell ends. If you willingly leave the target's line of sight or become unconscious or dead, the spell creature suffers no ill effects. Blind creatures and creatures immune to gaze attacks are immune to this spell.</t>
  </si>
  <si>
    <t>&lt;p&gt;You compel the target to look at you and only you for the spell's duration or until the spell is discharged. While staring at you, the target is considered to be averting its eyes from every creature but you, granting creatures other than you concealment against the target's attacks. If the target willingly leaves your line of sight, it is blinded for 1 round and the spell ends. If you willingly leave the target's line of sight or become unconscious or dead, the spell creature suffers no ill effects. Blind creatures and creatures immune to gaze attacks are immune to this spell.&lt;/p&gt;</t>
  </si>
  <si>
    <t>&lt;link rel="stylesheet"href="PF.css"&gt;&lt;div class="heading"&gt;&lt;p class="alignleft"&gt;Lock Gaze&lt;/p&gt;&lt;div style="clear: both;"&gt;&lt;/div&gt;&lt;/div&gt;&lt;div&gt;&lt;h5&gt;&lt;b&gt;School &lt;/b&gt;enchantment (compulsion) [mind-affecting]; &lt;b&gt;Level &lt;/b&gt;bard 1, inquisitor 1, magus 1, sorcerer/wizard 1, witch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&lt;/b&gt;1 round/level&lt;/h5&gt;&lt;h5&gt;&lt;b&gt;Saving Throw &lt;/b&gt;Will negates; &lt;b&gt;Spell Resistance &lt;/b&gt;yes&lt;/h5&gt;&lt;/div&gt;&lt;hr/&gt;&lt;div&gt;&lt;h5&gt;&lt;b&gt;DESCRIPTION&lt;/b&gt;&lt;/h5&gt;&lt;/div&gt;&lt;hr/&gt;&lt;div&gt;&lt;h4&gt;&lt;p&gt;You compel the target to look at you and only you for the spell's duration or until the spell is discharged. While staring at you, the target is considered to be averting its eyes from every creature but you, granting creatures other than you concealment against the target's attacks. If the target willingly leaves your line of sight, it is blinded for 1 round and the spell ends. If you willingly leave the target's line of sight or become unconscious or dead, the spell creature suffers no ill effects. Blind creatures and creatures immune to gaze attacks are immune to this spell.&lt;/p&gt;&lt;/h4&gt;&lt;/div&gt;</t>
  </si>
  <si>
    <t>Compels the target to look only at you for the duration of the spell.</t>
  </si>
  <si>
    <t>Longshot</t>
  </si>
  <si>
    <t>alchemist 1, antipaladin 1, inquisitor 1, magus 1, paladin 1, ranger 1, sorcerer/wizard 1</t>
  </si>
  <si>
    <t>V, S, M/DF (a piece of fletching)</t>
  </si>
  <si>
    <t>This spell reduces the effect of range, granting a +10-foot bonus to the range increment of any weapon used by the subject.</t>
  </si>
  <si>
    <t>&lt;p&gt;This spell reduces the effect of range, granting a +10-foot bonus to the range increment of any weapon used by the subject.&lt;/p&gt;</t>
  </si>
  <si>
    <t>&lt;link rel="stylesheet"href="PF.css"&gt;&lt;div class="heading"&gt;&lt;p class="alignleft"&gt;Longshot&lt;/p&gt;&lt;div style="clear: both;"&gt;&lt;/div&gt;&lt;/div&gt;&lt;div&gt;&lt;h5&gt;&lt;b&gt;School &lt;/b&gt;transmutation; &lt;b&gt;Level &lt;/b&gt;alchemist 1, antipaladin 1, inquisitor 1, magus 1, paladin 1, ranger 1, sorcerer/wizard 1&lt;/h5&gt;&lt;/div&gt;&lt;hr/&gt;&lt;div&gt;&lt;h5&gt;&lt;b&gt;CASTING&lt;/b&gt;&lt;/h5&gt;&lt;/div&gt;&lt;hr/&gt;&lt;div&gt;&lt;h5&gt;&lt;b&gt;Casting Time &lt;/b&gt;1 standard action&lt;/h5&gt;&lt;h5&gt;&lt;b&gt;Components &lt;/b&gt;V, S, M/DF (a piece of fletching)&lt;/h5&gt;&lt;/div&gt;&lt;hr/&gt;&lt;div&gt;&lt;h5&gt;&lt;b&gt;EFFECT&lt;/b&gt;&lt;/h5&gt;&lt;/div&gt;&lt;hr/&gt;&lt;div&gt;&lt;h5&gt;&lt;b&gt;Range &lt;/b&gt;personal&lt;/h5&gt;&lt;h5&gt;&lt;b&gt;Targets &lt;/b&gt;you&lt;/h5&gt;&lt;h5&gt;&lt;b&gt;Duration &lt;/b&gt;1 minute/level&lt;/h5&gt;&lt;/div&gt;&lt;hr/&gt;&lt;div&gt;&lt;h5&gt;&lt;b&gt;DESCRIPTION&lt;/b&gt;&lt;/h5&gt;&lt;/div&gt;&lt;hr/&gt;&lt;div&gt;&lt;h4&gt;&lt;p&gt;This spell reduces the effect of range, granting a +10-foot bonus to the range increment of any weapon used by the subject.&lt;/p&gt;&lt;/h4&gt;&lt;/div&gt;</t>
  </si>
  <si>
    <t>Grants a +10 foot bonus to the range increment for any ranged weapon fired.</t>
  </si>
  <si>
    <t>Magic Siege Engine</t>
  </si>
  <si>
    <t>antipaladin 2, cleric 2/oracle 2, inquisitor 2, paladin 2, sorcerer/wizard 2</t>
  </si>
  <si>
    <t>one siege engine touched</t>
  </si>
  <si>
    <t>This spell permits an indirect fire siege engine to bombard its targets with greater accuracy, delivering more damage. The siege weapon receives a +1 enhancement bonus on targeting rolls and damage rolls. If used on a direct fire siege weapon, this spell acts a magic weapon.</t>
  </si>
  <si>
    <t>&lt;p&gt;This spell permits an indirect fire siege engine to bombard its targets with greater accuracy, delivering more damage. The siege weapon receives a +1 enhancement bonus on targeting rolls and damage rolls. If used on a direct fire siege weapon, this spell acts a &lt;i&gt;magic weapon&lt;/i&gt;.&lt;/p&gt;</t>
  </si>
  <si>
    <t>&lt;link rel="stylesheet"href="PF.css"&gt;&lt;div class="heading"&gt;&lt;p class="alignleft"&gt;Magic Siege Engine&lt;/p&gt;&lt;div style="clear: both;"&gt;&lt;/div&gt;&lt;/div&gt;&lt;div&gt;&lt;h5&gt;&lt;b&gt;School &lt;/b&gt;transmutation; &lt;b&gt;Level &lt;/b&gt;antipaladin 2, cleric 2/oracle 2, inquisitor 2, paladin 2, sorcerer/wizard 2&lt;/h5&gt;&lt;/div&gt;&lt;hr/&gt;&lt;div&gt;&lt;h5&gt;&lt;b&gt;CASTING&lt;/b&gt;&lt;/h5&gt;&lt;/div&gt;&lt;hr/&gt;&lt;div&gt;&lt;h5&gt;&lt;b&gt;Casting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&lt;/b&gt;one siege engine touched&lt;/h5&gt;&lt;h5&gt;&lt;b&gt;Duration &lt;/b&gt;1 minutes/level&lt;/h5&gt;&lt;h5&gt;&lt;b&gt;Saving Throw &lt;/b&gt;Will negates (harmless, object); &lt;b&gt;Spell Resistance &lt;/b&gt;yes (harmless, object)&lt;/h5&gt;&lt;/div&gt;&lt;hr/&gt;&lt;div&gt;&lt;h5&gt;&lt;b&gt;DESCRIPTION&lt;/b&gt;&lt;/h5&gt;&lt;/div&gt;&lt;hr/&gt;&lt;div&gt;&lt;h4&gt;&lt;p&gt;This spell permits an indirect fire siege engine to bombard its targets with greater accuracy, delivering more damage. The siege weapon receives a +1 enhancement bonus on targeting rolls and damage rolls. If used on a direct fire siege weapon, this spell acts a &lt;i&gt;magic weapon&lt;/i&gt;.&lt;/p&gt;&lt;/h4&gt;&lt;/div&gt;</t>
  </si>
  <si>
    <t>Siege engine gains +1 on targeting and damage rolls.</t>
  </si>
  <si>
    <t>Magic Siege Engine, Greater</t>
  </si>
  <si>
    <t>antipaladin 4, cleric 5/oracle 5, inquisitor 4, paladin 4, sorcerer/wizard 4</t>
  </si>
  <si>
    <t>V, S, M/DF (black powder)</t>
  </si>
  <si>
    <t>This spell functions like magic siege weapon, except it gives an indirect fire siege weapon an enhancement bonus on targeting and damage rolls of +1 per four caster levels (maximum +5). If used on a direct-fire siege weapon, this spell functions as greater magic weapon.</t>
  </si>
  <si>
    <t>&lt;p&gt;This spell functions like &lt;i&gt;magic siege weapon&lt;/i&gt;, except it gives an indirect fire siege weapon an enhancement bonus on targeting and damage rolls of +1 per four caster levels (maximum +5). If used on a direct-fire siege weapon, this spell functions as &lt;i&gt;greater magic weapon&lt;/i&gt;.&lt;/p&gt;</t>
  </si>
  <si>
    <t>&lt;link rel="stylesheet"href="PF.css"&gt;&lt;div class="heading"&gt;&lt;p class="alignleft"&gt;Magic Siege Engine, Greater&lt;/p&gt;&lt;div style="clear: both;"&gt;&lt;/div&gt;&lt;/div&gt;&lt;div&gt;&lt;h5&gt;&lt;b&gt;School &lt;/b&gt;transmutation; &lt;b&gt;Level &lt;/b&gt;antipaladin 4, cleric 5/oracle 5, inquisitor 4, paladin 4, sorcerer/wizard 4&lt;/h5&gt;&lt;/div&gt;&lt;hr/&gt;&lt;div&gt;&lt;h5&gt;&lt;b&gt;CASTING&lt;/b&gt;&lt;/h5&gt;&lt;/div&gt;&lt;hr/&gt;&lt;div&gt;&lt;h5&gt;&lt;b&gt;Casting Time &lt;/b&gt;1 standard action&lt;/h5&gt;&lt;h5&gt;&lt;b&gt;Components &lt;/b&gt;V, S, M/DF (black powder)&lt;/h5&gt;&lt;/div&gt;&lt;hr/&gt;&lt;div&gt;&lt;h5&gt;&lt;b&gt;EFFECT&lt;/b&gt;&lt;/h5&gt;&lt;/div&gt;&lt;hr/&gt;&lt;div&gt;&lt;h5&gt;&lt;b&gt;Range &lt;/b&gt;close (25 ft. + 5 ft./2 levels)&lt;/h5&gt;&lt;h5&gt;&lt;b&gt;Targets &lt;/b&gt;one siege engine touched&lt;/h5&gt;&lt;h5&gt;&lt;b&gt;Duration &lt;/b&gt;1 hour/level&lt;/h5&gt;&lt;h5&gt;&lt;b&gt;Saving Throw &lt;/b&gt;Will negates (harmless, object); &lt;b&gt;Spell Resistance &lt;/b&gt;yes (harmless, object)&lt;/h5&gt;&lt;/div&gt;&lt;hr/&gt;&lt;div&gt;&lt;h5&gt;&lt;b&gt;DESCRIPTION&lt;/b&gt;&lt;/h5&gt;&lt;/div&gt;&lt;hr/&gt;&lt;div&gt;&lt;h4&gt;&lt;p&gt;This spell functions like &lt;i&gt;magic siege weapon&lt;/i&gt;, except it gives an indirect fire siege weapon an enhancement bonus on targeting and damage rolls of +1 per four caster levels (maximum +5). If used on a direct-fire siege weapon, this spell functions as &lt;i&gt;greater magic weapon&lt;/i&gt;.&lt;/p&gt;&lt;/h4&gt;&lt;/div&gt;</t>
  </si>
  <si>
    <t>Siege engine gains +1 on targeting and damage rolls for every four caster levels.</t>
  </si>
  <si>
    <t>Mask Dweomer, Communal</t>
  </si>
  <si>
    <t>witch 2</t>
  </si>
  <si>
    <t>creatures or objects touched</t>
  </si>
  <si>
    <t>This spell functions like mask dweomer (Advanced Player's Guide 232), except you divide the duration in 1-day increments among the creatures or objects touched.</t>
  </si>
  <si>
    <t>&lt;p&gt;This spell functions like &lt;i&gt;mask dweomer&lt;/i&gt; (Advanced Player's Guide 232), except you divide the duration in 1-day increments among the creatures or objects touched.&lt;/p&gt;</t>
  </si>
  <si>
    <t>&lt;link rel="stylesheet"href="PF.css"&gt;&lt;div class="heading"&gt;&lt;p class="alignleft"&gt;Mask Dweomer, Communal&lt;/p&gt;&lt;div style="clear: both;"&gt;&lt;/div&gt;&lt;/div&gt;&lt;div&gt;&lt;h5&gt;&lt;b&gt;School &lt;/b&gt;illusion (glamer); &lt;b&gt;Level &lt;/b&gt;witch 2&lt;/h5&gt;&lt;/div&gt;&lt;hr/&gt;&lt;div&gt;&lt;h5&gt;&lt;b&gt;CASTING&lt;/b&gt;&lt;/h5&gt;&lt;/div&gt;&lt;hr/&gt;&lt;div&gt;&lt;h5&gt;&lt;b&gt;Casting Time &lt;/b&gt;1 standard action&lt;/h5&gt;&lt;h5&gt;&lt;b&gt;Components &lt;/b&gt;V, S, M (a piece of gauze)&lt;/h5&gt;&lt;/div&gt;&lt;hr/&gt;&lt;div&gt;&lt;h5&gt;&lt;b&gt;EFFECT&lt;/b&gt;&lt;/h5&gt;&lt;/div&gt;&lt;hr/&gt;&lt;div&gt;&lt;h5&gt;&lt;b&gt;Range &lt;/b&gt;touch&lt;/h5&gt;&lt;h5&gt;&lt;b&gt;Targets &lt;/b&gt;creatures or objects touched&lt;/h5&gt;&lt;h5&gt;&lt;b&gt;Duration &lt;/b&gt;1 day/level (D)&lt;/h5&gt;&lt;h5&gt;&lt;b&gt;Saving Throw &lt;/b&gt;none; see text; &lt;b&gt;Spell Resistance &lt;/b&gt;no&lt;/h5&gt;&lt;/div&gt;&lt;hr/&gt;&lt;div&gt;&lt;h5&gt;&lt;b&gt;DESCRIPTION&lt;/b&gt;&lt;/h5&gt;&lt;/div&gt;&lt;hr/&gt;&lt;div&gt;&lt;h4&gt;&lt;p&gt;This spell functions like &lt;i&gt;mask dweomer&lt;/i&gt; (Advanced Player's Guide 232), except you divide the duration in 1-day increments among the creatures or objects touched.&lt;/p&gt;&lt;/h4&gt;&lt;/div&gt;</t>
  </si>
  <si>
    <t>As mask dweomer, but you may divide the duration among creatures touched.</t>
  </si>
  <si>
    <t>Mind Blank, Communal</t>
  </si>
  <si>
    <t>This spell functions like mind blank, except you divide the duration in 1-hour increments among the creatures touched.</t>
  </si>
  <si>
    <t>&lt;p&gt;This spell functions like &lt;i&gt;mind blank&lt;/i&gt;, except you divide the duration in 1-hour increments among the creatures touched.&lt;/p&gt;</t>
  </si>
  <si>
    <t>&lt;link rel="stylesheet"href="PF.css"&gt;&lt;div class="heading"&gt;&lt;p class="alignleft"&gt;Mind Blank, Communal&lt;/p&gt;&lt;div style="clear: both;"&gt;&lt;/div&gt;&lt;/div&gt;&lt;div&gt;&lt;h5&gt;&lt;b&gt;School &lt;/b&gt;abjuration; &lt;b&gt;Level &lt;/b&gt;sorcerer/wizard 9, witch 9&lt;/h5&gt;&lt;/div&gt;&lt;hr/&gt;&lt;div&gt;&lt;h5&gt;&lt;b&gt;CASTING&lt;/b&gt;&lt;/h5&gt;&lt;/div&gt;&lt;hr/&gt;&lt;div&gt;&lt;h5&gt;&lt;b&gt;Casting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&lt;/b&gt;24 hours&lt;/h5&gt;&lt;h5&gt;&lt;b&gt;Saving Throw &lt;/b&gt;Will negates (harmless); &lt;b&gt;Spell Resistance &lt;/b&gt;yes (harmless)&lt;/h5&gt;&lt;/div&gt;&lt;hr/&gt;&lt;div&gt;&lt;h5&gt;&lt;b&gt;DESCRIPTION&lt;/b&gt;&lt;/h5&gt;&lt;/div&gt;&lt;hr/&gt;&lt;div&gt;&lt;h4&gt;&lt;p&gt;This spell functions like &lt;i&gt;mind blank&lt;/i&gt;, except you divide the duration in 1-hour increments among the creatures touched.&lt;/p&gt;&lt;/h4&gt;&lt;/div&gt;</t>
  </si>
  <si>
    <t>As mind blank, but you may divide the duration among creatures touched.</t>
  </si>
  <si>
    <t>Mirror Strike</t>
  </si>
  <si>
    <t>magus 1, sorcerer/wizard 1</t>
  </si>
  <si>
    <t>V, S, M (a shard of mirror)</t>
  </si>
  <si>
    <t>You briefly alter the flow of time to split a melee attack into two attacks. Before the end of your next turn, when you make your next melee attack roll, compare the result to the AC of two opponents within your reach. If the selected opponents are flanking you, you gain a +2 bonus on your attack roll (and confirmation attack roll, see below). If you hit both enemies, you can deal half damage to each. Hitting only one opponent allows you to deal that opponent normal damage for your attack. On a critical threat, you can make only one attack roll to confirm the critical hit against both opponents. If you confirm against both, you deal half your critical hit damage to each. Your hit is a normal hit rather than a critical if you confirm against only one opponent. If you fail to use the effect before the end of your next turn, the spell ends.</t>
  </si>
  <si>
    <t>&lt;p&gt;You briefly alter the flow of time to split a melee attack into two attacks. Before the end of your next turn, when you make your next melee attack roll, compare the result to the AC of two opponents within your reach. If the selected opponents are flanking you, you gain a +2 bonus on your attack roll (and confirmation attack roll, see below). If you hit both enemies, you can deal half damage to each. Hitting only one opponent allows you to deal that opponent normal damage for your attack. On a critical threat, you can make only one attack roll to confirm the critical hit against both opponents. If you confirm against both, you deal half your critical hit damage to each. Your hit is a normal hit rather than a critical if you confirm against only one opponent. If you fail to use the effect before the end of your next turn, the spell ends.&lt;/p&gt;</t>
  </si>
  <si>
    <t>&lt;link rel="stylesheet"href="PF.css"&gt;&lt;div class="heading"&gt;&lt;p class="alignleft"&gt;Mirror Strike&lt;/p&gt;&lt;div style="clear: both;"&gt;&lt;/div&gt;&lt;/div&gt;&lt;div&gt;&lt;h5&gt;&lt;b&gt;School &lt;/b&gt;transmutation; &lt;b&gt;Level &lt;/b&gt;magus 1, sorcerer/wizard 1&lt;/h5&gt;&lt;/div&gt;&lt;hr/&gt;&lt;div&gt;&lt;h5&gt;&lt;b&gt;CASTING&lt;/b&gt;&lt;/h5&gt;&lt;/div&gt;&lt;hr/&gt;&lt;div&gt;&lt;h5&gt;&lt;b&gt;Casting Time &lt;/b&gt;1 standard action&lt;/h5&gt;&lt;h5&gt;&lt;b&gt;Components &lt;/b&gt;V, S, M (a shard of mirror)&lt;/h5&gt;&lt;/div&gt;&lt;hr/&gt;&lt;div&gt;&lt;h5&gt;&lt;b&gt;EFFECT&lt;/b&gt;&lt;/h5&gt;&lt;/div&gt;&lt;hr/&gt;&lt;div&gt;&lt;h5&gt;&lt;b&gt;Range &lt;/b&gt;personal&lt;/h5&gt;&lt;h5&gt;&lt;b&gt;Targets &lt;/b&gt;you&lt;/h5&gt;&lt;h5&gt;&lt;b&gt;Duration &lt;/b&gt;see text&lt;/h5&gt;&lt;/div&gt;&lt;hr/&gt;&lt;div&gt;&lt;h5&gt;&lt;b&gt;DESCRIPTION&lt;/b&gt;&lt;/h5&gt;&lt;/div&gt;&lt;hr/&gt;&lt;div&gt;&lt;h4&gt;&lt;p&gt;You briefly alter the flow of time to split a melee attack into two attacks. Before the end of your next turn, when you make your next melee attack roll, compare the result to the AC of two opponents within your reach. If the selected opponents are flanking you, you gain a +2 bonus on your attack roll (and confirmation attack roll, see below). If you hit both enemies, you can deal half damage to each. Hitting only one opponent allows you to deal that opponent normal damage for your attack. On a critical threat, you can make only one attack roll to confirm the critical hit against both opponents. If you confirm against both, you deal half your critical hit damage to each. Your hit is a normal hit rather than a critical if you confirm against only one opponent. If you fail to use the effect before the end of your next turn, the spell ends.&lt;/p&gt;&lt;/h4&gt;&lt;/div&gt;</t>
  </si>
  <si>
    <t>You may strike multiple opponents with a single attack.</t>
  </si>
  <si>
    <t>Moment of Greatness</t>
  </si>
  <si>
    <t>V, S, M/DF (rabbit fur)</t>
  </si>
  <si>
    <t>The caster and allies within a 50-ft. burst centered on the caster</t>
  </si>
  <si>
    <t>Each creature affected by this spell is given the potential for greater success and glory. If the affected creature is benefiting from a morale bonus of any type, it can double that morale bonus on one roll or check, before making the roll. Once an affected creature uses this spell's effect, the spell is discharged for that subject.</t>
  </si>
  <si>
    <t>&lt;p&gt;Each creature affected by this spell is given the potential for greater success and glory. If the affected creature is benefiting from a morale bonus of any type, it can double that morale bonus on one roll or check, before making the roll. Once an affected creature uses this spell's effect, the spell is discharged for that subject.&lt;/p&gt;</t>
  </si>
  <si>
    <t>&lt;link rel="stylesheet"href="PF.css"&gt;&lt;div class="heading"&gt;&lt;p class="alignleft"&gt;Moment of Greatness&lt;/p&gt;&lt;div style="clear: both;"&gt;&lt;/div&gt;&lt;/div&gt;&lt;div&gt;&lt;h5&gt;&lt;b&gt;School &lt;/b&gt;enchantment (compulsion) [mind-affecting]; &lt;b&gt;Level &lt;/b&gt;bard 1, cleric 1/oracle 1, sorcerer/wizard 1&lt;/h5&gt;&lt;/div&gt;&lt;hr/&gt;&lt;div&gt;&lt;h5&gt;&lt;b&gt;CASTING&lt;/b&gt;&lt;/h5&gt;&lt;/div&gt;&lt;hr/&gt;&lt;div&gt;&lt;h5&gt;&lt;b&gt;Casting Time &lt;/b&gt;1 standard action&lt;/h5&gt;&lt;h5&gt;&lt;b&gt;Components &lt;/b&gt;V, S, M/DF (rabbit fur)&lt;/h5&gt;&lt;/div&gt;&lt;hr/&gt;&lt;div&gt;&lt;h5&gt;&lt;b&gt;EFFECT&lt;/b&gt;&lt;/h5&gt;&lt;/div&gt;&lt;hr/&gt;&lt;div&gt;&lt;h5&gt;&lt;b&gt;Range &lt;/b&gt;50 ft.&lt;/h5&gt;&lt;h5&gt;&lt;b&gt;Targets &lt;/b&gt;The caster and allies within a 50-ft. burst centered on the caster&lt;/h5&gt;&lt;h5&gt;&lt;b&gt;Duration &lt;/b&gt;1 minute/level or until discharged&lt;/h5&gt;&lt;h5&gt;&lt;b&gt;Saving Throw &lt;/b&gt;none; &lt;b&gt;Spell Resistance &lt;/b&gt;yes (harmless)&lt;/h5&gt;&lt;/div&gt;&lt;hr/&gt;&lt;div&gt;&lt;h5&gt;&lt;b&gt;DESCRIPTION&lt;/b&gt;&lt;/h5&gt;&lt;/div&gt;&lt;hr/&gt;&lt;div&gt;&lt;h4&gt;&lt;p&gt;Each creature affected by this spell is given the potential for greater success and glory. If the affected creature is benefiting from a morale bonus of any type, it can double that morale bonus on one roll or check, before making the roll. Once an affected creature uses this spell's effect, the spell is discharged for that subject.&lt;/p&gt;&lt;/h4&gt;&lt;/div&gt;</t>
  </si>
  <si>
    <t>Doubles a morale bonus.</t>
  </si>
  <si>
    <t>Mount, Communal</t>
  </si>
  <si>
    <t>magus 2, sorcerer/wizard 2, summoner 2, witch 2</t>
  </si>
  <si>
    <t>up to six mounts</t>
  </si>
  <si>
    <t>This spell functions like mount, except you can summon up to six light horses or ponies, and you divide the duration in 2-hour increments among the steeds summoned.</t>
  </si>
  <si>
    <t>&lt;p&gt;This spell functions like &lt;i&gt;mount&lt;/i&gt;, except you can summon up to six light horses or ponies, and you divide the duration in 2-hour increments among the steeds summoned.&lt;/p&gt;</t>
  </si>
  <si>
    <t>&lt;link rel="stylesheet"href="PF.css"&gt;&lt;div class="heading"&gt;&lt;p class="alignleft"&gt;Mount, Communal&lt;/p&gt;&lt;div style="clear: both;"&gt;&lt;/div&gt;&lt;/div&gt;&lt;div&gt;&lt;h5&gt;&lt;b&gt;School &lt;/b&gt;conjuration (summoning); &lt;b&gt;Level &lt;/b&gt;magus 2, sorcerer/wizard 2, summoner 2, witch 2&lt;/h5&gt;&lt;/div&gt;&lt;hr/&gt;&lt;div&gt;&lt;h5&gt;&lt;b&gt;CASTING&lt;/b&gt;&lt;/h5&gt;&lt;/div&gt;&lt;hr/&gt;&lt;div&gt;&lt;h5&gt;&lt;b&gt;Casting Time &lt;/b&gt;1 round&lt;/h5&gt;&lt;h5&gt;&lt;b&gt;Components &lt;/b&gt;V, S, M (a bit of horse hair)&lt;/h5&gt;&lt;/div&gt;&lt;hr/&gt;&lt;div&gt;&lt;h5&gt;&lt;b&gt;EFFECT&lt;/b&gt;&lt;/h5&gt;&lt;/div&gt;&lt;hr/&gt;&lt;div&gt;&lt;h5&gt;&lt;b&gt;Range &lt;/b&gt;close (25 ft. + 5 ft./2 levels)&lt;/h5&gt;&lt;h5&gt;&lt;b&gt;Effect &lt;/b&gt;up to six mounts&lt;/h5&gt;&lt;h5&gt;&lt;b&gt;Duration &lt;/b&gt;2 hours/level (D)&lt;/h5&gt;&lt;h5&gt;&lt;b&gt;Saving Throw &lt;/b&gt;none; &lt;b&gt;Spell Resistance &lt;/b&gt;no&lt;/h5&gt;&lt;/div&gt;&lt;hr/&gt;&lt;div&gt;&lt;h5&gt;&lt;b&gt;DESCRIPTION&lt;/b&gt;&lt;/h5&gt;&lt;/div&gt;&lt;hr/&gt;&lt;div&gt;&lt;h4&gt;&lt;p&gt;This spell functions like &lt;i&gt;mount&lt;/i&gt;, except you can summon up to six light horses or ponies, and you divide the duration in 2-hour increments among the steeds summoned.&lt;/p&gt;&lt;/h4&gt;&lt;/div&gt;</t>
  </si>
  <si>
    <t>As mount, but you may divide the duration among creatures touched.</t>
  </si>
  <si>
    <t>Mutagenic Touch</t>
  </si>
  <si>
    <t>V, S, M (a whole fingernail)</t>
  </si>
  <si>
    <t>When you are under of the effects of your mutagen, you can cast this spell to safely pass it to another creature with a touch. You must make a successful touch attack against the target. On a hit, the effect of the mutagen passes to the target touched, though in a lesser form. The mutagen's effect ends for you, and passes on to the creature touched, but the target only gets half of the alchemical bonus to the physical ability modifier you chose when took the mutagen, and twice the penalty to the corresponding mental ability score. If the target's mental ability score drops below 3, the target is also confused for the remaining duration of the mutagen. The mutagen continues until the duration has ended. It can be ended earlier if the target drinks or is fed the contents of a vial of antitoxin, but with only 50% chance of success. You can use this spell on a mutagen with either the greater mutagen or advance mutagen discoveries. When you do, you always pass on half the alchemical bonus to physical abilities and twice the penalty to the mental ability score.</t>
  </si>
  <si>
    <t>&lt;p&gt;When you are under of the effects of your mutagen, you can cast this spell to safely pass it to another creature with a touch. You must make a successful touch attack against the target. On a hit, the effect of the mutagen passes to the target touched, though in a lesser form. The mutagen's effect ends for you, and passes on to the creature touched, but the target only gets half of the alchemical bonus to the physical ability modifier you chose when took the mutagen, and twice the penalty to the corresponding mental ability score. If the target's mental ability score drops below 3, the target is also confused for the remaining duration of the mutagen. The mutagen continues until the duration has ended. It can be ended earlier if the target drinks or is fed the contents of a vial of antitoxin, but with only 50% chance of success. You can use this spell on a mutagen with either the greater mutagen or advance mutagen discoveries. When you do, you always pass on half the alchemical bonus to physical abilities and twice the penalty to the mental ability score.&lt;/p&gt;</t>
  </si>
  <si>
    <t>&lt;link rel="stylesheet"href="PF.css"&gt;&lt;div class="heading"&gt;&lt;p class="alignleft"&gt;Mutagenic Touch&lt;/p&gt;&lt;div style="clear: both;"&gt;&lt;/div&gt;&lt;/div&gt;&lt;div&gt;&lt;h5&gt;&lt;b&gt;School &lt;/b&gt;transmutation; &lt;b&gt;Level &lt;/b&gt;alchemist 4&lt;/h5&gt;&lt;/div&gt;&lt;hr/&gt;&lt;div&gt;&lt;h5&gt;&lt;b&gt;CASTING&lt;/b&gt;&lt;/h5&gt;&lt;/div&gt;&lt;hr/&gt;&lt;div&gt;&lt;h5&gt;&lt;b&gt;Casting Time &lt;/b&gt;1 standard action&lt;/h5&gt;&lt;h5&gt;&lt;b&gt;Components &lt;/b&gt;V, S, M (a whole fingernail)&lt;/h5&gt;&lt;/div&gt;&lt;hr/&gt;&lt;div&gt;&lt;h5&gt;&lt;b&gt;EFFECT&lt;/b&gt;&lt;/h5&gt;&lt;/div&gt;&lt;hr/&gt;&lt;div&gt;&lt;h5&gt;&lt;b&gt;Range &lt;/b&gt;touch&lt;/h5&gt;&lt;h5&gt;&lt;b&gt;Targets &lt;/b&gt;creature touched&lt;/h5&gt;&lt;h5&gt;&lt;b&gt;Duration &lt;/b&gt;special (see below)&lt;/h5&gt;&lt;/div&gt;&lt;hr/&gt;&lt;div&gt;&lt;h5&gt;&lt;b&gt;DESCRIPTION&lt;/b&gt;&lt;/h5&gt;&lt;/div&gt;&lt;hr/&gt;&lt;div&gt;&lt;h4&gt;&lt;p&gt;When you are under of the effects of your mutagen, you can cast this spell to safely pass it to another creature with a touch. You must make a successful touch attack against the target. On a hit, the effect of the mutagen passes to the target touched, though in a lesser form. The mutagen's effect ends for you, and passes on to the creature touched, but the target only gets half of the alchemical bonus to the physical ability modifier you chose when took the mutagen, and twice the penalty to the corresponding mental ability score. If the target's mental ability score drops below 3, the target is also confused for the remaining duration of the mutagen. The mutagen continues until the duration has ended. It can be ended earlier if the target drinks or is fed the contents of a vial of antitoxin, but with only 50% chance of success. You can use this spell on a mutagen with either the greater mutagen or advance mutagen discoveries. When you do, you always pass on half the alchemical bonus to physical abilities and twice the penalty to the mental ability score.&lt;/p&gt;&lt;/h4&gt;&lt;/div&gt;</t>
  </si>
  <si>
    <t>You can pass a weaker version of your mutagen to another creature.</t>
  </si>
  <si>
    <t>Named Bullet</t>
  </si>
  <si>
    <t>inquisitor 4, ranger 3, sorcerer/wizard 4, witch 4</t>
  </si>
  <si>
    <t>V, S, M/DF (an item from the selected creature or creature type)</t>
  </si>
  <si>
    <t>one piece of ammunition or one thrown weapon</t>
  </si>
  <si>
    <t>You imbue the target with deadly accuracy against a selected creature type (and subtype for humanoids or outsiders) or a specific creature you know and can name. When used against the selected creature, the ammunition never misfires and is unaffected by concealment (but not total concealment), and at a range of 30 feet or less, the attack targets the selected creature's touch AC. When the target hits the selected creature, you must overcome that creature's spell resistance, or this spell has no effect. A normal hit scored using the target against the selected creature is considered to be a critical threat and deals 1 extra point of damage per caster level (maximum 20), which is not multiplied on a critical hit. A natural critical hit deals the same extra damage, but that damage is multiplied due to the critical. Once the target is used to attack the selected creature, successfully or not, this spell is discharged.</t>
  </si>
  <si>
    <t>&lt;p&gt;You imbue the target with deadly accuracy against a selected creature type (and subtype for humanoids or outsiders) or a specific creature you know and can name. When used against the selected creature, the ammunition never misfires and is unaffected by concealment (but not total concealment), and at a range of 30 feet or less, the attack targets the selected creature's touch AC. When the target hits the selected creature, you must overcome that creature's spell resistance, or this spell has no effect. A normal hit scored using the target against the selected creature is considered to be a critical threat and deals 1 extra point of damage per caster level (maximum 20), which is not multiplied on a critical hit. A natural critical hit deals the same extra damage, but that damage is multiplied due to the critical. Once the target is used to attack the selected creature, successfully or not, this spell is discharged.&lt;/p&gt;</t>
  </si>
  <si>
    <t>&lt;link rel="stylesheet"href="PF.css"&gt;&lt;div class="heading"&gt;&lt;p class="alignleft"&gt;Named Bullet&lt;/p&gt;&lt;div style="clear: both;"&gt;&lt;/div&gt;&lt;/div&gt;&lt;div&gt;&lt;h5&gt;&lt;b&gt;School &lt;/b&gt;divination; &lt;b&gt;Level &lt;/b&gt;inquisitor 4, ranger 3, sorcerer/wizard 4, witch 4&lt;/h5&gt;&lt;/div&gt;&lt;hr/&gt;&lt;div&gt;&lt;h5&gt;&lt;b&gt;CASTING&lt;/b&gt;&lt;/h5&gt;&lt;/div&gt;&lt;hr/&gt;&lt;div&gt;&lt;h5&gt;&lt;b&gt;Casting Time &lt;/b&gt;1 standard action&lt;/h5&gt;&lt;h5&gt;&lt;b&gt;Components &lt;/b&gt;V, S, M/DF (an item from the selected creature or creature type)&lt;/h5&gt;&lt;/div&gt;&lt;hr/&gt;&lt;div&gt;&lt;h5&gt;&lt;b&gt;EFFECT&lt;/b&gt;&lt;/h5&gt;&lt;/div&gt;&lt;hr/&gt;&lt;div&gt;&lt;h5&gt;&lt;b&gt;Range &lt;/b&gt;touch&lt;/h5&gt;&lt;h5&gt;&lt;b&gt;Targets &lt;/b&gt;one piece of ammunition or one thrown weapon&lt;/h5&gt;&lt;h5&gt;&lt;b&gt;Duration &lt;/b&gt;10 minutes/level or until discharged&lt;/h5&gt;&lt;h5&gt;&lt;b&gt;Saving Throw &lt;/b&gt;Will negates (harmless, object); &lt;b&gt;Spell Resistance &lt;/b&gt;yes (harmless, object)&lt;/h5&gt;&lt;/div&gt;&lt;hr/&gt;&lt;div&gt;&lt;h5&gt;&lt;b&gt;DESCRIPTION&lt;/b&gt;&lt;/h5&gt;&lt;/div&gt;&lt;hr/&gt;&lt;div&gt;&lt;h4&gt;&lt;p&gt;You imbue the target with deadly accuracy against a selected creature type (and subtype for humanoids or outsiders) or a specific creature you know and can name. When used against the selected creature, the ammunition never misfires and is unaffected by concealment (but not total concealment), and at a range of 30 feet or less, the attack targets the selected creature's touch AC. When the target hits the selected creature, you must overcome that creature's spell resistance, or this spell has no effect. A normal hit scored using the target against the selected creature is considered to be a critical threat and deals 1 extra point of damage per caster level (maximum 20), which is not multiplied on a critical hit. A natural critical hit deals the same extra damage, but that damage is multiplied due to the critical. Once the target is used to attack the selected creature, successfully or not, this spell is discharged.&lt;/p&gt;&lt;/h4&gt;&lt;h5&gt;&lt;b&gt;Mythic: &lt;/b&gt;Increase the critical multiplier of the target weapon by 1 (maximum x4).&lt;/h5&gt;&lt;h5&gt;&lt;b&gt;Augmented (2nd)&lt;/b&gt;: If you expend two uses of mythic power, the target ammunition or weapon returns to the creature that shot or threw it just before that creature's next turn (similar to a returning weapon). The spell isn't discharged until the target is used to attempt a second attack against the named creature. Ammunition that hits is destroyed and doesn't return.&lt;/h5&gt;&lt;/div&gt;</t>
  </si>
  <si>
    <t>Imbues ammunition with accuracy against a specific creature type.</t>
  </si>
  <si>
    <t>Increase the critical multiplier of the target weapon by 1 (maximum x4).</t>
  </si>
  <si>
    <t>Augmented (2nd): If you expend two uses of mythic power, the target ammunition or weapon returns to the creature that shot or threw it just before that creature's next turn (similar to a returning weapon). The spell isn't discharged until the target is used to attempt a second attack against the named creature. Ammunition that hits is destroyed and doesn't return.</t>
  </si>
  <si>
    <t>Named Bullet, Greater</t>
  </si>
  <si>
    <t>inquisitor 6, ranger 4, sorcerer/wizard 6, witch 6</t>
  </si>
  <si>
    <t>This spell functions like named bullet, except it deals 2 extra points of damage per caster level (maximum 40).</t>
  </si>
  <si>
    <t>&lt;p&gt;This spell functions like &lt;i&gt;named bullet&lt;/i&gt;, except it deals 2 extra points of damage per caster level (maximum 40).&lt;/p&gt;</t>
  </si>
  <si>
    <t>&lt;link rel="stylesheet"href="PF.css"&gt;&lt;div class="heading"&gt;&lt;p class="alignleft"&gt;Named Bullet, Greater&lt;/p&gt;&lt;div style="clear: both;"&gt;&lt;/div&gt;&lt;/div&gt;&lt;div&gt;&lt;h5&gt;&lt;b&gt;School &lt;/b&gt;divination; &lt;b&gt;Level &lt;/b&gt;inquisitor 6, ranger 4, sorcerer/wizard 6, witch 6&lt;/h5&gt;&lt;/div&gt;&lt;hr/&gt;&lt;div&gt;&lt;h5&gt;&lt;b&gt;CASTING&lt;/b&gt;&lt;/h5&gt;&lt;/div&gt;&lt;hr/&gt;&lt;div&gt;&lt;h5&gt;&lt;b&gt;Casting Time &lt;/b&gt;1 standard action&lt;/h5&gt;&lt;h5&gt;&lt;b&gt;Components &lt;/b&gt;V, S, M/DF (an item from the selected creature or creature type)&lt;/h5&gt;&lt;/div&gt;&lt;hr/&gt;&lt;div&gt;&lt;h5&gt;&lt;b&gt;EFFECT&lt;/b&gt;&lt;/h5&gt;&lt;/div&gt;&lt;hr/&gt;&lt;div&gt;&lt;h5&gt;&lt;b&gt;Range &lt;/b&gt;touch&lt;/h5&gt;&lt;h5&gt;&lt;b&gt;Targets &lt;/b&gt;one piece of ammunition or one thrown weapon&lt;/h5&gt;&lt;h5&gt;&lt;b&gt;Duration &lt;/b&gt;10 minutes/level or until discharged&lt;/h5&gt;&lt;h5&gt;&lt;b&gt;Saving Throw &lt;/b&gt;Will negates (harmless, object); &lt;b&gt;Spell Resistance &lt;/b&gt;yes (harmless, object)&lt;/h5&gt;&lt;/div&gt;&lt;hr/&gt;&lt;div&gt;&lt;h5&gt;&lt;b&gt;DESCRIPTION&lt;/b&gt;&lt;/h5&gt;&lt;/div&gt;&lt;hr/&gt;&lt;div&gt;&lt;h4&gt;&lt;p&gt;This spell functions like &lt;i&gt;named bullet&lt;/i&gt;, except it deals 2 extra points of damage per caster level (maximum 40).&lt;/p&gt;&lt;/h4&gt;&lt;/div&gt;</t>
  </si>
  <si>
    <t>As named bullet, but deals 2 points of damage for every caster level.</t>
  </si>
  <si>
    <t>Negative Reaction</t>
  </si>
  <si>
    <t>bard 1, magus 1, sorcerer/wizard 1, witch 1</t>
  </si>
  <si>
    <t>The target's actions and words fail to impress. The target of this spell takes a -10 penalty on any Bluff, Diplomacy, and Intimidate checks as well as any performance combat checks it attempts.</t>
  </si>
  <si>
    <t>&lt;p&gt;The target's actions and words fail to impress. The target of this spell takes a -10 penalty on any Bluff, Diplomacy, and Intimidate checks as well as any performance combat checks it attempts.&lt;/p&gt;</t>
  </si>
  <si>
    <t>&lt;link rel="stylesheet"href="PF.css"&gt;&lt;div class="heading"&gt;&lt;p class="alignleft"&gt;Negative Reaction&lt;/p&gt;&lt;div style="clear: both;"&gt;&lt;/div&gt;&lt;/div&gt;&lt;div&gt;&lt;h5&gt;&lt;b&gt;School &lt;/b&gt;illusion; &lt;b&gt;Level &lt;/b&gt;bard 1, magus 1, sorcerer/wizard 1, witch 1&lt;/h5&gt;&lt;/div&gt;&lt;hr/&gt;&lt;div&gt;&lt;h5&gt;&lt;b&gt;CASTING&lt;/b&gt;&lt;/h5&gt;&lt;/div&gt;&lt;hr/&gt;&lt;div&gt;&lt;h5&gt;&lt;b&gt;Casting Time &lt;/b&gt;1 standard action&lt;/h5&gt;&lt;h5&gt;&lt;b&gt;Components &lt;/b&gt;S&lt;/h5&gt;&lt;/div&gt;&lt;hr/&gt;&lt;div&gt;&lt;h5&gt;&lt;b&gt;EFFECT&lt;/b&gt;&lt;/h5&gt;&lt;/div&gt;&lt;hr/&gt;&lt;div&gt;&lt;h5&gt;&lt;b&gt;Range &lt;/b&gt;close (25 ft. + 5 ft./2 levels)&lt;/h5&gt;&lt;h5&gt;&lt;b&gt;Targets &lt;/b&gt;one creature&lt;/h5&gt;&lt;h5&gt;&lt;b&gt;Duration &lt;/b&gt;1 round/level&lt;/h5&gt;&lt;h5&gt;&lt;b&gt;Saving Throw &lt;/b&gt;Will negates; &lt;b&gt;Spell Resistance &lt;/b&gt;yes&lt;/h5&gt;&lt;/div&gt;&lt;hr/&gt;&lt;div&gt;&lt;h5&gt;&lt;b&gt;DESCRIPTION&lt;/b&gt;&lt;/h5&gt;&lt;/div&gt;&lt;hr/&gt;&lt;div&gt;&lt;h4&gt;&lt;p&gt;The target's actions and words fail to impress. The target of this spell takes a -10 penalty on any Bluff, Diplomacy, and Intimidate checks as well as any performance combat checks it attempts.&lt;/p&gt;&lt;/h4&gt;&lt;/div&gt;</t>
  </si>
  <si>
    <t>Targeted creature may not positively influence anyone.</t>
  </si>
  <si>
    <t>Nondetection, Communal</t>
  </si>
  <si>
    <t>antipaladin 4, sorcerer/wizard 4</t>
  </si>
  <si>
    <t>V, S, M (diamond dust worth 25 gp per target)</t>
  </si>
  <si>
    <t>This spell functions like nondetection, except you divide the duration in 1-hour increments among the creatures or objects touched.</t>
  </si>
  <si>
    <t>&lt;p&gt;This spell functions like &lt;i&gt;nondetection&lt;/i&gt;, except you divide the duration in 1-hour increments among the creatures or objects touched.&lt;/p&gt;</t>
  </si>
  <si>
    <t>&lt;link rel="stylesheet"href="PF.css"&gt;&lt;div class="heading"&gt;&lt;p class="alignleft"&gt;Nondetection, Communal&lt;/p&gt;&lt;div style="clear: both;"&gt;&lt;/div&gt;&lt;/div&gt;&lt;div&gt;&lt;h5&gt;&lt;b&gt;School &lt;/b&gt;abjuration; &lt;b&gt;Level &lt;/b&gt;antipaladin 4, sorcerer/wizard 4&lt;/h5&gt;&lt;/div&gt;&lt;hr/&gt;&lt;div&gt;&lt;h5&gt;&lt;b&gt;CASTING&lt;/b&gt;&lt;/h5&gt;&lt;/div&gt;&lt;hr/&gt;&lt;div&gt;&lt;h5&gt;&lt;b&gt;Casting Time &lt;/b&gt;1 standard action&lt;/h5&gt;&lt;h5&gt;&lt;b&gt;Components &lt;/b&gt;V, S, M (diamond dust worth 25 gp per target)&lt;/h5&gt;&lt;/div&gt;&lt;hr/&gt;&lt;div&gt;&lt;h5&gt;&lt;b&gt;EFFECT&lt;/b&gt;&lt;/h5&gt;&lt;/div&gt;&lt;hr/&gt;&lt;div&gt;&lt;h5&gt;&lt;b&gt;Range &lt;/b&gt;touch&lt;/h5&gt;&lt;h5&gt;&lt;b&gt;Targets &lt;/b&gt;creatures or objects touched&lt;/h5&gt;&lt;h5&gt;&lt;b&gt;Duration &lt;/b&gt;1 hour/level&lt;/h5&gt;&lt;h5&gt;&lt;b&gt;Saving Throw &lt;/b&gt;Will negates (harmless, object); &lt;b&gt;Spell Resistance &lt;/b&gt;yes (harmless, object)&lt;/h5&gt;&lt;/div&gt;&lt;hr/&gt;&lt;div&gt;&lt;h5&gt;&lt;b&gt;DESCRIPTION&lt;/b&gt;&lt;/h5&gt;&lt;/div&gt;&lt;hr/&gt;&lt;div&gt;&lt;h4&gt;&lt;p&gt;This spell functions like &lt;i&gt;nondetection&lt;/i&gt;, except you divide the duration in 1-hour increments among the creatures or objects touched.&lt;/p&gt;&lt;/h4&gt;&lt;/div&gt;</t>
  </si>
  <si>
    <t>As nondetection, but you may divide the duration among creatures touched.</t>
  </si>
  <si>
    <t>Obsidian Flow</t>
  </si>
  <si>
    <t>druid 4, sorcerer/wizard 4, summoner 3</t>
  </si>
  <si>
    <t>V, S, M/DF (a small piece of obsidian)</t>
  </si>
  <si>
    <t>You convert a thin layer of the ground to molten glass that cools quickly. Creatures in the area take 1d6 points of fire damage per two caster levels (maximum of 10d6) and become entangled. Any creature within the area that makes a successful Reflex save takes half damage and is not entangled. An entangled creature can attempt to free itself by spending a move action to attempt a Strength check or Escape Artist check (the DC equals the spell's saving throw DC). The ground is covered with slippery expanses and sharp shards of obsidian. The area of effect is difficult terrain, and the DC of Acrobatics checks within the area of effect increases by 5. A successful DC 15 Acrobatics check is required to run or charge across the area. A creature that falls prone in the area takes 1d6 points of damage from sharp obsidian.</t>
  </si>
  <si>
    <t>&lt;p&gt;You convert a thin layer of the ground to molten glass that cools quickly. Creatures in the area take 1d6 points of fire damage per two caster levels (maximum of 10d6) and become entangled. Any creature within the area that makes a successful Reflex save takes half damage and is not entangled. An entangled creature can attempt to free itself by spending a move action to attempt a Strength check or Escape Artist check (the DC equals the spell's saving throw DC). The ground is covered with slippery expanses and sharp shards of obsidian. The area of effect is difficult terrain, and the DC of Acrobatics checks within the area of effect increases by 5. A successful DC 15 Acrobatics check is required to run or charge across the area. A creature that falls prone in the area takes 1d6 points of damage from sharp obsidian.&lt;/p&gt;</t>
  </si>
  <si>
    <t>&lt;link rel="stylesheet"href="PF.css"&gt;&lt;div class="heading"&gt;&lt;p class="alignleft"&gt;Obsidian Flow&lt;/p&gt;&lt;div style="clear: both;"&gt;&lt;/div&gt;&lt;/div&gt;&lt;div&gt;&lt;h5&gt;&lt;b&gt;School &lt;/b&gt;transmutation [earth, fire]; &lt;b&gt;Level &lt;/b&gt;druid 4, sorcerer/wizard 4, summoner 3&lt;/h5&gt;&lt;/div&gt;&lt;hr/&gt;&lt;div&gt;&lt;h5&gt;&lt;b&gt;CASTING&lt;/b&gt;&lt;/h5&gt;&lt;/div&gt;&lt;hr/&gt;&lt;div&gt;&lt;h5&gt;&lt;b&gt;Casting Time &lt;/b&gt;1 standard action&lt;/h5&gt;&lt;h5&gt;&lt;b&gt;Components &lt;/b&gt;V, S, M/DF (a small piece of obsidian)&lt;/h5&gt;&lt;/div&gt;&lt;hr/&gt;&lt;div&gt;&lt;h5&gt;&lt;b&gt;EFFECT&lt;/b&gt;&lt;/h5&gt;&lt;/div&gt;&lt;hr/&gt;&lt;div&gt;&lt;h5&gt;&lt;b&gt;Range &lt;/b&gt;close (25 ft. + 5 ft./2 levels)&lt;/h5&gt;&lt;h5&gt;&lt;b&gt;Area &lt;/b&gt;20-ft.-radius burst&lt;/h5&gt;&lt;h5&gt;&lt;b&gt;Duration &lt;/b&gt;instantaneous&lt;/h5&gt;&lt;h5&gt;&lt;b&gt;Saving Throw &lt;/b&gt;Reflex partial, see text; &lt;b&gt;Spell Resistance &lt;/b&gt;no&lt;/h5&gt;&lt;/div&gt;&lt;hr/&gt;&lt;div&gt;&lt;h5&gt;&lt;b&gt;DESCRIPTION&lt;/b&gt;&lt;/h5&gt;&lt;/div&gt;&lt;hr/&gt;&lt;div&gt;&lt;h4&gt;&lt;p&gt;You convert a thin layer of the ground to molten glass that cools quickly. Creatures in the area take 1d6 points of fire damage per two caster levels (maximum of 10d6) and become entangled. Any creature within the area that makes a successful Reflex save takes half damage and is not entangled. An entangled creature can attempt to free itself by spending a move action to attempt a Strength check or Escape Artist check (the DC equals the spell's saving throw DC). The ground is covered with slippery expanses and sharp shards of obsidian. The area of effect is difficult terrain, and the DC of Acrobatics checks within the area of effect increases by 5. A successful DC 15 Acrobatics check is required to run or charge across the area. A creature that falls prone in the area takes 1d6 points of damage from sharp obsidian.&lt;/p&gt;&lt;/h4&gt;&lt;/div&gt;</t>
  </si>
  <si>
    <t>Converts the surface of the ground into molten glass.</t>
  </si>
  <si>
    <t>Peacebond</t>
  </si>
  <si>
    <t>one sheathed or slung weapon</t>
  </si>
  <si>
    <t>You lock a weapon in place on its owner's body, or within the weapon's sheath or holster. Anyone who then tries to draw the weapon must spend a standard action and succeed at a Strength check (DC equal to the saving throw DC) to do so, provoking attacks of opportunity whether the attempt succeeds or fails.</t>
  </si>
  <si>
    <t>&lt;p&gt;You lock a weapon in place on its owner's body, or within the weapon's sheath or holster. Anyone who then tries to draw the weapon must spend a standard action and succeed at a Strength check (DC equal to the saving throw DC) to do so, provoking attacks of opportunity whether the attempt succeeds or fails.&lt;/p&gt;</t>
  </si>
  <si>
    <t>&lt;link rel="stylesheet"href="PF.css"&gt;&lt;div class="heading"&gt;&lt;p class="alignleft"&gt;Peacebond&lt;/p&gt;&lt;div style="clear: both;"&gt;&lt;/div&gt;&lt;/div&gt;&lt;div&gt;&lt;h5&gt;&lt;b&gt;School &lt;/b&gt;abjuration; &lt;b&gt;Level &lt;/b&gt;inquisitor 1, sorcerer/wizard 1, witch 1&lt;/h5&gt;&lt;/div&gt;&lt;hr/&gt;&lt;div&gt;&lt;h5&gt;&lt;b&gt;CASTING&lt;/b&gt;&lt;/h5&gt;&lt;/div&gt;&lt;hr/&gt;&lt;div&gt;&lt;h5&gt;&lt;b&gt;Casting Time &lt;/b&gt;1 standard action&lt;/h5&gt;&lt;h5&gt;&lt;b&gt;Components &lt;/b&gt;S&lt;/h5&gt;&lt;/div&gt;&lt;hr/&gt;&lt;div&gt;&lt;h5&gt;&lt;b&gt;EFFECT&lt;/b&gt;&lt;/h5&gt;&lt;/div&gt;&lt;hr/&gt;&lt;div&gt;&lt;h5&gt;&lt;b&gt;Range &lt;/b&gt;close (25 ft. + 5 ft./2 levels)&lt;/h5&gt;&lt;h5&gt;&lt;b&gt;Targets &lt;/b&gt;one sheathed or slung weapon&lt;/h5&gt;&lt;h5&gt;&lt;b&gt;Duration &lt;/b&gt;1 minute/level&lt;/h5&gt;&lt;h5&gt;&lt;b&gt;Saving Throw &lt;/b&gt;Will negates (object); &lt;b&gt;Spell Resistance &lt;/b&gt;yes (object)&lt;/h5&gt;&lt;/div&gt;&lt;hr/&gt;&lt;div&gt;&lt;h5&gt;&lt;b&gt;DESCRIPTION&lt;/b&gt;&lt;/h5&gt;&lt;/div&gt;&lt;hr/&gt;&lt;div&gt;&lt;h4&gt;&lt;p&gt;You lock a weapon in place on its owner's body, or within the weapon's sheath or holster. Anyone who then tries to draw the weapon must spend a standard action and succeed at a Strength check (DC equal to the saving throw DC) to do so, provoking attacks of opportunity whether the attempt succeeds or fails.&lt;/p&gt;&lt;/h4&gt;&lt;/div&gt;</t>
  </si>
  <si>
    <t>Locks a weapon in place on the target's body.</t>
  </si>
  <si>
    <t>Pellet Blast</t>
  </si>
  <si>
    <t>magus 4, sorcerer/wizard 3, summoner 3</t>
  </si>
  <si>
    <t>V, S, M (a handful of metal pellets or handful of cold iron, silver, or adamantine pellets; see descriptions for cost)</t>
  </si>
  <si>
    <t>This spell creates an explosion of conjured metal pellets, striking everything within its area and dealing 1d8 points of piercing damage per two caster levels, maximum 5d8. This damage is subject to damage reduction. If the material component is made of cold iron (costing 50 gp), silver (costing 20 gp), or adamantine (costing 100 gp), the resulting blast can overcome damage reduction of the appropriate type. The pellets disappear after the spell is cast and the damage is dealt.</t>
  </si>
  <si>
    <t>&lt;p&gt;This spell creates an explosion of conjured metal pellets, striking everything within its area and dealing 1d8 points of piercing damage per two caster levels, maximum 5d8. This damage is subject to damage reduction. If the material component is made of cold iron (costing 50 gp), silver (costing 20 gp), or adamantine (costing 100 gp), the resulting blast can overcome damage reduction of the appropriate type. The pellets disappear after the spell is cast and the damage is dealt.&lt;/p&gt;</t>
  </si>
  <si>
    <t>&lt;link rel="stylesheet"href="PF.css"&gt;&lt;div class="heading"&gt;&lt;p class="alignleft"&gt;Pellet Blast&lt;/p&gt;&lt;div style="clear: both;"&gt;&lt;/div&gt;&lt;/div&gt;&lt;div&gt;&lt;h5&gt;&lt;b&gt;School &lt;/b&gt;conjuration (creation); &lt;b&gt;Level &lt;/b&gt;magus 4, sorcerer/wizard 3, summoner 3&lt;/h5&gt;&lt;/div&gt;&lt;hr/&gt;&lt;div&gt;&lt;h5&gt;&lt;b&gt;CASTING&lt;/b&gt;&lt;/h5&gt;&lt;/div&gt;&lt;hr/&gt;&lt;div&gt;&lt;h5&gt;&lt;b&gt;Casting Time &lt;/b&gt;1 standard action&lt;/h5&gt;&lt;h5&gt;&lt;b&gt;Components &lt;/b&gt;V, S, M (a handful of metal pellets or handful of cold iron, silver, or adamantine pellets; see descriptions for cost)&lt;/h5&gt;&lt;/div&gt;&lt;hr/&gt;&lt;div&gt;&lt;h5&gt;&lt;b&gt;EFFECT&lt;/b&gt;&lt;/h5&gt;&lt;/div&gt;&lt;hr/&gt;&lt;div&gt;&lt;h5&gt;&lt;b&gt;Range &lt;/b&gt;30 ft.&lt;/h5&gt;&lt;h5&gt;&lt;b&gt;Area &lt;/b&gt;cone-shaped burst&lt;/h5&gt;&lt;h5&gt;&lt;b&gt;Duration &lt;/b&gt;instantaneous&lt;/h5&gt;&lt;h5&gt;&lt;b&gt;Saving Throw &lt;/b&gt;Reflex half; &lt;b&gt;Spell Resistance &lt;/b&gt;no&lt;/h5&gt;&lt;/div&gt;&lt;hr/&gt;&lt;div&gt;&lt;h5&gt;&lt;b&gt;DESCRIPTION&lt;/b&gt;&lt;/h5&gt;&lt;/div&gt;&lt;hr/&gt;&lt;div&gt;&lt;h4&gt;&lt;p&gt;This spell creates an explosion of conjured metal pellets, striking everything within its area and dealing 1d8 points of piercing damage per two caster levels, maximum 5d8. This damage is subject to damage reduction. If the material component is made of cold iron (costing 50 gp), silver (costing 20 gp), or adamantine (costing 100 gp), the resulting blast can overcome damage reduction of the appropriate type. The pellets disappear after the spell is cast and the damage is dealt.&lt;/p&gt;&lt;/h4&gt;&lt;/div&gt;</t>
  </si>
  <si>
    <t>Creates an explosion of conjured metal pellets.</t>
  </si>
  <si>
    <t>Phantom Chariot</t>
  </si>
  <si>
    <t>one quasi-real chariot and draft team</t>
  </si>
  <si>
    <t>You conjure a quasi-real heavy chariot with four horselike creatures in a team to pull it. (The exact description can be customized as you wish.) The chariot has all the normal qualities of a heavy chariot with metal scythes (see page 182). You or a person you designate while casting the spell must drive the chariot, which can carry up to six passengers (including the driver). The team and chariot make no sound and the team does not fight, although the driver can use the chariot like any normal chariot. The chariot and team are essentially a single entity with an AC of 19 (-2 size, +6 natural armor, +5 Dex), and 10 hit points + 2 hit points per caster level (maximum 50). If the entity loses all its hit points, it disappears, possibly subjecting all aboard to a crash (treat as wrecked). The entity gains certain powers according to caster level, just like a mount does in the phantom steed spell.</t>
  </si>
  <si>
    <t>&lt;p&gt;You conjure a quasi-real heavy chariot with four horselike creatures in a team to pull it. (The exact description can be customized as you wish.) The chariot has all the normal qualities of a heavy chariot with metal scythes (see page 182). You or a person you designate while casting the spell must drive the chariot, which can carry up to six passengers (including the driver). The team and chariot make no sound and the team does not fight, although the driver can use the chariot like any normal chariot. The chariot and team are essentially a single entity with an AC of 19 (-2 size, +6 natural armor, +5 Dex), and 10 hit points + 2 hit points per caster level (maximum 50). If the entity loses all its hit points, it disappears, possibly subjecting all aboard to a crash (treat as wrecked). The entity gains certain powers according to caster level, just like a mount does in the &lt;i&gt;phantom steed&lt;/i&gt; spell.&lt;/p&gt;</t>
  </si>
  <si>
    <t>&lt;link rel="stylesheet"href="PF.css"&gt;&lt;div class="heading"&gt;&lt;p class="alignleft"&gt;Phantom Chariot&lt;/p&gt;&lt;div style="clear: both;"&gt;&lt;/div&gt;&lt;/div&gt;&lt;div&gt;&lt;h5&gt;&lt;b&gt;School &lt;/b&gt;conjuration (creation); &lt;b&gt;Level &lt;/b&gt;sorcerer/wizard 4, summoner 3&lt;/h5&gt;&lt;/div&gt;&lt;hr/&gt;&lt;div&gt;&lt;h5&gt;&lt;b&gt;CASTING&lt;/b&gt;&lt;/h5&gt;&lt;/div&gt;&lt;hr/&gt;&lt;div&gt;&lt;h5&gt;&lt;b&gt;Casting Time &lt;/b&gt;10 minutes&lt;/h5&gt;&lt;h5&gt;&lt;b&gt;Components &lt;/b&gt;V, S&lt;/h5&gt;&lt;/div&gt;&lt;hr/&gt;&lt;div&gt;&lt;h5&gt;&lt;b&gt;EFFECT&lt;/b&gt;&lt;/h5&gt;&lt;/div&gt;&lt;hr/&gt;&lt;div&gt;&lt;h5&gt;&lt;b&gt;Effect &lt;/b&gt;one quasi-real chariot and draft team&lt;/h5&gt;&lt;h5&gt;&lt;b&gt;Duration &lt;/b&gt;1 hour/level (D)&lt;/h5&gt;&lt;h5&gt;&lt;b&gt;Saving Throw &lt;/b&gt;none; &lt;b&gt;Spell Resistance &lt;/b&gt;no&lt;/h5&gt;&lt;/div&gt;&lt;hr/&gt;&lt;div&gt;&lt;h5&gt;&lt;b&gt;DESCRIPTION&lt;/b&gt;&lt;/h5&gt;&lt;/div&gt;&lt;hr/&gt;&lt;div&gt;&lt;h4&gt;&lt;p&gt;You conjure a quasi-real heavy chariot with four horselike creatures in a team to pull it. (The exact description can be customized as you wish.) The chariot has all the normal qualities of a heavy chariot with metal scythes (see page 182). You or a person you designate while casting the spell must drive the chariot, which can carry up to six passengers (including the driver). The team and chariot make no sound and the team does not fight, although the driver can use the chariot like any normal chariot. The chariot and team are essentially a single entity with an AC of 19 (-2 size, +6 natural armor, +5 Dex), and 10 hit points + 2 hit points per caster level (maximum 50). If the entity loses all its hit points, it disappears, possibly subjecting all aboard to a crash (treat as wrecked). The entity gains certain powers according to caster level, just like a mount does in the &lt;i&gt;phantom steed&lt;/i&gt; spell.&lt;/p&gt;&lt;/h4&gt;&lt;/div&gt;</t>
  </si>
  <si>
    <t>Conjures a quasi-real heavy chariot pulled by four horses.</t>
  </si>
  <si>
    <t>Phantom Driver</t>
  </si>
  <si>
    <t>one quasi-real, humanlike creature</t>
  </si>
  <si>
    <t>You conjure a Small or Medium, quasi-real, humanlike creature (the exact physical features can be customized as you wish). This creation can drive any vehicle you command it to. This phantom creature does not fight, and while animals that power a muscle-propelled vehicle driven by the creature do respond to its commands, animals otherwise shun the creature and refuse to attack it. The rider has an AC of 20 (+1 size, +4 natural armor, +5 Dex) if it is a Small creature or an AC of 19 (+4 natural armor, +5 Dexterity) if it is a Medium creature. It has 7 hit points + 1 hit point per caster level. If it loses all its hit points, the phantom driver disappears. A phantom driver has a land speed of 30 feet, and makes all driver skill checks (no matter what skills are needed to drive the vehicle) as your caster level + your Intelligence modifier.</t>
  </si>
  <si>
    <t>&lt;p&gt;You conjure a Small or Medium, quasi-real, humanlike creature (the exact physical features can be customized as you wish). This creation can drive any vehicle you command it to. This phantom creature does not fight, and while animals that power a muscle-propelled vehicle driven by the creature do respond to its commands, animals otherwise shun the creature and refuse to attack it. The rider has an AC of 20 (+1 size, +4 natural armor, +5 Dex) if it is a Small creature or an AC of 19 (+4 natural armor, +5 Dexterity) if it is a Medium creature. It has 7 hit points + 1 hit point per caster level. If it loses all its hit points, the phantom driver disappears. A phantom driver has a land speed of 30 feet, and makes all driver skill checks (no matter what skills are needed to drive the vehicle) as your caster level + your Intelligence modifier.&lt;/p&gt;</t>
  </si>
  <si>
    <t>&lt;link rel="stylesheet"href="PF.css"&gt;&lt;div class="heading"&gt;&lt;p class="alignleft"&gt;Phantom Driver&lt;/p&gt;&lt;div style="clear: both;"&gt;&lt;/div&gt;&lt;/div&gt;&lt;div&gt;&lt;h5&gt;&lt;b&gt;School &lt;/b&gt;conjuration (creation); &lt;b&gt;Level &lt;/b&gt;bard 3, sorcerer/wizard 3&lt;/h5&gt;&lt;/div&gt;&lt;hr/&gt;&lt;div&gt;&lt;h5&gt;&lt;b&gt;CASTING&lt;/b&gt;&lt;/h5&gt;&lt;/div&gt;&lt;hr/&gt;&lt;div&gt;&lt;h5&gt;&lt;b&gt;Casting Time &lt;/b&gt;10 minutes&lt;/h5&gt;&lt;h5&gt;&lt;b&gt;Components &lt;/b&gt;V, S&lt;/h5&gt;&lt;/div&gt;&lt;hr/&gt;&lt;div&gt;&lt;h5&gt;&lt;b&gt;EFFECT&lt;/b&gt;&lt;/h5&gt;&lt;/div&gt;&lt;hr/&gt;&lt;div&gt;&lt;h5&gt;&lt;b&gt;Range &lt;/b&gt;10 ft.&lt;/h5&gt;&lt;h5&gt;&lt;b&gt;Effect &lt;/b&gt;one quasi-real, humanlike creature&lt;/h5&gt;&lt;h5&gt;&lt;b&gt;Duration &lt;/b&gt;1 hour/level (D)&lt;/h5&gt;&lt;h5&gt;&lt;b&gt;Saving Throw &lt;/b&gt;none; &lt;b&gt;Spell Resistance &lt;/b&gt;no&lt;/h5&gt;&lt;/div&gt;&lt;hr/&gt;&lt;div&gt;&lt;h5&gt;&lt;b&gt;DESCRIPTION&lt;/b&gt;&lt;/h5&gt;&lt;/div&gt;&lt;hr/&gt;&lt;div&gt;&lt;h4&gt;&lt;p&gt;You conjure a Small or Medium, quasi-real, humanlike creature (the exact physical features can be customized as you wish). This creation can drive any vehicle you command it to. This phantom creature does not fight, and while animals that power a muscle-propelled vehicle driven by the creature do respond to its commands, animals otherwise shun the creature and refuse to attack it. The rider has an AC of 20 (+1 size, +4 natural armor, +5 Dex) if it is a Small creature or an AC of 19 (+4 natural armor, +5 Dexterity) if it is a Medium creature. It has 7 hit points + 1 hit point per caster level. If it loses all its hit points, the phantom driver disappears. A phantom driver has a land speed of 30 feet, and makes all driver skill checks (no matter what skills are needed to drive the vehicle) as your caster level + your Intelligence modifier.&lt;/p&gt;&lt;/h4&gt;&lt;/div&gt;</t>
  </si>
  <si>
    <t>Conjures a phantom to drive vehicles.</t>
  </si>
  <si>
    <t>Phantom Steed, Communal</t>
  </si>
  <si>
    <t>bard 4, sorcerer/wizard 4, summoner 3</t>
  </si>
  <si>
    <t>up to six quasi-real, horselike creatures</t>
  </si>
  <si>
    <t>This spell functions like phantom steed, except you can summon up to six steeds, and you divide the duration in 1-hour intervals among the steeds summoned.</t>
  </si>
  <si>
    <t>&lt;p&gt;This spell functions like &lt;i&gt;phantom steed&lt;/i&gt;, except you can summon up to six steeds, and you divide the duration in 1-hour intervals among the steeds summoned.&lt;/p&gt;</t>
  </si>
  <si>
    <t>&lt;link rel="stylesheet"href="PF.css"&gt;&lt;div class="heading"&gt;&lt;p class="alignleft"&gt;Phantom Steed, Communal&lt;/p&gt;&lt;div style="clear: both;"&gt;&lt;/div&gt;&lt;/div&gt;&lt;div&gt;&lt;h5&gt;&lt;b&gt;School &lt;/b&gt;conjuration (creation); &lt;b&gt;Level &lt;/b&gt;bard 4, sorcerer/wizard 4, summoner 3&lt;/h5&gt;&lt;/div&gt;&lt;hr/&gt;&lt;div&gt;&lt;h5&gt;&lt;b&gt;CASTING&lt;/b&gt;&lt;/h5&gt;&lt;/div&gt;&lt;hr/&gt;&lt;div&gt;&lt;h5&gt;&lt;b&gt;Casting Time &lt;/b&gt;10 minutes&lt;/h5&gt;&lt;h5&gt;&lt;b&gt;Components &lt;/b&gt;V, S&lt;/h5&gt;&lt;/div&gt;&lt;hr/&gt;&lt;div&gt;&lt;h5&gt;&lt;b&gt;EFFECT&lt;/b&gt;&lt;/h5&gt;&lt;/div&gt;&lt;hr/&gt;&lt;div&gt;&lt;h5&gt;&lt;b&gt;Range &lt;/b&gt;close (25 ft. + 5 ft./2 levels)&lt;/h5&gt;&lt;h5&gt;&lt;b&gt;Effect &lt;/b&gt;up to six quasi-real, horselike creatures&lt;/h5&gt;&lt;h5&gt;&lt;b&gt;Duration &lt;/b&gt;1 hour/level (D)&lt;/h5&gt;&lt;h5&gt;&lt;b&gt;Saving Throw &lt;/b&gt;none; &lt;b&gt;Spell Resistance &lt;/b&gt;no&lt;/h5&gt;&lt;/div&gt;&lt;hr/&gt;&lt;div&gt;&lt;h5&gt;&lt;b&gt;DESCRIPTION&lt;/b&gt;&lt;/h5&gt;&lt;/div&gt;&lt;hr/&gt;&lt;div&gt;&lt;h4&gt;&lt;p&gt;This spell functions like &lt;i&gt;phantom steed&lt;/i&gt;, except you can summon up to six steeds, and you divide the duration in 1-hour intervals among the steeds summoned.&lt;/p&gt;&lt;/h4&gt;&lt;/div&gt;</t>
  </si>
  <si>
    <t>As phantom steed, but you may divide the duration among creatures touched.</t>
  </si>
  <si>
    <t>Pilfering Hand</t>
  </si>
  <si>
    <t>bard 2, cleric 2/oracle 2, magus 2, sorcerer/wizard 2</t>
  </si>
  <si>
    <t>one object</t>
  </si>
  <si>
    <t>You create and control an invisible telekinetic force, manipulating it with either startling abruptness or careful deliberateness, allowing you to seize an object from an opponent or remotely manipulate an object. You can utilize this force to one of two ends. Abrupt Maneuver: You instantaneously attempt a disarm or steal combat maneuver against a target within range. Use your caster level as your Combat Maneuver Bonus, adding your Charisma modifier (bard, oracle, sorcerer), Intelligence modifier (magus, wizard), or Wisdom modifier (cleric) in place of your Strength or Dexterity modifier. This combat maneuver attempt does not provoke an attack of opportunity from its target, but casting this spell might. If you are successful, you pull the target object to you, and if you have enough hands free, you can catch it. Otherwise, the object lands in your square as if you dropped it. Careful Maneuver: You attempt a Disable Device check or a Sleight of Hand check to pick-pocket a target within range. This spell lasts as long as you need to accomplish the task, requiring your full concentration for that duration. Once you resolve the skill check, the spell ends. If you are successful on your Sleight of Hand check, you pull the target object to you as with an abrupt maneuver. The target gains a +2 bonus on its Perception check to notice the successful attempt.</t>
  </si>
  <si>
    <t>&lt;p&gt;You create and control an invisible telekinetic force, manipulating it with either startling abruptness or careful deliberateness, allowing you to seize an object from an opponent or remotely manipulate an object. You can utilize this force to one of two ends. &lt;br&gt;&lt;i&gt;Abrupt Maneuver&lt;/i&gt;: You instantaneously attempt a disarm or steal combat maneuver against a target within range. Use your caster level as your Combat Maneuver Bonus, adding your Charisma modifier (bard, oracle, sorcerer), Intelligence modifier (magus, wizard), or Wisdom modifier (cleric) in place of your Strength or Dexterity modifier. This combat maneuver attempt does not provoke an attack of opportunity from its target, but casting this spell might. If you are successful, you pull the target object to you, and if you have enough hands free, you can catch it. Otherwise, the object lands in your square as if you dropped it. &lt;br&gt;&lt;i&gt;Careful Maneuver&lt;/i&gt;: You attempt a Disable Device check or a Sleight of Hand check to pick-pocket a target within range. This spell lasts as long as you need to accomplish the task, requiring your full concentration for that duration. Once you resolve the skill check, the spell ends. If you are successful on your Sleight of Hand check, you pull the target object to you as with an abrupt maneuver. The target gains a +2 bonus on its Perception check to notice the successful attempt.&lt;/p&gt;</t>
  </si>
  <si>
    <t>&lt;link rel="stylesheet"href="PF.css"&gt;&lt;div class="heading"&gt;&lt;p class="alignleft"&gt;Pilfering Hand&lt;/p&gt;&lt;div style="clear: both;"&gt;&lt;/div&gt;&lt;/div&gt;&lt;div&gt;&lt;h5&gt;&lt;b&gt;School &lt;/b&gt;evocation [force]; &lt;b&gt;Level &lt;/b&gt;bard 2, cleric 2/oracle 2, magus 2, sorcerer/wizard 2&lt;/h5&gt;&lt;/div&gt;&lt;hr/&gt;&lt;div&gt;&lt;h5&gt;&lt;b&gt;CASTING&lt;/b&gt;&lt;/h5&gt;&lt;/div&gt;&lt;hr/&gt;&lt;div&gt;&lt;h5&gt;&lt;b&gt;Casting Time &lt;/b&gt;1 standard action&lt;/h5&gt;&lt;h5&gt;&lt;b&gt;Components &lt;/b&gt;S&lt;/h5&gt;&lt;/div&gt;&lt;hr/&gt;&lt;div&gt;&lt;h5&gt;&lt;b&gt;EFFECT&lt;/b&gt;&lt;/h5&gt;&lt;/div&gt;&lt;hr/&gt;&lt;div&gt;&lt;h5&gt;&lt;b&gt;Range &lt;/b&gt;close (25 ft. + 5 ft./2 levels)&lt;/h5&gt;&lt;h5&gt;&lt;b&gt;Targets &lt;/b&gt;one object&lt;/h5&gt;&lt;h5&gt;&lt;b&gt;Duration &lt;/b&gt;see text&lt;/h5&gt;&lt;h5&gt;&lt;b&gt;Saving Throw &lt;/b&gt;none; &lt;b&gt;Spell Resistance &lt;/b&gt;yes (object)&lt;/h5&gt;&lt;/div&gt;&lt;hr/&gt;&lt;div&gt;&lt;h5&gt;&lt;b&gt;DESCRIPTION&lt;/b&gt;&lt;/h5&gt;&lt;/div&gt;&lt;hr/&gt;&lt;div&gt;&lt;h4&gt;&lt;p&gt;You create and control an invisible telekinetic force, manipulating it with either startling abruptness or careful deliberateness, allowing you to seize an object from an opponent or remotely manipulate an object. You can utilize this force to one of two ends. &lt;br&gt;&lt;i&gt;Abrupt Maneuver&lt;/i&gt;: You instantaneously attempt a disarm or steal combat maneuver against a target within range. Use your caster level as your Combat Maneuver Bonus, adding your Charisma modifier (bard, oracle, sorcerer), Intelligence modifier (magus, wizard), or Wisdom modifier (cleric) in place of your Strength or Dexterity modifier. This combat maneuver attempt does not provoke an attack of opportunity from its target, but casting this spell might. If you are successful, you pull the target object to you, and if you have enough hands free, you can catch it. Otherwise, the object lands in your square as if you dropped it. &lt;br&gt;&lt;i&gt;Careful Maneuver&lt;/i&gt;: You attempt a Disable Device check or a Sleight of Hand check to pick-pocket a target within range. This spell lasts as long as you need to accomplish the task, requiring your full concentration for that duration. Once you resolve the skill check, the spell ends. If you are successful on your Sleight of Hand check, you pull the target object to you as with an abrupt maneuver. The target gains a +2 bonus on its Perception check to notice the successful attempt.&lt;/p&gt;&lt;/h4&gt;&lt;/div&gt;</t>
  </si>
  <si>
    <t>You may seize an object or manipulate it from afar.</t>
  </si>
  <si>
    <t>Protection from Arrows, Communal</t>
  </si>
  <si>
    <t>alchemist 3, sorcerer/wizard 3, summoner 3</t>
  </si>
  <si>
    <t>This spell functions like protection from arrows, except you divide the duration in 1-hour intervals among the creatures touched. Once the spell absorbs 10 points of damage per caster level (maximum 100 points) for a subject, the spell's effects end for that subject.</t>
  </si>
  <si>
    <t>&lt;p&gt;This spell functions like &lt;i&gt;protection from arrows&lt;/i&gt;, except you divide the duration in 1-hour intervals among the creatures touched. Once the spell absorbs 10 points of damage per caster level (maximum 100 points) for a subject, the spell's effects end for that subject.&lt;/p&gt;</t>
  </si>
  <si>
    <t>&lt;link rel="stylesheet"href="PF.css"&gt;&lt;div class="heading"&gt;&lt;p class="alignleft"&gt;Protection from Arrows, Communal&lt;/p&gt;&lt;div style="clear: both;"&gt;&lt;/div&gt;&lt;/div&gt;&lt;div&gt;&lt;h5&gt;&lt;b&gt;School &lt;/b&gt;abjuration; &lt;b&gt;Level &lt;/b&gt;alchemist 3, sorcerer/wizard 3, summoner 3&lt;/h5&gt;&lt;/div&gt;&lt;hr/&gt;&lt;div&gt;&lt;h5&gt;&lt;b&gt;CASTING&lt;/b&gt;&lt;/h5&gt;&lt;/div&gt;&lt;hr/&gt;&lt;div&gt;&lt;h5&gt;&lt;b&gt;Casting Time &lt;/b&gt;1 standard action&lt;/h5&gt;&lt;h5&gt;&lt;b&gt;Components &lt;/b&gt;V, S, F (a piece of tortoiseshell or turtle shell)&lt;/h5&gt;&lt;/div&gt;&lt;hr/&gt;&lt;div&gt;&lt;h5&gt;&lt;b&gt;EFFECT&lt;/b&gt;&lt;/h5&gt;&lt;/div&gt;&lt;hr/&gt;&lt;div&gt;&lt;h5&gt;&lt;b&gt;Range &lt;/b&gt;touch&lt;/h5&gt;&lt;h5&gt;&lt;b&gt;Targets &lt;/b&gt;creatures touched&lt;/h5&gt;&lt;h5&gt;&lt;b&gt;Duration &lt;/b&gt;1 hour/level or until discharged&lt;/h5&gt;&lt;h5&gt;&lt;b&gt;Saving Throw &lt;/b&gt;Will negates (harmless); &lt;b&gt;Spell Resistance &lt;/b&gt;yes (harmless)&lt;/h5&gt;&lt;/div&gt;&lt;hr/&gt;&lt;div&gt;&lt;h5&gt;&lt;b&gt;DESCRIPTION&lt;/b&gt;&lt;/h5&gt;&lt;/div&gt;&lt;hr/&gt;&lt;div&gt;&lt;h4&gt;&lt;p&gt;This spell functions like &lt;i&gt;protection from arrows&lt;/i&gt;, except you divide the duration in 1-hour intervals among the creatures touched. Once the spell absorbs 10 points of damage per caster level (maximum 100 points) for a subject, the spell's effects end for that subject.&lt;/p&gt;&lt;/h4&gt;&lt;/div&gt;</t>
  </si>
  <si>
    <t>As protection from arrows, but you may divide the duration among creatures touched.</t>
  </si>
  <si>
    <t>Protection from Chaos, Communal</t>
  </si>
  <si>
    <t>cleric 2/oracle 2, inquisitor 2, paladin 2, sorcerer/wizard 2, summoner 2</t>
  </si>
  <si>
    <t>This spell functions like protection from chaos, except you divide the duration in 1-minute intervals among the creatures touched.</t>
  </si>
  <si>
    <t>&lt;p&gt;This spell functions like &lt;i&gt;protection from chaos&lt;/i&gt;, except you divide the duration in 1-minute intervals among the creatures touched.&lt;/p&gt;</t>
  </si>
  <si>
    <t>&lt;link rel="stylesheet"href="PF.css"&gt;&lt;div class="heading"&gt;&lt;p class="alignleft"&gt;Protection from Chaos, Communal&lt;/p&gt;&lt;div style="clear: both;"&gt;&lt;/div&gt;&lt;/div&gt;&lt;div&gt;&lt;h5&gt;&lt;b&gt;School &lt;/b&gt;abjuration [lawful]; &lt;b&gt;Level &lt;/b&gt;cleric 2/oracle 2, inquisitor 2, paladin 2, sorcerer/wizard 2, summoner 2&lt;/h5&gt;&lt;/div&gt;&lt;hr/&gt;&lt;div&gt;&lt;h5&gt;&lt;b&gt;CASTING&lt;/b&gt;&lt;/h5&gt;&lt;/div&gt;&lt;hr/&gt;&lt;div&gt;&lt;h5&gt;&lt;b&gt;Casting Time &lt;/b&gt;1 standard action&lt;/h5&gt;&lt;h5&gt;&lt;b&gt;Components &lt;/b&gt;V, S, M/DF&lt;/h5&gt;&lt;/div&gt;&lt;hr/&gt;&lt;div&gt;&lt;h5&gt;&lt;b&gt;EFFECT&lt;/b&gt;&lt;/h5&gt;&lt;/div&gt;&lt;hr/&gt;&lt;div&gt;&lt;h5&gt;&lt;b&gt;Range &lt;/b&gt;touch&lt;/h5&gt;&lt;h5&gt;&lt;b&gt;Targets &lt;/b&gt;creatures touched&lt;/h5&gt;&lt;h5&gt;&lt;b&gt;Duration &lt;/b&gt;1 min./level (D)&lt;/h5&gt;&lt;h5&gt;&lt;b&gt;Saving Throw &lt;/b&gt;Will negates (harmless); &lt;b&gt;Spell Resistance &lt;/b&gt;no; see text&lt;/h5&gt;&lt;/div&gt;&lt;hr/&gt;&lt;div&gt;&lt;h5&gt;&lt;b&gt;DESCRIPTION&lt;/b&gt;&lt;/h5&gt;&lt;/div&gt;&lt;hr/&gt;&lt;div&gt;&lt;h4&gt;&lt;p&gt;This spell functions like &lt;i&gt;protection from chaos&lt;/i&gt;, except you divide the duration in 1-minute intervals among the creatures touched.&lt;/p&gt;&lt;/h4&gt;&lt;/div&gt;</t>
  </si>
  <si>
    <t>As protection from chaos, but you may divide the duration among creatures touched.</t>
  </si>
  <si>
    <t>Protection from Energy, Communal</t>
  </si>
  <si>
    <t>cleric 4/oracle 4, druid 4, inquisitor 4, ranger 3, sorcerer/wizard 4, summoner 4</t>
  </si>
  <si>
    <t>This spell functions like protection from energy, except you divide the duration in 10-minute intervals among the creatures touched. Once the spell absorbs 12 points of energy damage per caster level (maximum 120 points) for a subject, the spell's effects end for that subject.</t>
  </si>
  <si>
    <t>&lt;p&gt;This spell functions like &lt;i&gt;protection from energy&lt;/i&gt;, except you divide the duration in 10-minute intervals among the creatures touched. Once the spell absorbs 12 points of energy damage per caster level (maximum 120 points) for a subject, the spell's effects end for that subject.&lt;/p&gt;</t>
  </si>
  <si>
    <t>&lt;link rel="stylesheet"href="PF.css"&gt;&lt;div class="heading"&gt;&lt;p class="alignleft"&gt;Protection from Energy, Communal&lt;/p&gt;&lt;div style="clear: both;"&gt;&lt;/div&gt;&lt;/div&gt;&lt;div&gt;&lt;h5&gt;&lt;b&gt;School &lt;/b&gt;abjuration; &lt;b&gt;Level &lt;/b&gt;cleric 4/oracle 4, druid 4, inquisitor 4, ranger 3, sorcerer/wizard 4, summoner 4&lt;/h5&gt;&lt;/div&gt;&lt;hr/&gt;&lt;div&gt;&lt;h5&gt;&lt;b&gt;CASTING&lt;/b&gt;&lt;/h5&gt;&lt;/div&gt;&lt;hr/&gt;&lt;div&gt;&lt;h5&gt;&lt;b&gt;Casting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&lt;/b&gt;creatures touched&lt;/h5&gt;&lt;h5&gt;&lt;b&gt;Duration &lt;/b&gt;10 min./level or until discharged&lt;/h5&gt;&lt;h5&gt;&lt;b&gt;Saving Throw &lt;/b&gt;Fortitude negates (harmless); &lt;b&gt;Spell Resistance &lt;/b&gt;yes (harmless)&lt;/h5&gt;&lt;/div&gt;&lt;hr/&gt;&lt;div&gt;&lt;h5&gt;&lt;b&gt;DESCRIPTION&lt;/b&gt;&lt;/h5&gt;&lt;/div&gt;&lt;hr/&gt;&lt;div&gt;&lt;h4&gt;&lt;p&gt;This spell functions like &lt;i&gt;protection from energy&lt;/i&gt;, except you divide the duration in 10-minute intervals among the creatures touched. Once the spell absorbs 12 points of energy damage per caster level (maximum 120 points) for a subject, the spell's effects end for that subject.&lt;/p&gt;&lt;/h4&gt;&lt;/div&gt;</t>
  </si>
  <si>
    <t>As protection from energy, but you may divide the duration among creatures touched.</t>
  </si>
  <si>
    <t>Protection from Evil, Communal</t>
  </si>
  <si>
    <t>This spell functions like protection from evil, except you divide the duration in 1-minute intervals among the creatures touched.</t>
  </si>
  <si>
    <t>&lt;p&gt;This spell functions like &lt;i&gt;protection from evil&lt;/i&gt;, except you divide the duration in 1-minute intervals among the creatures touched.&lt;/p&gt;</t>
  </si>
  <si>
    <t>&lt;link rel="stylesheet"href="PF.css"&gt;&lt;div class="heading"&gt;&lt;p class="alignleft"&gt;Protection from Evil, Communal&lt;/p&gt;&lt;div style="clear: both;"&gt;&lt;/div&gt;&lt;/div&gt;&lt;div&gt;&lt;h5&gt;&lt;b&gt;School &lt;/b&gt;abjuration [good]; &lt;b&gt;Level &lt;/b&gt;cleric 2/oracle 2, inquisitor 2, paladin 2, sorcerer/wizard 2, summoner 2&lt;/h5&gt;&lt;/div&gt;&lt;hr/&gt;&lt;div&gt;&lt;h5&gt;&lt;b&gt;CASTING&lt;/b&gt;&lt;/h5&gt;&lt;/div&gt;&lt;hr/&gt;&lt;div&gt;&lt;h5&gt;&lt;b&gt;Casting Time &lt;/b&gt;1 standard action&lt;/h5&gt;&lt;h5&gt;&lt;b&gt;Components &lt;/b&gt;V, S, M/DF&lt;/h5&gt;&lt;/div&gt;&lt;hr/&gt;&lt;div&gt;&lt;h5&gt;&lt;b&gt;EFFECT&lt;/b&gt;&lt;/h5&gt;&lt;/div&gt;&lt;hr/&gt;&lt;div&gt;&lt;h5&gt;&lt;b&gt;Range &lt;/b&gt;touch&lt;/h5&gt;&lt;h5&gt;&lt;b&gt;Targets &lt;/b&gt;creatures touched&lt;/h5&gt;&lt;h5&gt;&lt;b&gt;Duration &lt;/b&gt;1 min./level (D)&lt;/h5&gt;&lt;h5&gt;&lt;b&gt;Saving Throw &lt;/b&gt;Will negates (harmless); &lt;b&gt;Spell Resistance &lt;/b&gt;no; see text&lt;/h5&gt;&lt;/div&gt;&lt;hr/&gt;&lt;div&gt;&lt;h5&gt;&lt;b&gt;DESCRIPTION&lt;/b&gt;&lt;/h5&gt;&lt;/div&gt;&lt;hr/&gt;&lt;div&gt;&lt;h4&gt;&lt;p&gt;This spell functions like &lt;i&gt;protection from evil&lt;/i&gt;, except you divide the duration in 1-minute intervals among the creatures touched.&lt;/p&gt;&lt;/h4&gt;&lt;/div&gt;</t>
  </si>
  <si>
    <t>As protection from evil, but you may divide the duration among creatures touched.</t>
  </si>
  <si>
    <t>Protection from Good, Communal</t>
  </si>
  <si>
    <t>antipaladin 2, cleric 2/oracle 2, inquisitor 2, paladin 2, sorcerer/wizard 2, summoner 2</t>
  </si>
  <si>
    <t>This spell functions like protection from good, except you divide the duration in 1-minute intervals among the creatures touched.</t>
  </si>
  <si>
    <t>&lt;p&gt;This spell functions like &lt;i&gt;protection from good&lt;/i&gt;, except you divide the duration in 1-minute intervals among the creatures touched.&lt;/p&gt;</t>
  </si>
  <si>
    <t>&lt;link rel="stylesheet"href="PF.css"&gt;&lt;div class="heading"&gt;&lt;p class="alignleft"&gt;Protection from Good, Communal&lt;/p&gt;&lt;div style="clear: both;"&gt;&lt;/div&gt;&lt;/div&gt;&lt;div&gt;&lt;h5&gt;&lt;b&gt;School &lt;/b&gt;abjuration [evil]; &lt;b&gt;Level &lt;/b&gt;antipaladin 2, cleric 2/oracle 2, inquisitor 2, paladin 2, sorcerer/wizard 2, summoner 2&lt;/h5&gt;&lt;/div&gt;&lt;hr/&gt;&lt;div&gt;&lt;h5&gt;&lt;b&gt;CASTING&lt;/b&gt;&lt;/h5&gt;&lt;/div&gt;&lt;hr/&gt;&lt;div&gt;&lt;h5&gt;&lt;b&gt;Casting Time &lt;/b&gt;1 standard action&lt;/h5&gt;&lt;h5&gt;&lt;b&gt;Components &lt;/b&gt;V, S, M/DF&lt;/h5&gt;&lt;/div&gt;&lt;hr/&gt;&lt;div&gt;&lt;h5&gt;&lt;b&gt;EFFECT&lt;/b&gt;&lt;/h5&gt;&lt;/div&gt;&lt;hr/&gt;&lt;div&gt;&lt;h5&gt;&lt;b&gt;Range &lt;/b&gt;touch&lt;/h5&gt;&lt;h5&gt;&lt;b&gt;Targets &lt;/b&gt;creatures touched&lt;/h5&gt;&lt;h5&gt;&lt;b&gt;Duration &lt;/b&gt;1 min./level (D)&lt;/h5&gt;&lt;h5&gt;&lt;b&gt;Saving Throw &lt;/b&gt;Will negates (harmless); &lt;b&gt;Spell Resistance &lt;/b&gt;no; see text&lt;/h5&gt;&lt;/div&gt;&lt;hr/&gt;&lt;div&gt;&lt;h5&gt;&lt;b&gt;DESCRIPTION&lt;/b&gt;&lt;/h5&gt;&lt;/div&gt;&lt;hr/&gt;&lt;div&gt;&lt;h4&gt;&lt;p&gt;This spell functions like &lt;i&gt;protection from good&lt;/i&gt;, except you divide the duration in 1-minute intervals among the creatures touched.&lt;/p&gt;&lt;/h4&gt;&lt;/div&gt;</t>
  </si>
  <si>
    <t>As protection from good, but you may divide the duration among creatures touched.</t>
  </si>
  <si>
    <t>Protection from Law, Communal</t>
  </si>
  <si>
    <t>This spell functions like protection from law, except you divide the duration in 1-minute intervals among the creatures touched.</t>
  </si>
  <si>
    <t>&lt;p&gt;This spell functions like &lt;i&gt;protection from law&lt;/i&gt;, except you divide the duration in 1-minute intervals among the creatures touched.&lt;/p&gt;</t>
  </si>
  <si>
    <t>&lt;link rel="stylesheet"href="PF.css"&gt;&lt;div class="heading"&gt;&lt;p class="alignleft"&gt;Protection from Law, Communal&lt;/p&gt;&lt;div style="clear: both;"&gt;&lt;/div&gt;&lt;/div&gt;&lt;div&gt;&lt;h5&gt;&lt;b&gt;School &lt;/b&gt;abjuration [evil]; &lt;b&gt;Level &lt;/b&gt;antipaladin 2, cleric 2/oracle 2, inquisitor 2, paladin 2, sorcerer/wizard 2, summoner 2&lt;/h5&gt;&lt;/div&gt;&lt;hr/&gt;&lt;div&gt;&lt;h5&gt;&lt;b&gt;CASTING&lt;/b&gt;&lt;/h5&gt;&lt;/div&gt;&lt;hr/&gt;&lt;div&gt;&lt;h5&gt;&lt;b&gt;Casting Time &lt;/b&gt;1 standard action&lt;/h5&gt;&lt;h5&gt;&lt;b&gt;Components &lt;/b&gt;V, S, M/DF&lt;/h5&gt;&lt;/div&gt;&lt;hr/&gt;&lt;div&gt;&lt;h5&gt;&lt;b&gt;EFFECT&lt;/b&gt;&lt;/h5&gt;&lt;/div&gt;&lt;hr/&gt;&lt;div&gt;&lt;h5&gt;&lt;b&gt;Range &lt;/b&gt;touch&lt;/h5&gt;&lt;h5&gt;&lt;b&gt;Targets &lt;/b&gt;creatures touched&lt;/h5&gt;&lt;h5&gt;&lt;b&gt;Duration &lt;/b&gt;1 min./level (D)&lt;/h5&gt;&lt;h5&gt;&lt;b&gt;Saving Throw &lt;/b&gt;Will negates (harmless); &lt;b&gt;Spell Resistance &lt;/b&gt;no; see text&lt;/h5&gt;&lt;/div&gt;&lt;hr/&gt;&lt;div&gt;&lt;h5&gt;&lt;b&gt;DESCRIPTION&lt;/b&gt;&lt;/h5&gt;&lt;/div&gt;&lt;hr/&gt;&lt;div&gt;&lt;h4&gt;&lt;p&gt;This spell functions like &lt;i&gt;protection from law&lt;/i&gt;, except you divide the duration in 1-minute intervals among the creatures touched.&lt;/p&gt;&lt;/h4&gt;&lt;/div&gt;</t>
  </si>
  <si>
    <t>As protection from law, but you may divide the duration among creatures touched.</t>
  </si>
  <si>
    <t>Pup Shape</t>
  </si>
  <si>
    <t>V, S, M (a rag doll)</t>
  </si>
  <si>
    <t>one animal or magical beast.</t>
  </si>
  <si>
    <t>Fortitude negates (and Will special, see text)</t>
  </si>
  <si>
    <t>You transform the subject animal into a Small magical beast, creating a young magical version of itself for a short period of time. While in this form, the target has only 1 HD (maximum hit points), and the target takes a -4 penalty to Strength, Constitution, Intelligence and Wisdom (minimum 1). The creature also gains a +4 size bonus to Dexterity and a +2 natural bonus. Any nonevil creature that attempts to attack a creature in this form must succeed at a Will saving throw (using the DC of the spell) to overcome feelings of guilt and protectiveness toward the young and innocent-seeming creature. On a failed saving throw, it cannot follow through with the attack, that part of the action is lost, and it can't directly attack the transformed creature for the duration of the spell or until the spell's target attacks it. This part of the spell is a mind-affecting effect. Evil creatures have no qualms about attacking the target of this spell, in fact, some particularly heinous creatures might go out of their ways to do the target harm.</t>
  </si>
  <si>
    <t>&lt;p&gt;You transform the subject animal into a Small magical beast, creating a young magical version of itself for a short period of time. While in this form, the target has only 1 HD (maximum hit points), and the target takes a -4 penalty to Strength, Constitution, Intelligence and Wisdom (minimum 1). The creature also gains a +4 size bonus to Dexterity and a +2 natural bonus. Any nonevil creature that attempts to attack a creature in this form must succeed at a Will saving throw (using the DC of the spell) to overcome feelings of guilt and protectiveness toward the young and innocent-seeming creature. On a failed saving throw, it cannot follow through with the attack, that part of the action is lost, and it can't directly attack the transformed creature for the duration of the spell or until the spell's target attacks it. This part of the spell is a mind-affecting effect. Evil creatures have no qualms about attacking the target of this spell, in fact, some particularly heinous creatures might go out of their ways to do the target harm.&lt;/p&gt;</t>
  </si>
  <si>
    <t>&lt;link rel="stylesheet"href="PF.css"&gt;&lt;div class="heading"&gt;&lt;p class="alignleft"&gt;Pup Shape&lt;/p&gt;&lt;div style="clear: both;"&gt;&lt;/div&gt;&lt;/div&gt;&lt;div&gt;&lt;h5&gt;&lt;b&gt;School &lt;/b&gt;transmutation (polymorph); &lt;b&gt;Level &lt;/b&gt;druid 3, sorcerer/wizard 3, witch 3&lt;/h5&gt;&lt;/div&gt;&lt;hr/&gt;&lt;div&gt;&lt;h5&gt;&lt;b&gt;CASTING&lt;/b&gt;&lt;/h5&gt;&lt;/div&gt;&lt;hr/&gt;&lt;div&gt;&lt;h5&gt;&lt;b&gt;Casting Time &lt;/b&gt;1 standard action&lt;/h5&gt;&lt;h5&gt;&lt;b&gt;Components &lt;/b&gt;V, S, M (a rag doll)&lt;/h5&gt;&lt;/div&gt;&lt;hr/&gt;&lt;div&gt;&lt;h5&gt;&lt;b&gt;EFFECT&lt;/b&gt;&lt;/h5&gt;&lt;/div&gt;&lt;hr/&gt;&lt;div&gt;&lt;h5&gt;&lt;b&gt;Range &lt;/b&gt;close (25 ft. + 5 ft./2 levels)&lt;/h5&gt;&lt;h5&gt;&lt;b&gt;Targets &lt;/b&gt;one animal or magical beast.&lt;/h5&gt;&lt;h5&gt;&lt;b&gt;Duration &lt;/b&gt;1 round/level&lt;/h5&gt;&lt;h5&gt;&lt;b&gt;Saving Throw &lt;/b&gt;Fortitude negates (and Will special, see text); &lt;b&gt;Spell Resistance &lt;/b&gt;yes&lt;/h5&gt;&lt;/div&gt;&lt;hr/&gt;&lt;div&gt;&lt;h5&gt;&lt;b&gt;DESCRIPTION&lt;/b&gt;&lt;/h5&gt;&lt;/div&gt;&lt;hr/&gt;&lt;div&gt;&lt;h4&gt;&lt;p&gt;You transform the subject animal into a Small magical beast, creating a young magical version of itself for a short period of time. While in this form, the target has only 1 HD (maximum hit points), and the target takes a -4 penalty to Strength, Constitution, Intelligence and Wisdom (minimum 1). The creature also gains a +4 size bonus to Dexterity and a +2 natural bonus. Any nonevil creature that attempts to attack a creature in this form must succeed at a Will saving throw (using the DC of the spell) to overcome feelings of guilt and protectiveness toward the young and innocent-seeming creature. On a failed saving throw, it cannot follow through with the attack, that part of the action is lost, and it can't directly attack the transformed creature for the duration of the spell or until the spell's target attacks it. This part of the spell is a mind-affecting effect. Evil creatures have no qualms about attacking the target of this spell, in fact, some particularly heinous creatures might go out of their ways to do the target harm.&lt;/p&gt;&lt;/h4&gt;&lt;/div&gt;</t>
  </si>
  <si>
    <t>Transforms a single animal or magical beast into a younger and cuter version of itself for a short time.</t>
  </si>
  <si>
    <t>Qualm</t>
  </si>
  <si>
    <t>bard 2, inquisitor 2, sorcerer/wizard 2, witch 2</t>
  </si>
  <si>
    <t>The target is suddenly beset with unexplainable doubts about the effectiveness of its actions and the righteousness of its cause. The creature takes a -10 penalty on its ability checks, skill checks, and concentration checks, until the duration ends, or until it spends its entire turn doing absolutely nothing (it spends a full-round action gaining focus). Spending an entire turn doing nothing discharges the spell.</t>
  </si>
  <si>
    <t>&lt;p&gt;The target is suddenly beset with unexplainable doubts about the effectiveness of its actions and the righteousness of its cause. The creature takes a -10 penalty on its ability checks, skill checks, and concentration checks, until the duration ends, or until it spends its entire turn doing absolutely nothing (it spends a full-round action gaining focus). Spending an entire turn doing nothing discharges the spell.&lt;/p&gt;</t>
  </si>
  <si>
    <t>&lt;link rel="stylesheet"href="PF.css"&gt;&lt;div class="heading"&gt;&lt;p class="alignleft"&gt;Qualm&lt;/p&gt;&lt;div style="clear: both;"&gt;&lt;/div&gt;&lt;/div&gt;&lt;div&gt;&lt;h5&gt;&lt;b&gt;School &lt;/b&gt;enchantment (compulsion) [mind-affecting]; &lt;b&gt;Level &lt;/b&gt;bard 2, inquisitor 2, sorcerer/wizard 2, witch 2&lt;/h5&gt;&lt;/div&gt;&lt;hr/&gt;&lt;div&gt;&lt;h5&gt;&lt;b&gt;CASTING&lt;/b&gt;&lt;/h5&gt;&lt;/div&gt;&lt;hr/&gt;&lt;div&gt;&lt;h5&gt;&lt;b&gt;Casting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&lt;/b&gt;1 minute/level or until discharged&lt;/h5&gt;&lt;h5&gt;&lt;b&gt;Saving Throw &lt;/b&gt;Will negates; &lt;b&gt;Spell Resistance &lt;/b&gt;yes&lt;/h5&gt;&lt;/div&gt;&lt;hr/&gt;&lt;div&gt;&lt;h5&gt;&lt;b&gt;DESCRIPTION&lt;/b&gt;&lt;/h5&gt;&lt;/div&gt;&lt;hr/&gt;&lt;div&gt;&lt;h4&gt;&lt;p&gt;The target is suddenly beset with unexplainable doubts about the effectiveness of its actions and the righteousness of its cause. The creature takes a -10 penalty on its ability checks, skill checks, and concentration checks, until the duration ends, or until it spends its entire turn doing absolutely nothing (it spends a full-round action gaining focus). Spending an entire turn doing nothing discharges the spell.&lt;/p&gt;&lt;/h4&gt;&lt;/div&gt;</t>
  </si>
  <si>
    <t>Target gains penalties on ability checks, skill checks, and concentration checks until it spends an entire round doing nothing.</t>
  </si>
  <si>
    <t>Recoil Fire</t>
  </si>
  <si>
    <t>V, S, M (hoof shavings from a mule)</t>
  </si>
  <si>
    <t>The target firearm suddenly fires of its own volition, even if it is unloaded, generating a recoil so great that the wielder or carrier of the firearm must scramble to hold onto it and becomes flat-footed until the start of his next turn. If the wielder is already flat-footed, he is instead knocked prone. If the firearm was loaded, that ammunition is wasted.</t>
  </si>
  <si>
    <t>&lt;p&gt;The target firearm suddenly fires of its own volition, even if it is unloaded, generating a recoil so great that the wielder or carrier of the firearm must scramble to hold onto it and becomes flat-footed until the start of his next turn. If the wielder is already flat-footed, he is instead knocked prone. If the firearm was loaded, that ammunition is wasted.&lt;/p&gt;</t>
  </si>
  <si>
    <t>&lt;link rel="stylesheet"href="PF.css"&gt;&lt;div class="heading"&gt;&lt;p class="alignleft"&gt;Recoil Fire&lt;/p&gt;&lt;div style="clear: both;"&gt;&lt;/div&gt;&lt;/div&gt;&lt;div&gt;&lt;h5&gt;&lt;b&gt;School &lt;/b&gt;transmutation; &lt;b&gt;Level &lt;/b&gt;sorcerer/wizard 2, witch 2&lt;/h5&gt;&lt;/div&gt;&lt;hr/&gt;&lt;div&gt;&lt;h5&gt;&lt;b&gt;CASTING&lt;/b&gt;&lt;/h5&gt;&lt;/div&gt;&lt;hr/&gt;&lt;div&gt;&lt;h5&gt;&lt;b&gt;Casting Time &lt;/b&gt;1 standard action&lt;/h5&gt;&lt;h5&gt;&lt;b&gt;Components &lt;/b&gt;V, S, M (hoof shavings from a mule)&lt;/h5&gt;&lt;/div&gt;&lt;hr/&gt;&lt;div&gt;&lt;h5&gt;&lt;b&gt;EFFECT&lt;/b&gt;&lt;/h5&gt;&lt;/div&gt;&lt;hr/&gt;&lt;div&gt;&lt;h5&gt;&lt;b&gt;Range &lt;/b&gt;close (25 ft. + 5 ft./2 levels)&lt;/h5&gt;&lt;h5&gt;&lt;b&gt;Targets &lt;/b&gt;1 firearm&lt;/h5&gt;&lt;h5&gt;&lt;b&gt;Duration &lt;/b&gt;instantaneous&lt;/h5&gt;&lt;h5&gt;&lt;b&gt;Saving Throw &lt;/b&gt;Will negates (object); &lt;b&gt;Spell Resistance &lt;/b&gt;yes (object)&lt;/h5&gt;&lt;/div&gt;&lt;hr/&gt;&lt;div&gt;&lt;h5&gt;&lt;b&gt;DESCRIPTION&lt;/b&gt;&lt;/h5&gt;&lt;/div&gt;&lt;hr/&gt;&lt;div&gt;&lt;h4&gt;&lt;p&gt;The target firearm suddenly fires of its own volition, even if it is unloaded, generating a recoil so great that the wielder or carrier of the firearm must scramble to hold onto it and becomes flat-footed until the start of his next turn. If the wielder is already flat-footed, he is instead knocked prone. If the firearm was loaded, that ammunition is wasted.&lt;/p&gt;&lt;/h4&gt;&lt;/div&gt;</t>
  </si>
  <si>
    <t>Ammunition in the targeted firearm generates excessive recoil.</t>
  </si>
  <si>
    <t>Reinforce Armaments</t>
  </si>
  <si>
    <t>cleric 1/oracle 1, magus 1, sorcerer/wizard 1, witch 1</t>
  </si>
  <si>
    <t>V, S, M/DF (a metal pin)</t>
  </si>
  <si>
    <t>one armor suit or weapon touched</t>
  </si>
  <si>
    <t>You reinforce a weapon or armor suit to give it a temporarily upgrade or mitigate the fragile quality (see page 146). A suit of armor or weapon touched that has the fragile quality is not considered to have the fragile quality for the spell's duration. Normal armor suits or weapons subjected to this spell instead gain the masterwork quality for the spell's duration and their hardness is doubled. If this spell is cast on masterwork or magical armor or weapons, their hardness is doubled for the duration of the spell.</t>
  </si>
  <si>
    <t>&lt;p&gt;You reinforce a weapon or armor suit to give it a temporarily upgrade or mitigate the fragile quality (see page 146). A suit of armor or weapon touched that has the fragile quality is not considered to have the fragile quality for the spell's duration. Normal armor suits or weapons subjected to this spell instead gain the masterwork quality for the spell's duration and their hardness is doubled. If this spell is cast on masterwork or magical armor or weapons, their hardness is doubled for the duration of the spell.&lt;/p&gt;</t>
  </si>
  <si>
    <t>&lt;link rel="stylesheet"href="PF.css"&gt;&lt;div class="heading"&gt;&lt;p class="alignleft"&gt;Reinforce Armaments&lt;/p&gt;&lt;div style="clear: both;"&gt;&lt;/div&gt;&lt;/div&gt;&lt;div&gt;&lt;h5&gt;&lt;b&gt;School &lt;/b&gt;transmutation; &lt;b&gt;Level &lt;/b&gt;cleric 1/oracle 1, magus 1, sorcerer/wizard 1, witch 1&lt;/h5&gt;&lt;/div&gt;&lt;hr/&gt;&lt;div&gt;&lt;h5&gt;&lt;b&gt;CASTING&lt;/b&gt;&lt;/h5&gt;&lt;/div&gt;&lt;hr/&gt;&lt;div&gt;&lt;h5&gt;&lt;b&gt;Casting Time &lt;/b&gt;1 standard action&lt;/h5&gt;&lt;h5&gt;&lt;b&gt;Components &lt;/b&gt;V, S, M/DF (a metal pin)&lt;/h5&gt;&lt;/div&gt;&lt;hr/&gt;&lt;div&gt;&lt;h5&gt;&lt;b&gt;EFFECT&lt;/b&gt;&lt;/h5&gt;&lt;/div&gt;&lt;hr/&gt;&lt;div&gt;&lt;h5&gt;&lt;b&gt;Range &lt;/b&gt;touch&lt;/h5&gt;&lt;h5&gt;&lt;b&gt;Targets &lt;/b&gt;one armor suit or weapon touched&lt;/h5&gt;&lt;h5&gt;&lt;b&gt;Duration &lt;/b&gt;10 minutes/level&lt;/h5&gt;&lt;h5&gt;&lt;b&gt;Saving Throw &lt;/b&gt;Will negates (harmless, object); &lt;b&gt;Spell Resistance &lt;/b&gt;yes (harmless, object)&lt;/h5&gt;&lt;/div&gt;&lt;hr/&gt;&lt;div&gt;&lt;h5&gt;&lt;b&gt;DESCRIPTION&lt;/b&gt;&lt;/h5&gt;&lt;/div&gt;&lt;hr/&gt;&lt;div&gt;&lt;h4&gt;&lt;p&gt;You reinforce a weapon or armor suit to give it a temporarily upgrade or mitigate the fragile quality (see page 146). A suit of armor or weapon touched that has the fragile quality is not considered to have the fragile quality for the spell's duration. Normal armor suits or weapons subjected to this spell instead gain the masterwork quality for the spell's duration and their hardness is doubled. If this spell is cast on masterwork or magical armor or weapons, their hardness is doubled for the duration of the spell.&lt;/p&gt;&lt;/h4&gt;&lt;/div&gt;</t>
  </si>
  <si>
    <t>Temporarily mitigates the fragile quality in targeted weapon or armor.</t>
  </si>
  <si>
    <t>Reinforce Armaments, Communal</t>
  </si>
  <si>
    <t>cleric 2/oracle 2, magus 2, sorcerer/wizard 2, witch 2</t>
  </si>
  <si>
    <t>armor suits or weapons touched</t>
  </si>
  <si>
    <t>This spell functions like reinforce armaments, except you divide the duration in 10-minute intervals among the objects touched.</t>
  </si>
  <si>
    <t>&lt;p&gt;This spell functions like &lt;i&gt;reinforce armaments&lt;/i&gt;, except you divide the duration in 10-minute intervals among the objects touched.&lt;/p&gt;</t>
  </si>
  <si>
    <t>&lt;link rel="stylesheet"href="PF.css"&gt;&lt;div class="heading"&gt;&lt;p class="alignleft"&gt;Reinforce Armaments, Communal&lt;/p&gt;&lt;div style="clear: both;"&gt;&lt;/div&gt;&lt;/div&gt;&lt;div&gt;&lt;h5&gt;&lt;b&gt;School &lt;/b&gt;transmutation; &lt;b&gt;Level &lt;/b&gt;cleric 2/oracle 2, magus 2, sorcerer/wizard 2, witch 2&lt;/h5&gt;&lt;/div&gt;&lt;hr/&gt;&lt;div&gt;&lt;h5&gt;&lt;b&gt;CASTING&lt;/b&gt;&lt;/h5&gt;&lt;/div&gt;&lt;hr/&gt;&lt;div&gt;&lt;h5&gt;&lt;b&gt;Casting Time &lt;/b&gt;1 standard action&lt;/h5&gt;&lt;h5&gt;&lt;b&gt;Components &lt;/b&gt;V, S, M/DF (a metal pin)&lt;/h5&gt;&lt;/div&gt;&lt;hr/&gt;&lt;div&gt;&lt;h5&gt;&lt;b&gt;EFFECT&lt;/b&gt;&lt;/h5&gt;&lt;/div&gt;&lt;hr/&gt;&lt;div&gt;&lt;h5&gt;&lt;b&gt;Range &lt;/b&gt;touch&lt;/h5&gt;&lt;h5&gt;&lt;b&gt;Targets &lt;/b&gt;armor suits or weapons touched&lt;/h5&gt;&lt;h5&gt;&lt;b&gt;Duration &lt;/b&gt;10 minutes/level&lt;/h5&gt;&lt;h5&gt;&lt;b&gt;Saving Throw &lt;/b&gt;Will negates (harmless, object); &lt;b&gt;Spell Resistance &lt;/b&gt;yes (harmless, object)&lt;/h5&gt;&lt;/div&gt;&lt;hr/&gt;&lt;div&gt;&lt;h5&gt;&lt;b&gt;DESCRIPTION&lt;/b&gt;&lt;/h5&gt;&lt;/div&gt;&lt;hr/&gt;&lt;div&gt;&lt;h4&gt;&lt;p&gt;This spell functions like &lt;i&gt;reinforce armaments&lt;/i&gt;, except you divide the duration in 10-minute intervals among the objects touched.&lt;/p&gt;&lt;/h4&gt;&lt;/div&gt;</t>
  </si>
  <si>
    <t>As reinforce armaments, but you may divide the duration among objects touched.</t>
  </si>
  <si>
    <t>Reloading Hands</t>
  </si>
  <si>
    <t>magus 2, ranger 2, sorcerer/wizard 2</t>
  </si>
  <si>
    <t>projectile weapon touched</t>
  </si>
  <si>
    <t>1 round/caster level (D)</t>
  </si>
  <si>
    <t>Will negates (object, harmless)</t>
  </si>
  <si>
    <t>Once per round, phantom hands load a single ranged weapon or firearm with conjured ammunition. This ammunition counts as magical for overcoming damage reduction and attacking incorporeal creatures, but is the standard for its type (a normal bullet or pellets and black powder in the case of firearms). Conjured ammunition ceases to exist 1 round after it is removed from the weapon, or at the end of the duration, whichever comes first.</t>
  </si>
  <si>
    <t>&lt;p&gt;Once per round, phantom hands load a single ranged weapon or firearm with conjured ammunition. This ammunition counts as magical for overcoming damage reduction and attacking incorporeal creatures, but is the standard for its type (a normal bullet or pellets and black powder in the case of firearms). Conjured ammunition ceases to exist 1 round after it is removed from the weapon, or at the end of the duration, whichever comes first.&lt;/p&gt;</t>
  </si>
  <si>
    <t>&lt;link rel="stylesheet"href="PF.css"&gt;&lt;div class="heading"&gt;&lt;p class="alignleft"&gt;Reloading Hands&lt;/p&gt;&lt;div style="clear: both;"&gt;&lt;/div&gt;&lt;/div&gt;&lt;div&gt;&lt;h5&gt;&lt;b&gt;School &lt;/b&gt;conjuration (creation); &lt;b&gt;Level &lt;/b&gt;magus 2, ranger 2, sorcerer/wizard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&lt;/b&gt;projectile weapon touched&lt;/h5&gt;&lt;h5&gt;&lt;b&gt;Duration &lt;/b&gt;1 round/caster level (D)&lt;/h5&gt;&lt;h5&gt;&lt;b&gt;Saving Throw &lt;/b&gt;Will negates (object, harmless); &lt;b&gt;Spell Resistance &lt;/b&gt;yes (object, harmless)&lt;/h5&gt;&lt;/div&gt;&lt;hr/&gt;&lt;div&gt;&lt;h5&gt;&lt;b&gt;DESCRIPTION&lt;/b&gt;&lt;/h5&gt;&lt;/div&gt;&lt;hr/&gt;&lt;div&gt;&lt;h4&gt;&lt;p&gt;Once per round, phantom hands load a single ranged weapon or firearm with conjured ammunition. This ammunition counts as magical for overcoming damage reduction and attacking incorporeal creatures, but is the standard for its type (a normal bullet or pellets and black powder in the case of firearms). Conjured ammunition ceases to exist 1 round after it is removed from the weapon, or at the end of the duration, whichever comes first.&lt;/p&gt;&lt;/h4&gt;&lt;/div&gt;</t>
  </si>
  <si>
    <t>Loads a single shot into your weapon every round.</t>
  </si>
  <si>
    <t>Resinous Skin</t>
  </si>
  <si>
    <t>alchemist 3, druid 3, sorcerer/wizard 3</t>
  </si>
  <si>
    <t>You coat your body with a resinous substance, protecting you from attacks and binding weapons that strike you. You gain DR 5/piercing, as well as a +4 circumstance bonus to your CMD against disarm attempts and on saving throws against effects that cause you to drop something you are holding. Additionally, you gain a +2 circumstance bonus on combat maneuver checks to initiate a grapple, maintain a grapple, and pin a foe. Any enemy you grapple takes a -2 penalty on attempts to break the grapple and to escape the grapple using Escape Artist. Any weapon, that strikes you becomes stuck unless its wielder succeeds at a Reflex saving throw. Such a weapon can be pulled free of you only with a successful Strength check (DC = your saving throw DC for this spell). This spell has no effect on unarmed strikes or natural weapons.</t>
  </si>
  <si>
    <t>&lt;p&gt;You coat your body with a resinous substance, protecting you from attacks and binding weapons that strike you. You gain DR 5/piercing, as well as a +4 circumstance bonus to your CMD against disarm attempts and on saving throws against effects that cause you to drop something you are holding. Additionally, you gain a +2 circumstance bonus on combat maneuver checks to initiate a grapple, maintain a grapple, and pin a foe. Any enemy you grapple takes a -2 penalty on attempts to break the grapple and to escape the grapple using Escape Artist. Any weapon, that strikes you becomes stuck unless its wielder succeeds at a Reflex saving throw. Such a weapon can be pulled free of you only with a successful Strength check (DC = your saving throw DC for this spell). This spell has no effect on unarmed strikes or natural weapons.&lt;/p&gt;</t>
  </si>
  <si>
    <t>&lt;link rel="stylesheet"href="PF.css"&gt;&lt;div class="heading"&gt;&lt;p class="alignleft"&gt;Resinous Skin&lt;/p&gt;&lt;div style="clear: both;"&gt;&lt;/div&gt;&lt;/div&gt;&lt;div&gt;&lt;h5&gt;&lt;b&gt;School &lt;/b&gt;transmutation; &lt;b&gt;Level &lt;/b&gt;alchemist 3, druid 3, sorcerer/wizard 3&lt;/h5&gt;&lt;/div&gt;&lt;hr/&gt;&lt;div&gt;&lt;h5&gt;&lt;b&gt;CASTING&lt;/b&gt;&lt;/h5&gt;&lt;/div&gt;&lt;hr/&gt;&lt;div&gt;&lt;h5&gt;&lt;b&gt;Casting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&lt;/b&gt;10 minutes/level&lt;/h5&gt;&lt;h5&gt;&lt;b&gt;Saving Throw &lt;/b&gt;see text; &lt;b&gt;Spell Resistance &lt;/b&gt;no&lt;/h5&gt;&lt;/div&gt;&lt;hr/&gt;&lt;div&gt;&lt;h5&gt;&lt;b&gt;DESCRIPTION&lt;/b&gt;&lt;/h5&gt;&lt;/div&gt;&lt;hr/&gt;&lt;div&gt;&lt;h4&gt;&lt;p&gt;You coat your body with a resinous substance, protecting you from attacks and binding weapons that strike you. You gain DR 5/piercing, as well as a +4 circumstance bonus to your CMD against disarm attempts and on saving throws against effects that cause you to drop something you are holding. Additionally, you gain a +2 circumstance bonus on combat maneuver checks to initiate a grapple, maintain a grapple, and pin a foe. Any enemy you grapple takes a -2 penalty on attempts to break the grapple and to escape the grapple using Escape Artist. Any weapon, that strikes you becomes stuck unless its wielder succeeds at a Reflex saving throw. Such a weapon can be pulled free of you only with a successful Strength check (DC = your saving throw DC for this spell). This spell has no effect on unarmed strikes or natural weapons.&lt;/p&gt;&lt;/h4&gt;&lt;/div&gt;</t>
  </si>
  <si>
    <t>You gain DR 5/piercing and +4 to CMD against disarm attempts.</t>
  </si>
  <si>
    <t>Resist Energy, Communal</t>
  </si>
  <si>
    <t>alchemist 3, cleric 3/oracle 3, druid 3, inquisitor 3, paladin 3, ranger 3, sorcerer/wizard 3, summoner 3</t>
  </si>
  <si>
    <t>This spell functions like resist energy, except you divide the duration in 10-minute intervals among the creatures touched.</t>
  </si>
  <si>
    <t>&lt;p&gt;This spell functions like &lt;i&gt;resist energy&lt;/i&gt;, except you divide the duration in 10-minute intervals among the creatures touched.&lt;/p&gt;</t>
  </si>
  <si>
    <t>&lt;link rel="stylesheet"href="PF.css"&gt;&lt;div class="heading"&gt;&lt;p class="alignleft"&gt;Resist Energy, Communal&lt;/p&gt;&lt;div style="clear: both;"&gt;&lt;/div&gt;&lt;/div&gt;&lt;div&gt;&lt;h5&gt;&lt;b&gt;School &lt;/b&gt;abjuration; &lt;b&gt;Level &lt;/b&gt;alchemist 3, cleric 3/oracle 3, druid 3, inquisitor 3, paladin 3, ranger 3, sorcerer/wizard 3, summoner 3&lt;/h5&gt;&lt;/div&gt;&lt;hr/&gt;&lt;div&gt;&lt;h5&gt;&lt;b&gt;CASTING&lt;/b&gt;&lt;/h5&gt;&lt;/div&gt;&lt;hr/&gt;&lt;div&gt;&lt;h5&gt;&lt;b&gt;Casting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&lt;/b&gt;creatures touched&lt;/h5&gt;&lt;h5&gt;&lt;b&gt;Duration &lt;/b&gt;10 min./level&lt;/h5&gt;&lt;h5&gt;&lt;b&gt;Saving Throw &lt;/b&gt;Fortitude negates (harmless); &lt;b&gt;Spell Resistance &lt;/b&gt;yes (harmless)&lt;/h5&gt;&lt;/div&gt;&lt;hr/&gt;&lt;div&gt;&lt;h5&gt;&lt;b&gt;DESCRIPTION&lt;/b&gt;&lt;/h5&gt;&lt;/div&gt;&lt;hr/&gt;&lt;div&gt;&lt;h4&gt;&lt;p&gt;This spell functions like &lt;i&gt;resist energy&lt;/i&gt;, except you divide the duration in 10-minute intervals among the creatures touched.&lt;/p&gt;&lt;/h4&gt;&lt;/div&gt;</t>
  </si>
  <si>
    <t>As resist energy, but you may divide the duration among creatures touched.</t>
  </si>
  <si>
    <t>Returning Weapon</t>
  </si>
  <si>
    <t>bard 2, cleric 2/oracle 2, inquisitor 1, magus 1, ranger 1, sorcerer/wizard 2, witch 2</t>
  </si>
  <si>
    <t>one weapon that can be thrown</t>
  </si>
  <si>
    <t>For the duration of the spell, the target weapon acts as if it had the returning weapon special ability (see page 471 of the Core Rulebook). This spell can be used as the prerequisite for the returning weapon special ability.</t>
  </si>
  <si>
    <t>&lt;p&gt;For the duration of the spell, the target weapon acts as if it had the &lt;i&gt;returning&lt;/i&gt; weapon special ability (see page 471 of the &lt;i&gt;Core&lt;/i&gt; Rulebook). This spell can be used as the prerequisite for the &lt;i&gt;returning&lt;/i&gt; weapon special ability.&lt;/p&gt;</t>
  </si>
  <si>
    <t>&lt;link rel="stylesheet"href="PF.css"&gt;&lt;div class="heading"&gt;&lt;p class="alignleft"&gt;Returning Weapon&lt;/p&gt;&lt;div style="clear: both;"&gt;&lt;/div&gt;&lt;/div&gt;&lt;div&gt;&lt;h5&gt;&lt;b&gt;School &lt;/b&gt;conjuration (teleportation); &lt;b&gt;Level &lt;/b&gt;bard 2, cleric 2/oracle 2, inquisitor 1, magus 1, ranger 1, sorcerer/wizard 2, witch 2&lt;/h5&gt;&lt;/div&gt;&lt;hr/&gt;&lt;div&gt;&lt;h5&gt;&lt;b&gt;CASTING&lt;/b&gt;&lt;/h5&gt;&lt;/div&gt;&lt;hr/&gt;&lt;div&gt;&lt;h5&gt;&lt;b&gt;Casting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weapon that can be thrown&lt;/h5&gt;&lt;h5&gt;&lt;b&gt;Duration &lt;/b&gt;1 minute/level&lt;/h5&gt;&lt;h5&gt;&lt;b&gt;Saving Throw &lt;/b&gt;Will negates (harmless, object); &lt;b&gt;Spell Resistance &lt;/b&gt;yes (harmless, object)&lt;/h5&gt;&lt;/div&gt;&lt;hr/&gt;&lt;div&gt;&lt;h5&gt;&lt;b&gt;DESCRIPTION&lt;/b&gt;&lt;/h5&gt;&lt;/div&gt;&lt;hr/&gt;&lt;div&gt;&lt;h4&gt;&lt;p&gt;For the duration of the spell, the target weapon acts as if it had the &lt;i&gt;returning&lt;/i&gt; weapon special ability (see page 471 of the &lt;i&gt;Core&lt;/i&gt; Rulebook). This spell can be used as the prerequisite for the &lt;i&gt;returning&lt;/i&gt; weapon special ability.&lt;/p&gt;&lt;/h4&gt;&lt;/div&gt;</t>
  </si>
  <si>
    <t>Grants a weapon the returning special weapon quality.</t>
  </si>
  <si>
    <t>Returning Weapon, Communal</t>
  </si>
  <si>
    <t>bard 3, cleric 3/oracle 3, inquisitor 2, magus 2, ranger 2, sorcerer/wizard 3, witch 3</t>
  </si>
  <si>
    <t>&lt;link rel="stylesheet"href="PF.css"&gt;&lt;div class="heading"&gt;&lt;p class="alignleft"&gt;Returning Weapon, Communal&lt;/p&gt;&lt;div style="clear: both;"&gt;&lt;/div&gt;&lt;/div&gt;&lt;div&gt;&lt;h5&gt;&lt;b&gt;School &lt;/b&gt;conjuration (teleportation); &lt;b&gt;Level &lt;/b&gt;bard 3, cleric 3/oracle 3, inquisitor 2, magus 2, ranger 2, sorcerer/wizard 3, witch 3&lt;/h5&gt;&lt;/div&gt;&lt;hr/&gt;&lt;div&gt;&lt;h5&gt;&lt;b&gt;CASTING&lt;/b&gt;&lt;/h5&gt;&lt;/div&gt;&lt;hr/&gt;&lt;div&gt;&lt;h5&gt;&lt;b&gt;Casting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&lt;/b&gt;creatures touched&lt;/h5&gt;&lt;h5&gt;&lt;b&gt;Duration &lt;/b&gt;1 minute/level&lt;/h5&gt;&lt;h5&gt;&lt;b&gt;Saving Throw &lt;/b&gt;Will negates (harmless, object); &lt;b&gt;Spell Resistance &lt;/b&gt;yes (harmless, object)&lt;/h5&gt;&lt;/div&gt;&lt;hr/&gt;&lt;div&gt;&lt;h5&gt;&lt;b&gt;DESCRIPTION&lt;/b&gt;&lt;/h5&gt;&lt;/div&gt;&lt;hr/&gt;&lt;div&gt;&lt;h4&gt;&lt;p&gt;For the duration of the spell, the target weapon acts as if it had the &lt;i&gt;returning&lt;/i&gt; weapon special ability (see page 471 of the &lt;i&gt;Core&lt;/i&gt; Rulebook). This spell can be used as the prerequisite for the &lt;i&gt;returning&lt;/i&gt; weapon special ability.&lt;/p&gt;&lt;/h4&gt;&lt;/div&gt;</t>
  </si>
  <si>
    <t>As returning weapon, but you may divide the duration among weapons touched.</t>
  </si>
  <si>
    <t>Ricochet Shot</t>
  </si>
  <si>
    <t>V, S, M (a wishbone)</t>
  </si>
  <si>
    <t>one projectile weapon</t>
  </si>
  <si>
    <t>You imbue a projectile weapon with the ability to ricochet any projectiles that hit one target so that they also hit another. When the wielder ricochets a projectile, she selects a primary target to attack. If she hits the primary target, the projectile ricochets instead of being destroyed. The wielder can then select a secondary target that is within 20 feet of the primary target. She makes an attack roll against the secondary target at the same base attack bonus, but does not gain the benefit from any enhancement bonuses or magic qualities on the projectile. If the shot comes from a firearm, the ricochet targets normal AC rather than touch AC. While the spell lasts, the target weapon's wielder can ricochet one projectile per three caster levels you possess, to a maximum of six at caster level 18th. Once the target weapon's wielder ricochets that many shots, the spell is discharged. If the weapon's wielder fails to use all the ricochets before the spell end, those ricochets are wasted.</t>
  </si>
  <si>
    <t>&lt;p&gt;You imbue a projectile weapon with the ability to ricochet any projectiles that hit one target so that they also hit another. When the wielder ricochets a projectile, she selects a primary target to attack. If she hits the primary target, the projectile ricochets instead of being destroyed. The wielder can then select a secondary target that is within 20 feet of the primary target. She makes an attack roll against the secondary target at the same base attack bonus, but does not gain the benefit from any enhancement bonuses or magic qualities on the projectile. If the shot comes from a firearm, the ricochet targets normal AC rather than touch AC. While the spell lasts, the target weapon's wielder can ricochet one projectile per three caster levels you possess, to a maximum of six at caster level 18th. Once the target weapon's wielder ricochets that many shots, the spell is discharged. If the weapon's wielder fails to use all the ricochets before the spell end, those ricochets are wasted.&lt;/p&gt;</t>
  </si>
  <si>
    <t>&lt;link rel="stylesheet"href="PF.css"&gt;&lt;div class="heading"&gt;&lt;p class="alignleft"&gt;Ricochet Shot&lt;/p&gt;&lt;div style="clear: both;"&gt;&lt;/div&gt;&lt;/div&gt;&lt;div&gt;&lt;h5&gt;&lt;b&gt;School &lt;/b&gt;evocation; &lt;b&gt;Level &lt;/b&gt;ranger 2, sorcerer/wizard 2&lt;/h5&gt;&lt;/div&gt;&lt;hr/&gt;&lt;div&gt;&lt;h5&gt;&lt;b&gt;CASTING&lt;/b&gt;&lt;/h5&gt;&lt;/div&gt;&lt;hr/&gt;&lt;div&gt;&lt;h5&gt;&lt;b&gt;Casting Time &lt;/b&gt;1 standard action&lt;/h5&gt;&lt;h5&gt;&lt;b&gt;Components &lt;/b&gt;V, S, M (a wishbone)&lt;/h5&gt;&lt;/div&gt;&lt;hr/&gt;&lt;div&gt;&lt;h5&gt;&lt;b&gt;EFFECT&lt;/b&gt;&lt;/h5&gt;&lt;/div&gt;&lt;hr/&gt;&lt;div&gt;&lt;h5&gt;&lt;b&gt;Range &lt;/b&gt;close (25 ft. + 5 ft./2 levels)&lt;/h5&gt;&lt;h5&gt;&lt;b&gt;Targets &lt;/b&gt;one projectile weapon&lt;/h5&gt;&lt;h5&gt;&lt;b&gt;Duration &lt;/b&gt;1 round/level or until discharged&lt;/h5&gt;&lt;h5&gt;&lt;b&gt;Saving Throw &lt;/b&gt;Will negates (harmless, object); &lt;b&gt;Spell Resistance &lt;/b&gt;yes (harmless, object)&lt;/h5&gt;&lt;/div&gt;&lt;hr/&gt;&lt;div&gt;&lt;h5&gt;&lt;b&gt;DESCRIPTION&lt;/b&gt;&lt;/h5&gt;&lt;/div&gt;&lt;hr/&gt;&lt;div&gt;&lt;h4&gt;&lt;p&gt;You imbue a projectile weapon with the ability to ricochet any projectiles that hit one target so that they also hit another. When the wielder ricochets a projectile, she selects a primary target to attack. If she hits the primary target, the projectile ricochets instead of being destroyed. The wielder can then select a secondary target that is within 20 feet of the primary target. She makes an attack roll against the secondary target at the same base attack bonus, but does not gain the benefit from any enhancement bonuses or magic qualities on the projectile. If the shot comes from a firearm, the ricochet targets normal AC rather than touch AC. While the spell lasts, the target weapon's wielder can ricochet one projectile per three caster levels you possess, to a maximum of six at caster level 18th. Once the target weapon's wielder ricochets that many shots, the spell is discharged. If the weapon's wielder fails to use all the ricochets before the spell end, those ricochets are wasted.&lt;/p&gt;&lt;/h4&gt;&lt;h5&gt;&lt;b&gt;Mythic: &lt;/b&gt;If the attack hits the secondary target, the wielder can select a tertiary target within 20 feet of the secondary target. This functions like a ricochet off the primary target. The tertiary target must be a different creature than the primary target.&lt;/h5&gt;&lt;h5&gt;&lt;b&gt;Augmented (3rd)&lt;/b&gt;: If you expend two uses of mythic power, the secondary and tertiary attacks gain the enhancement bonus and magic qualities of the attack against the primary target.&lt;/h5&gt;&lt;/div&gt;</t>
  </si>
  <si>
    <t>Imbues a projectile weapon to give its ammunition the ability to ricochet.</t>
  </si>
  <si>
    <t>If the attack hits the secondary target, the wielder can select a tertiary target within 20 feet of the secondary target. This functions like a ricochet off the primary target. The tertiary target must be a different creature than the primary target.</t>
  </si>
  <si>
    <t>Augmented (3rd): If you expend two uses of mythic power, the secondary and tertiary attacks gain the enhancement bonus and magic qualities of the attack against the primary target.</t>
  </si>
  <si>
    <t>See Alignment</t>
  </si>
  <si>
    <t>alchemist 1, bard 1, sorcerer/wizard 1</t>
  </si>
  <si>
    <t>V, S, M (eye of newt)</t>
  </si>
  <si>
    <t>When you cast this spell, select a single alignment (such as lawful good or chaotic evil). Creatures of that alignment glow with a ghostly radiance while they are within your vision. Though you can see this radiance, other creatures cannot. Spells and effects that obscure alignment, like undetectable alignment, also obscure the effects of this spell.</t>
  </si>
  <si>
    <t>&lt;p&gt;When you cast this spell, select a single alignment (such as lawful good or chaotic evil). Creatures of that alignment glow with a ghostly radiance while they are within your vision. Though you can see this radiance, other creatures cannot. Spells and effects that obscure alignment, like &lt;i&gt;undetectable alignment&lt;/i&gt;, also obscure the effects of this spell.&lt;/p&gt;</t>
  </si>
  <si>
    <t>&lt;link rel="stylesheet"href="PF.css"&gt;&lt;div class="heading"&gt;&lt;p class="alignleft"&gt;See Alignment&lt;/p&gt;&lt;div style="clear: both;"&gt;&lt;/div&gt;&lt;/div&gt;&lt;div&gt;&lt;h5&gt;&lt;b&gt;School &lt;/b&gt;divination; &lt;b&gt;Level &lt;/b&gt;alchemist 1, bard 1, sorcerer/wizard 1&lt;/h5&gt;&lt;/div&gt;&lt;hr/&gt;&lt;div&gt;&lt;h5&gt;&lt;b&gt;CASTING&lt;/b&gt;&lt;/h5&gt;&lt;/div&gt;&lt;hr/&gt;&lt;div&gt;&lt;h5&gt;&lt;b&gt;Casting Time &lt;/b&gt;1 standard action&lt;/h5&gt;&lt;h5&gt;&lt;b&gt;Components &lt;/b&gt;V, S, M (eye of newt)&lt;/h5&gt;&lt;/div&gt;&lt;hr/&gt;&lt;div&gt;&lt;h5&gt;&lt;b&gt;EFFECT&lt;/b&gt;&lt;/h5&gt;&lt;/div&gt;&lt;hr/&gt;&lt;div&gt;&lt;h5&gt;&lt;b&gt;Range &lt;/b&gt;personal&lt;/h5&gt;&lt;h5&gt;&lt;b&gt;Targets &lt;/b&gt;you&lt;/h5&gt;&lt;h5&gt;&lt;b&gt;Duration &lt;/b&gt;1/round per level&lt;/h5&gt;&lt;/div&gt;&lt;hr/&gt;&lt;div&gt;&lt;h5&gt;&lt;b&gt;DESCRIPTION&lt;/b&gt;&lt;/h5&gt;&lt;/div&gt;&lt;hr/&gt;&lt;div&gt;&lt;h4&gt;&lt;p&gt;When you cast this spell, select a single alignment (such as lawful good or chaotic evil). Creatures of that alignment glow with a ghostly radiance while they are within your vision. Though you can see this radiance, other creatures cannot. Spells and effects that obscure alignment, like &lt;i&gt;undetectable alignment&lt;/i&gt;, also obscure the effects of this spell.&lt;/p&gt;&lt;/h4&gt;&lt;/div&gt;</t>
  </si>
  <si>
    <t>Pick an alignment; in your sight, creatures and items with that alignment emit a ghostly radiance.</t>
  </si>
  <si>
    <t>Shadow Bomb Admixture</t>
  </si>
  <si>
    <t>Upon drinking an extract created with this formula, you make a significant change to your magical reserve that modifies the nature of all bombs you create and throw during this extract's duration. This effect on your magical reserve has no effect on any discoveries that you use to modify your bombs, but you can only have one admixture effect (formula with the word "bomb admixture" in its title) active at a time. If you drink another bomb admixture, the effects of the former bomb admixture end and the new one becomes active. When you throw a bomb and hit a direct target, a shadowy substance is released from the bomb covering the direct target and up to three creatures that take damage from the bomb's splash (alchemist's choice). The affected creatures must successfully make a Fortitude saving throw, or they gain concealment but treat all other creatures as having concealment for the duration of the shadow bomb admixture. This effect does not ignore spell resistance.</t>
  </si>
  <si>
    <t>&lt;p&gt;Upon drinking an extract created with this formula, you make a significant change to your magical reserve that modifies the nature of all bombs you create and throw during this extract's duration. This effect on your magical reserve has no effect on any discoveries that you use to modify your bombs, but you can only have one admixture effect (formula with the word "bomb admixture" in its title) active at a time. If you drink another bomb admixture, the effects of the former bomb admixture end and the new one becomes active. When you throw a bomb and hit a direct target, a shadowy substance is released from the bomb covering the direct target and up to three creatures that take damage from the bomb's splash (alchemist's choice). The affected creatures must successfully make a Fortitude saving throw, or they gain concealment but treat all other creatures as having concealment for the duration of the &lt;i&gt;shadow bomb admixture&lt;/i&gt;. This effect does not ignore spell resistance.&lt;/p&gt;</t>
  </si>
  <si>
    <t>&lt;link rel="stylesheet"href="PF.css"&gt;&lt;div class="heading"&gt;&lt;p class="alignleft"&gt;Shadow Bomb Admixture&lt;/p&gt;&lt;div style="clear: both;"&gt;&lt;/div&gt;&lt;/div&gt;&lt;div&gt;&lt;h5&gt;&lt;b&gt;School &lt;/b&gt;conjuration (creation); &lt;b&gt;Level &lt;/b&gt;alchemist 2&lt;/h5&gt;&lt;/div&gt;&lt;hr/&gt;&lt;div&gt;&lt;h5&gt;&lt;b&gt;CASTING&lt;/b&gt;&lt;/h5&gt;&lt;/div&gt;&lt;hr/&gt;&lt;div&gt;&lt;h5&gt;&lt;b&gt;Casting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round/level&lt;/h5&gt;&lt;h5&gt;&lt;b&gt;Saving Throw &lt;/b&gt;special, see below; &lt;b&gt;Spell Resistance &lt;/b&gt;special, see below&lt;/h5&gt;&lt;/div&gt;&lt;hr/&gt;&lt;div&gt;&lt;h5&gt;&lt;b&gt;DESCRIPTION&lt;/b&gt;&lt;/h5&gt;&lt;/div&gt;&lt;hr/&gt;&lt;div&gt;&lt;h4&gt;&lt;p&gt;Upon drinking an extract created with this formula, you make a significant change to your magical reserve that modifies the nature of all bombs you create and throw during this extract's duration. This effect on your magical reserve has no effect on any discoveries that you use to modify your bombs, but you can only have one admixture effect (formula with the word "bomb admixture" in its title) active at a time. If you drink another bomb admixture, the effects of the former bomb admixture end and the new one becomes active. When you throw a bomb and hit a direct target, a shadowy substance is released from the bomb covering the direct target and up to three creatures that take damage from the bomb's splash (alchemist's choice). The affected creatures must successfully make a Fortitude saving throw, or they gain concealment but treat all other creatures as having concealment for the duration of the &lt;i&gt;shadow bomb admixture&lt;/i&gt;. This effect does not ignore spell resistance.&lt;/p&gt;&lt;/h4&gt;&lt;/div&gt;</t>
  </si>
  <si>
    <t>Empowers bombs you throw to cover the target with a shadowy substance that grants it concealment and limits its vision.</t>
  </si>
  <si>
    <t>Share Language, Communal</t>
  </si>
  <si>
    <t>bard 2, cleric 3/oracle 3, druid 3, sorcerer/wizard 3</t>
  </si>
  <si>
    <t>This spell functions like share language (Advanced Player's Guide 243), except you divide the duration in 1-hour increments among the creatures touched.</t>
  </si>
  <si>
    <t>&lt;p&gt;This spell functions like &lt;i&gt;share language&lt;/i&gt; (Advanced Player's Guide 243), except you divide the duration in 1-hour increments among the creatures touched.&lt;/p&gt;</t>
  </si>
  <si>
    <t>&lt;link rel="stylesheet"href="PF.css"&gt;&lt;div class="heading"&gt;&lt;p class="alignleft"&gt;Share Language, Communal&lt;/p&gt;&lt;div style="clear: both;"&gt;&lt;/div&gt;&lt;/div&gt;&lt;div&gt;&lt;h5&gt;&lt;b&gt;School &lt;/b&gt;divination; &lt;b&gt;Level &lt;/b&gt;bard 2, cleric 3/oracle 3, druid 3, sorcerer/wizard 3&lt;/h5&gt;&lt;/div&gt;&lt;hr/&gt;&lt;div&gt;&lt;h5&gt;&lt;b&gt;CASTING&lt;/b&gt;&lt;/h5&gt;&lt;/div&gt;&lt;hr/&gt;&lt;div&gt;&lt;h5&gt;&lt;b&gt;Casting Time &lt;/b&gt;1 standard action&lt;/h5&gt;&lt;h5&gt;&lt;b&gt;Components &lt;/b&gt;V, S, M (a page from a dictionary)&lt;/h5&gt;&lt;/div&gt;&lt;hr/&gt;&lt;div&gt;&lt;h5&gt;&lt;b&gt;EFFECT&lt;/b&gt;&lt;/h5&gt;&lt;/div&gt;&lt;hr/&gt;&lt;div&gt;&lt;h5&gt;&lt;b&gt;Range &lt;/b&gt;touch&lt;/h5&gt;&lt;h5&gt;&lt;b&gt;Targets &lt;/b&gt;creatures touched&lt;/h5&gt;&lt;h5&gt;&lt;b&gt;Duration &lt;/b&gt;24 hours&lt;/h5&gt;&lt;h5&gt;&lt;b&gt;Saving Throw &lt;/b&gt;Will negates (harmless); &lt;b&gt;Spell Resistance &lt;/b&gt;yes (harmless)&lt;/h5&gt;&lt;/div&gt;&lt;hr/&gt;&lt;div&gt;&lt;h5&gt;&lt;b&gt;DESCRIPTION&lt;/b&gt;&lt;/h5&gt;&lt;/div&gt;&lt;hr/&gt;&lt;div&gt;&lt;h4&gt;&lt;p&gt;This spell functions like &lt;i&gt;share language&lt;/i&gt; (Advanced Player's Guide 243), except you divide the duration in 1-hour increments among the creatures touched.&lt;/p&gt;&lt;/h4&gt;&lt;/div&gt;</t>
  </si>
  <si>
    <t>As share language, but you may divide the duration among creatures touched.</t>
  </si>
  <si>
    <t>Shock Shield</t>
  </si>
  <si>
    <t>electricity, force</t>
  </si>
  <si>
    <t>1 minutes/level (D)</t>
  </si>
  <si>
    <t>This spell creates an invisible shield similar to but not as strong as the shield spell. This shield hovers in front of you and negates magic missile attacks directed at you. The disk provides a +2 shield bonus to AC. This bonus applies against incorporeal touch attacks. At any time, as a free action, you may dismiss your shield, at which point it deals 1d6 points of electrical damage to all creatures within a 5-foot burst, including you. A Reflex saving throw halves the damage.</t>
  </si>
  <si>
    <t>&lt;p&gt;This spell creates an invisible &lt;i&gt;shield&lt;/i&gt; similar to but not as strong as the &lt;i&gt;shield&lt;/i&gt; spell. This &lt;i&gt;shield&lt;/i&gt; hovers in front of you and negates &lt;i&gt;magic missile&lt;/i&gt; attacks directed at you. The disk provides a +2 &lt;i&gt;shield&lt;/i&gt; bonus to AC. This bonus applies against incorporeal touch attacks. At any time, as a free action, you may dismiss your &lt;i&gt;shield&lt;/i&gt;, at which point it deals 1d6 points of electrical damage to all creatures within a 5-foot burst, including you. A Reflex saving throw halves the damage.&lt;/p&gt;</t>
  </si>
  <si>
    <t>&lt;link rel="stylesheet"href="PF.css"&gt;&lt;div class="heading"&gt;&lt;p class="alignleft"&gt;Shock Shield&lt;/p&gt;&lt;div style="clear: both;"&gt;&lt;/div&gt;&lt;/div&gt;&lt;div&gt;&lt;h5&gt;&lt;b&gt;School &lt;/b&gt;abjuration [electricity, force]; &lt;b&gt;Level &lt;/b&gt;alchemist 1, magus 1, sorcerer/wizard 1&lt;/h5&gt;&lt;/div&gt;&lt;hr/&gt;&lt;div&gt;&lt;h5&gt;&lt;b&gt;CASTING&lt;/b&gt;&lt;/h5&gt;&lt;/div&gt;&lt;hr/&gt;&lt;div&gt;&lt;h5&gt;&lt;b&gt;Casting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minutes/level (D)&lt;/h5&gt;&lt;/div&gt;&lt;hr/&gt;&lt;div&gt;&lt;h5&gt;&lt;b&gt;DESCRIPTION&lt;/b&gt;&lt;/h5&gt;&lt;/div&gt;&lt;hr/&gt;&lt;div&gt;&lt;h4&gt;&lt;p&gt;This spell creates an invisible &lt;i&gt;shield&lt;/i&gt; similar to but not as strong as the &lt;i&gt;shield&lt;/i&gt; spell. This &lt;i&gt;shield&lt;/i&gt; hovers in front of you and negates &lt;i&gt;magic missile&lt;/i&gt; attacks directed at you. The disk provides a +2 &lt;i&gt;shield&lt;/i&gt; bonus to AC. This bonus applies against incorporeal touch attacks. At any time, as a free action, you may dismiss your &lt;i&gt;shield&lt;/i&gt;, at which point it deals 1d6 points of electrical damage to all creatures within a 5-foot burst, including you. A Reflex saving throw halves the damage.&lt;/p&gt;&lt;/h4&gt;&lt;/div&gt;</t>
  </si>
  <si>
    <t>A shield of force protects you until you dismiss it in an explosion of electricity.</t>
  </si>
  <si>
    <t>Shocking Image</t>
  </si>
  <si>
    <t>This spell works like mirror image, except the illusory doubles it creates discharge an electric shock when destroyed. An opponent that uses a melee attack to destroy one of your images takes 2d6 points of electricity damage. You must overcome a target's spell resistance the first time you deal this electricity damage to it. Failure renders the target immune to damage from this spell.</t>
  </si>
  <si>
    <t>&lt;p&gt;This spell works like &lt;i&gt;mirror image&lt;/i&gt;, except the illusory doubles it creates discharge an electric shock when destroyed. An opponent that uses a melee attack to destroy one of your images takes 2d6 points of electricity damage. You must overcome a target's spell resistance the first time you deal this electricity damage to it. Failure renders the target immune to damage from this spell.&lt;/p&gt;</t>
  </si>
  <si>
    <t>&lt;link rel="stylesheet"href="PF.css"&gt;&lt;div class="heading"&gt;&lt;p class="alignleft"&gt;Shocking Image&lt;/p&gt;&lt;div style="clear: both;"&gt;&lt;/div&gt;&lt;/div&gt;&lt;div&gt;&lt;h5&gt;&lt;b&gt;School &lt;/b&gt;illusion (figment) [electricity]; &lt;b&gt;Level &lt;/b&gt;bard 4, sorcerer/wizard 4&lt;/h5&gt;&lt;/div&gt;&lt;hr/&gt;&lt;div&gt;&lt;h5&gt;&lt;b&gt;CASTING&lt;/b&gt;&lt;/h5&gt;&lt;/div&gt;&lt;hr/&gt;&lt;div&gt;&lt;h5&gt;&lt;b&gt;Casting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minute/level&lt;/h5&gt;&lt;h5&gt;&lt;b&gt;Saving Throw &lt;/b&gt;none; &lt;b&gt;Spell Resistance &lt;/b&gt;see text&lt;/h5&gt;&lt;/div&gt;&lt;hr/&gt;&lt;div&gt;&lt;h5&gt;&lt;b&gt;DESCRIPTION&lt;/b&gt;&lt;/h5&gt;&lt;/div&gt;&lt;hr/&gt;&lt;div&gt;&lt;h4&gt;&lt;p&gt;This spell works like &lt;i&gt;mirror image&lt;/i&gt;, except the illusory doubles it creates discharge an electric shock when destroyed. An opponent that uses a melee attack to destroy one of your images takes 2d6 points of electricity damage. You must overcome a target's spell resistance the first time you deal this electricity damage to it. Failure renders the target immune to damage from this spell.&lt;/p&gt;&lt;/h4&gt;&lt;/div&gt;</t>
  </si>
  <si>
    <t>As mirror image, but the duplicates emit electrical damage when destroyed.</t>
  </si>
  <si>
    <t>Siege of Trees</t>
  </si>
  <si>
    <t>one Large plant per three caster levels</t>
  </si>
  <si>
    <t>You imbue inanimate plants with limited mobility and a semblance of life. Each plant targeted acts as a light catapult (see page 162) until the end of the spell's duration, though you must spend a standard action to aim each of these tree catapults before the first time they fire, and anytime thereafter when you want the trees to fire at a new target. With a free action, you can command one or all of the trees under your command to stop firing. You do not need to supply ammunition to these tree catapults; they will automatically load themselves with rocks and boulders in the area, digging them deep from the ground if need be. You can supply the trees ammunition if you desire. The tree will not load flaming ammunition, and these catapult trees cannot be affected by energy siege shot (see page 228) if the energy selected is fire.</t>
  </si>
  <si>
    <t>&lt;p&gt;You imbue inanimate plants with limited mobility and a semblance of life. Each plant targeted acts as a light catapult (see page 162) until the end of the spell's duration, though you must spend a standard action to aim each of these tree catapults before the first time they fire, and anytime thereafter when you want the trees to fire at a new target. With a free action, you can command one or all of the trees under your command to stop firing. You do not need to supply ammunition to these tree catapults; they will automatically load themselves with rocks and boulders in the area, digging them deep from the ground if need be. You can supply the trees ammunition if you desire. The tree will not load flaming ammunition, and these catapult trees cannot be affected by &lt;i&gt;energy siege shot&lt;/i&gt; (see page 228) if the energy selected is fire.&lt;/p&gt;</t>
  </si>
  <si>
    <t>&lt;link rel="stylesheet"href="PF.css"&gt;&lt;div class="heading"&gt;&lt;p class="alignleft"&gt;Siege of Trees&lt;/p&gt;&lt;div style="clear: both;"&gt;&lt;/div&gt;&lt;/div&gt;&lt;div&gt;&lt;h5&gt;&lt;b&gt;School &lt;/b&gt;transmutation; &lt;b&gt;Level &lt;/b&gt;druid 7&lt;/h5&gt;&lt;/div&gt;&lt;hr/&gt;&lt;div&gt;&lt;h5&gt;&lt;b&gt;CASTING&lt;/b&gt;&lt;/h5&gt;&lt;/div&gt;&lt;hr/&gt;&lt;div&gt;&lt;h5&gt;&lt;b&gt;Casting Time &lt;/b&gt;10 minutes&lt;/h5&gt;&lt;h5&gt;&lt;b&gt;Components &lt;/b&gt;V, S&lt;/h5&gt;&lt;/div&gt;&lt;hr/&gt;&lt;div&gt;&lt;h5&gt;&lt;b&gt;EFFECT&lt;/b&gt;&lt;/h5&gt;&lt;/div&gt;&lt;hr/&gt;&lt;div&gt;&lt;h5&gt;&lt;b&gt;Range &lt;/b&gt;close (25 ft. + 5 ft./2 levels)&lt;/h5&gt;&lt;h5&gt;&lt;b&gt;Targets &lt;/b&gt;one Large plant per three caster levels&lt;/h5&gt;&lt;h5&gt;&lt;b&gt;Duration &lt;/b&gt;1 hour/level (D)&lt;/h5&gt;&lt;h5&gt;&lt;b&gt;Saving Throw &lt;/b&gt;none; &lt;b&gt;Spell Resistance &lt;/b&gt;no&lt;/h5&gt;&lt;/div&gt;&lt;hr/&gt;&lt;div&gt;&lt;h5&gt;&lt;b&gt;DESCRIPTION&lt;/b&gt;&lt;/h5&gt;&lt;/div&gt;&lt;hr/&gt;&lt;div&gt;&lt;h4&gt;&lt;p&gt;You imbue inanimate plants with limited mobility and a semblance of life. Each plant targeted acts as a light catapult (see page 162) until the end of the spell's duration, though you must spend a standard action to aim each of these tree catapults before the first time they fire, and anytime thereafter when you want the trees to fire at a new target. With a free action, you can command one or all of the trees under your command to stop firing. You do not need to supply ammunition to these tree catapults; they will automatically load themselves with rocks and boulders in the area, digging them deep from the ground if need be. You can supply the trees ammunition if you desire. The tree will not load flaming ammunition, and these catapult trees cannot be affected by &lt;i&gt;energy siege shot&lt;/i&gt; (see page 228) if the energy selected is fire.&lt;/p&gt;&lt;/h4&gt;&lt;/div&gt;</t>
  </si>
  <si>
    <t>Transforms Large trees into arboreal catapults of the same size.</t>
  </si>
  <si>
    <t>Siege of Trees, Greater</t>
  </si>
  <si>
    <t>V,S</t>
  </si>
  <si>
    <t>one Gargantuan, Huge, or Large plant per three caster levels</t>
  </si>
  <si>
    <t>As siege of trees, but you can affect larger-sized plants. Each plant acts as a catapult of its size.</t>
  </si>
  <si>
    <t>&lt;p&gt;As &lt;i&gt;siege of trees&lt;/i&gt;, but you can affect larger-sized plants. Each plant acts as a catapult of its size.&lt;/p&gt;</t>
  </si>
  <si>
    <t>&lt;link rel="stylesheet"href="PF.css"&gt;&lt;div class="heading"&gt;&lt;p class="alignleft"&gt;Siege of Trees, Greater&lt;/p&gt;&lt;div style="clear: both;"&gt;&lt;/div&gt;&lt;/div&gt;&lt;div&gt;&lt;h5&gt;&lt;b&gt;School &lt;/b&gt;transmutation; &lt;b&gt;Level &lt;/b&gt;druid 9&lt;/h5&gt;&lt;/div&gt;&lt;hr/&gt;&lt;div&gt;&lt;h5&gt;&lt;b&gt;CASTING&lt;/b&gt;&lt;/h5&gt;&lt;/div&gt;&lt;hr/&gt;&lt;div&gt;&lt;h5&gt;&lt;b&gt;Casting Time &lt;/b&gt;10 minutes&lt;/h5&gt;&lt;h5&gt;&lt;b&gt;Components &lt;/b&gt;V,S&lt;/h5&gt;&lt;/div&gt;&lt;hr/&gt;&lt;div&gt;&lt;h5&gt;&lt;b&gt;EFFECT&lt;/b&gt;&lt;/h5&gt;&lt;/div&gt;&lt;hr/&gt;&lt;div&gt;&lt;h5&gt;&lt;b&gt;Range &lt;/b&gt;close (25 ft. + 5 ft./2 levels)&lt;/h5&gt;&lt;h5&gt;&lt;b&gt;Targets &lt;/b&gt;one Gargantuan, Huge, or Large plant per three caster levels&lt;/h5&gt;&lt;h5&gt;&lt;b&gt;Duration &lt;/b&gt;1 hour/level (D)&lt;/h5&gt;&lt;h5&gt;&lt;b&gt;Saving Throw &lt;/b&gt;none; &lt;b&gt;Spell Resistance &lt;/b&gt;no&lt;/h5&gt;&lt;/div&gt;&lt;hr/&gt;&lt;div&gt;&lt;h5&gt;&lt;b&gt;DESCRIPTION&lt;/b&gt;&lt;/h5&gt;&lt;/div&gt;&lt;hr/&gt;&lt;div&gt;&lt;h4&gt;&lt;p&gt;As &lt;i&gt;siege of trees&lt;/i&gt;, but you can affect larger-sized plants. Each plant acts as a catapult of its size.&lt;/p&gt;&lt;/h4&gt;&lt;/div&gt;</t>
  </si>
  <si>
    <t>As siege of trees, but can transform Huge and Gargantuan trees into arboreal catapults of the same size.</t>
  </si>
  <si>
    <t>Spell Immunity, Communal</t>
  </si>
  <si>
    <t>This spell functions like spell immunity, except you divide the duration in 10-minute intervals among the creatures touched.</t>
  </si>
  <si>
    <t>&lt;p&gt;This spell functions like &lt;i&gt;spell immunity&lt;/i&gt;, except you divide the duration in 10-minute intervals among the creatures touched.&lt;/p&gt;</t>
  </si>
  <si>
    <t>&lt;link rel="stylesheet"href="PF.css"&gt;&lt;div class="heading"&gt;&lt;p class="alignleft"&gt;Spell Immunity, Communal&lt;/p&gt;&lt;div style="clear: both;"&gt;&lt;/div&gt;&lt;/div&gt;&lt;div&gt;&lt;h5&gt;&lt;b&gt;School &lt;/b&gt;abjuration; &lt;b&gt;Level &lt;/b&gt;cleric 5/oracle 5, inquisitor 5&lt;/h5&gt;&lt;/div&gt;&lt;hr/&gt;&lt;div&gt;&lt;h5&gt;&lt;b&gt;CASTING&lt;/b&gt;&lt;/h5&gt;&lt;/div&gt;&lt;hr/&gt;&lt;div&gt;&lt;h5&gt;&lt;b&gt;Casting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&lt;/b&gt;creatures touched&lt;/h5&gt;&lt;h5&gt;&lt;b&gt;Duration &lt;/b&gt;10 min./level&lt;/h5&gt;&lt;h5&gt;&lt;b&gt;Saving Throw &lt;/b&gt;Will negates (harmless); &lt;b&gt;Spell Resistance &lt;/b&gt;yes (harmless)&lt;/h5&gt;&lt;/div&gt;&lt;hr/&gt;&lt;div&gt;&lt;h5&gt;&lt;b&gt;DESCRIPTION&lt;/b&gt;&lt;/h5&gt;&lt;/div&gt;&lt;hr/&gt;&lt;div&gt;&lt;h4&gt;&lt;p&gt;This spell functions like &lt;i&gt;spell immunity&lt;/i&gt;, except you divide the duration in 10-minute intervals among the creatures touched.&lt;/p&gt;&lt;/h4&gt;&lt;/div&gt;</t>
  </si>
  <si>
    <t>As spell immunity, but you may divide the duration among creatures touched.</t>
  </si>
  <si>
    <t>Spell Immunity, Greater Communal</t>
  </si>
  <si>
    <t>This spell functions like greater spell immunity, except you divide the duration among the creatures in 10-minute intervals among the creatures touched.</t>
  </si>
  <si>
    <t>&lt;p&gt;This spell functions like &lt;i&gt;greater spell immunity&lt;/i&gt;, except you divide the duration among the creatures in 10-minute intervals among the creatures touched.&lt;/p&gt;</t>
  </si>
  <si>
    <t>&lt;link rel="stylesheet"href="PF.css"&gt;&lt;div class="heading"&gt;&lt;p class="alignleft"&gt;Spell Immunity, Greater Communal&lt;/p&gt;&lt;div style="clear: both;"&gt;&lt;/div&gt;&lt;/div&gt;&lt;div&gt;&lt;h5&gt;&lt;b&gt;School &lt;/b&gt;abjuration; &lt;b&gt;Level &lt;/b&gt;cleric 9/oracle 9&lt;/h5&gt;&lt;/div&gt;&lt;hr/&gt;&lt;div&gt;&lt;h5&gt;&lt;b&gt;CASTING&lt;/b&gt;&lt;/h5&gt;&lt;/div&gt;&lt;hr/&gt;&lt;div&gt;&lt;h5&gt;&lt;b&gt;Casting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&lt;/b&gt;creatures touched&lt;/h5&gt;&lt;h5&gt;&lt;b&gt;Duration &lt;/b&gt;10 min./level&lt;/h5&gt;&lt;h5&gt;&lt;b&gt;Saving Throw &lt;/b&gt;Will negates (harmless); &lt;b&gt;Spell Resistance &lt;/b&gt;yes (harmless)&lt;/h5&gt;&lt;/div&gt;&lt;hr/&gt;&lt;div&gt;&lt;h5&gt;&lt;b&gt;DESCRIPTION&lt;/b&gt;&lt;/h5&gt;&lt;/div&gt;&lt;hr/&gt;&lt;div&gt;&lt;h4&gt;&lt;p&gt;This spell functions like &lt;i&gt;greater spell immunity&lt;/i&gt;, except you divide the duration among the creatures in 10-minute intervals among the creatures touched.&lt;/p&gt;&lt;/h4&gt;&lt;/div&gt;</t>
  </si>
  <si>
    <t>As greater spell immunity, but you may divide the duration among creatures touched.</t>
  </si>
  <si>
    <t>Spider Climb, Communal</t>
  </si>
  <si>
    <t>alchemist 3, druid 3, sorcerer/wizard 3, summoner 3</t>
  </si>
  <si>
    <t>This spell functions like spider climb, except you divide the duration in 10-minute intervals among the creatures touched.</t>
  </si>
  <si>
    <t>&lt;p&gt;This spell functions like &lt;i&gt;spider climb&lt;/i&gt;, except you divide the duration in 10-minute intervals among the creatures touched.&lt;/p&gt;</t>
  </si>
  <si>
    <t>&lt;link rel="stylesheet"href="PF.css"&gt;&lt;div class="heading"&gt;&lt;p class="alignleft"&gt;Spider Climb, Communal&lt;/p&gt;&lt;div style="clear: both;"&gt;&lt;/div&gt;&lt;/div&gt;&lt;div&gt;&lt;h5&gt;&lt;b&gt;School &lt;/b&gt;transmutation; &lt;b&gt;Level &lt;/b&gt;alchemist 3, druid 3, sorcerer/wizard 3, summoner 3&lt;/h5&gt;&lt;/div&gt;&lt;hr/&gt;&lt;div&gt;&lt;h5&gt;&lt;b&gt;CASTING&lt;/b&gt;&lt;/h5&gt;&lt;/div&gt;&lt;hr/&gt;&lt;div&gt;&lt;h5&gt;&lt;b&gt;Casting Time &lt;/b&gt;1 standard action&lt;/h5&gt;&lt;h5&gt;&lt;b&gt;Components &lt;/b&gt;V, S, M (a live spider)&lt;/h5&gt;&lt;/div&gt;&lt;hr/&gt;&lt;div&gt;&lt;h5&gt;&lt;b&gt;EFFECT&lt;/b&gt;&lt;/h5&gt;&lt;/div&gt;&lt;hr/&gt;&lt;div&gt;&lt;h5&gt;&lt;b&gt;Range &lt;/b&gt;touch&lt;/h5&gt;&lt;h5&gt;&lt;b&gt;Targets &lt;/b&gt;creatures touched&lt;/h5&gt;&lt;h5&gt;&lt;b&gt;Duration &lt;/b&gt;10 min./level&lt;/h5&gt;&lt;h5&gt;&lt;b&gt;Saving Throw &lt;/b&gt;Will negates (harmless); &lt;b&gt;Spell Resistance &lt;/b&gt;yes (harmless)&lt;/h5&gt;&lt;/div&gt;&lt;hr/&gt;&lt;div&gt;&lt;h5&gt;&lt;b&gt;DESCRIPTION&lt;/b&gt;&lt;/h5&gt;&lt;/div&gt;&lt;hr/&gt;&lt;div&gt;&lt;h4&gt;&lt;p&gt;This spell functions like &lt;i&gt;spider climb&lt;/i&gt;, except you divide the duration in 10-minute intervals among the creatures touched.&lt;/p&gt;&lt;/h4&gt;&lt;/div&gt;</t>
  </si>
  <si>
    <t>As spider climb, but you may divide the duration among creatures touched.</t>
  </si>
  <si>
    <t>Spontaneous Immolation</t>
  </si>
  <si>
    <t>V, S, M (pinch of saltpeter)</t>
  </si>
  <si>
    <t>Fortitude half and Reflex (see description)</t>
  </si>
  <si>
    <t>You point your finger at a creature, causing it to spontaneously burst into flame. The target takes 3d6 points of fire damage and catches on fire (Pathfinder RPG Core Rulebook 444). A successful Fortitude save reduces this damage by half and prevents the target from catching on fire. Each round on your turn, a burning target can attempt a new save to extinguish the flames (DC equal to the DC of the spell); otherwise it takes another 1d6 fire damage.</t>
  </si>
  <si>
    <t>&lt;p&gt;You point your finger at a creature, causing it to spontaneously burst into flame. The target takes 3d6 points of fire damage and catches on fire (&lt;i&gt;Pathfinder RPG Core Rulebook&lt;/i&gt; 444). A successful Fortitude save reduces this damage by half and prevents the target from catching on fire. Each round on your turn, a burning target can attempt a new save to extinguish the flames (DC equal to the DC of the spell); otherwise it takes another 1d6 fire damage.&lt;/p&gt;</t>
  </si>
  <si>
    <t>&lt;link rel="stylesheet"href="PF.css"&gt;&lt;div class="heading"&gt;&lt;p class="alignleft"&gt;Spontaneous Immolation&lt;/p&gt;&lt;div style="clear: both;"&gt;&lt;/div&gt;&lt;/div&gt;&lt;div&gt;&lt;h5&gt;&lt;b&gt;School &lt;/b&gt;evocation [fire]; &lt;b&gt;Level &lt;/b&gt;sorcerer/wizard 2&lt;/h5&gt;&lt;/div&gt;&lt;hr/&gt;&lt;div&gt;&lt;h5&gt;&lt;b&gt;CASTING&lt;/b&gt;&lt;/h5&gt;&lt;/div&gt;&lt;hr/&gt;&lt;div&gt;&lt;h5&gt;&lt;b&gt;Casting Time &lt;/b&gt;1 standard action&lt;/h5&gt;&lt;h5&gt;&lt;b&gt;Components &lt;/b&gt;V, S, M (pinch of saltpeter)&lt;/h5&gt;&lt;/div&gt;&lt;hr/&gt;&lt;div&gt;&lt;h5&gt;&lt;b&gt;EFFECT&lt;/b&gt;&lt;/h5&gt;&lt;/div&gt;&lt;hr/&gt;&lt;div&gt;&lt;h5&gt;&lt;b&gt;Range &lt;/b&gt;medium (100 ft. + 10 ft./level)&lt;/h5&gt;&lt;h5&gt;&lt;b&gt;Targets &lt;/b&gt;one creature&lt;/h5&gt;&lt;h5&gt;&lt;b&gt;Duration &lt;/b&gt;instantaneous&lt;/h5&gt;&lt;h5&gt;&lt;b&gt;Saving Throw &lt;/b&gt;Fortitude half and Reflex (see description); &lt;b&gt;Spell Resistance &lt;/b&gt;yes&lt;/h5&gt;&lt;/div&gt;&lt;hr/&gt;&lt;div&gt;&lt;h5&gt;&lt;b&gt;DESCRIPTION&lt;/b&gt;&lt;/h5&gt;&lt;/div&gt;&lt;hr/&gt;&lt;div&gt;&lt;h4&gt;&lt;p&gt;You point your finger at a creature, causing it to spontaneously burst into flame. The target takes 3d6 points of fire damage and catches on fire (&lt;i&gt;Pathfinder RPG Core Rulebook&lt;/i&gt; 444). A successful Fortitude save reduces this damage by half and prevents the target from catching on fire. Each round on your turn, a burning target can attempt a new save to extinguish the flames (DC equal to the DC of the spell); otherwise it takes another 1d6 fire damage.&lt;/p&gt;&lt;/h4&gt;&lt;/div&gt;</t>
  </si>
  <si>
    <t>Target takes 3d6 points of fire damage and catches on fire.</t>
  </si>
  <si>
    <t>Stabilize Powder</t>
  </si>
  <si>
    <t>Ammunition currently loaded in the target firearm is less prone to misfire. Decrease the misfire range by 1 + 1 per five caster levels (maximum +5, minimum misfire 0) for the ammunition currently loaded into that firearm.</t>
  </si>
  <si>
    <t>&lt;p&gt;Ammunition currently loaded in the target firearm is less prone to misfire. Decrease the misfire range by 1 + 1 per five caster levels (maximum +5, minimum misfire 0) for the ammunition currently loaded into that firearm.&lt;/p&gt;</t>
  </si>
  <si>
    <t>&lt;link rel="stylesheet"href="PF.css"&gt;&lt;div class="heading"&gt;&lt;p class="alignleft"&gt;Stabilize Powder&lt;/p&gt;&lt;div style="clear: both;"&gt;&lt;/div&gt;&lt;/div&gt;&lt;div&gt;&lt;h5&gt;&lt;b&gt;School &lt;/b&gt;transmutation; &lt;b&gt;Level &lt;/b&gt;sorcerer/wizard 2, witch 2&lt;/h5&gt;&lt;/div&gt;&lt;hr/&gt;&lt;div&gt;&lt;h5&gt;&lt;b&gt;CASTING&lt;/b&gt;&lt;/h5&gt;&lt;/div&gt;&lt;hr/&gt;&lt;div&gt;&lt;h5&gt;&lt;b&gt;Casting Time &lt;/b&gt;1 standard action&lt;/h5&gt;&lt;h5&gt;&lt;b&gt;Components &lt;/b&gt;V, S, M (a few drops of liquor)&lt;/h5&gt;&lt;/div&gt;&lt;hr/&gt;&lt;div&gt;&lt;h5&gt;&lt;b&gt;EFFECT&lt;/b&gt;&lt;/h5&gt;&lt;/div&gt;&lt;hr/&gt;&lt;div&gt;&lt;h5&gt;&lt;b&gt;Range &lt;/b&gt;close (25 ft. + 5 ft./2 levels)&lt;/h5&gt;&lt;h5&gt;&lt;b&gt;Targets &lt;/b&gt;1 loaded firearm&lt;/h5&gt;&lt;h5&gt;&lt;b&gt;Duration &lt;/b&gt;instantaneous&lt;/h5&gt;&lt;h5&gt;&lt;b&gt;Saving Throw &lt;/b&gt;Will negates (harmless, object); &lt;b&gt;Spell Resistance &lt;/b&gt;yes (harmless, object)&lt;/h5&gt;&lt;/div&gt;&lt;hr/&gt;&lt;div&gt;&lt;h5&gt;&lt;b&gt;DESCRIPTION&lt;/b&gt;&lt;/h5&gt;&lt;/div&gt;&lt;hr/&gt;&lt;div&gt;&lt;h4&gt;&lt;p&gt;Ammunition currently loaded in the target firearm is less prone to misfire. Decrease the misfire range by 1 + 1 per five caster levels (maximum +5, minimum misfire 0) for the ammunition currently loaded into that firearm.&lt;/p&gt;&lt;/h4&gt;&lt;/div&gt;</t>
  </si>
  <si>
    <t>Ammunition in the targeted firearm is less likely to misfire.</t>
  </si>
  <si>
    <t>Stoneskin, Communal</t>
  </si>
  <si>
    <t>alchemist 5, druid 6, inquisitor 5, sorcerer/wizard 5, summoner 4</t>
  </si>
  <si>
    <t>V, S, M (granite and diamond dust worth 100 gp per creature affected)</t>
  </si>
  <si>
    <t>This spell functions like stoneskin, except you divide the duration in 10 minute intervals among the creatures touched. Once the spell has prevented 10 points of damage per caster level (maximum 150 points) for a subject, the spell's effects end for that subject.</t>
  </si>
  <si>
    <t>&lt;p&gt;This spell functions like &lt;i&gt;stoneskin&lt;/i&gt;, except you divide the duration in 10 minute intervals among the creatures touched. Once the spell has prevented 10 points of damage per caster level (maximum 150 points) for a subject, the spell's effects end for that subject.&lt;/p&gt;</t>
  </si>
  <si>
    <t>&lt;link rel="stylesheet"href="PF.css"&gt;&lt;div class="heading"&gt;&lt;p class="alignleft"&gt;Stoneskin, Communal&lt;/p&gt;&lt;div style="clear: both;"&gt;&lt;/div&gt;&lt;/div&gt;&lt;div&gt;&lt;h5&gt;&lt;b&gt;School &lt;/b&gt;abjuration; &lt;b&gt;Level &lt;/b&gt;alchemist 5, druid 6, inquisitor 5, sorcerer/wizard 5, summoner 4&lt;/h5&gt;&lt;/div&gt;&lt;hr/&gt;&lt;div&gt;&lt;h5&gt;&lt;b&gt;CASTING&lt;/b&gt;&lt;/h5&gt;&lt;/div&gt;&lt;hr/&gt;&lt;div&gt;&lt;h5&gt;&lt;b&gt;Casting Time &lt;/b&gt;1 standard action&lt;/h5&gt;&lt;h5&gt;&lt;b&gt;Components &lt;/b&gt;V, S, M (granite and diamond dust worth 100 gp per creature affected)&lt;/h5&gt;&lt;/div&gt;&lt;hr/&gt;&lt;div&gt;&lt;h5&gt;&lt;b&gt;EFFECT&lt;/b&gt;&lt;/h5&gt;&lt;/div&gt;&lt;hr/&gt;&lt;div&gt;&lt;h5&gt;&lt;b&gt;Range &lt;/b&gt;touch&lt;/h5&gt;&lt;h5&gt;&lt;b&gt;Targets &lt;/b&gt;creatures touched&lt;/h5&gt;&lt;h5&gt;&lt;b&gt;Duration &lt;/b&gt;10 min./level or until discharged&lt;/h5&gt;&lt;h5&gt;&lt;b&gt;Saving Throw &lt;/b&gt;Will negates (harmless); &lt;b&gt;Spell Resistance &lt;/b&gt;yes (harmless)&lt;/h5&gt;&lt;/div&gt;&lt;hr/&gt;&lt;div&gt;&lt;h5&gt;&lt;b&gt;DESCRIPTION&lt;/b&gt;&lt;/h5&gt;&lt;/div&gt;&lt;hr/&gt;&lt;div&gt;&lt;h4&gt;&lt;p&gt;This spell functions like &lt;i&gt;stoneskin&lt;/i&gt;, except you divide the duration in 10 minute intervals among the creatures touched. Once the spell has prevented 10 points of damage per caster level (maximum 150 points) for a subject, the spell's effects end for that subject.&lt;/p&gt;&lt;/h4&gt;&lt;/div&gt;</t>
  </si>
  <si>
    <t>As stoneskin, but you may divide the duration among creatures touched.</t>
  </si>
  <si>
    <t>Summoner Conduit</t>
  </si>
  <si>
    <t>cleric 4/oracle 4, sorcerer/wizard 5, summoner 4, witch 5</t>
  </si>
  <si>
    <t>V, S, M (two flies)</t>
  </si>
  <si>
    <t>one summoned creature or eidolon</t>
  </si>
  <si>
    <t>You exploit the invisible, mystic connection between the target creature and its summoner to harm that summoner. Whenever the target's summoned creature is the target of a spell that deals damage, the target's summoner is also considered to be a target of that spell. Such a summoner gains his normal defenses against the spell, such as a saving throw and spell resistance, and cannot be affected if he is on another plane of existence.</t>
  </si>
  <si>
    <t>&lt;p&gt;You exploit the invisible, mystic connection between the target creature and its summoner to harm that summoner. Whenever the target's summoned creature is the target of a spell that deals damage, the target's summoner is also considered to be a target of that spell. Such a summoner gains his normal defenses against the spell, such as a saving throw and spell resistance, and cannot be affected if he is on another plane of existence.&lt;/p&gt;</t>
  </si>
  <si>
    <t>&lt;link rel="stylesheet"href="PF.css"&gt;&lt;div class="heading"&gt;&lt;p class="alignleft"&gt;Summoner Conduit&lt;/p&gt;&lt;div style="clear: both;"&gt;&lt;/div&gt;&lt;/div&gt;&lt;div&gt;&lt;h5&gt;&lt;b&gt;School &lt;/b&gt;necromancy; &lt;b&gt;Level &lt;/b&gt;cleric 4/oracle 4, sorcerer/wizard 5, summoner 4, witch 5&lt;/h5&gt;&lt;/div&gt;&lt;hr/&gt;&lt;div&gt;&lt;h5&gt;&lt;b&gt;CASTING&lt;/b&gt;&lt;/h5&gt;&lt;/div&gt;&lt;hr/&gt;&lt;div&gt;&lt;h5&gt;&lt;b&gt;Casting Time &lt;/b&gt;1 standard action&lt;/h5&gt;&lt;h5&gt;&lt;b&gt;Components &lt;/b&gt;V, S, M (two flies)&lt;/h5&gt;&lt;/div&gt;&lt;hr/&gt;&lt;div&gt;&lt;h5&gt;&lt;b&gt;EFFECT&lt;/b&gt;&lt;/h5&gt;&lt;/div&gt;&lt;hr/&gt;&lt;div&gt;&lt;h5&gt;&lt;b&gt;Range &lt;/b&gt;close (25 ft. + 5 ft./2 levels)&lt;/h5&gt;&lt;h5&gt;&lt;b&gt;Targets &lt;/b&gt;one summoned creature or eidolon&lt;/h5&gt;&lt;h5&gt;&lt;b&gt;Duration &lt;/b&gt;1 minute/level&lt;/h5&gt;&lt;h5&gt;&lt;b&gt;Saving Throw &lt;/b&gt;Will negates; &lt;b&gt;Spell Resistance &lt;/b&gt;yes&lt;/h5&gt;&lt;/div&gt;&lt;hr/&gt;&lt;div&gt;&lt;h5&gt;&lt;b&gt;DESCRIPTION&lt;/b&gt;&lt;/h5&gt;&lt;/div&gt;&lt;hr/&gt;&lt;div&gt;&lt;h4&gt;&lt;p&gt;You exploit the invisible, mystic connection between the target creature and its summoner to harm that summoner. Whenever the target's summoned creature is the target of a spell that deals damage, the target's summoner is also considered to be a target of that spell. Such a summoner gains his normal defenses against the spell, such as a saving throw and spell resistance, and cannot be affected if he is on another plane of existence.&lt;/p&gt;&lt;/h4&gt;&lt;/div&gt;</t>
  </si>
  <si>
    <t>The target takes damage whenever its summoned creature does.</t>
  </si>
  <si>
    <t>Sun Metal</t>
  </si>
  <si>
    <t>cleric/oracle 1, paladin 1, ranger 1</t>
  </si>
  <si>
    <t>The target weapon ignites into flame that does not hurt the weapon or the wielder, but damages those hit by the weapon. When the weapon's wielder hits with this weapon, it deals an additional 1d4 points of fire damage. This damage is not multiplied in the case of a critical hit. This effect immediately ends if the weapon is submerged in water. This effect does not stack with the flaming or flaming burst weapon special ability or any other effect that grants the weapon extra fire damage. It does not function on weapons with the frost or icy burst weapon special ability or any other effect that grants a weapon extra cold damage.</t>
  </si>
  <si>
    <t>&lt;p&gt;The target weapon ignites into flame that does not hurt the weapon or the wielder, but damages those hit by the weapon. When the weapon's wielder hits with this weapon, it deals an additional 1d4 points of fire damage. This damage is not multiplied in the case of a critical hit. This effect immediately ends if the weapon is submerged in water. This effect does not stack with the &lt;i&gt;flaming&lt;/i&gt; or &lt;i&gt;flaming&lt;/i&gt; burst weapon special ability or any other effect that grants the weapon extra fire damage. It does not function on weapons with the &lt;i&gt;frost&lt;/i&gt; or &lt;i&gt;icy burst&lt;/i&gt; weapon special ability or any other effect that grants a weapon extra cold damage.&lt;/p&gt;</t>
  </si>
  <si>
    <t>&lt;link rel="stylesheet"href="PF.css"&gt;&lt;div class="heading"&gt;&lt;p class="alignleft"&gt;Sun Metal&lt;/p&gt;&lt;div style="clear: both;"&gt;&lt;/div&gt;&lt;/div&gt;&lt;div&gt;&lt;h5&gt;&lt;b&gt;School &lt;/b&gt;transmutation [fire]; &lt;b&gt;Level &lt;/b&gt;cleric/oracle 1, paladin 1, ranger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&lt;/b&gt;one melee weapon&lt;/h5&gt;&lt;h5&gt;&lt;b&gt;Duration &lt;/b&gt;1 round/level (see text)&lt;/h5&gt;&lt;h5&gt;&lt;b&gt;Saving Throw &lt;/b&gt;Fortitude negates (object); &lt;b&gt;Spell Resistance &lt;/b&gt;yes (object)&lt;/h5&gt;&lt;/div&gt;&lt;hr/&gt;&lt;div&gt;&lt;h5&gt;&lt;b&gt;DESCRIPTION&lt;/b&gt;&lt;/h5&gt;&lt;/div&gt;&lt;hr/&gt;&lt;div&gt;&lt;h4&gt;&lt;p&gt;The target weapon ignites into flame that does not hurt the weapon or the wielder, but damages those hit by the weapon. When the weapon's wielder hits with this weapon, it deals an additional 1d4 points of fire damage. This damage is not multiplied in the case of a critical hit. This effect immediately ends if the weapon is submerged in water. This effect does not stack with the &lt;i&gt;flaming&lt;/i&gt; or &lt;i&gt;flaming&lt;/i&gt; burst weapon special ability or any other effect that grants the weapon extra fire damage. It does not function on weapons with the &lt;i&gt;frost&lt;/i&gt; or &lt;i&gt;icy burst&lt;/i&gt; weapon special ability or any other effect that grants a weapon extra cold damage.&lt;/p&gt;&lt;/h4&gt;&lt;h5&gt;&lt;b&gt;Mythic: &lt;/b&gt;The additional damage dealt by the weapon increases to 1d6 points of fire damage. Any creature struck by the weapon is dazzled for 1 round (no saving throw). On a critical hit, the target is blinded for 1 round (Fortitude negates, DC equal to the DC of the spell).&lt;/h5&gt;&lt;/div&gt;</t>
  </si>
  <si>
    <t>Weapon touched bursts into flames.</t>
  </si>
  <si>
    <t>The additional damage dealt by the weapon increases to 1d6 points of fire damage. Any creature struck by the weapon is dazzled for 1 round (no saving throw). On a critical hit, the target is blinded for 1 round (Fortitude negates, DC equal to the DC of the spell).</t>
  </si>
  <si>
    <t>Symbol of Striking</t>
  </si>
  <si>
    <t>cleric 5/oracle 5, magus 5, sorcerer/wizard 5, witch 5</t>
  </si>
  <si>
    <t>V, S, M (a masterwork melee weapon costing at least 300 gp)</t>
  </si>
  <si>
    <t>Will half, see text</t>
  </si>
  <si>
    <t>yes, see text</t>
  </si>
  <si>
    <t>This spell functions like symbol of death, except that using the material component, you scribe a symbol of striking so it fills a 5-foot square. Once triggered, the symbol of striking glows and lasts for 10 minutes per caster level or until it has made a number of attacks of opportunity equal to your level, whichever comes first. When triggered, the symbol threatens its area and the area around it as if it were a Medium creature wielding a magic version of the weapon you used as the material component. Using your caster level + 1 + your Intelligence modifier (magus, witch, wizard) or Wisdom modifier (cleric) or Charisma modifier (oracle, sorcerer) as its attack bonus, the symbol can make a number of attacks of opportunity each round equal to 1 + the same ability score modifier you used to determine its attack bonus. It gains a bonus on damage rolls equal to the same ability score modifier you used to determine its attack bonus. A shadowy version of you wielding the material component appears to make these attacks. The symbol attacks any non-attuned creature that provokes an attack of opportunity from the symbol. However, when the symbol first attacks a creature, the symbol must overcome that creature's spell resistance or be rendered unable to harm it. The symbol never again attacks such creatures. Further, when the symbol first attacks a creature, a successful Will saving throw allows the creature to see the shadow nature of the attacks and take half damage when such attacks hit.</t>
  </si>
  <si>
    <t>&lt;p&gt;This spell functions like &lt;i&gt;symbol of death&lt;/i&gt;, except that using the material component, you scribe a &lt;i&gt;symbol of striking&lt;/i&gt; so it fills a 5-foot square. Once triggered, the &lt;i&gt;symbol of striking&lt;/i&gt; glows and lasts for 10 minutes per caster level or until it has made a number of attacks of opportunity equal to your level, whichever comes first. When triggered, the symbol threatens its area and the area around it as if it were a Medium creature wielding a magic version of the weapon you used as the material component. Using your caster level + 1 + your Intelligence modifier (magus, witch, wizard) or Wisdom modifier (cleric) or Charisma modifier (oracle, sorcerer) as its attack bonus, the symbol can make a number of attacks of opportunity each round equal to 1 + the same ability score modifier you used to determine its attack bonus. It gains a bonus on damage rolls equal to the same ability score modifier you used to determine its attack bonus. A shadowy version of you wielding the material component appears to make these attacks. The symbol attacks any non-attuned creature that provokes an attack of opportunity from the symbol. However, when the symbol first attacks a creature, the symbol must overcome that creature's spell resistance or be rendered unable to harm it. The symbol never again attacks such creatures. Further, when the symbol first attacks a creature, a successful Will saving throw allows the creature to see the shadow nature of the attacks and take half damage when such attacks hit.&lt;/p&gt;</t>
  </si>
  <si>
    <t>&lt;link rel="stylesheet"href="PF.css"&gt;&lt;div class="heading"&gt;&lt;p class="alignleft"&gt;Symbol of Striking&lt;/p&gt;&lt;div style="clear: both;"&gt;&lt;/div&gt;&lt;/div&gt;&lt;div&gt;&lt;h5&gt;&lt;b&gt;School &lt;/b&gt;illusion (shadow); &lt;b&gt;Level &lt;/b&gt;cleric 5/oracle 5, magus 5, sorcerer/wizard 5, witch 5&lt;/h5&gt;&lt;/div&gt;&lt;hr/&gt;&lt;div&gt;&lt;h5&gt;&lt;b&gt;CASTING&lt;/b&gt;&lt;/h5&gt;&lt;/div&gt;&lt;hr/&gt;&lt;div&gt;&lt;h5&gt;&lt;b&gt;Casting Time &lt;/b&gt;10 minutes&lt;/h5&gt;&lt;h5&gt;&lt;b&gt;Components &lt;/b&gt;V, S, M (a masterwork melee weapon costing at least 300 gp)&lt;/h5&gt;&lt;/div&gt;&lt;hr/&gt;&lt;div&gt;&lt;h5&gt;&lt;b&gt;EFFECT&lt;/b&gt;&lt;/h5&gt;&lt;/div&gt;&lt;hr/&gt;&lt;div&gt;&lt;h5&gt;&lt;b&gt;Range &lt;/b&gt;0 ft.; see text&lt;/h5&gt;&lt;h5&gt;&lt;b&gt;Effect &lt;/b&gt;one symbol&lt;/h5&gt;&lt;h5&gt;&lt;b&gt;Duration &lt;/b&gt;see text&lt;/h5&gt;&lt;h5&gt;&lt;b&gt;Saving Throw &lt;/b&gt;Will half, see text; &lt;b&gt;Spell Resistance &lt;/b&gt;yes, see text&lt;/h5&gt;&lt;/div&gt;&lt;hr/&gt;&lt;div&gt;&lt;h5&gt;&lt;b&gt;DESCRIPTION&lt;/b&gt;&lt;/h5&gt;&lt;/div&gt;&lt;hr/&gt;&lt;div&gt;&lt;h4&gt;&lt;p&gt;This spell functions like &lt;i&gt;symbol of death&lt;/i&gt;, except that using the material component, you scribe a &lt;i&gt;symbol of striking&lt;/i&gt; so it fills a 5-foot square. Once triggered, the &lt;i&gt;symbol of striking&lt;/i&gt; glows and lasts for 10 minutes per caster level or until it has made a number of attacks of opportunity equal to your level, whichever comes first. When triggered, the symbol threatens its area and the area around it as if it were a Medium creature wielding a magic version of the weapon you used as the material component. Using your caster level + 1 + your Intelligence modifier (magus, witch, wizard) or Wisdom modifier (cleric) or Charisma modifier (oracle, sorcerer) as its attack bonus, the symbol can make a number of attacks of opportunity each round equal to 1 + the same ability score modifier you used to determine its attack bonus. It gains a bonus on damage rolls equal to the same ability score modifier you used to determine its attack bonus. A shadowy version of you wielding the material component appears to make these attacks. The symbol attacks any non-attuned creature that provokes an attack of opportunity from the symbol. However, when the symbol first attacks a creature, the symbol must overcome that creature's spell resistance or be rendered unable to harm it. The symbol never again attacks such creatures. Further, when the symbol first attacks a creature, a successful Will saving throw allows the creature to see the shadow nature of the attacks and take half damage when such attacks hit.&lt;/p&gt;&lt;/h4&gt;&lt;/div&gt;</t>
  </si>
  <si>
    <t>As symbol of death, but fills a 5-foot square.</t>
  </si>
  <si>
    <t>Tactical Acumen</t>
  </si>
  <si>
    <t>bard 2, inquisitor 2, magus 2, paladin 1, sorcerer/wizard 2</t>
  </si>
  <si>
    <t>V, S, M/DF (a small piece of a map)</t>
  </si>
  <si>
    <t>The caster and all allies within a 30-ft.-radius burst, centered on the caster</t>
  </si>
  <si>
    <t>Tactical acumen grants you and your allies a mastery of battlefield tactics. Whenever you would gain a bonus on attack rolls or to AC due to battlefield position, such as flanking, higher ground, or cover, you gain an additional +1 insight bonus. This bonus increases by +1 for every five caster levels above 5th you possess (maximum +4).</t>
  </si>
  <si>
    <t>&lt;p&gt;&lt;i&gt;Tactical acumen&lt;/i&gt; grants you and your allies a mastery of battlefield tactics. Whenever you would gain a bonus on attack rolls or to AC due to battlefield position, such as flanking, higher ground, or cover, you gain an additional +1 insight bonus. This bonus increases by +1 for every five caster levels above 5th you possess (maximum +4).&lt;/p&gt;</t>
  </si>
  <si>
    <t>&lt;link rel="stylesheet"href="PF.css"&gt;&lt;div class="heading"&gt;&lt;p class="alignleft"&gt;Tactical Acumen&lt;/p&gt;&lt;div style="clear: both;"&gt;&lt;/div&gt;&lt;/div&gt;&lt;div&gt;&lt;h5&gt;&lt;b&gt;School &lt;/b&gt;enchantment (compulsion) [mind-affecting]; &lt;b&gt;Level &lt;/b&gt;bard 2, inquisitor 2, magus 2, paladin 1, sorcerer/wizard 2&lt;/h5&gt;&lt;/div&gt;&lt;hr/&gt;&lt;div&gt;&lt;h5&gt;&lt;b&gt;CASTING&lt;/b&gt;&lt;/h5&gt;&lt;/div&gt;&lt;hr/&gt;&lt;div&gt;&lt;h5&gt;&lt;b&gt;Casting Time &lt;/b&gt;1 standard action&lt;/h5&gt;&lt;h5&gt;&lt;b&gt;Components &lt;/b&gt;V, S, M/DF (a small piece of a map)&lt;/h5&gt;&lt;/div&gt;&lt;hr/&gt;&lt;div&gt;&lt;h5&gt;&lt;b&gt;EFFECT&lt;/b&gt;&lt;/h5&gt;&lt;/div&gt;&lt;hr/&gt;&lt;div&gt;&lt;h5&gt;&lt;b&gt;Range &lt;/b&gt;30 ft.&lt;/h5&gt;&lt;h5&gt;&lt;b&gt;Area &lt;/b&gt;The caster and all allies within a 30-ft.-radius burst, centered on the caster&lt;/h5&gt;&lt;h5&gt;&lt;b&gt;Duration &lt;/b&gt;1 round/level (D)&lt;/h5&gt;&lt;h5&gt;&lt;b&gt;Saving Throw &lt;/b&gt;Will negates (harmless); &lt;b&gt;Spell Resistance &lt;/b&gt;yes (harmless)&lt;/h5&gt;&lt;/div&gt;&lt;hr/&gt;&lt;div&gt;&lt;h5&gt;&lt;b&gt;DESCRIPTION&lt;/b&gt;&lt;/h5&gt;&lt;/div&gt;&lt;hr/&gt;&lt;div&gt;&lt;h4&gt;&lt;p&gt;&lt;i&gt;Tactical acumen&lt;/i&gt; grants you and your allies a mastery of battlefield tactics. Whenever you would gain a bonus on attack rolls or to AC due to battlefield position, such as flanking, higher ground, or cover, you gain an additional +1 insight bonus. This bonus increases by +1 for every five caster levels above 5th you possess (maximum +4).&lt;/p&gt;&lt;/h4&gt;&lt;/div&gt;</t>
  </si>
  <si>
    <t>You gain an additional +1 on attack rolls or to AC due to battlefield positioning.</t>
  </si>
  <si>
    <t>Tar Pool</t>
  </si>
  <si>
    <t>druid 6, sorcerer/wizard 6, summoner 5</t>
  </si>
  <si>
    <t>V, S, M/DF (a ball of hardened tar)</t>
  </si>
  <si>
    <t>You convert a layer of the ground to hot tar. Creatures in the area when the tar appears take 1d6 points of fire damage per two caster levels (maximum of 10d6) and must succeed at a Reflex save or become entangled. An entangled creature receives a saving throw each round to free itself from the tar, and can also attempt to free itself by spending a move action to attempt a Strength check or Escape Artist check (DC = spell saving throw DC). It costs 2 squares of movement to enter a square in the area of effect, and the DC of Acrobatics checks within the area of effect increases by 5. The area is difficult terrain. A creature that moves into or starts its turn in the area takes 2d6 points of fire damage and must reattempt this Reflex save or become entangled. A creature that falls prone in the area takes a -4 penalty on its Reflex save against the tar and on Strength and Escape Artist checks to escape the tar. A creature that escapes the tar still takes fire damage from the tar until the spell ends or that creature spends a full-round action removing the tar. A creature with tar on it takes a -4 penalty on Acrobatics and Fly checks made to fly with wings or similar appendages.</t>
  </si>
  <si>
    <t>&lt;p&gt;You convert a layer of the ground to hot tar. Creatures in the area when the tar appears take 1d6 points of fire damage per two caster levels (maximum of 10d6) and must succeed at a Reflex save or become entangled. An entangled creature receives a saving throw each round to free itself from the tar, and can also attempt to free itself by spending a move action to attempt a Strength check or Escape Artist check (DC = spell saving throw DC). It costs 2 squares of movement to enter a square in the area of effect, and the DC of Acrobatics checks within the area of effect increases by 5. The area is difficult terrain. A creature that moves into or starts its turn in the area takes 2d6 points of fire damage and must reattempt this Reflex save or become entangled. A creature that falls prone in the area takes a -4 penalty on its Reflex save against the tar and on Strength and Escape Artist checks to escape the tar. A creature that escapes the tar still takes fire damage from the tar until the spell ends or that creature spends a full-round action removing the tar. A creature with tar on it takes a -4 penalty on Acrobatics and Fly checks made to fly with wings or similar appendages.&lt;/p&gt;</t>
  </si>
  <si>
    <t>&lt;link rel="stylesheet"href="PF.css"&gt;&lt;div class="heading"&gt;&lt;p class="alignleft"&gt;Tar Pool&lt;/p&gt;&lt;div style="clear: both;"&gt;&lt;/div&gt;&lt;/div&gt;&lt;div&gt;&lt;h5&gt;&lt;b&gt;School &lt;/b&gt;transmutation [earth, fire]; &lt;b&gt;Level &lt;/b&gt;druid 6, sorcerer/wizard 6, summoner 5&lt;/h5&gt;&lt;/div&gt;&lt;hr/&gt;&lt;div&gt;&lt;h5&gt;&lt;b&gt;CASTING&lt;/b&gt;&lt;/h5&gt;&lt;/div&gt;&lt;hr/&gt;&lt;div&gt;&lt;h5&gt;&lt;b&gt;Casting Time &lt;/b&gt;1 standard action&lt;/h5&gt;&lt;h5&gt;&lt;b&gt;Components &lt;/b&gt;V, S, M/DF (a ball of hardened tar)&lt;/h5&gt;&lt;/div&gt;&lt;hr/&gt;&lt;div&gt;&lt;h5&gt;&lt;b&gt;EFFECT&lt;/b&gt;&lt;/h5&gt;&lt;/div&gt;&lt;hr/&gt;&lt;div&gt;&lt;h5&gt;&lt;b&gt;Range &lt;/b&gt;close (25 ft. + 5 ft./2 levels)&lt;/h5&gt;&lt;h5&gt;&lt;b&gt;Area &lt;/b&gt;20-ft.-radius burst&lt;/h5&gt;&lt;h5&gt;&lt;b&gt;Duration &lt;/b&gt;1 round/level&lt;/h5&gt;&lt;h5&gt;&lt;b&gt;Saving Throw &lt;/b&gt;Reflex partial, see text; &lt;b&gt;Spell Resistance &lt;/b&gt;no&lt;/h5&gt;&lt;/div&gt;&lt;hr/&gt;&lt;div&gt;&lt;h5&gt;&lt;b&gt;DESCRIPTION&lt;/b&gt;&lt;/h5&gt;&lt;/div&gt;&lt;hr/&gt;&lt;div&gt;&lt;h4&gt;&lt;p&gt;You convert a layer of the ground to hot tar. Creatures in the area when the tar appears take 1d6 points of fire damage per two caster levels (maximum of 10d6) and must succeed at a Reflex save or become entangled. An entangled creature receives a saving throw each round to free itself from the tar, and can also attempt to free itself by spending a move action to attempt a Strength check or Escape Artist check (DC = spell saving throw DC). It costs 2 squares of movement to enter a square in the area of effect, and the DC of Acrobatics checks within the area of effect increases by 5. The area is difficult terrain. A creature that moves into or starts its turn in the area takes 2d6 points of fire damage and must reattempt this Reflex save or become entangled. A creature that falls prone in the area takes a -4 penalty on its Reflex save against the tar and on Strength and Escape Artist checks to escape the tar. A creature that escapes the tar still takes fire damage from the tar until the spell ends or that creature spends a full-round action removing the tar. A creature with tar on it takes a -4 penalty on Acrobatics and Fly checks made to fly with wings or similar appendages.&lt;/p&gt;&lt;/h4&gt;&lt;/div&gt;</t>
  </si>
  <si>
    <t>Converts the top layer of the ground into hot tar.</t>
  </si>
  <si>
    <t>Targeted Bomb Admixture</t>
  </si>
  <si>
    <t>Upon drinking an extract created with this formula, you make a significant change to your magical reserve that modifies the nature of all bombs you create and throw during this extract's duration. This effect on your magical reserve has no effect on any discoveries that you use to modify your bombs, but you can only have one admixture effect (formula with the word "bomb admixture" in its title) active at a time. If you drink another bomb admixture, the effects of the former bomb admixture end and the new one becomes active. When you throw bombs, they can only hit a direct target; they do not splash. However, the bomb deals its base damage plus double your Intelligence modifier instead of just its base damage plus your Intelligence modifier.</t>
  </si>
  <si>
    <t>&lt;p&gt;Upon drinking an extract created with this formula, you make a significant change to your magical reserve that modifies the nature of all bombs you create and throw during this extract's duration. This effect on your magical reserve has no effect on any discoveries that you use to modify your bombs, but you can only have one admixture effect (formula with the word "bomb admixture" in its title) active at a time. If you drink another bomb admixture, the effects of the former bomb admixture end and the new one becomes active. When you throw bombs, they can only hit a direct target; they do not splash. However, the bomb deals its base damage plus double your Intelligence modifier instead of just its base damage plus your Intelligence modifier.&lt;/p&gt;</t>
  </si>
  <si>
    <t>&lt;link rel="stylesheet"href="PF.css"&gt;&lt;div class="heading"&gt;&lt;p class="alignleft"&gt;Targeted Bomb Admixture&lt;/p&gt;&lt;div style="clear: both;"&gt;&lt;/div&gt;&lt;/div&gt;&lt;div&gt;&lt;h5&gt;&lt;b&gt;School &lt;/b&gt;transmutation; &lt;b&gt;Level &lt;/b&gt;alchemist 1&lt;/h5&gt;&lt;/div&gt;&lt;hr/&gt;&lt;div&gt;&lt;h5&gt;&lt;b&gt;CASTING&lt;/b&gt;&lt;/h5&gt;&lt;/div&gt;&lt;hr/&gt;&lt;div&gt;&lt;h5&gt;&lt;b&gt;Casting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round/level&lt;/h5&gt;&lt;/div&gt;&lt;hr/&gt;&lt;div&gt;&lt;h5&gt;&lt;b&gt;DESCRIPTION&lt;/b&gt;&lt;/h5&gt;&lt;/div&gt;&lt;hr/&gt;&lt;div&gt;&lt;h4&gt;&lt;p&gt;Upon drinking an extract created with this formula, you make a significant change to your magical reserve that modifies the nature of all bombs you create and throw during this extract's duration. This effect on your magical reserve has no effect on any discoveries that you use to modify your bombs, but you can only have one admixture effect (formula with the word "bomb admixture" in its title) active at a time. If you drink another bomb admixture, the effects of the former bomb admixture end and the new one becomes active. When you throw bombs, they can only hit a direct target; they do not splash. However, the bomb deals its base damage plus double your Intelligence modifier instead of just its base damage plus your Intelligence modifier.&lt;/p&gt;&lt;/h4&gt;&lt;/div&gt;</t>
  </si>
  <si>
    <t>Empowers bombs you throw to deal more damage to a single creature.</t>
  </si>
  <si>
    <t>Telekinetic Assembly</t>
  </si>
  <si>
    <t>magus 2, sorcerer/wizard 2</t>
  </si>
  <si>
    <t>Casting time 1 minute</t>
  </si>
  <si>
    <t>V, S, F (a miniature of the target siege engine, costing 10 gp)</t>
  </si>
  <si>
    <t>one disassembled siege engine</t>
  </si>
  <si>
    <t>You assemble a siege engine, using up to one fewer worker per two caster levels you possess. You can do without one additional worker if you have any ranks in Knowledge (engineering), plus one additional worker per 5 ranks you have in that skill. If your caster level combined with Knowledge (engineering) fails to eliminate the need for workers, this spell fails.</t>
  </si>
  <si>
    <t>&lt;p&gt;You assemble a siege engine, using up to one fewer worker per two caster levels you possess. You can do without one additional worker if you have any ranks in Knowledge (engineering), plus one additional worker per 5 ranks you have in that skill. If your caster level combined with Knowledge (engineering) fails to eliminate the need for workers, this spell fails.&lt;/p&gt;</t>
  </si>
  <si>
    <t>&lt;link rel="stylesheet"href="PF.css"&gt;&lt;div class="heading"&gt;&lt;p class="alignleft"&gt;Telekinetic Assembly&lt;/p&gt;&lt;div style="clear: both;"&gt;&lt;/div&gt;&lt;/div&gt;&lt;div&gt;&lt;h5&gt;&lt;b&gt;School &lt;/b&gt;transmutation; &lt;b&gt;Level &lt;/b&gt;magus 2, sorcerer/wizard 2&lt;/h5&gt;&lt;/div&gt;&lt;hr/&gt;&lt;div&gt;&lt;h5&gt;&lt;b&gt;CASTING&lt;/b&gt;&lt;/h5&gt;&lt;/div&gt;&lt;hr/&gt;&lt;div&gt;&lt;h5&gt;&lt;b&gt;Casting Time &lt;/b&gt;Casting time 1 minute&lt;/h5&gt;&lt;h5&gt;&lt;b&gt;Components &lt;/b&gt;V, S, F (a miniature of the target siege engine, costing 10 gp)&lt;/h5&gt;&lt;/div&gt;&lt;hr/&gt;&lt;div&gt;&lt;h5&gt;&lt;b&gt;EFFECT&lt;/b&gt;&lt;/h5&gt;&lt;/div&gt;&lt;hr/&gt;&lt;div&gt;&lt;h5&gt;&lt;b&gt;Range &lt;/b&gt;close (25 ft + 5 ft./2 levels)&lt;/h5&gt;&lt;h5&gt;&lt;b&gt;Targets &lt;/b&gt;one disassembled siege engine&lt;/h5&gt;&lt;h5&gt;&lt;b&gt;Duration &lt;/b&gt;instantaneous&lt;/h5&gt;&lt;h5&gt;&lt;b&gt;Saving Throw &lt;/b&gt;none; &lt;b&gt;Spell Resistance &lt;/b&gt;no&lt;/h5&gt;&lt;/div&gt;&lt;hr/&gt;&lt;div&gt;&lt;h5&gt;&lt;b&gt;DESCRIPTION&lt;/b&gt;&lt;/h5&gt;&lt;/div&gt;&lt;hr/&gt;&lt;div&gt;&lt;h4&gt;&lt;p&gt;You assemble a siege engine, using up to one fewer worker per two caster levels you possess. You can do without one additional worker if you have any ranks in Knowledge (engineering), plus one additional worker per 5 ranks you have in that skill. If your caster level combined with Knowledge (engineering) fails to eliminate the need for workers, this spell fails.&lt;/p&gt;&lt;/h4&gt;&lt;/div&gt;</t>
  </si>
  <si>
    <t>Assembles a siege engine using 1 fewer worker for every two caster levels.</t>
  </si>
  <si>
    <t>Telekinetic Charge</t>
  </si>
  <si>
    <t>You telekinetically launch an ally across the battlefield to anywhere within this spell's range. While moving, your ally is flying just above the ground unless you wish otherwise. Movement from this spell provokes attacks of opportunity as normal, although you can lift your ally over objects or out of enemy reach, as long as your ally remains within this spell's range. If your ally lands adjacent to an opponent, he can spend an immediate action to make a melee attack against that opponent with a +2 bonus on the attack roll.</t>
  </si>
  <si>
    <t>&lt;p&gt;You telekinetically launch an ally across the battlefield to anywhere within this spell's range. While moving, your ally is flying just above the ground unless you wish otherwise. Movement from this spell provokes attacks of opportunity as normal, although you can lift your ally over objects or out of enemy reach, as long as your ally remains within this spell's range. If your ally lands adjacent to an opponent, he can spend an immediate action to make a melee attack against that opponent with a +2 bonus on the attack roll.&lt;/p&gt;</t>
  </si>
  <si>
    <t>&lt;link rel="stylesheet"href="PF.css"&gt;&lt;div class="heading"&gt;&lt;p class="alignleft"&gt;Telekinetic Charge&lt;/p&gt;&lt;div style="clear: both;"&gt;&lt;/div&gt;&lt;/div&gt;&lt;div&gt;&lt;h5&gt;&lt;b&gt;School &lt;/b&gt;evocation [force]; &lt;b&gt;Level &lt;/b&gt;sorcerer/wizard 4&lt;/h5&gt;&lt;/div&gt;&lt;hr/&gt;&lt;div&gt;&lt;h5&gt;&lt;b&gt;CASTING&lt;/b&gt;&lt;/h5&gt;&lt;/div&gt;&lt;hr/&gt;&lt;div&gt;&lt;h5&gt;&lt;b&gt;Casting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willing creature&lt;/h5&gt;&lt;h5&gt;&lt;b&gt;Duration &lt;/b&gt;instantaneous&lt;/h5&gt;&lt;h5&gt;&lt;b&gt;Saving Throw &lt;/b&gt;Will negates (harmless); &lt;b&gt;Spell Resistance &lt;/b&gt;yes (harmless)&lt;/h5&gt;&lt;/div&gt;&lt;hr/&gt;&lt;div&gt;&lt;h5&gt;&lt;b&gt;DESCRIPTION&lt;/b&gt;&lt;/h5&gt;&lt;/div&gt;&lt;hr/&gt;&lt;div&gt;&lt;h4&gt;&lt;p&gt;You telekinetically launch an ally across the battlefield to anywhere within this spell's range. While moving, your ally is flying just above the ground unless you wish otherwise. Movement from this spell provokes attacks of opportunity as normal, although you can lift your ally over objects or out of enemy reach, as long as your ally remains within this spell's range. If your ally lands adjacent to an opponent, he can spend an immediate action to make a melee attack against that opponent with a +2 bonus on the attack roll.&lt;/p&gt;&lt;/h4&gt;&lt;/div&gt;</t>
  </si>
  <si>
    <t>Launches an ally through the air.</t>
  </si>
  <si>
    <t>Terrain Bond</t>
  </si>
  <si>
    <t>V, S, M (a pinch of earth taken from your most favored terrain)</t>
  </si>
  <si>
    <t>1 hour/2 levels (D)</t>
  </si>
  <si>
    <t>You call upon the spirits of nature to help you adapt to your environment. You treat the terrain you are in as your most favored terrain until this spell ends. If you do not have the favored terrain class feature, you gain no benefit from this spell.</t>
  </si>
  <si>
    <t>&lt;p&gt;You call upon the spirits of nature to help you adapt to your environment. You treat the terrain you are in as your most favored terrain until this spell ends. If you do not have the favored terrain class feature, you gain no benefit from this spell.&lt;/p&gt;</t>
  </si>
  <si>
    <t>&lt;link rel="stylesheet"href="PF.css"&gt;&lt;div class="heading"&gt;&lt;p class="alignleft"&gt;Terrain Bond&lt;/p&gt;&lt;div style="clear: both;"&gt;&lt;/div&gt;&lt;/div&gt;&lt;div&gt;&lt;h5&gt;&lt;b&gt;School &lt;/b&gt;enchantment; &lt;b&gt;Level &lt;/b&gt;ranger 4&lt;/h5&gt;&lt;/div&gt;&lt;hr/&gt;&lt;div&gt;&lt;h5&gt;&lt;b&gt;CASTING&lt;/b&gt;&lt;/h5&gt;&lt;/div&gt;&lt;hr/&gt;&lt;div&gt;&lt;h5&gt;&lt;b&gt;Casting Time &lt;/b&gt;1 standard action&lt;/h5&gt;&lt;h5&gt;&lt;b&gt;Components &lt;/b&gt;V, S, M (a pinch of earth taken from your most favored terrain)&lt;/h5&gt;&lt;/div&gt;&lt;hr/&gt;&lt;div&gt;&lt;h5&gt;&lt;b&gt;EFFECT&lt;/b&gt;&lt;/h5&gt;&lt;/div&gt;&lt;hr/&gt;&lt;div&gt;&lt;h5&gt;&lt;b&gt;Range &lt;/b&gt;personal&lt;/h5&gt;&lt;h5&gt;&lt;b&gt;Targets &lt;/b&gt;you&lt;/h5&gt;&lt;h5&gt;&lt;b&gt;Duration &lt;/b&gt;1 hour/2 levels (D)&lt;/h5&gt;&lt;/div&gt;&lt;hr/&gt;&lt;div&gt;&lt;h5&gt;&lt;b&gt;DESCRIPTION&lt;/b&gt;&lt;/h5&gt;&lt;/div&gt;&lt;hr/&gt;&lt;div&gt;&lt;h4&gt;&lt;p&gt;You call upon the spirits of nature to help you adapt to your environment. You treat the terrain you are in as your most favored terrain until this spell ends. If you do not have the favored terrain class feature, you gain no benefit from this spell.&lt;/p&gt;&lt;/h4&gt;&lt;/div&gt;</t>
  </si>
  <si>
    <t>Treat the terrain you are in as a favored terrain for the spell's duration.</t>
  </si>
  <si>
    <t>Thunder Fire</t>
  </si>
  <si>
    <t>V, S, M (a piece of spent thunderstone)</t>
  </si>
  <si>
    <t>Will negates (object), see text</t>
  </si>
  <si>
    <t>yes (object), see text</t>
  </si>
  <si>
    <t>The firearm targeted creates a thunderous report, even if the firearm is not loaded. Every creature within 15 feet of the creature wielding or carrying the firearm must succeed at a Fortitude save or be deafened for 1 minute. The creature wielding or carrying the firearm takes a -4 penalty on this saving throw, and his misfire range increases by 1 for 1d4 rounds. If the firearm was loaded when it was targeted by this spell, that ammunition is wasted.</t>
  </si>
  <si>
    <t>&lt;p&gt;The firearm targeted creates a thunderous report, even if the firearm is not loaded. Every creature within 15 feet of the creature wielding or carrying the firearm must succeed at a Fortitude save or be deafened for 1 minute. The creature wielding or carrying the firearm takes a -4 penalty on this saving throw, and his misfire range increases by 1 for 1d4 rounds. If the firearm was loaded when it was targeted by this spell, that ammunition is wasted.&lt;/p&gt;</t>
  </si>
  <si>
    <t>&lt;link rel="stylesheet"href="PF.css"&gt;&lt;div class="heading"&gt;&lt;p class="alignleft"&gt;Thunder Fire&lt;/p&gt;&lt;div style="clear: both;"&gt;&lt;/div&gt;&lt;/div&gt;&lt;div&gt;&lt;h5&gt;&lt;b&gt;School &lt;/b&gt;transmutation; &lt;b&gt;Level &lt;/b&gt;bard 2, sorcerer/wizard 2, witch 2&lt;/h5&gt;&lt;/div&gt;&lt;hr/&gt;&lt;div&gt;&lt;h5&gt;&lt;b&gt;CASTING&lt;/b&gt;&lt;/h5&gt;&lt;/div&gt;&lt;hr/&gt;&lt;div&gt;&lt;h5&gt;&lt;b&gt;Casting Time &lt;/b&gt;1 standard action&lt;/h5&gt;&lt;h5&gt;&lt;b&gt;Components &lt;/b&gt;V, S, M (a piece of spent thunderstone)&lt;/h5&gt;&lt;/div&gt;&lt;hr/&gt;&lt;div&gt;&lt;h5&gt;&lt;b&gt;EFFECT&lt;/b&gt;&lt;/h5&gt;&lt;/div&gt;&lt;hr/&gt;&lt;div&gt;&lt;h5&gt;&lt;b&gt;Range &lt;/b&gt;close (25 ft. + 5 ft./2 levels)&lt;/h5&gt;&lt;h5&gt;&lt;b&gt;Targets &lt;/b&gt;1 loaded firearm&lt;/h5&gt;&lt;h5&gt;&lt;b&gt;Duration &lt;/b&gt;instantaneous&lt;/h5&gt;&lt;h5&gt;&lt;b&gt;Saving Throw &lt;/b&gt;Will negates (object), see text; &lt;b&gt;Spell Resistance &lt;/b&gt;yes (object), see text&lt;/h5&gt;&lt;/div&gt;&lt;hr/&gt;&lt;div&gt;&lt;h5&gt;&lt;b&gt;DESCRIPTION&lt;/b&gt;&lt;/h5&gt;&lt;/div&gt;&lt;hr/&gt;&lt;div&gt;&lt;h4&gt;&lt;p&gt;The firearm targeted creates a thunderous report, even if the firearm is not loaded. Every creature within 15 feet of the creature wielding or carrying the firearm must succeed at a Fortitude save or be deafened for 1 minute. The creature wielding or carrying the firearm takes a -4 penalty on this saving throw, and his misfire range increases by 1 for 1d4 rounds. If the firearm was loaded when it was targeted by this spell, that ammunition is wasted.&lt;/p&gt;&lt;/h4&gt;&lt;/div&gt;</t>
  </si>
  <si>
    <t>Ammunition in the targeted firearm deafens opponents.</t>
  </si>
  <si>
    <t>Tongues, Communal</t>
  </si>
  <si>
    <t>alchemist 4, bard 3, cleric 5/oracle 5, sorcerer/wizard 4, summoner 4, witch 4</t>
  </si>
  <si>
    <t>This spell functions like tongues, except you divide the duration in 10-minute intervals among the creatures touched.</t>
  </si>
  <si>
    <t>&lt;p&gt;This spell functions like &lt;i&gt;tongues&lt;/i&gt;, except you divide the duration in 10-minute intervals among the creatures touched.&lt;/p&gt;</t>
  </si>
  <si>
    <t>&lt;link rel="stylesheet"href="PF.css"&gt;&lt;div class="heading"&gt;&lt;p class="alignleft"&gt;Tongues, Communal&lt;/p&gt;&lt;div style="clear: both;"&gt;&lt;/div&gt;&lt;/div&gt;&lt;div&gt;&lt;h5&gt;&lt;b&gt;School &lt;/b&gt;divination; &lt;b&gt;Level &lt;/b&gt;alchemist 4, bard 3, cleric 5/oracle 5, sorcerer/wizard 4, summoner 4, witch 4&lt;/h5&gt;&lt;/div&gt;&lt;hr/&gt;&lt;div&gt;&lt;h5&gt;&lt;b&gt;CASTING&lt;/b&gt;&lt;/h5&gt;&lt;/div&gt;&lt;hr/&gt;&lt;div&gt;&lt;h5&gt;&lt;b&gt;Casting Time &lt;/b&gt;1 standard action&lt;/h5&gt;&lt;h5&gt;&lt;b&gt;Components &lt;/b&gt;V, M/DF (a clay model of a ziggurat)&lt;/h5&gt;&lt;/div&gt;&lt;hr/&gt;&lt;div&gt;&lt;h5&gt;&lt;b&gt;EFFECT&lt;/b&gt;&lt;/h5&gt;&lt;/div&gt;&lt;hr/&gt;&lt;div&gt;&lt;h5&gt;&lt;b&gt;Range &lt;/b&gt;touch&lt;/h5&gt;&lt;h5&gt;&lt;b&gt;Targets &lt;/b&gt;creatures touched&lt;/h5&gt;&lt;h5&gt;&lt;b&gt;Duration &lt;/b&gt;10 min./level&lt;/h5&gt;&lt;h5&gt;&lt;b&gt;Saving Throw &lt;/b&gt;Will negates (harmless); &lt;b&gt;Spell Resistance &lt;/b&gt;no&lt;/h5&gt;&lt;/div&gt;&lt;hr/&gt;&lt;div&gt;&lt;h5&gt;&lt;b&gt;DESCRIPTION&lt;/b&gt;&lt;/h5&gt;&lt;/div&gt;&lt;hr/&gt;&lt;div&gt;&lt;h4&gt;&lt;p&gt;This spell functions like &lt;i&gt;tongues&lt;/i&gt;, except you divide the duration in 10-minute intervals among the creatures touched.&lt;/p&gt;&lt;/h4&gt;&lt;/div&gt;</t>
  </si>
  <si>
    <t>As tongues, but you may divide the duration among creatures touched.</t>
  </si>
  <si>
    <t>Touch Injection</t>
  </si>
  <si>
    <t>alchemist 2, sorcerer/wizard 3</t>
  </si>
  <si>
    <t>You must hold an elixir, infused extract, poison, or potion in hand as you cast this spell. The held substance drains from its container into a magical sac in your body. While the spell lasts, you can deliver the substance with a mere touch. To do so to an opponent, you must make a successful melee touch attack. If you hit, the substance takes effect immediately, despite any onset period, and that opponent receives the normal saving throw (if any) against the substance. If you miss, the substance remains in the magical sac for you to use later. This spell protects you from poison in the sac, but unless you have the poison use class feature, you suffer a 5% chance of exposing yourself to the poison when you first cast the spell. If you roll a natural 1 while attempting to inject the poison into an enemy, you are exposed to it.</t>
  </si>
  <si>
    <t>&lt;p&gt;You must hold an elixir, infused extract, poison, or potion in hand as you cast this spell. The held substance drains from its container into a magical sac in your body. While the spell lasts, you can deliver the substance with a mere touch. To do so to an opponent, you must make a successful melee touch attack. If you hit, the substance takes effect immediately, despite any onset period, and that opponent receives the normal saving throw (if any) against the substance. If you miss, the substance remains in the magical sac for you to use later. This spell protects you from poison in the sac, but unless you have the poison use class feature, you suffer a 5% chance of exposing yourself to the poison when you first cast the spell. If you roll a natural 1 while attempting to inject the poison into an enemy, you are exposed to it.&lt;/p&gt;</t>
  </si>
  <si>
    <t>&lt;link rel="stylesheet"href="PF.css"&gt;&lt;div class="heading"&gt;&lt;p class="alignleft"&gt;Touch Injection&lt;/p&gt;&lt;div style="clear: both;"&gt;&lt;/div&gt;&lt;/div&gt;&lt;div&gt;&lt;h5&gt;&lt;b&gt;School &lt;/b&gt;transmutation; &lt;b&gt;Level &lt;/b&gt;alchemist 2, sorcerer/wizard 3&lt;/h5&gt;&lt;/div&gt;&lt;hr/&gt;&lt;div&gt;&lt;h5&gt;&lt;b&gt;CASTING&lt;/b&gt;&lt;/h5&gt;&lt;/div&gt;&lt;hr/&gt;&lt;div&gt;&lt;h5&gt;&lt;b&gt;Casting Time &lt;/b&gt;1 standard action&lt;/h5&gt;&lt;h5&gt;&lt;b&gt;Components &lt;/b&gt;V, S&lt;/h5&gt;&lt;/div&gt;&lt;hr/&gt;&lt;div&gt;&lt;h5&gt;&lt;b&gt;EFFECT&lt;/b&gt;&lt;/h5&gt;&lt;/div&gt;&lt;hr/&gt;&lt;div&gt;&lt;h5&gt;&lt;b&gt;Range &lt;/b&gt;personal&lt;/h5&gt;&lt;h5&gt;&lt;b&gt;Duration &lt;/b&gt;1 hour/level&lt;/h5&gt;&lt;h5&gt;&lt;b&gt;Saving Throw &lt;/b&gt;none; &lt;b&gt;Spell Resistance &lt;/b&gt;no&lt;/h5&gt;&lt;/div&gt;&lt;hr/&gt;&lt;div&gt;&lt;h5&gt;&lt;b&gt;DESCRIPTION&lt;/b&gt;&lt;/h5&gt;&lt;/div&gt;&lt;hr/&gt;&lt;div&gt;&lt;h4&gt;&lt;p&gt;You must hold an elixir, infused extract, poison, or potion in hand as you cast this spell. The held substance drains from its container into a magical sac in your body. While the spell lasts, you can deliver the substance with a mere touch. To do so to an opponent, you must make a successful melee touch attack. If you hit, the substance takes effect immediately, despite any onset period, and that opponent receives the normal saving throw (if any) against the substance. If you miss, the substance remains in the magical sac for you to use later. This spell protects you from poison in the sac, but unless you have the poison use class feature, you suffer a 5% chance of exposing yourself to the poison when you first cast the spell. If you roll a natural 1 while attempting to inject the poison into an enemy, you are exposed to it.&lt;/p&gt;&lt;/h4&gt;&lt;h5&gt;&lt;b&gt;Mythic: &lt;/b&gt;Add half your tier to the DC of a poison or potion you inject into another creature with this spell. If you do this with a substance that grants a skill bonus, add your tier to that skill bonus.&lt;/h5&gt;&lt;/div&gt;</t>
  </si>
  <si>
    <t>You can deliver an infusion, elixir, poison, or potion as a touch attack.</t>
  </si>
  <si>
    <t>Add half your tier to the DC of a poison or potion you inject into another creature with this spell. If you do this with a substance that grants a skill bonus, add your tier to that skill bonus.</t>
  </si>
  <si>
    <t>Twisted Space</t>
  </si>
  <si>
    <t>magus 2, sorcerer/wizard 2, summoner 2</t>
  </si>
  <si>
    <t>V, S, M (a length of wire bent into a circle)</t>
  </si>
  <si>
    <t>You distort the space around a creature, twisting the path of its melee attacks unpredictably, but always toward a nearby creature that the target threatens. Until the start of your next turn, melee attacks made by the target creature affect a random target instead of their intended target.</t>
  </si>
  <si>
    <t>&lt;p&gt;You distort the space around a creature, twisting the path of its melee attacks unpredictably, but always toward a nearby creature that the target threatens. Until the start of your next turn, melee attacks made by the target creature affect a random target instead of their intended target.&lt;/p&gt;</t>
  </si>
  <si>
    <t>&lt;link rel="stylesheet"href="PF.css"&gt;&lt;div class="heading"&gt;&lt;p class="alignleft"&gt;Twisted Space&lt;/p&gt;&lt;div style="clear: both;"&gt;&lt;/div&gt;&lt;/div&gt;&lt;div&gt;&lt;h5&gt;&lt;b&gt;School &lt;/b&gt;transmutation; &lt;b&gt;Level &lt;/b&gt;magus 2, sorcerer/wizard 2, summoner 2&lt;/h5&gt;&lt;/div&gt;&lt;hr/&gt;&lt;div&gt;&lt;h5&gt;&lt;b&gt;CASTING&lt;/b&gt;&lt;/h5&gt;&lt;/div&gt;&lt;hr/&gt;&lt;div&gt;&lt;h5&gt;&lt;b&gt;Casting Time &lt;/b&gt;1 standard action&lt;/h5&gt;&lt;h5&gt;&lt;b&gt;Components &lt;/b&gt;V, S, M (a length of wire bent into a circle)&lt;/h5&gt;&lt;/div&gt;&lt;hr/&gt;&lt;div&gt;&lt;h5&gt;&lt;b&gt;EFFECT&lt;/b&gt;&lt;/h5&gt;&lt;/div&gt;&lt;hr/&gt;&lt;div&gt;&lt;h5&gt;&lt;b&gt;Range &lt;/b&gt;close (25 ft. + 5 ft./2 levels)&lt;/h5&gt;&lt;h5&gt;&lt;b&gt;Targets &lt;/b&gt;one creature&lt;/h5&gt;&lt;h5&gt;&lt;b&gt;Duration &lt;/b&gt;1 round&lt;/h5&gt;&lt;h5&gt;&lt;b&gt;Saving Throw &lt;/b&gt;Will negates; &lt;b&gt;Spell Resistance &lt;/b&gt;yes&lt;/h5&gt;&lt;/div&gt;&lt;hr/&gt;&lt;div&gt;&lt;h5&gt;&lt;b&gt;DESCRIPTION&lt;/b&gt;&lt;/h5&gt;&lt;/div&gt;&lt;hr/&gt;&lt;div&gt;&lt;h4&gt;&lt;p&gt;You distort the space around a creature, twisting the path of its melee attacks unpredictably, but always toward a nearby creature that the target threatens. Until the start of your next turn, melee attacks made by the target creature affect a random target instead of their intended target.&lt;/p&gt;&lt;/h4&gt;&lt;/div&gt;</t>
  </si>
  <si>
    <t>Targeted creature's attacks target a random square instead of the intended target.</t>
  </si>
  <si>
    <t>Unerring Weapon</t>
  </si>
  <si>
    <t>inquisitor 1, magus 1, sorcerer/wizard 1, witch 1</t>
  </si>
  <si>
    <t>one weapon or 20 projectiles, all of which must be together at the time of casting</t>
  </si>
  <si>
    <t>This spell causes a weapon to veer closer to vital areas, improving the result of a critical threat. This transmutation grants a +2 bonus on attack rolls to confirm critical hits plus 1 additional bonus point per four caster levels (maximum total bonus +7). If the spell is cast on projectiles, the effect ends on a specific projectile whenever that projectile is used to make an attack, regardless of whether the attack hits. For this spell, shuriken are considered projectiles.</t>
  </si>
  <si>
    <t>&lt;p&gt;This spell causes a weapon to veer closer to vital areas, improving the result of a critical threat. This transmutation grants a +2 bonus on attack rolls to confirm critical hits plus 1 additional bonus point per four caster levels (maximum total bonus +7). If the spell is cast on projectiles, the effect ends on a specific projectile whenever that projectile is used to make an attack, regardless of whether the attack hits. For this spell, shuriken are considered projectiles.&lt;/p&gt;</t>
  </si>
  <si>
    <t>&lt;link rel="stylesheet"href="PF.css"&gt;&lt;div class="heading"&gt;&lt;p class="alignleft"&gt;Unerring Weapon&lt;/p&gt;&lt;div style="clear: both;"&gt;&lt;/div&gt;&lt;/div&gt;&lt;div&gt;&lt;h5&gt;&lt;b&gt;School &lt;/b&gt;transmutation; &lt;b&gt;Level &lt;/b&gt;inquisitor 1, magus 1, sorcerer/wizard 1, witch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weapon or 20 projectiles, all of which must be together at the time of casting&lt;/h5&gt;&lt;h5&gt;&lt;b&gt;Duration &lt;/b&gt;1 round/level&lt;/h5&gt;&lt;h5&gt;&lt;b&gt;Saving Throw &lt;/b&gt;Will negates (harmless, object); &lt;b&gt;Spell Resistance &lt;/b&gt;yes (harmless, object)&lt;/h5&gt;&lt;/div&gt;&lt;hr/&gt;&lt;div&gt;&lt;h5&gt;&lt;b&gt;DESCRIPTION&lt;/b&gt;&lt;/h5&gt;&lt;/div&gt;&lt;hr/&gt;&lt;div&gt;&lt;h4&gt;&lt;p&gt;This spell causes a weapon to veer closer to vital areas, improving the result of a critical threat. This transmutation grants a +2 bonus on attack rolls to confirm critical hits plus 1 additional bonus point per four caster levels (maximum total bonus +7). If the spell is cast on projectiles, the effect ends on a specific projectile whenever that projectile is used to make an attack, regardless of whether the attack hits. For this spell, shuriken are considered projectiles.&lt;/p&gt;&lt;/h4&gt;&lt;/div&gt;</t>
  </si>
  <si>
    <t>Grants a +2 bonus, +1 per four caster levels, on attack rolls to confirm a critical hit.</t>
  </si>
  <si>
    <t>Viper Bomb Admixture</t>
  </si>
  <si>
    <t>Upon drinking an extract created with this formula, you make a significant change to your magical reserve that modifies the nature of all bombs you create and throw during this extract's duration. This effect on your magical reserve has no effect on any discoveries that you use to modify your bombs, but you can only have one admixture effect (formula with the word "bomb admixture" in its title) active at a time. If you drink another bomb admixture, the effects of the former bomb admixture end and the new one becomes active. When you throw a bomb and hit a target directly, up to four vipers are released from the bomb. One viper attacks the target of the direct hit, and the other vipers attack up to three creatures that take damage from the splash damage. The vipers make melee touch attacks (using your base attack bonus + Intelligence modifier) and on a hit deal 1d4 + your Intelligence modifier damage, and the target is poisoned as if by a venomous snake (Pathfinder RPG Bestiary 255). Hit or miss, the conjured vipers disappear after they make the attack. The conjured snakes are not damaged or adversely affected by the bombs you throw.</t>
  </si>
  <si>
    <t>&lt;p&gt;Upon drinking an extract created with this formula, you make a significant change to your magical reserve that modifies the nature of all bombs you create and throw during this extract's duration. This effect on your magical reserve has no effect on any discoveries that you use to modify your bombs, but you can only have one admixture effect (formula with the word "bomb admixture" in its title) active at a time. If you drink another bomb admixture, the effects of the former bomb admixture end and the new one becomes active. When you throw a bomb and hit a target directly, up to four vipers are released from the bomb. One viper attacks the target of the direct hit, and the other vipers attack up to three creatures that take damage from the splash damage. The vipers make melee touch attacks (using your base attack bonus + Intelligence modifier) and on a hit deal 1d4 + your Intelligence modifier damage, and the target is poisoned as if by a venomous snake (&lt;i&gt;Pathfinder RPG Bestiary&lt;/i&gt; 255). Hit or miss, the conjured vipers disappear after they make the attack. The conjured snakes are not damaged or adversely affected by the bombs you throw.&lt;/p&gt;</t>
  </si>
  <si>
    <t>&lt;link rel="stylesheet"href="PF.css"&gt;&lt;div class="heading"&gt;&lt;p class="alignleft"&gt;Viper Bomb Admixture&lt;/p&gt;&lt;div style="clear: both;"&gt;&lt;/div&gt;&lt;/div&gt;&lt;div&gt;&lt;h5&gt;&lt;b&gt;School &lt;/b&gt;conjuration (creation); &lt;b&gt;Level &lt;/b&gt;alchemist 4&lt;/h5&gt;&lt;/div&gt;&lt;hr/&gt;&lt;div&gt;&lt;h5&gt;&lt;b&gt;CASTING&lt;/b&gt;&lt;/h5&gt;&lt;/div&gt;&lt;hr/&gt;&lt;div&gt;&lt;h5&gt;&lt;b&gt;Casting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round/level&lt;/h5&gt;&lt;/div&gt;&lt;hr/&gt;&lt;div&gt;&lt;h5&gt;&lt;b&gt;DESCRIPTION&lt;/b&gt;&lt;/h5&gt;&lt;/div&gt;&lt;hr/&gt;&lt;div&gt;&lt;h4&gt;&lt;p&gt;Upon drinking an extract created with this formula, you make a significant change to your magical reserve that modifies the nature of all bombs you create and throw during this extract's duration. This effect on your magical reserve has no effect on any discoveries that you use to modify your bombs, but you can only have one admixture effect (formula with the word "bomb admixture" in its title) active at a time. If you drink another bomb admixture, the effects of the former bomb admixture end and the new one becomes active. When you throw a bomb and hit a target directly, up to four vipers are released from the bomb. One viper attacks the target of the direct hit, and the other vipers attack up to three creatures that take damage from the splash damage. The vipers make melee touch attacks (using your base attack bonus + Intelligence modifier) and on a hit deal 1d4 + your Intelligence modifier damage, and the target is poisoned as if by a venomous snake (&lt;i&gt;Pathfinder RPG Bestiary&lt;/i&gt; 255). Hit or miss, the conjured vipers disappear after they make the attack. The conjured snakes are not damaged or adversely affected by the bombs you throw.&lt;/p&gt;&lt;/h4&gt;&lt;/div&gt;</t>
  </si>
  <si>
    <t>Empowers bombs you throw to summon poisonous biting vipers that bite those hit or splashed by the bomb.</t>
  </si>
  <si>
    <t>Walk Through Space</t>
  </si>
  <si>
    <t>alchemist 6, magus 6, sorcerer/wizard 7, summoner 6, witch 7</t>
  </si>
  <si>
    <t>V, S, M (a wren's egg)</t>
  </si>
  <si>
    <t>When under the effects of this spell, you can teleport up to 30 feet as a move action. You must end this movement in an unoccupied space that you can stand on within line of sight. Alternatively, you can spend a move action to teleport to a standing position from lying prone. Teleporting does not provoke attacks of opportunity.</t>
  </si>
  <si>
    <t>&lt;p&gt;When under the effects of this spell, you can teleport up to 30 feet as a move action. You must end this movement in an unoccupied space that you can stand on within line of sight. Alternatively, you can spend a move action to teleport to a standing position from lying prone. Teleporting does not provoke attacks of opportunity.&lt;/p&gt;</t>
  </si>
  <si>
    <t>&lt;link rel="stylesheet"href="PF.css"&gt;&lt;div class="heading"&gt;&lt;p class="alignleft"&gt;Walk Through Space&lt;/p&gt;&lt;div style="clear: both;"&gt;&lt;/div&gt;&lt;/div&gt;&lt;div&gt;&lt;h5&gt;&lt;b&gt;School &lt;/b&gt;conjuration (teleportation); &lt;b&gt;Level &lt;/b&gt;alchemist 6, magus 6, sorcerer/wizard 7, summoner 6, witch 7&lt;/h5&gt;&lt;/div&gt;&lt;hr/&gt;&lt;div&gt;&lt;h5&gt;&lt;b&gt;CASTING&lt;/b&gt;&lt;/h5&gt;&lt;/div&gt;&lt;hr/&gt;&lt;div&gt;&lt;h5&gt;&lt;b&gt;Casting Time &lt;/b&gt;?&lt;/h5&gt;&lt;h5&gt;&lt;b&gt;Components &lt;/b&gt;V, S, M (a wren's egg)&lt;/h5&gt;&lt;/div&gt;&lt;hr/&gt;&lt;div&gt;&lt;h5&gt;&lt;b&gt;EFFECT&lt;/b&gt;&lt;/h5&gt;&lt;/div&gt;&lt;hr/&gt;&lt;div&gt;&lt;h5&gt;&lt;b&gt;Range &lt;/b&gt;personal&lt;/h5&gt;&lt;h5&gt;&lt;b&gt;Targets &lt;/b&gt;you&lt;/h5&gt;&lt;h5&gt;&lt;b&gt;Duration &lt;/b&gt;1 round/level&lt;/h5&gt;&lt;/div&gt;&lt;hr/&gt;&lt;div&gt;&lt;h5&gt;&lt;b&gt;DESCRIPTION&lt;/b&gt;&lt;/h5&gt;&lt;/div&gt;&lt;hr/&gt;&lt;div&gt;&lt;h4&gt;&lt;p&gt;When under the effects of this spell, you can teleport up to 30 feet as a move action. You must end this movement in an unoccupied space that you can stand on within line of sight. Alternatively, you can spend a move action to teleport to a standing position from lying prone. Teleporting does not provoke attacks of opportunity.&lt;/p&gt;&lt;/h4&gt;&lt;h5&gt;&lt;b&gt;Mythic: &lt;/b&gt;You can teleport as either a move action or a swift action, but never more than once per round. If you expend a move action and a swift action, you may teleport up to 60 feet.&lt;/h5&gt;&lt;/div&gt;</t>
  </si>
  <si>
    <t>You can spend a move action to teleport 30 feet or to stand while prone without provoking attacks of opportunity.</t>
  </si>
  <si>
    <t>You can teleport as either a move action or a swift action, but never more than once per round. If you expend a move action and a swift action, you may teleport up to 60 feet.</t>
  </si>
  <si>
    <t>Warding Weapon</t>
  </si>
  <si>
    <t>magus 1, sorcerer/wizard 2, summoner 2</t>
  </si>
  <si>
    <t>V, S, F (one melee weapon you are proficient in and you are holding)</t>
  </si>
  <si>
    <t>The focus of this spell flies upward above your head and takes a defensive position within your space. It lunges at opponents, as if guided by a martially trained hand, parrying and turning back melee attacks aimed at you, but does not strike back at any opponent nor does it damage them. The weapon serves only as a defense. While it protects you, you can cast spells without provoking attacks of opportunity, without the need to cast them defensively. A creature with the Disruptive feat (Core Rulebook 122) can easily bypass this spell's defenses. You provoke attacks of opportunity for casting spells against these creatures even when subject to this spell, though you can still choose to cast defensively.</t>
  </si>
  <si>
    <t>&lt;p&gt;The focus of this spell flies upward above your head and takes a defensive position within your space. It lunges at opponents, as if guided by a martially trained hand, parrying and turning back melee attacks aimed at you, but does not strike back at any opponent nor does it damage them. The weapon serves only as a defense. While it protects you, you can cast spells without provoking attacks of opportunity, without the need to cast them defensively. A creature with the Disruptive feat (&lt;i&gt;Core Rulebook&lt;/i&gt; 122) can easily bypass this spell's defenses. You provoke attacks of opportunity for casting spells against these creatures even when subject to this spell, though you can still choose to cast defensively.&lt;/p&gt;</t>
  </si>
  <si>
    <t>&lt;link rel="stylesheet"href="PF.css"&gt;&lt;div class="heading"&gt;&lt;p class="alignleft"&gt;Warding Weapon&lt;/p&gt;&lt;div style="clear: both;"&gt;&lt;/div&gt;&lt;/div&gt;&lt;div&gt;&lt;h5&gt;&lt;b&gt;School &lt;/b&gt;abjuration; &lt;b&gt;Level &lt;/b&gt;magus 1, sorcerer/wizard 2, summoner 2&lt;/h5&gt;&lt;/div&gt;&lt;hr/&gt;&lt;div&gt;&lt;h5&gt;&lt;b&gt;CASTING&lt;/b&gt;&lt;/h5&gt;&lt;/div&gt;&lt;hr/&gt;&lt;div&gt;&lt;h5&gt;&lt;b&gt;Casting Time &lt;/b&gt;1 standard action&lt;/h5&gt;&lt;h5&gt;&lt;b&gt;Components &lt;/b&gt;V, S, F (one melee weapon you are proficient in and you are holding)&lt;/h5&gt;&lt;/div&gt;&lt;hr/&gt;&lt;div&gt;&lt;h5&gt;&lt;b&gt;EFFECT&lt;/b&gt;&lt;/h5&gt;&lt;/div&gt;&lt;hr/&gt;&lt;div&gt;&lt;h5&gt;&lt;b&gt;Range &lt;/b&gt;personal&lt;/h5&gt;&lt;h5&gt;&lt;b&gt;Targets &lt;/b&gt;you&lt;/h5&gt;&lt;h5&gt;&lt;b&gt;Duration &lt;/b&gt;1 round/level&lt;/h5&gt;&lt;/div&gt;&lt;hr/&gt;&lt;div&gt;&lt;h5&gt;&lt;b&gt;DESCRIPTION&lt;/b&gt;&lt;/h5&gt;&lt;/div&gt;&lt;hr/&gt;&lt;div&gt;&lt;h4&gt;&lt;p&gt;The focus of this spell flies upward above your head and takes a defensive position within your space. It lunges at opponents, as if guided by a martially trained hand, parrying and turning back melee attacks aimed at you, but does not strike back at any opponent nor does it damage them. The weapon serves only as a defense. While it protects you, you can cast spells without provoking attacks of opportunity, without the need to cast them defensively. A creature with the Disruptive feat (&lt;i&gt;Core Rulebook&lt;/i&gt; 122) can easily bypass this spell's defenses. You provoke attacks of opportunity for casting spells against these creatures even when subject to this spell, though you can still choose to cast defensively.&lt;/p&gt;&lt;/h4&gt;&lt;/div&gt;</t>
  </si>
  <si>
    <t>The weapon you use for the focus of this spell defends you, allowing you to cast spells without provoking attacks of opportunity.</t>
  </si>
  <si>
    <t>Water Walk, Communal</t>
  </si>
  <si>
    <t>cleric 4/oracle 4, ranger 4</t>
  </si>
  <si>
    <t>This spell functions like water walk, except you divide the duration in 10-minute intervals among the creatures touched.</t>
  </si>
  <si>
    <t>&lt;p&gt;This spell functions like &lt;i&gt;water walk&lt;/i&gt;, except you divide the duration in 10-minute intervals among the creatures touched.&lt;/p&gt;</t>
  </si>
  <si>
    <t>&lt;link rel="stylesheet"href="PF.css"&gt;&lt;div class="heading"&gt;&lt;p class="alignleft"&gt;Water Walk, Communal&lt;/p&gt;&lt;div style="clear: both;"&gt;&lt;/div&gt;&lt;/div&gt;&lt;div&gt;&lt;h5&gt;&lt;b&gt;School &lt;/b&gt;transmutation [water]; &lt;b&gt;Level &lt;/b&gt;cleric 4/oracle 4, ranger 4&lt;/h5&gt;&lt;/div&gt;&lt;hr/&gt;&lt;div&gt;&lt;h5&gt;&lt;b&gt;CASTING&lt;/b&gt;&lt;/h5&gt;&lt;/div&gt;&lt;hr/&gt;&lt;div&gt;&lt;h5&gt;&lt;b&gt;Casting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&lt;/b&gt;creatures touched&lt;/h5&gt;&lt;h5&gt;&lt;b&gt;Duration &lt;/b&gt;10 min./level (D)&lt;/h5&gt;&lt;h5&gt;&lt;b&gt;Saving Throw &lt;/b&gt;Will negates (harmless); &lt;b&gt;Spell Resistance &lt;/b&gt;yes (harmless)&lt;/h5&gt;&lt;/div&gt;&lt;hr/&gt;&lt;div&gt;&lt;h5&gt;&lt;b&gt;DESCRIPTION&lt;/b&gt;&lt;/h5&gt;&lt;/div&gt;&lt;hr/&gt;&lt;div&gt;&lt;h4&gt;&lt;p&gt;This spell functions like &lt;i&gt;water walk&lt;/i&gt;, except you divide the duration in 10-minute intervals among the creatures touched.&lt;/p&gt;&lt;/h4&gt;&lt;/div&gt;</t>
  </si>
  <si>
    <t>As water walk, but you may divide the duration among creatures touched.</t>
  </si>
  <si>
    <t>Weaken Powder</t>
  </si>
  <si>
    <t>V, S, M/DF (an empty paper cartridge)</t>
  </si>
  <si>
    <t>Ammunition in the target firearm generates less of an explosive charge when fired. With such ammunition, the firearm's range increment is halved and the firer takes a -2 penalty on damage rolls. If aware of this spell's effect prior to firing the altered ammunition (a DC 16 Spellcraft check to identify the spell being cast or similar effect), the firearm's user can spend a standard action to clear the altered ammunition from the firearm. Doing so destroys that ammunition.</t>
  </si>
  <si>
    <t>&lt;p&gt;Ammunition in the target firearm generates less of an explosive charge when fired. With such ammunition, the firearm's range increment is halved and the firer takes a -2 penalty on damage rolls. If aware of this spell's effect prior to firing the altered ammunition (a DC 16 Spellcraft check to identify the spell being cast or similar effect), the firearm's user can spend a standard action to clear the altered ammunition from the firearm. Doing so destroys that ammunition.&lt;/p&gt;</t>
  </si>
  <si>
    <t>&lt;link rel="stylesheet"href="PF.css"&gt;&lt;div class="heading"&gt;&lt;p class="alignleft"&gt;Weaken Powder&lt;/p&gt;&lt;div style="clear: both;"&gt;&lt;/div&gt;&lt;/div&gt;&lt;div&gt;&lt;h5&gt;&lt;b&gt;School &lt;/b&gt;transmutation; &lt;b&gt;Level &lt;/b&gt;druid 1, sorcerer/wizard 1, witch 1&lt;/h5&gt;&lt;/div&gt;&lt;hr/&gt;&lt;div&gt;&lt;h5&gt;&lt;b&gt;CASTING&lt;/b&gt;&lt;/h5&gt;&lt;/div&gt;&lt;hr/&gt;&lt;div&gt;&lt;h5&gt;&lt;b&gt;Casting Time &lt;/b&gt;1 standard action&lt;/h5&gt;&lt;h5&gt;&lt;b&gt;Components &lt;/b&gt;V, S, M/DF (an empty paper cartridge)&lt;/h5&gt;&lt;/div&gt;&lt;hr/&gt;&lt;div&gt;&lt;h5&gt;&lt;b&gt;EFFECT&lt;/b&gt;&lt;/h5&gt;&lt;/div&gt;&lt;hr/&gt;&lt;div&gt;&lt;h5&gt;&lt;b&gt;Range &lt;/b&gt;close (25 ft. + 5 ft./2 levels)&lt;/h5&gt;&lt;h5&gt;&lt;b&gt;Targets &lt;/b&gt;1 loaded firearm&lt;/h5&gt;&lt;h5&gt;&lt;b&gt;Duration &lt;/b&gt;instantaneous&lt;/h5&gt;&lt;h5&gt;&lt;b&gt;Saving Throw &lt;/b&gt;Will negates (object); &lt;b&gt;Spell Resistance &lt;/b&gt;yes (object)&lt;/h5&gt;&lt;/div&gt;&lt;hr/&gt;&lt;div&gt;&lt;h5&gt;&lt;b&gt;DESCRIPTION&lt;/b&gt;&lt;/h5&gt;&lt;/div&gt;&lt;hr/&gt;&lt;div&gt;&lt;h4&gt;&lt;p&gt;Ammunition in the target firearm generates less of an explosive charge when fired. With such ammunition, the firearm's range increment is halved and the firer takes a -2 penalty on damage rolls. If aware of this spell's effect prior to firing the altered ammunition (a DC 16 Spellcraft check to identify the spell being cast or similar effect), the firearm's user can spend a standard action to clear the altered ammunition from the firearm. Doing so destroys that ammunition.&lt;/p&gt;&lt;/h4&gt;&lt;/div&gt;</t>
  </si>
  <si>
    <t>Targeted firearm's ammunition halves the firearm's range and imposes a –2 penalty on damage rolls.</t>
  </si>
  <si>
    <t>Wilderness Soldiers</t>
  </si>
  <si>
    <t>30-ft.-radius emanation, centered on you</t>
  </si>
  <si>
    <t>You call on the plants nearby to aid you in combat. This spell is ineffective if no plants you can direct are within the area. You can spend a swift action and/or a standard action on each of your turns to direct one of the following attacks. The attack bonus or CMB for these attacks equals your base attack bonus + your Wisdom modifier. You grant a +1 bonus per three caster levels (maximum +5) on damage rolls due to this spell. Your wilderness soldiers never provoke attacks of opportunity, and they do not count as allies for flanking or other purposes. Tree: A tree makes a melee attack with a 10-foot reach from its trunk. A hit deals an amount of damage equal to 1d8 points + your Wisdom modifier. The tree can instead attempt a bull rush, drag, or reposition combat maneuver with the same reach, but the tree cannot move itself. Undergrowth or Hedgerow: Acting as a Medium creature, one square of undergrowth or hedgerow attempts a grapple combat maneuver against an opponent within or adjacent to that square. Heavy undergrowth gains a +2 bonus to its CMD. Undergrowth cannot move the grapple or pin a foe, but it can deal an amount of damage equal to 1d4 points + your Wisdom modifier by making a successful grapple check against a foe it is grappling. The undergrowth's CMD is 5 + its CMB. If you fail to direct the undergrowth to maintain the grapple, it releases its opponent.</t>
  </si>
  <si>
    <t>&lt;p&gt;You call on the plants nearby to aid you in combat. This spell is ineffective if no plants you can direct are within the area. You can spend a swift action and/or a standard action on each of your turns to direct one of the following attacks. The attack bonus or CMB for these attacks equals your base attack bonus + your Wisdom modifier. You grant a +1 bonus per three caster levels (maximum +5) on damage rolls due to this spell. Your &lt;i&gt;wilderness soldiers&lt;/i&gt; never provoke attacks of opportunity, and they do not count as allies for flanking or other purposes. &lt;br&gt;&lt;i&gt;Tree&lt;/i&gt;: A tree makes a melee attack with a 10-foot reach from its trunk. A hit deals an amount of damage equal to 1d8 points + your Wisdom modifier. The tree can instead attempt a bull rush, drag, or reposition combat maneuver with the same reach, but the tree cannot move itself. &lt;br&gt;&lt;i&gt;Undergrowth or Hedgerow&lt;/i&gt;: Acting as a Medium creature, one square of undergrowth or hedgerow attempts a grapple combat maneuver against an opponent within or adjacent to that square. Heavy undergrowth gains a +2 bonus to its CMD. Undergrowth cannot move the grapple or pin a foe, but it can deal an amount of damage equal to 1d4 points + your Wisdom modifier by making a successful grapple check against a foe it is grappling. The undergrowth's CMD is 5 + its CMB. If you fail to direct the undergrowth to maintain the grapple, it releases its opponent.&lt;/p&gt;</t>
  </si>
  <si>
    <t>&lt;link rel="stylesheet"href="PF.css"&gt;&lt;div class="heading"&gt;&lt;p class="alignleft"&gt;Wilderness Soldiers&lt;/p&gt;&lt;div style="clear: both;"&gt;&lt;/div&gt;&lt;/div&gt;&lt;div&gt;&lt;h5&gt;&lt;b&gt;School &lt;/b&gt;transmutation; &lt;b&gt;Level &lt;/b&gt;druid 2, ranger 2&lt;/h5&gt;&lt;/div&gt;&lt;hr/&gt;&lt;div&gt;&lt;h5&gt;&lt;b&gt;CASTING&lt;/b&gt;&lt;/h5&gt;&lt;/div&gt;&lt;hr/&gt;&lt;div&gt;&lt;h5&gt;&lt;b&gt;Casting Time &lt;/b&gt;1 standard action&lt;/h5&gt;&lt;h5&gt;&lt;b&gt;Components &lt;/b&gt;V, S&lt;/h5&gt;&lt;/div&gt;&lt;hr/&gt;&lt;div&gt;&lt;h5&gt;&lt;b&gt;EFFECT&lt;/b&gt;&lt;/h5&gt;&lt;/div&gt;&lt;hr/&gt;&lt;div&gt;&lt;h5&gt;&lt;b&gt;Range &lt;/b&gt;30 ft.&lt;/h5&gt;&lt;h5&gt;&lt;b&gt;Area &lt;/b&gt;30-ft.-radius emanation, centered on you&lt;/h5&gt;&lt;h5&gt;&lt;b&gt;Duration &lt;/b&gt;1 round/level&lt;/h5&gt;&lt;h5&gt;&lt;b&gt;Saving Throw &lt;/b&gt;none; &lt;b&gt;Spell Resistance &lt;/b&gt;no&lt;/h5&gt;&lt;/div&gt;&lt;hr/&gt;&lt;div&gt;&lt;h5&gt;&lt;b&gt;DESCRIPTION&lt;/b&gt;&lt;/h5&gt;&lt;/div&gt;&lt;hr/&gt;&lt;div&gt;&lt;h4&gt;&lt;p&gt;You call on the plants nearby to aid you in combat. This spell is ineffective if no plants you can direct are within the area. You can spend a swift action and/or a standard action on each of your turns to direct one of the following attacks. The attack bonus or CMB for these attacks equals your base attack bonus + your Wisdom modifier. You grant a +1 bonus per three caster levels (maximum +5) on damage rolls due to this spell. Your &lt;i&gt;wilderness soldiers&lt;/i&gt; never provoke attacks of opportunity, and they do not count as allies for flanking or other purposes. &lt;br&gt;&lt;i&gt;Tree&lt;/i&gt;: A tree makes a melee attack with a 10-foot reach from its trunk. A hit deals an amount of damage equal to 1d8 points + your Wisdom modifier. The tree can instead attempt a bull rush, drag, or reposition combat maneuver with the same reach, but the tree cannot move itself. &lt;br&gt;&lt;i&gt;Undergrowth or Hedgerow&lt;/i&gt;: Acting as a Medium creature, one square of undergrowth or hedgerow attempts a grapple combat maneuver against an opponent within or adjacent to that square. Heavy undergrowth gains a +2 bonus to its CMD. Undergrowth cannot move the grapple or pin a foe, but it can deal an amount of damage equal to 1d4 points + your Wisdom modifier by making a successful grapple check against a foe it is grappling. The undergrowth's CMD is 5 + its CMB. If you fail to direct the undergrowth to maintain the grapple, it releases its opponent.&lt;/p&gt;&lt;/h4&gt;&lt;/div&gt;</t>
  </si>
  <si>
    <t>Nearby plants aid you in combat.</t>
  </si>
  <si>
    <t>Wreath of Blades</t>
  </si>
  <si>
    <t>magus 4, sorcerer/wizard 5, summoner 5, witch 5</t>
  </si>
  <si>
    <t>V, S, F (four mithral daggers, each worth at least 502 gp each)</t>
  </si>
  <si>
    <t>5-foot-radius emanation centered on you</t>
  </si>
  <si>
    <t>Reflex half (special, see below)</t>
  </si>
  <si>
    <t>no (special, see below)</t>
  </si>
  <si>
    <t>The daggers serving as focus of this spell take on a deadly sharpness as they animate and spin around you, creating a 5-foot-radius emanation of spinning mithral blades that moves with you. Any creature that starts its turn within the area of the spinning blades takes 1d4 points of damage for every two caster levels (maximum 10d4 at 20th level) and the damage bypasses DR/silver. Furthermore, the daggers ward off some attacks, in a way similar to the warding weapon spell (see page 48). While subject to this spell, you do not provoke attacks of opportunity for casting spells, even from creatures with the Disruptive feat. Creatures with the Spellbreaker feat (Core Rulebook 134) can easily bypass this defensive property, though they still take damage from the spell. Your casting (even failing to cast defensively) still provokes attacks of opportunity from creatures with that feat. Lastly, the blades that serve as the focus for this spell can be enchanted for greater effect. When all of the blades share the same enhancement bonus and special weapon qualities, a creature that is damaged by this spell is also treated as if hit by one of these weapons. For example, if a 12th-level magus casts this spell using four +1 frost mithral daggers as focus, the damage dealt by the blades would be 6d4+1 plus 1d6 cold damage, as long as the daggers were commanded to be sheathed in ice. No matter the modifications made to the focus weapons, they must always be mithral daggers. No other type of weapons can serve as a focus for this spell.</t>
  </si>
  <si>
    <t>&lt;p&gt;The daggers serving as focus of this spell take on a deadly sharpness as they animate and spin around you, creating a 5-foot-radius emanation of spinning mithral blades that moves with you. Any creature that starts its turn within the area of the spinning blades takes 1d4 points of damage for every two caster levels (maximum 10d4 at 20th level) and the damage bypasses DR/silver. Furthermore, the daggers ward off some attacks, in a way similar to the &lt;i&gt;warding weapon&lt;/i&gt; spell (see page 48). While subject to this spell, you do not provoke attacks of opportunity for casting spells, even from creatures with the Disruptive feat. Creatures with the Spellbreaker feat (&lt;i&gt;Core Rulebook&lt;/i&gt; 134) can easily bypass this defensive property, though they still take damage from the spell. Your casting (even failing to cast defensively) still provokes attacks of opportunity from creatures with that feat. Lastly, the blades that serve as the focus for this spell can be enchanted for greater effect. When all of the blades share the same enhancement bonus and special weapon qualities, a creature that is damaged by this spell is also treated as if hit by one of these weapons. For example, if a 12th-level magus casts this spell using four &lt;i&gt;+1 frost mithral daggers&lt;/i&gt; as focus, the damage dealt by the blades would be 6d4+1 plus 1d6 cold damage, as long as the daggers were commanded to be sheathed in ice. No matter the modifications made to the focus weapons, they must always be mithral daggers. No other type of weapons can serve as a focus for this spell.&lt;/p&gt;</t>
  </si>
  <si>
    <t>&lt;link rel="stylesheet"href="PF.css"&gt;&lt;div class="heading"&gt;&lt;p class="alignleft"&gt;Wreath of Blades&lt;/p&gt;&lt;div style="clear: both;"&gt;&lt;/div&gt;&lt;/div&gt;&lt;div&gt;&lt;h5&gt;&lt;b&gt;School &lt;/b&gt;abjuration; &lt;b&gt;Level &lt;/b&gt;magus 4, sorcerer/wizard 5, summoner 5, witch 5&lt;/h5&gt;&lt;/div&gt;&lt;hr/&gt;&lt;div&gt;&lt;h5&gt;&lt;b&gt;CASTING&lt;/b&gt;&lt;/h5&gt;&lt;/div&gt;&lt;hr/&gt;&lt;div&gt;&lt;h5&gt;&lt;b&gt;Casting Time &lt;/b&gt;1 standard action&lt;/h5&gt;&lt;h5&gt;&lt;b&gt;Components &lt;/b&gt;V, S, F (four mithral daggers, each worth at least 502 gp each)&lt;/h5&gt;&lt;/div&gt;&lt;hr/&gt;&lt;div&gt;&lt;h5&gt;&lt;b&gt;EFFECT&lt;/b&gt;&lt;/h5&gt;&lt;/div&gt;&lt;hr/&gt;&lt;div&gt;&lt;h5&gt;&lt;b&gt;Range &lt;/b&gt;personal&lt;/h5&gt;&lt;h5&gt;&lt;b&gt;Area &lt;/b&gt;5-foot-radius emanation centered on you&lt;/h5&gt;&lt;h5&gt;&lt;b&gt;Targets &lt;/b&gt;you&lt;/h5&gt;&lt;h5&gt;&lt;b&gt;Duration &lt;/b&gt;1 round/level&lt;/h5&gt;&lt;h5&gt;&lt;b&gt;Saving Throw &lt;/b&gt;Reflex half (special, see below); &lt;b&gt;Spell Resistance &lt;/b&gt;no (special, see below)&lt;/h5&gt;&lt;/div&gt;&lt;hr/&gt;&lt;div&gt;&lt;h5&gt;&lt;b&gt;DESCRIPTION&lt;/b&gt;&lt;/h5&gt;&lt;/div&gt;&lt;hr/&gt;&lt;div&gt;&lt;h4&gt;&lt;p&gt;The daggers serving as focus of this spell take on a deadly sharpness as they animate and spin around you, creating a 5-foot-radius emanation of spinning mithral blades that moves with you. Any creature that starts its turn within the area of the spinning blades takes 1d4 points of damage for every two caster levels (maximum 10d4 at 20th level) and the damage bypasses DR/silver. Furthermore, the daggers ward off some attacks, in a way similar to the &lt;i&gt;warding weapon&lt;/i&gt; spell (see page 48). While subject to this spell, you do not provoke attacks of opportunity for casting spells, even from creatures with the Disruptive feat. Creatures with the Spellbreaker feat (&lt;i&gt;Core Rulebook&lt;/i&gt; 134) can easily bypass this defensive property, though they still take damage from the spell. Your casting (even failing to cast defensively) still provokes attacks of opportunity from creatures with that feat. Lastly, the blades that serve as the focus for this spell can be enchanted for greater effect. When all of the blades share the same enhancement bonus and special weapon qualities, a creature that is damaged by this spell is also treated as if hit by one of these weapons. For example, if a 12th-level magus casts this spell using four &lt;i&gt;+1 frost mithral daggers&lt;/i&gt; as focus, the damage dealt by the blades would be 6d4+1 plus 1d6 cold damage, as long as the daggers were commanded to be sheathed in ice. No matter the modifications made to the focus weapons, they must always be mithral daggers. No other type of weapons can serve as a focus for this spell.&lt;/p&gt;&lt;/h4&gt;&lt;/div&gt;</t>
  </si>
  <si>
    <t>Four mithral daggers speed around you, attacking nearby creatures and protecting your spellcasting from attacks of opportunity.</t>
  </si>
  <si>
    <t>Aspect of the Nightingale</t>
  </si>
  <si>
    <t>bard 1, cleric 1/oracle 1, druid 1, paladin 1, ranger 1</t>
  </si>
  <si>
    <t>You take on an aspect of a nightingale. Your voice becomes clear and pleasant. You gain a +2 competence bonus on Perform (sing) checks and a +2 competence bonus on Diplomacy checks. Once per minute, if you are subject to a charm effect that allows a saving throw, you may roll twice and take the more favorable result.</t>
  </si>
  <si>
    <t>&lt;p&gt;You take on an aspect of a nightingale. Your voice becomes clear and pleasant. You gain a +2 competence bonus on Perform (sing) checks and a +2 competence bonus on Diplomacy checks. Once per minute, if you are subject to a charm effect that allows a saving throw, you may roll twice and take the more favorable result.&lt;/p&gt;</t>
  </si>
  <si>
    <t>AP 50</t>
  </si>
  <si>
    <t>&lt;link rel="stylesheet"href="PF.css"&gt;&lt;div class="heading"&gt;&lt;p class="alignleft"&gt;Aspect of the Nightingale&lt;/p&gt;&lt;div style="clear: both;"&gt;&lt;/div&gt;&lt;/div&gt;&lt;div&gt;&lt;h5&gt;&lt;b&gt;School &lt;/b&gt;transmutation (polymorph); &lt;b&gt;Level &lt;/b&gt;bard 1, cleric 1/oracle 1, druid 1, paladin 1, ranger 1 (Shelyn)&lt;/h5&gt;&lt;/div&gt;&lt;hr/&gt;&lt;div&gt;&lt;h5&gt;&lt;b&gt;CASTING&lt;/b&gt;&lt;/h5&gt;&lt;/div&gt;&lt;hr/&gt;&lt;div&gt;&lt;h5&gt;&lt;b&gt;Casting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&lt;/b&gt;you&lt;/h5&gt;&lt;h5&gt;&lt;b&gt;Duration &lt;/b&gt;1 minute/level&lt;/h5&gt;&lt;/div&gt;&lt;hr/&gt;&lt;div&gt;&lt;h5&gt;&lt;b&gt;DESCRIPTION&lt;/b&gt;&lt;/h5&gt;&lt;/div&gt;&lt;hr/&gt;&lt;div&gt;&lt;h4&gt;&lt;p&gt;You take on an aspect of a nightingale. Your voice becomes clear and pleasant. You gain a +2 competence bonus on Perform (sing) checks and a +2 competence bonus on Diplomacy checks. Once per minute, if you are subject to a charm effect that allows a saving throw, you may roll twice and take the more favorable result.&lt;/p&gt;&lt;/h4&gt;&lt;/div&gt;</t>
  </si>
  <si>
    <t>Shared Sacrifice</t>
  </si>
  <si>
    <t>antipaladin 3, cleric 2/oracle 2, summoner 3, witch 2</t>
  </si>
  <si>
    <t>With this spell, you create a link between yourself and your target, and you can direct pain and damage through this link. You only take half damage from wounds and attacks (including those dealt by special abilities) that deal hit point damage. The amount of damage not taken by you is taken by the target of this spell. Forms of harm that do not involve hit points, such as charm effects, temporary ability damage, level draining, and death effects, cannot be shared through this link. If you suffer a reduction in hit points because of a lowered Constitution score, the reduction is not split with the target of this spell because it is not hit point damage. When the spell ends, subsequent damage is no longer divided between the subject and you, but damage already split is not reassigned back to you. If you and the subject of the spell move out of range of each other, the spell ends.</t>
  </si>
  <si>
    <t>&lt;p&gt;With this spell, you create a link between yourself and your target, and you can direct pain and damage through this link.&lt;/p&gt;&lt;p&gt;You only take half damage from wounds and attacks (including those dealt by special abilities) that deal hit point damage. The amount of damage not taken by you is taken by the target of this spell. Forms of harm that do not involve hit points, such as charm effects, temporary ability damage, level draining, and death effects, cannot be shared through this link. If you suffer a reduction in hit points because of a lowered Constitution score, the reduction is not split with the target of this spell because it is not hit point damage. When the spell ends, subsequent damage is no longer divided between the subject and you, but damage already split is not reassigned back to you.&lt;/p&gt;&lt;p&gt;If you and the subject of the spell move out of range of each other, the spell ends.&lt;/p&gt;</t>
  </si>
  <si>
    <t>Faiths Of Corruption</t>
  </si>
  <si>
    <t>&lt;link rel="stylesheet"href="PF.css"&gt;&lt;div class="heading"&gt;&lt;p class="alignleft"&gt;Shared Sacrifice&lt;/p&gt;&lt;div style="clear: both;"&gt;&lt;/div&gt;&lt;/div&gt;&lt;div&gt;&lt;h5&gt;&lt;b&gt;School &lt;/b&gt;necromancy [evil]; &lt;b&gt;Level &lt;/b&gt;antipaladin 3, cleric 2/oracle 2, summoner 3, witch 2 (Asmodeus)&lt;/h5&gt;&lt;/div&gt;&lt;hr/&gt;&lt;div&gt;&lt;h5&gt;&lt;b&gt;CASTING&lt;/b&gt;&lt;/h5&gt;&lt;/div&gt;&lt;hr/&gt;&lt;div&gt;&lt;h5&gt;&lt;b&gt;Casting Time &lt;/b&gt;1 round&lt;/h5&gt;&lt;h5&gt;&lt;b&gt;Components &lt;/b&gt;V, S&lt;/h5&gt;&lt;/div&gt;&lt;hr/&gt;&lt;div&gt;&lt;h5&gt;&lt;b&gt;EFFECT&lt;/b&gt;&lt;/h5&gt;&lt;/div&gt;&lt;hr/&gt;&lt;div&gt;&lt;h5&gt;&lt;b&gt;Range &lt;/b&gt;close (25 ft. + 5 ft./2 levels)&lt;/h5&gt;&lt;h5&gt;&lt;b&gt;Targets &lt;/b&gt;one creature&lt;/h5&gt;&lt;h5&gt;&lt;b&gt;Duration &lt;/b&gt;1 round/level (D)&lt;/h5&gt;&lt;h5&gt;&lt;b&gt;Saving Throw &lt;/b&gt;Will negates; &lt;b&gt;Spell Resistance &lt;/b&gt;yes&lt;/h5&gt;&lt;/div&gt;&lt;hr/&gt;&lt;div&gt;&lt;h5&gt;&lt;b&gt;DESCRIPTION&lt;/b&gt;&lt;/h5&gt;&lt;/div&gt;&lt;hr/&gt;&lt;div&gt;&lt;h4&gt;&lt;p&gt;With this spell, you create a link between yourself and your target, and you can direct pain and damage through this link.&lt;/p&gt;&lt;p&gt;You only take half damage from wounds and attacks (including those dealt by special abilities) that deal hit point damage. The amount of damage not taken by you is taken by the target of this spell. Forms of harm that do not involve hit points, such as charm effects, temporary ability damage, level draining, and death effects, cannot be shared through this link. If you suffer a reduction in hit points because of a lowered Constitution score, the reduction is not split with the target of this spell because it is not hit point damage. When the spell ends, subsequent damage is no longer divided between the subject and you, but damage already split is not reassigned back to you.&lt;/p&gt;&lt;p&gt;If you and the subject of the spell move out of range of each other, the spell ends.&lt;/p&gt;&lt;/h4&gt;&lt;/div&gt;</t>
  </si>
  <si>
    <t>Monstrous Extremities</t>
  </si>
  <si>
    <t>cleric 3/oracle 3, sorcerer/wizard 3, witch 4</t>
  </si>
  <si>
    <t>When you cast this spell, you can change one of the extremities of the creature touched-arms or legs only-into another shape of approximately the same size and mass. You can choose from a tentacle, a hoof, or a wing. The subject must take approximately 10 minutes to familiarize itself with the function and movement of the new extremity. These new forms do not allow the subject to fly, run faster, or swim better; however, they do act as natural weapons of the appropriate type, and the subject can use them to make secondary attacks while making attacks with weapons as a full-attack action. The secondary attacks are made using the creature's base attack bonus - 5 and adding only 1/2 the creature's Strength bonus on damage rolls. The subject cannot hold a weapon or use any item that would ordinarily fit into the slot of the changed extremity. The subject can receive the benefits of this spell multiple times.</t>
  </si>
  <si>
    <t>&lt;p&gt;When you cast this spell, you can change one of the extremities of the creature touched-arms or legs only-into another shape of approximately the same size and mass. You can choose from a tentacle, a hoof, or a wing. The subject must take approximately 10 minutes to familiarize itself with the function and movement of the new extremity. These new forms do not allow the subject to fly, run faster, or swim better; however, they do act as natural weapons of the appropriate type, and the subject can use them to make secondary attacks while making attacks with weapons as a full-attack action. The secondary attacks are made using the creature's base attack bonus - 5 and adding only 1/2 the creature's Strength bonus on damage rolls. The subject cannot hold a weapon or use any item that would ordinarily fit into the slot of the changed extremity. The subject can receive the benefits of this spell multiple times.&lt;/p&gt;</t>
  </si>
  <si>
    <t>&lt;link rel="stylesheet"href="PF.css"&gt;&lt;div class="heading"&gt;&lt;p class="alignleft"&gt;Monstrous Extremities&lt;/p&gt;&lt;div style="clear: both;"&gt;&lt;/div&gt;&lt;/div&gt;&lt;div&gt;&lt;h5&gt;&lt;b&gt;School &lt;/b&gt;transmutation (polymorph); &lt;b&gt;Level &lt;/b&gt;cleric 3/oracle 3, sorcerer/wizard 3, witch 4 (Lamashtu)&lt;/h5&gt;&lt;/div&gt;&lt;hr/&gt;&lt;div&gt;&lt;h5&gt;&lt;b&gt;CASTING&lt;/b&gt;&lt;/h5&gt;&lt;/div&gt;&lt;hr/&gt;&lt;div&gt;&lt;h5&gt;&lt;b&gt;Casting Time &lt;/b&gt;1 minute&lt;/h5&gt;&lt;h5&gt;&lt;b&gt;Components &lt;/b&gt;V, S&lt;/h5&gt;&lt;/div&gt;&lt;hr/&gt;&lt;div&gt;&lt;h5&gt;&lt;b&gt;EFFECT&lt;/b&gt;&lt;/h5&gt;&lt;/div&gt;&lt;hr/&gt;&lt;div&gt;&lt;h5&gt;&lt;b&gt;Range &lt;/b&gt;touch&lt;/h5&gt;&lt;h5&gt;&lt;b&gt;Targets &lt;/b&gt;creature touched&lt;/h5&gt;&lt;h5&gt;&lt;b&gt;Duration &lt;/b&gt;1 hour/level&lt;/h5&gt;&lt;h5&gt;&lt;b&gt;Saving Throw &lt;/b&gt;Will negates; &lt;b&gt;Spell Resistance &lt;/b&gt;yes&lt;/h5&gt;&lt;/div&gt;&lt;hr/&gt;&lt;div&gt;&lt;h5&gt;&lt;b&gt;DESCRIPTION&lt;/b&gt;&lt;/h5&gt;&lt;/div&gt;&lt;hr/&gt;&lt;div&gt;&lt;h4&gt;&lt;p&gt;When you cast this spell, you can change one of the extremities of the creature touched-arms or legs only-into another shape of approximately the same size and mass. You can choose from a tentacle, a hoof, or a wing. The subject must take approximately 10 minutes to familiarize itself with the function and movement of the new extremity. These new forms do not allow the subject to fly, run faster, or swim better; however, they do act as natural weapons of the appropriate type, and the subject can use them to make secondary attacks while making attacks with weapons as a full-attack action. The secondary attacks are made using the creature's base attack bonus - 5 and adding only 1/2 the creature's Strength bonus on damage rolls. The subject cannot hold a weapon or use any item that would ordinarily fit into the slot of the changed extremity. The subject can receive the benefits of this spell multiple times.&lt;/p&gt;&lt;/h4&gt;&lt;/div&gt;</t>
  </si>
  <si>
    <t>Lamashtu</t>
  </si>
  <si>
    <t>Lose the Trail</t>
  </si>
  <si>
    <t>antipaladin 2, ranger 1, sorcerer/wizard 1</t>
  </si>
  <si>
    <t>This spell allows the caster to obscure her tracks when fleeing from a pursuer. This increases the DC of any Survival checks made to track the spell's subjects by +2 per level of the caster.</t>
  </si>
  <si>
    <t>&lt;p&gt;This spell allows the caster to obscure her tracks when fleeing from a pursuer. This increases the DC of any Survival checks made to track the spell's subjects by +2 per level of the caster.&lt;/p&gt;</t>
  </si>
  <si>
    <t>&lt;link rel="stylesheet"href="PF.css"&gt;&lt;div class="heading"&gt;&lt;p class="alignleft"&gt;Lose the Trail&lt;/p&gt;&lt;div style="clear: both;"&gt;&lt;/div&gt;&lt;/div&gt;&lt;div&gt;&lt;h5&gt;&lt;b&gt;School &lt;/b&gt;illusion; &lt;b&gt;Level &lt;/b&gt;antipaladin 2, ranger 1, sorcerer/wizard 1 (Norgorber)&lt;/h5&gt;&lt;/div&gt;&lt;hr/&gt;&lt;div&gt;&lt;h5&gt;&lt;b&gt;CASTING&lt;/b&gt;&lt;/h5&gt;&lt;/div&gt;&lt;hr/&gt;&lt;div&gt;&lt;h5&gt;&lt;b&gt;Casting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creature/level&lt;/h5&gt;&lt;h5&gt;&lt;b&gt;Duration &lt;/b&gt;1 hour/level (D)&lt;/h5&gt;&lt;h5&gt;&lt;b&gt;Saving Throw &lt;/b&gt;Will negates (harmless); &lt;b&gt;Spell Resistance &lt;/b&gt;yes&lt;/h5&gt;&lt;/div&gt;&lt;hr/&gt;&lt;div&gt;&lt;h5&gt;&lt;b&gt;DESCRIPTION&lt;/b&gt;&lt;/h5&gt;&lt;/div&gt;&lt;hr/&gt;&lt;div&gt;&lt;h4&gt;&lt;p&gt;This spell allows the caster to obscure her tracks when fleeing from a pursuer. This increases the DC of any Survival checks made to track the spell's subjects by +2 per level of the caster.&lt;/p&gt;&lt;/h4&gt;&lt;/div&gt;</t>
  </si>
  <si>
    <t>Norgorber</t>
  </si>
  <si>
    <t>Night of Blades</t>
  </si>
  <si>
    <t>antipaladin 4, inquisitor 3, ranger 4, sorcerer/wizard 3</t>
  </si>
  <si>
    <t>wall of blades up to 10 ft./level long and 10 ft. tall</t>
  </si>
  <si>
    <t>Useful primarily to those who skulk in the darkness, this spell is a temporary trap for the unwary. It summons an immobile wall of tiny black blades that whirl and tear into creatures like a cyclone. Anyone who enters this space takes 1d4 points of damage per caster level (maximum 10d4), with a Reflex save for half damage. The spell cannot be cast so that it appears in a space already occupied by Small or larger creatures.</t>
  </si>
  <si>
    <t>&lt;p&gt;Useful primarily to those who skulk in the darkness, this spell is a temporary trap for the unwary. It summons an immobile wall of tiny black blades that whirl and tear into creatures like a cyclone. Anyone who enters this space takes 1d4 points of damage per caster level (maximum 10d4), with a Reflex save for half damage. The spell cannot be cast so that it appears in a space already occupied by Small or larger creatures.&lt;/p&gt;</t>
  </si>
  <si>
    <t>&lt;link rel="stylesheet"href="PF.css"&gt;&lt;div class="heading"&gt;&lt;p class="alignleft"&gt;Night of Blades&lt;/p&gt;&lt;div style="clear: both;"&gt;&lt;/div&gt;&lt;/div&gt;&lt;div&gt;&lt;h5&gt;&lt;b&gt;School &lt;/b&gt;evocation; &lt;b&gt;Level &lt;/b&gt;antipaladin 4, inquisitor 3, ranger 4, sorcerer/wizard 3 (Norgorber)&lt;/h5&gt;&lt;/div&gt;&lt;hr/&gt;&lt;div&gt;&lt;h5&gt;&lt;b&gt;CASTING&lt;/b&gt;&lt;/h5&gt;&lt;/div&gt;&lt;hr/&gt;&lt;div&gt;&lt;h5&gt;&lt;b&gt;Casting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levels)&lt;/h5&gt;&lt;h5&gt;&lt;b&gt;Effect &lt;/b&gt;wall of blades up to 10 ft./level long and 10 ft. tall&lt;/h5&gt;&lt;h5&gt;&lt;b&gt;Duration &lt;/b&gt;1 minutes/level (D)&lt;/h5&gt;&lt;h5&gt;&lt;b&gt;Saving Throw &lt;/b&gt;Reflex half; &lt;b&gt;Spell Resistance &lt;/b&gt;yes&lt;/h5&gt;&lt;/div&gt;&lt;hr/&gt;&lt;div&gt;&lt;h5&gt;&lt;b&gt;DESCRIPTION&lt;/b&gt;&lt;/h5&gt;&lt;/div&gt;&lt;hr/&gt;&lt;div&gt;&lt;h4&gt;&lt;p&gt;Useful primarily to those who skulk in the darkness, this spell is a temporary trap for the unwary. It summons an immobile wall of tiny black blades that whirl and tear into creatures like a cyclone. Anyone who enters this space takes 1d4 points of damage per caster level (maximum 10d4), with a Reflex save for half damage. The spell cannot be cast so that it appears in a space already occupied by Small or larger creatures.&lt;/p&gt;&lt;/h4&gt;&lt;/div&gt;</t>
  </si>
  <si>
    <t>Brittle Portal</t>
  </si>
  <si>
    <t>antipaladin 2, cleric 2/oracle 2, druid 2, inquisitor 2, sorcerer/wizard 2</t>
  </si>
  <si>
    <t>5-ft.-radius spread</t>
  </si>
  <si>
    <t>This spell weakens the bonds of existence, and reduces the hardness of any nonmagical surface within its area of effect by 2 per caster level. The spell is centered on a flat surface chosen by the caster, and the hardness reduction effect persists for the duration of the spell.</t>
  </si>
  <si>
    <t>&lt;p&gt;This spell weakens the bonds of existence, and reduces the hardness of any nonmagical surface within its area of effect by 2 per caster level. The spell is centered on a flat surface chosen by the caster, and the hardness reduction effect persists for the duration of the spell.&lt;/p&gt;</t>
  </si>
  <si>
    <t>&lt;link rel="stylesheet"href="PF.css"&gt;&lt;div class="heading"&gt;&lt;p class="alignleft"&gt;Brittle Portal&lt;/p&gt;&lt;div style="clear: both;"&gt;&lt;/div&gt;&lt;/div&gt;&lt;div&gt;&lt;h5&gt;&lt;b&gt;School &lt;/b&gt;transmutation; &lt;b&gt;Level &lt;/b&gt;antipaladin 2, cleric 2/oracle 2, druid 2, inquisitor 2, sorcerer/wizard 2 (Rovagug)&lt;/h5&gt;&lt;/div&gt;&lt;hr/&gt;&lt;div&gt;&lt;h5&gt;&lt;b&gt;CASTING&lt;/b&gt;&lt;/h5&gt;&lt;/div&gt;&lt;hr/&gt;&lt;div&gt;&lt;h5&gt;&lt;b&gt;Casting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levels)&lt;/h5&gt;&lt;h5&gt;&lt;b&gt;Area &lt;/b&gt;5-ft.-radius spread&lt;/h5&gt;&lt;h5&gt;&lt;b&gt;Duration &lt;/b&gt;1 round/level&lt;/h5&gt;&lt;h5&gt;&lt;b&gt;Saving Throw &lt;/b&gt;Will negates (object); &lt;b&gt;Spell Resistance &lt;/b&gt;yes&lt;/h5&gt;&lt;/div&gt;&lt;hr/&gt;&lt;div&gt;&lt;h5&gt;&lt;b&gt;DESCRIPTION&lt;/b&gt;&lt;/h5&gt;&lt;/div&gt;&lt;hr/&gt;&lt;div&gt;&lt;h4&gt;&lt;p&gt;This spell weakens the bonds of existence, and reduces the hardness of any nonmagical surface within its area of effect by 2 per caster level. The spell is centered on a flat surface chosen by the caster, and the hardness reduction effect persists for the duration of the spell.&lt;/p&gt;&lt;/h4&gt;&lt;/div&gt;</t>
  </si>
  <si>
    <t>Rovagug</t>
  </si>
  <si>
    <t>Vampiric Hunger</t>
  </si>
  <si>
    <t>antipaladin 3, cleric 3/oracle 3, druid 3, sorcerer/wizard 3, witch 3</t>
  </si>
  <si>
    <t>The target of this spell grows the fangs of a vampire, as well as a thirst for blood. For the duration of this spell, the target gains the ability to drain an opponent's blood during a grapple; if the target establishes or maintains a pin, it drains blood, dealing 1d4 points of Constitution damage. Each round it drains blood in this way, the target heals 5 hit points or gains 5 temporary hit points for the duration of the spell (up to a maximum number of temporary hit points equal to its full normal hit points). If the target does not drain blood in this way while under the effects of this spell, it becomes exhausted at the end of the spell's duration.</t>
  </si>
  <si>
    <t>&lt;p&gt;The target of this spell grows the fangs of a vampire, as well as a thirst for blood. For the duration of this spell, the target gains the ability to drain an opponent's blood during a grapple; if the target establishes or maintains a pin, it drains blood, dealing 1d4 points of Constitution damage. Each round it drains blood in this way, the target heals 5 hit points or gains 5 temporary hit points for the duration of the spell (up to a maximum number of temporary hit points equal to its full normal hit points). If the target does not drain blood in this way while under the effects of this spell, it becomes exhausted at the end of the spell's duration.&lt;/p&gt;</t>
  </si>
  <si>
    <t>&lt;link rel="stylesheet"href="PF.css"&gt;&lt;div class="heading"&gt;&lt;p class="alignleft"&gt;Vampiric Hunger&lt;/p&gt;&lt;div style="clear: both;"&gt;&lt;/div&gt;&lt;/div&gt;&lt;div&gt;&lt;h5&gt;&lt;b&gt;School &lt;/b&gt;necromancy (polymorph) [evil]; &lt;b&gt;Level &lt;/b&gt;antipaladin 3, cleric 3/oracle 3, druid 3, sorcerer/wizard 3, witch 3 (Urgathoa)&lt;/h5&gt;&lt;/div&gt;&lt;hr/&gt;&lt;div&gt;&lt;h5&gt;&lt;b&gt;CASTING&lt;/b&gt;&lt;/h5&gt;&lt;/div&gt;&lt;hr/&gt;&lt;div&gt;&lt;h5&gt;&lt;b&gt;Casting Time &lt;/b&gt;1 round&lt;/h5&gt;&lt;h5&gt;&lt;b&gt;Components &lt;/b&gt;V, S&lt;/h5&gt;&lt;/div&gt;&lt;hr/&gt;&lt;div&gt;&lt;h5&gt;&lt;b&gt;EFFECT&lt;/b&gt;&lt;/h5&gt;&lt;/div&gt;&lt;hr/&gt;&lt;div&gt;&lt;h5&gt;&lt;b&gt;Range &lt;/b&gt;touch&lt;/h5&gt;&lt;h5&gt;&lt;b&gt;Targets &lt;/b&gt;one creature&lt;/h5&gt;&lt;h5&gt;&lt;b&gt;Duration &lt;/b&gt;1 minute/level&lt;/h5&gt;&lt;h5&gt;&lt;b&gt;Saving Throw &lt;/b&gt;Will negates; &lt;b&gt;Spell Resistance &lt;/b&gt;yes&lt;/h5&gt;&lt;/div&gt;&lt;hr/&gt;&lt;div&gt;&lt;h5&gt;&lt;b&gt;DESCRIPTION&lt;/b&gt;&lt;/h5&gt;&lt;/div&gt;&lt;hr/&gt;&lt;div&gt;&lt;h4&gt;&lt;p&gt;The target of this spell grows the fangs of a vampire, as well as a thirst for blood. For the duration of this spell, the target gains the ability to drain an opponent's blood during a grapple; if the target establishes or maintains a pin, it drains blood, dealing 1d4 points of Constitution damage. Each round it drains blood in this way, the target heals 5 hit points or gains 5 temporary hit points for the duration of the spell (up to a maximum number of temporary hit points equal to its full normal hit points). If the target does not drain blood in this way while under the effects of this spell, it becomes exhausted at the end of the spell's duration.&lt;/p&gt;&lt;/h4&gt;&lt;/div&gt;</t>
  </si>
  <si>
    <t>Urgathoa</t>
  </si>
  <si>
    <t>Touch of Bloodletting</t>
  </si>
  <si>
    <t>antipaladin 2, cleric 1/oracle 1, druid 1, sorcerer/wizard 2, witch 2</t>
  </si>
  <si>
    <t>This spell causes any existing wounds that the target possesses to bleed profusely. If the creature's current total hit points are less than its maximum, this spell causes the creature to take 1 point of bleed damage each round and become exhausted for the duration of the spell. A successful DC 15 Heal check or any spell that cures hit point damage negates the effects of this spell.</t>
  </si>
  <si>
    <t>&lt;p&gt;This spell causes any existing wounds that the target possesses to bleed profusely. If the creature's current total hit points are less than its maximum, this spell causes the creature to take 1 point of bleed damage each round and become exhausted for the duration of the spell. A successful DC 15 Heal check or any spell that cures hit point damage negates the effects of this spell.&lt;/p&gt;</t>
  </si>
  <si>
    <t>&lt;link rel="stylesheet"href="PF.css"&gt;&lt;div class="heading"&gt;&lt;p class="alignleft"&gt;Touch of Bloodletting&lt;/p&gt;&lt;div style="clear: both;"&gt;&lt;/div&gt;&lt;/div&gt;&lt;div&gt;&lt;h5&gt;&lt;b&gt;School &lt;/b&gt;necromancy; &lt;b&gt;Level &lt;/b&gt;antipaladin 2, cleric 1/oracle 1, druid 1, sorcerer/wizard 2, witch 2 (Zon-Kuthon)&lt;/h5&gt;&lt;/div&gt;&lt;hr/&gt;&lt;div&gt;&lt;h5&gt;&lt;b&gt;CASTING&lt;/b&gt;&lt;/h5&gt;&lt;/div&gt;&lt;hr/&gt;&lt;div&gt;&lt;h5&gt;&lt;b&gt;Casting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round/level&lt;/h5&gt;&lt;h5&gt;&lt;b&gt;Saving Throw &lt;/b&gt;Will negates; &lt;b&gt;Spell Resistance &lt;/b&gt;yes&lt;/h5&gt;&lt;/div&gt;&lt;hr/&gt;&lt;div&gt;&lt;h5&gt;&lt;b&gt;DESCRIPTION&lt;/b&gt;&lt;/h5&gt;&lt;/div&gt;&lt;hr/&gt;&lt;div&gt;&lt;h4&gt;&lt;p&gt;This spell causes any existing wounds that the target possesses to bleed profusely. If the creature's current total hit points are less than its maximum, this spell causes the creature to take 1 point of bleed damage each round and become exhausted for the duration of the spell. A successful DC 15 Heal check or any spell that cures hit point damage negates the effects of this spell.&lt;/p&gt;&lt;/h4&gt;&lt;/div&gt;</t>
  </si>
  <si>
    <t>Zon-Kuthon</t>
  </si>
  <si>
    <t>Awaken the Devoured</t>
  </si>
  <si>
    <t>cleric 5/oracle 5, inquisitor 4, sorcerer/wizard 5, witch 5</t>
  </si>
  <si>
    <t>one daemon</t>
  </si>
  <si>
    <t>instantaneous and 1 round/level</t>
  </si>
  <si>
    <t>You awaken the broken, anguished memories of the countless souls that the target daemon has consumed. These fragmented memories haunt and afflict the daemon, dealing 1d8 points of nonlethal damage per caster level (maximum 15d8) and making it confused for 1 round/level. A successful Will save halves the damage and negates the confusion effect.</t>
  </si>
  <si>
    <t>&lt;p&gt;You awaken the broken, anguished memories of the countless souls that the target daemon has consumed. These fragmented memories haunt and afflict the daemon, dealing 1d8 points of nonlethal damage per caster level (maximum 15d8) and making it confused for 1 round/level. A successful Will save halves the damage and negates the confusion effect.&lt;/p&gt;</t>
  </si>
  <si>
    <t>Horsemen Of The Apocalypse</t>
  </si>
  <si>
    <t>&lt;link rel="stylesheet"href="PF.css"&gt;&lt;div class="heading"&gt;&lt;p class="alignleft"&gt;Awaken the Devoured&lt;/p&gt;&lt;div style="clear: both;"&gt;&lt;/div&gt;&lt;/div&gt;&lt;div&gt;&lt;h5&gt;&lt;b&gt;School &lt;/b&gt;divination [pain]; &lt;b&gt;Level &lt;/b&gt;cleric 5/oracle 5, inquisitor 4, sorcerer/wizard 5, witch 5&lt;/h5&gt;&lt;/div&gt;&lt;hr/&gt;&lt;div&gt;&lt;h5&gt;&lt;b&gt;CASTING&lt;/b&gt;&lt;/h5&gt;&lt;/div&gt;&lt;hr/&gt;&lt;div&gt;&lt;h5&gt;&lt;b&gt;Casting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ft./level)&lt;/h5&gt;&lt;h5&gt;&lt;b&gt;Targets &lt;/b&gt;one daemon&lt;/h5&gt;&lt;h5&gt;&lt;b&gt;Duration &lt;/b&gt;instantaneous and 1 round/level&lt;/h5&gt;&lt;h5&gt;&lt;b&gt;Saving Throw &lt;/b&gt;Will partial (see text); &lt;b&gt;Spell Resistance &lt;/b&gt;Yes&lt;/h5&gt;&lt;/div&gt;&lt;hr/&gt;&lt;div&gt;&lt;h5&gt;&lt;b&gt;DESCRIPTION&lt;/b&gt;&lt;/h5&gt;&lt;/div&gt;&lt;hr/&gt;&lt;div&gt;&lt;h4&gt;&lt;p&gt;You awaken the broken, anguished memories of the countless souls that the target daemon has consumed. These fragmented memories haunt and afflict the daemon, dealing 1d8 points of nonlethal damage per caster level (maximum 15d8) and making it confused for 1 round/level. A successful Will save halves the damage and negates the confusion effect.&lt;/p&gt;&lt;/h4&gt;&lt;/div&gt;</t>
  </si>
  <si>
    <t>Charon's Dispensation</t>
  </si>
  <si>
    <t>V, S, M (2 silver coins)</t>
  </si>
  <si>
    <t>The target of this spell gains immunity to the harmful effects of touching or drinking from the River Styx, including its poison, memory-stealing, and soul-leaching powers. This does not grant the target the ability to breathe water, nor does it grant any protection against creatures or mundane hazards such as rapids.</t>
  </si>
  <si>
    <t>&lt;p&gt;The target of this spell gains immunity to the harmful effects of touching or drinking from the River Styx, including its poison, memory-stealing, and soul-leaching powers. This does not grant the target the ability to breathe water, nor does it grant any protection against creatures or mundane hazards such as rapids.&lt;/p&gt;</t>
  </si>
  <si>
    <t>&lt;link rel="stylesheet"href="PF.css"&gt;&lt;div class="heading"&gt;&lt;p class="alignleft"&gt;Charon's Dispensation&lt;/p&gt;&lt;div style="clear: both;"&gt;&lt;/div&gt;&lt;/div&gt;&lt;div&gt;&lt;h5&gt;&lt;b&gt;School &lt;/b&gt;abjuration; &lt;b&gt;Level &lt;/b&gt;cleric 4/oracle 4, inquisitor 4, sorcerer/wizard 4, witch 4&lt;/h5&gt;&lt;/div&gt;&lt;hr/&gt;&lt;div&gt;&lt;h5&gt;&lt;b&gt;CASTING&lt;/b&gt;&lt;/h5&gt;&lt;/div&gt;&lt;hr/&gt;&lt;div&gt;&lt;h5&gt;&lt;b&gt;Casting Time &lt;/b&gt;1 standard action&lt;/h5&gt;&lt;h5&gt;&lt;b&gt;Components &lt;/b&gt;V, S, M (2 silver coins)&lt;/h5&gt;&lt;/div&gt;&lt;hr/&gt;&lt;div&gt;&lt;h5&gt;&lt;b&gt;EFFECT&lt;/b&gt;&lt;/h5&gt;&lt;/div&gt;&lt;hr/&gt;&lt;div&gt;&lt;h5&gt;&lt;b&gt;Range &lt;/b&gt;close (25 ft. + 5 ft./2 levels)&lt;/h5&gt;&lt;h5&gt;&lt;b&gt;Targets &lt;/b&gt;one creature/level&lt;/h5&gt;&lt;h5&gt;&lt;b&gt;Duration &lt;/b&gt;1 minute/level&lt;/h5&gt;&lt;h5&gt;&lt;b&gt;Saving Throw &lt;/b&gt;Will negates (harmless); &lt;b&gt;Spell Resistance &lt;/b&gt;yes (harmless)&lt;/h5&gt;&lt;/div&gt;&lt;hr/&gt;&lt;div&gt;&lt;h5&gt;&lt;b&gt;DESCRIPTION&lt;/b&gt;&lt;/h5&gt;&lt;/div&gt;&lt;hr/&gt;&lt;div&gt;&lt;h4&gt;&lt;p&gt;The target of this spell gains immunity to the harmful effects of touching or drinking from the River Styx, including its poison, memory-stealing, and soul-leaching powers. This does not grant the target the ability to breathe water, nor does it grant any protection against creatures or mundane hazards such as rapids.&lt;/p&gt;&lt;/h4&gt;&lt;/div&gt;</t>
  </si>
  <si>
    <t>Create Soul Gem</t>
  </si>
  <si>
    <t>V, S, F (crystal or gem receptacle worth at least 25 gp)</t>
  </si>
  <si>
    <t>one dying or recently dead creature</t>
  </si>
  <si>
    <t>You draw forth the ebbing life force of a dying creature or one that has died in the past round, forcing it into a crystal or gem receptacle and creating a soul gem. If the creature is alive and fails its saving throw, it dies and you capture its soul in the gem. If the creature is dead, you automatically capture the soul. The value of the soul gem depends on the nature of the creature it is made from (see The Soul Trade on page 30). If you are a souldrinker (see page 34), you may cast this spell and expend 5 soul points to fill the gem with the equivalent of one basic soul. Only one soul gem can be created from a particular dying creature. Any attempt to resurrect a body whose soul is trapped in a soul gem requires a caster check against a DC of 11 + your caster level at the time you cast this spell. Failure results in the spell having no effect, while success shatters the target's soul gem and returns the creature to life as normal. If the soul gem resides in an unholy location, such as that created by the unhallow spell, the DC of this check increases by +2.</t>
  </si>
  <si>
    <t>&lt;p&gt;You draw forth the ebbing life force of a dying creature or one that has died in the past round, forcing it into a crystal or gem receptacle and creating a &lt;i&gt;soul gem&lt;/i&gt;. If the creature is alive and fails its saving throw, it dies and you capture its soul in the gem. If the creature is dead, you automatically capture the soul. The value of the &lt;i&gt;soul gem&lt;/i&gt; depends on the nature of the creature it is made from (see The Soul Trade on page 30). If you are a souldrinker (see page 34), you may cast this spell and expend 5 soul points to fill the gem with the equivalent of one basic soul. Only one &lt;i&gt;soul gem&lt;/i&gt; can be created from a particular dying creature. Any attempt to resurrect a body whose soul is trapped in a &lt;i&gt;soul gem&lt;/i&gt; requires a caster check against a DC of 11 + your caster level at the time you cast this spell. Failure results in the spell having no effect, while success shatters the target's &lt;i&gt;soul gem&lt;/i&gt; and returns the creature to life as normal. If the &lt;i&gt;soul gem&lt;/i&gt; resides in an unholy location, such as that created by the &lt;i&gt;unhallow&lt;/i&gt; spell, the DC of this check increases by +2.&lt;/p&gt;</t>
  </si>
  <si>
    <t>&lt;link rel="stylesheet"href="PF.css"&gt;&lt;div class="heading"&gt;&lt;p class="alignleft"&gt;Create Soul Gem&lt;/p&gt;&lt;div style="clear: both;"&gt;&lt;/div&gt;&lt;/div&gt;&lt;div&gt;&lt;h5&gt;&lt;b&gt;School &lt;/b&gt;necromancy [death, evil]; &lt;b&gt;Level &lt;/b&gt;cleric 3/oracle 3, sorcerer/wizard 3, witch 3&lt;/h5&gt;&lt;/div&gt;&lt;hr/&gt;&lt;div&gt;&lt;h5&gt;&lt;b&gt;CASTING&lt;/b&gt;&lt;/h5&gt;&lt;/div&gt;&lt;hr/&gt;&lt;div&gt;&lt;h5&gt;&lt;b&gt;Casting Time &lt;/b&gt;1 round&lt;/h5&gt;&lt;h5&gt;&lt;b&gt;Components &lt;/b&gt;V, S, F (crystal or gem receptacle worth at least 25 gp)&lt;/h5&gt;&lt;/div&gt;&lt;hr/&gt;&lt;div&gt;&lt;h5&gt;&lt;b&gt;EFFECT&lt;/b&gt;&lt;/h5&gt;&lt;/div&gt;&lt;hr/&gt;&lt;div&gt;&lt;h5&gt;&lt;b&gt;Range &lt;/b&gt;close (25 ft. + 5 ft./2 levels)&lt;/h5&gt;&lt;h5&gt;&lt;b&gt;Targets &lt;/b&gt;one dying or recently dead creature&lt;/h5&gt;&lt;h5&gt;&lt;b&gt;Duration &lt;/b&gt;instantaneous&lt;/h5&gt;&lt;h5&gt;&lt;b&gt;Saving Throw &lt;/b&gt;Will negates; &lt;b&gt;Spell Resistance &lt;/b&gt;yes&lt;/h5&gt;&lt;/div&gt;&lt;hr/&gt;&lt;div&gt;&lt;h5&gt;&lt;b&gt;DESCRIPTION&lt;/b&gt;&lt;/h5&gt;&lt;/div&gt;&lt;hr/&gt;&lt;div&gt;&lt;h4&gt;&lt;p&gt;You draw forth the ebbing life force of a dying creature or one that has died in the past round, forcing it into a crystal or gem receptacle and creating a &lt;i&gt;soul gem&lt;/i&gt;. If the creature is alive and fails its saving throw, it dies and you capture its soul in the gem. If the creature is dead, you automatically capture the soul. The value of the &lt;i&gt;soul gem&lt;/i&gt; depends on the nature of the creature it is made from (see The Soul Trade on page 30). If you are a souldrinker (see page 34), you may cast this spell and expend 5 soul points to fill the gem with the equivalent of one basic soul. Only one &lt;i&gt;soul gem&lt;/i&gt; can be created from a particular dying creature. Any attempt to resurrect a body whose soul is trapped in a &lt;i&gt;soul gem&lt;/i&gt; requires a caster check against a DC of 11 + your caster level at the time you cast this spell. Failure results in the spell having no effect, while success shatters the target's &lt;i&gt;soul gem&lt;/i&gt; and returns the creature to life as normal. If the &lt;i&gt;soul gem&lt;/i&gt; resides in an unholy location, such as that created by the &lt;i&gt;unhallow&lt;/i&gt; spell, the DC of this check increases by +2.&lt;/p&gt;&lt;/h4&gt;&lt;/div&gt;</t>
  </si>
  <si>
    <t>Daemon Ward</t>
  </si>
  <si>
    <t>cleric 4/oracle 4, druid 5, paladin 4, sorcerer/wizard 4, witch 4</t>
  </si>
  <si>
    <t>V, S, M (50 gp worth of powdered silver)</t>
  </si>
  <si>
    <t>This spell functions like death ward, except as noted above and it only protects against these attacks from daemons.</t>
  </si>
  <si>
    <t>&lt;p&gt;This spell functions like &lt;i&gt;death ward&lt;/i&gt;, except as noted above and it only protects against these attacks from daemons.&lt;/p&gt;</t>
  </si>
  <si>
    <t>&lt;link rel="stylesheet"href="PF.css"&gt;&lt;div class="heading"&gt;&lt;p class="alignleft"&gt;Daemon Ward&lt;/p&gt;&lt;div style="clear: both;"&gt;&lt;/div&gt;&lt;/div&gt;&lt;div&gt;&lt;h5&gt;&lt;b&gt;School &lt;/b&gt;necromancy; &lt;b&gt;Level &lt;/b&gt;cleric 4/oracle 4, druid 5, paladin 4, sorcerer/wizard 4, witch 4&lt;/h5&gt;&lt;/div&gt;&lt;hr/&gt;&lt;div&gt;&lt;h5&gt;&lt;b&gt;CASTING&lt;/b&gt;&lt;/h5&gt;&lt;/div&gt;&lt;hr/&gt;&lt;div&gt;&lt;h5&gt;&lt;b&gt;Casting Time &lt;/b&gt;1 standard action&lt;/h5&gt;&lt;h5&gt;&lt;b&gt;Components &lt;/b&gt;V, S, M (50 gp worth of powdered silver)&lt;/h5&gt;&lt;/div&gt;&lt;hr/&gt;&lt;div&gt;&lt;h5&gt;&lt;b&gt;EFFECT&lt;/b&gt;&lt;/h5&gt;&lt;/div&gt;&lt;hr/&gt;&lt;div&gt;&lt;h5&gt;&lt;b&gt;Range &lt;/b&gt;touch&lt;/h5&gt;&lt;h5&gt;&lt;b&gt;Targets &lt;/b&gt;living creature touched&lt;/h5&gt;&lt;h5&gt;&lt;b&gt;Duration &lt;/b&gt;1 min./level&lt;/h5&gt;&lt;h5&gt;&lt;b&gt;Saving Throw &lt;/b&gt;Will negates (harmless); &lt;b&gt;Spell Resistance &lt;/b&gt;yes (harmless)&lt;/h5&gt;&lt;/div&gt;&lt;hr/&gt;&lt;div&gt;&lt;h5&gt;&lt;b&gt;DESCRIPTION&lt;/b&gt;&lt;/h5&gt;&lt;/div&gt;&lt;hr/&gt;&lt;div&gt;&lt;h4&gt;&lt;p&gt;This spell functions like &lt;i&gt;death ward&lt;/i&gt;, except as noted above and it only protects against these attacks from daemons.&lt;/p&gt;&lt;/h4&gt;&lt;/div&gt;</t>
  </si>
  <si>
    <t>Death Knell Aura</t>
  </si>
  <si>
    <t>20-ft.-radius emanation, centered on you</t>
  </si>
  <si>
    <t>You gain a shimmering gray aura that feeds on the souls of creatures who die within it. The aura sheds light as a candle. If a creature at -1 or fewer hit points is within the aura at the start of its turn, it must save or die, granting you the benefits of death knell.</t>
  </si>
  <si>
    <t>&lt;p&gt;You gain a shimmering gray aura that feeds on the souls of creatures who die within it. The aura sheds light as a candle. If a creature at -1 or fewer hit points is within the aura at the start of its turn, it must save or die, granting you the benefits of &lt;i&gt;death knell&lt;/i&gt;.&lt;/p&gt;</t>
  </si>
  <si>
    <t>&lt;link rel="stylesheet"href="PF.css"&gt;&lt;div class="heading"&gt;&lt;p class="alignleft"&gt;Death Knell Aura&lt;/p&gt;&lt;div style="clear: both;"&gt;&lt;/div&gt;&lt;/div&gt;&lt;div&gt;&lt;h5&gt;&lt;b&gt;School &lt;/b&gt;necromancy [death, evil]; &lt;b&gt;Level &lt;/b&gt;cleric 4/oracle 4, inquisitor 4, sorcerer/wizard 4, witch 4&lt;/h5&gt;&lt;/div&gt;&lt;hr/&gt;&lt;div&gt;&lt;h5&gt;&lt;b&gt;CASTING&lt;/b&gt;&lt;/h5&gt;&lt;/div&gt;&lt;hr/&gt;&lt;div&gt;&lt;h5&gt;&lt;b&gt;Casting Time &lt;/b&gt;1 standard action&lt;/h5&gt;&lt;h5&gt;&lt;b&gt;Components &lt;/b&gt;V, S&lt;/h5&gt;&lt;/div&gt;&lt;hr/&gt;&lt;div&gt;&lt;h5&gt;&lt;b&gt;EFFECT&lt;/b&gt;&lt;/h5&gt;&lt;/div&gt;&lt;hr/&gt;&lt;div&gt;&lt;h5&gt;&lt;b&gt;Range &lt;/b&gt;20 ft.&lt;/h5&gt;&lt;h5&gt;&lt;b&gt;Area &lt;/b&gt;20-ft.-radius emanation, centered on you&lt;/h5&gt;&lt;h5&gt;&lt;b&gt;Duration &lt;/b&gt;1 round/level (D)&lt;/h5&gt;&lt;h5&gt;&lt;b&gt;Saving Throw &lt;/b&gt;Will negates; &lt;b&gt;Spell Resistance &lt;/b&gt;yes&lt;/h5&gt;&lt;/div&gt;&lt;hr/&gt;&lt;div&gt;&lt;h5&gt;&lt;b&gt;DESCRIPTION&lt;/b&gt;&lt;/h5&gt;&lt;/div&gt;&lt;hr/&gt;&lt;div&gt;&lt;h4&gt;&lt;p&gt;You gain a shimmering gray aura that feeds on the souls of creatures who die within it. The aura sheds light as a candle. If a creature at -1 or fewer hit points is within the aura at the start of its turn, it must save or die, granting you the benefits of &lt;i&gt;death knell&lt;/i&gt;.&lt;/p&gt;&lt;/h4&gt;&lt;/div&gt;</t>
  </si>
  <si>
    <t>Death Knell Aura, Greater</t>
  </si>
  <si>
    <t>cleric 6/oracle 6, inquisitor 6, sorcerer/wizard 6, witch 6</t>
  </si>
  <si>
    <t>This spell functions as death knell aura, except a dying creature in the area cannot stabilize on its own and automatically takes 1 point of bleed damage on its turn each round. An incorporeal undead or living spirit traveling outside the body (such as a person using astral projection or magic jar) within the aura at the start of its turn takes 1d8 points of damage.</t>
  </si>
  <si>
    <t>&lt;p&gt;This spell functions as &lt;i&gt;death knell aura&lt;/i&gt;, except a dying creature in the area cannot stabilize on its own and automatically takes 1 point of bleed damage on its turn each round. An incorporeal undead or living spirit traveling outside the body (such as a person using &lt;i&gt;astral projection&lt;/i&gt; or &lt;i&gt;magic&lt;/i&gt; jar) within the aura at the start of its turn takes 1d8 points of damage.&lt;/p&gt;</t>
  </si>
  <si>
    <t>&lt;link rel="stylesheet"href="PF.css"&gt;&lt;div class="heading"&gt;&lt;p class="alignleft"&gt;Death Knell Aura, Greater&lt;/p&gt;&lt;div style="clear: both;"&gt;&lt;/div&gt;&lt;/div&gt;&lt;div&gt;&lt;h5&gt;&lt;b&gt;School &lt;/b&gt;necromancy [death, evil]; &lt;b&gt;Level &lt;/b&gt;cleric 6/oracle 6, inquisitor 6, sorcerer/wizard 6, witch 6&lt;/h5&gt;&lt;/div&gt;&lt;hr/&gt;&lt;div&gt;&lt;h5&gt;&lt;b&gt;CASTING&lt;/b&gt;&lt;/h5&gt;&lt;/div&gt;&lt;hr/&gt;&lt;div&gt;&lt;h5&gt;&lt;b&gt;Casting Time &lt;/b&gt;1 standard action&lt;/h5&gt;&lt;h5&gt;&lt;b&gt;Components &lt;/b&gt;V, S&lt;/h5&gt;&lt;/div&gt;&lt;hr/&gt;&lt;div&gt;&lt;h5&gt;&lt;b&gt;EFFECT&lt;/b&gt;&lt;/h5&gt;&lt;/div&gt;&lt;hr/&gt;&lt;div&gt;&lt;h5&gt;&lt;b&gt;Range &lt;/b&gt;20 ft.&lt;/h5&gt;&lt;h5&gt;&lt;b&gt;Area &lt;/b&gt;20-ft.-radius emanation, centered on you&lt;/h5&gt;&lt;h5&gt;&lt;b&gt;Duration &lt;/b&gt;1 round/level (D)&lt;/h5&gt;&lt;h5&gt;&lt;b&gt;Saving Throw &lt;/b&gt;Will negates; &lt;b&gt;Spell Resistance &lt;/b&gt;yes&lt;/h5&gt;&lt;/div&gt;&lt;hr/&gt;&lt;div&gt;&lt;h5&gt;&lt;b&gt;DESCRIPTION&lt;/b&gt;&lt;/h5&gt;&lt;/div&gt;&lt;hr/&gt;&lt;div&gt;&lt;h4&gt;&lt;p&gt;This spell functions as &lt;i&gt;death knell aura&lt;/i&gt;, except a dying creature in the area cannot stabilize on its own and automatically takes 1 point of bleed damage on its turn each round. An incorporeal undead or living spirit traveling outside the body (such as a person using &lt;i&gt;astral projection&lt;/i&gt; or &lt;i&gt;magic&lt;/i&gt; jar) within the aura at the start of its turn takes 1d8 points of damage.&lt;/p&gt;&lt;/h4&gt;&lt;/div&gt;</t>
  </si>
  <si>
    <t>Lash of the Astradaemon</t>
  </si>
  <si>
    <t>cleric 6/oracle 6, magus 5, sorcerer/wizard 6, witch 6</t>
  </si>
  <si>
    <t>Drawing on the essence of astradaemons, your hands elongate and sprout fearsome, translucent claws that radiate a cold phosphorescent light, giving you two claw attacks per round (1d6 each if you are Medium creature, or 1d4 if you are Small). Each hit with a claw bestows 1 negative level on your target, and you gain 5 temporary hit points for 1 hour. The DC to overcome these negative levels is equal to the DC of this spell. The claws do not interfere with your ability to cast spells or perform other actions that require hands.</t>
  </si>
  <si>
    <t>&lt;p&gt;Drawing on the essence of astradaemons, your hands elongate and sprout fearsome, translucent claws that radiate a cold phosphorescent light, giving you two claw attacks per round (1d6 each if you are Medium creature, or 1d4 if you are Small). Each hit with a claw bestows 1 negative level on your target, and you gain 5 temporary hit points for 1 hour. The DC to overcome these negative levels is equal to the DC of this spell. The claws do not interfere with your ability to cast spells or perform other actions that require hands.&lt;/p&gt;</t>
  </si>
  <si>
    <t>&lt;link rel="stylesheet"href="PF.css"&gt;&lt;div class="heading"&gt;&lt;p class="alignleft"&gt;Lash of the Astradaemon&lt;/p&gt;&lt;div style="clear: both;"&gt;&lt;/div&gt;&lt;/div&gt;&lt;div&gt;&lt;h5&gt;&lt;b&gt;School &lt;/b&gt;necromancy [evil]; &lt;b&gt;Level &lt;/b&gt;cleric 6/oracle 6, magus 5, sorcerer/wizard 6, witch 6&lt;/h5&gt;&lt;/div&gt;&lt;hr/&gt;&lt;div&gt;&lt;h5&gt;&lt;b&gt;CASTING&lt;/b&gt;&lt;/h5&gt;&lt;/div&gt;&lt;hr/&gt;&lt;div&gt;&lt;h5&gt;&lt;b&gt;Casting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round/level&lt;/h5&gt;&lt;/div&gt;&lt;hr/&gt;&lt;div&gt;&lt;h5&gt;&lt;b&gt;DESCRIPTION&lt;/b&gt;&lt;/h5&gt;&lt;/div&gt;&lt;hr/&gt;&lt;div&gt;&lt;h4&gt;&lt;p&gt;Drawing on the essence of astradaemons, your hands elongate and sprout fearsome, translucent claws that radiate a cold phosphorescent light, giving you two claw attacks per round (1d6 each if you are Medium creature, or 1d4 if you are Small). Each hit with a claw bestows 1 negative level on your target, and you gain 5 temporary hit points for 1 hour. The DC to overcome these negative levels is equal to the DC of this spell. The claws do not interfere with your ability to cast spells or perform other actions that require hands.&lt;/p&gt;&lt;/h4&gt;&lt;/div&gt;</t>
  </si>
  <si>
    <t>Parasitic Soul</t>
  </si>
  <si>
    <t>This spell functions like magic jar except as noted above, and instead of your own soul, you may transfer a trapped soul (such as one trapped with soul bind or trap the soul) from the receptacle into an unwilling target's body. If the target creature fails its saving throw, it dies, and the trapped soul in the receptacle inhabits the body as if using magic jar. The trapped soul does not get a saving throw to resist this transfer. To dismiss the spell, you must be within range of the possessed body.</t>
  </si>
  <si>
    <t>&lt;p&gt;This spell functions like &lt;i&gt;magic jar&lt;/i&gt; except as noted above, and instead of your own soul, you may transfer a trapped soul (such as one trapped with &lt;i&gt;soul bind&lt;/i&gt; or &lt;i&gt;trap the&lt;/i&gt; soul) from the receptacle into an unwilling target's body. If the target creature fails its saving throw, it dies, and the trapped soul in the receptacle inhabits the body as if using &lt;i&gt;magic jar&lt;/i&gt;. The trapped soul does not get a saving throw to resist this transfer. To dismiss the spell, you must be within range of the possessed body.&lt;/p&gt;</t>
  </si>
  <si>
    <t>&lt;link rel="stylesheet"href="PF.css"&gt;&lt;div class="heading"&gt;&lt;p class="alignleft"&gt;Parasitic Soul&lt;/p&gt;&lt;div style="clear: both;"&gt;&lt;/div&gt;&lt;/div&gt;&lt;div&gt;&lt;h5&gt;&lt;b&gt;School &lt;/b&gt;necromancy [death, evil]; &lt;b&gt;Level &lt;/b&gt;cleric 9/oracle 9, sorcerer/wizard 9, witch 9&lt;/h5&gt;&lt;/div&gt;&lt;hr/&gt;&lt;div&gt;&lt;h5&gt;&lt;b&gt;CASTING&lt;/b&gt;&lt;/h5&gt;&lt;/div&gt;&lt;hr/&gt;&lt;div&gt;&lt;h5&gt;&lt;b&gt;Casting Time &lt;/b&gt;1 standard action&lt;/h5&gt;&lt;h5&gt;&lt;b&gt;Components &lt;/b&gt;V, S, F (a gem or crystal worth at least 100 gp)&lt;/h5&gt;&lt;/div&gt;&lt;hr/&gt;&lt;div&gt;&lt;h5&gt;&lt;b&gt;EFFECT&lt;/b&gt;&lt;/h5&gt;&lt;/div&gt;&lt;hr/&gt;&lt;div&gt;&lt;h5&gt;&lt;b&gt;Range &lt;/b&gt;medium (100 ft. + 10 ft./level)&lt;/h5&gt;&lt;h5&gt;&lt;b&gt;Targets &lt;/b&gt;one creature&lt;/h5&gt;&lt;h5&gt;&lt;b&gt;Duration &lt;/b&gt;permanent (D)&lt;/h5&gt;&lt;h5&gt;&lt;b&gt;Saving Throw &lt;/b&gt;Will negates; &lt;b&gt;Spell Resistance &lt;/b&gt;yes&lt;/h5&gt;&lt;/div&gt;&lt;hr/&gt;&lt;div&gt;&lt;h5&gt;&lt;b&gt;DESCRIPTION&lt;/b&gt;&lt;/h5&gt;&lt;/div&gt;&lt;hr/&gt;&lt;div&gt;&lt;h4&gt;&lt;p&gt;This spell functions like &lt;i&gt;magic jar&lt;/i&gt; except as noted above, and instead of your own soul, you may transfer a trapped soul (such as one trapped with &lt;i&gt;soul bind&lt;/i&gt; or &lt;i&gt;trap the&lt;/i&gt; soul) from the receptacle into an unwilling target's body. If the target creature fails its saving throw, it dies, and the trapped soul in the receptacle inhabits the body as if using &lt;i&gt;magic jar&lt;/i&gt;. The trapped soul does not get a saving throw to resist this transfer. To dismiss the spell, you must be within range of the possessed body.&lt;/p&gt;&lt;/h4&gt;&lt;/div&gt;</t>
  </si>
  <si>
    <t>Scourge of the Horsemen</t>
  </si>
  <si>
    <t>acid, evil</t>
  </si>
  <si>
    <t>30-ft. burst</t>
  </si>
  <si>
    <t>This spell blasts the area with a horrific combination of soul-rending energy and physical corrosion. Creatures in the area of effect gain 1d4 negative levels, and take 1d6 points of acid damage per caster level (maximum 20d6).</t>
  </si>
  <si>
    <t>&lt;p&gt;This spell blasts the area with a horrific combination of soul-rending energy and physical corrosion. Creatures in the area of effect gain 1d4 negative levels, and take 1d6 points of acid damage per caster level (maximum 20d6).&lt;/p&gt;</t>
  </si>
  <si>
    <t>&lt;link rel="stylesheet"href="PF.css"&gt;&lt;div class="heading"&gt;&lt;p class="alignleft"&gt;Scourge of the Horsemen&lt;/p&gt;&lt;div style="clear: both;"&gt;&lt;/div&gt;&lt;/div&gt;&lt;div&gt;&lt;h5&gt;&lt;b&gt;School &lt;/b&gt;necromancy [acid, evil]; &lt;b&gt;Level &lt;/b&gt;cleric 9/oracle 9, sorcerer/wizard 9&lt;/h5&gt;&lt;/div&gt;&lt;hr/&gt;&lt;div&gt;&lt;h5&gt;&lt;b&gt;CASTING&lt;/b&gt;&lt;/h5&gt;&lt;/div&gt;&lt;hr/&gt;&lt;div&gt;&lt;h5&gt;&lt;b&gt;Casting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ft./level)&lt;/h5&gt;&lt;h5&gt;&lt;b&gt;Area &lt;/b&gt;30-ft. burst&lt;/h5&gt;&lt;h5&gt;&lt;b&gt;Duration &lt;/b&gt;instantaneous&lt;/h5&gt;&lt;h5&gt;&lt;b&gt;Saving Throw &lt;/b&gt;Fortitude half; &lt;b&gt;Spell Resistance &lt;/b&gt;yes&lt;/h5&gt;&lt;/div&gt;&lt;hr/&gt;&lt;div&gt;&lt;h5&gt;&lt;b&gt;DESCRIPTION&lt;/b&gt;&lt;/h5&gt;&lt;/div&gt;&lt;hr/&gt;&lt;div&gt;&lt;h4&gt;&lt;p&gt;This spell blasts the area with a horrific combination of soul-rending energy and physical corrosion. Creatures in the area of effect gain 1d4 negative levels, and take 1d6 points of acid damage per caster level (maximum 20d6).&lt;/p&gt;&lt;/h4&gt;&lt;/div&gt;</t>
  </si>
  <si>
    <t>Soul Transfer</t>
  </si>
  <si>
    <t>one petitioner, incorporeal soul, or similar creature</t>
  </si>
  <si>
    <t>This spell functions like the spell completion option of trap the soul, except it only works on bodiless souls (such as incorporeal undead or a soul trapped in a gem) or creatures whose substance is a physical incarnation of a soul (such as a petitioner), but not on creatures formed from souls and planar material (such as most outsiders). It is mainly used to transfer souls from one receptacle to another, but may also be used to capture vulnerable souls that aren't bound to mortal flesh (such as incorporeal creatures and petitioners).</t>
  </si>
  <si>
    <t>&lt;p&gt;This spell functions like the spell completion option of &lt;i&gt;trap the soul&lt;/i&gt;, except it only works on bodiless souls (such as incorporeal undead or a soul trapped in a gem) or creatures whose substance is a physical incarnation of a soul (such as a petitioner), but not on creatures formed from souls and planar material (such as most outsiders). It is mainly used to transfer souls from one receptacle to another, but may also be used to capture vulnerable souls that aren't bound to mortal flesh (such as incorporeal creatures and petitioners).&lt;/p&gt;</t>
  </si>
  <si>
    <t>&lt;link rel="stylesheet"href="PF.css"&gt;&lt;div class="heading"&gt;&lt;p class="alignleft"&gt;Soul Transfer&lt;/p&gt;&lt;div style="clear: both;"&gt;&lt;/div&gt;&lt;/div&gt;&lt;div&gt;&lt;h5&gt;&lt;b&gt;School &lt;/b&gt;conjuration (summoning); &lt;b&gt;Level &lt;/b&gt;cleric 7/oracle 7, sorcerer/wizard 7, witch 7&lt;/h5&gt;&lt;/div&gt;&lt;hr/&gt;&lt;div&gt;&lt;h5&gt;&lt;b&gt;CASTING&lt;/b&gt;&lt;/h5&gt;&lt;/div&gt;&lt;hr/&gt;&lt;div&gt;&lt;h5&gt;&lt;b&gt;Casting Time &lt;/b&gt;1 standard action or see text&lt;/h5&gt;&lt;h5&gt;&lt;b&gt;Components &lt;/b&gt;V, S, M (gem worth 1,000 gp per HD of the trapped creature)&lt;/h5&gt;&lt;/div&gt;&lt;hr/&gt;&lt;div&gt;&lt;h5&gt;&lt;b&gt;EFFECT&lt;/b&gt;&lt;/h5&gt;&lt;/div&gt;&lt;hr/&gt;&lt;div&gt;&lt;h5&gt;&lt;b&gt;Range &lt;/b&gt;close (25 ft. + 5 ft./2 levels)&lt;/h5&gt;&lt;h5&gt;&lt;b&gt;Targets &lt;/b&gt;one petitioner, incorporeal soul, or similar creature&lt;/h5&gt;&lt;h5&gt;&lt;b&gt;Duration &lt;/b&gt;permanent; see text&lt;/h5&gt;&lt;h5&gt;&lt;b&gt;Saving Throw &lt;/b&gt;Will negates; &lt;b&gt;Spell Resistance &lt;/b&gt;yes; see text&lt;/h5&gt;&lt;/div&gt;&lt;hr/&gt;&lt;div&gt;&lt;h5&gt;&lt;b&gt;DESCRIPTION&lt;/b&gt;&lt;/h5&gt;&lt;/div&gt;&lt;hr/&gt;&lt;div&gt;&lt;h4&gt;&lt;p&gt;This spell functions like the spell completion option of &lt;i&gt;trap the soul&lt;/i&gt;, except it only works on bodiless souls (such as incorporeal undead or a soul trapped in a gem) or creatures whose substance is a physical incarnation of a soul (such as a petitioner), but not on creatures formed from souls and planar material (such as most outsiders). It is mainly used to transfer souls from one receptacle to another, but may also be used to capture vulnerable souls that aren't bound to mortal flesh (such as incorporeal creatures and petitioners).&lt;/p&gt;&lt;/h4&gt;&lt;/div&gt;</t>
  </si>
  <si>
    <t>Summon Cacodaemon</t>
  </si>
  <si>
    <t>cleric 2/oracle 2, sorcerer/wizard 2, summoner 2, witch 2</t>
  </si>
  <si>
    <t>V, S, F (a silver hook)</t>
  </si>
  <si>
    <t>This spell functions like summon monster, except it summons a single cacodaemon.</t>
  </si>
  <si>
    <t>&lt;p&gt;This spell functions like &lt;i&gt;summon monster&lt;/i&gt;, except it summons a single cacodaemon.&lt;/p&gt;</t>
  </si>
  <si>
    <t>&lt;link rel="stylesheet"href="PF.css"&gt;&lt;div class="heading"&gt;&lt;p class="alignleft"&gt;Summon Cacodaemon&lt;/p&gt;&lt;div style="clear: both;"&gt;&lt;/div&gt;&lt;/div&gt;&lt;div&gt;&lt;h5&gt;&lt;b&gt;School &lt;/b&gt;conjuration (summoning) [evil]; &lt;b&gt;Level &lt;/b&gt;cleric 2/oracle 2, sorcerer/wizard 2, summoner 2, witch 2&lt;/h5&gt;&lt;/div&gt;&lt;hr/&gt;&lt;div&gt;&lt;h5&gt;&lt;b&gt;CASTING&lt;/b&gt;&lt;/h5&gt;&lt;/div&gt;&lt;hr/&gt;&lt;div&gt;&lt;h5&gt;&lt;b&gt;Casting Time &lt;/b&gt;1 round&lt;/h5&gt;&lt;h5&gt;&lt;b&gt;Components &lt;/b&gt;V, S, F (a silver hook)&lt;/h5&gt;&lt;/div&gt;&lt;hr/&gt;&lt;div&gt;&lt;h5&gt;&lt;b&gt;EFFECT&lt;/b&gt;&lt;/h5&gt;&lt;/div&gt;&lt;hr/&gt;&lt;div&gt;&lt;h5&gt;&lt;b&gt;Range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monster&lt;/i&gt;, except it summons a single cacodaemon.&lt;/p&gt;&lt;/h4&gt;&lt;/div&gt;</t>
  </si>
  <si>
    <t>Summon Cacodaemon, Greater</t>
  </si>
  <si>
    <t>cleric 4/oracle 4, sorcerer/wizard 4, summoner 3, witch 4</t>
  </si>
  <si>
    <t>This spell functions like summon cacodaemon, except it summons 1d4+1 cacodaemons.</t>
  </si>
  <si>
    <t>&lt;p&gt;This spell functions like &lt;i&gt;summon cacodaemon&lt;/i&gt;, except it summons 1d4+1 cacodaemons.&lt;/p&gt;</t>
  </si>
  <si>
    <t>&lt;link rel="stylesheet"href="PF.css"&gt;&lt;div class="heading"&gt;&lt;p class="alignleft"&gt;Summon Cacodaemon, Greater&lt;/p&gt;&lt;div style="clear: both;"&gt;&lt;/div&gt;&lt;/div&gt;&lt;div&gt;&lt;h5&gt;&lt;b&gt;School &lt;/b&gt;conjuration (summoning) [evil]; &lt;b&gt;Level &lt;/b&gt;cleric 4/oracle 4, sorcerer/wizard 4, summoner 3, witch 4&lt;/h5&gt;&lt;/div&gt;&lt;hr/&gt;&lt;div&gt;&lt;h5&gt;&lt;b&gt;CASTING&lt;/b&gt;&lt;/h5&gt;&lt;/div&gt;&lt;hr/&gt;&lt;div&gt;&lt;h5&gt;&lt;b&gt;Casting Time &lt;/b&gt;1 round&lt;/h5&gt;&lt;h5&gt;&lt;b&gt;Components &lt;/b&gt;V, S, F (a silver hook)&lt;/h5&gt;&lt;/div&gt;&lt;hr/&gt;&lt;div&gt;&lt;h5&gt;&lt;b&gt;EFFECT&lt;/b&gt;&lt;/h5&gt;&lt;/div&gt;&lt;hr/&gt;&lt;div&gt;&lt;h5&gt;&lt;b&gt;Range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cacodaemon&lt;/i&gt;, except it summons 1d4+1 cacodaemons.&lt;/p&gt;&lt;/h4&gt;&lt;/div&gt;</t>
  </si>
  <si>
    <t>Summon Ceustodaemon</t>
  </si>
  <si>
    <t>cleric 5/oracle 5, sorcerer/wizard 5, summoner 4, witch 5</t>
  </si>
  <si>
    <t>V, S, F (ashes of a dead animal)</t>
  </si>
  <si>
    <t>This spell functions like summon monster, except it summons a single ceustodaemon.</t>
  </si>
  <si>
    <t>&lt;p&gt;This spell functions like &lt;i&gt;summon monster&lt;/i&gt;, except it summons a single ceustodaemon.&lt;/p&gt;</t>
  </si>
  <si>
    <t>&lt;link rel="stylesheet"href="PF.css"&gt;&lt;div class="heading"&gt;&lt;p class="alignleft"&gt;Summon Ceustodaemon&lt;/p&gt;&lt;div style="clear: both;"&gt;&lt;/div&gt;&lt;/div&gt;&lt;div&gt;&lt;h5&gt;&lt;b&gt;School &lt;/b&gt;conjuration (summoning) [evil]; &lt;b&gt;Level &lt;/b&gt;cleric 5/oracle 5, sorcerer/wizard 5, summoner 4, witch 5&lt;/h5&gt;&lt;/div&gt;&lt;hr/&gt;&lt;div&gt;&lt;h5&gt;&lt;b&gt;CASTING&lt;/b&gt;&lt;/h5&gt;&lt;/div&gt;&lt;hr/&gt;&lt;div&gt;&lt;h5&gt;&lt;b&gt;Casting Time &lt;/b&gt;1 round&lt;/h5&gt;&lt;h5&gt;&lt;b&gt;Components &lt;/b&gt;V, S, F (ashes of a dead animal)&lt;/h5&gt;&lt;/div&gt;&lt;hr/&gt;&lt;div&gt;&lt;h5&gt;&lt;b&gt;EFFECT&lt;/b&gt;&lt;/h5&gt;&lt;/div&gt;&lt;hr/&gt;&lt;div&gt;&lt;h5&gt;&lt;b&gt;Range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monster&lt;/i&gt;, except it summons a single ceustodaemon.&lt;/p&gt;&lt;/h4&gt;&lt;/div&gt;</t>
  </si>
  <si>
    <t>Summon Derghodaemon</t>
  </si>
  <si>
    <t>V, S, F (a handful of bug carapaces)</t>
  </si>
  <si>
    <t>This spell functions like summon monster, except it summons a single derghodaemon.</t>
  </si>
  <si>
    <t>&lt;p&gt;This spell functions like &lt;i&gt;summon monster&lt;/i&gt;, except it summons a single derghodaemon.&lt;/p&gt;</t>
  </si>
  <si>
    <t>&lt;link rel="stylesheet"href="PF.css"&gt;&lt;div class="heading"&gt;&lt;p class="alignleft"&gt;Summon Derghodaemon&lt;/p&gt;&lt;div style="clear: both;"&gt;&lt;/div&gt;&lt;/div&gt;&lt;div&gt;&lt;h5&gt;&lt;b&gt;School &lt;/b&gt;conjuration (summoning) [evil]; &lt;b&gt;Level &lt;/b&gt;cleric 9/oracle 9, sorcerer/wizard 9, witch 9&lt;/h5&gt;&lt;/div&gt;&lt;hr/&gt;&lt;div&gt;&lt;h5&gt;&lt;b&gt;CASTING&lt;/b&gt;&lt;/h5&gt;&lt;/div&gt;&lt;hr/&gt;&lt;div&gt;&lt;h5&gt;&lt;b&gt;Casting Time &lt;/b&gt;1 round&lt;/h5&gt;&lt;h5&gt;&lt;b&gt;Components &lt;/b&gt;V, S, F (a handful of bug carapaces)&lt;/h5&gt;&lt;/div&gt;&lt;hr/&gt;&lt;div&gt;&lt;h5&gt;&lt;b&gt;EFFECT&lt;/b&gt;&lt;/h5&gt;&lt;/div&gt;&lt;hr/&gt;&lt;div&gt;&lt;h5&gt;&lt;b&gt;Range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monster&lt;/i&gt;, except it summons a single derghodaemon.&lt;/p&gt;&lt;/h4&gt;&lt;/div&gt;</t>
  </si>
  <si>
    <t>Summon Erodaemon</t>
  </si>
  <si>
    <t>V, S, F (a bent or tarnished wedding band)</t>
  </si>
  <si>
    <t>This spell functions like summon monster, except it summons a single erodaemon.</t>
  </si>
  <si>
    <t>&lt;p&gt;This spell functions like &lt;i&gt;summon monster&lt;/i&gt;, except it summons a single erodaemon.&lt;/p&gt;</t>
  </si>
  <si>
    <t>&lt;link rel="stylesheet"href="PF.css"&gt;&lt;div class="heading"&gt;&lt;p class="alignleft"&gt;Summon Erodaemon&lt;/p&gt;&lt;div style="clear: both;"&gt;&lt;/div&gt;&lt;/div&gt;&lt;div&gt;&lt;h5&gt;&lt;b&gt;School &lt;/b&gt;conjuration (summoning) [evil]; &lt;b&gt;Level &lt;/b&gt;cleric 8/oracle 8, sorcerer/wizard 8, summoner 6, witch 8&lt;/h5&gt;&lt;/div&gt;&lt;hr/&gt;&lt;div&gt;&lt;h5&gt;&lt;b&gt;CASTING&lt;/b&gt;&lt;/h5&gt;&lt;/div&gt;&lt;hr/&gt;&lt;div&gt;&lt;h5&gt;&lt;b&gt;Casting Time &lt;/b&gt;1 round&lt;/h5&gt;&lt;h5&gt;&lt;b&gt;Components &lt;/b&gt;V, S, F (a bent or tarnished wedding band)&lt;/h5&gt;&lt;/div&gt;&lt;hr/&gt;&lt;div&gt;&lt;h5&gt;&lt;b&gt;EFFECT&lt;/b&gt;&lt;/h5&gt;&lt;/div&gt;&lt;hr/&gt;&lt;div&gt;&lt;h5&gt;&lt;b&gt;Range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monster&lt;/i&gt;, except it summons a single erodaemon.&lt;/p&gt;&lt;/h4&gt;&lt;/div&gt;</t>
  </si>
  <si>
    <t>Summon Meladaemon</t>
  </si>
  <si>
    <t>V, S, F (an empty wooden bowl)</t>
  </si>
  <si>
    <t>This spell functions like summon monster, except it summons a single meladaemon.</t>
  </si>
  <si>
    <t>&lt;p&gt;This spell functions like &lt;i&gt;summon monster&lt;/i&gt;, except it summons a single meladaemon.&lt;/p&gt;</t>
  </si>
  <si>
    <t>&lt;link rel="stylesheet"href="PF.css"&gt;&lt;div class="heading"&gt;&lt;p class="alignleft"&gt;Summon Meladaemon&lt;/p&gt;&lt;div style="clear: both;"&gt;&lt;/div&gt;&lt;/div&gt;&lt;div&gt;&lt;h5&gt;&lt;b&gt;School &lt;/b&gt;conjuration (summoning) [evil]; &lt;b&gt;Level &lt;/b&gt;cleric 8/oracle 8, sorcerer/wizard 8, summoner 6, witch 8&lt;/h5&gt;&lt;/div&gt;&lt;hr/&gt;&lt;div&gt;&lt;h5&gt;&lt;b&gt;CASTING&lt;/b&gt;&lt;/h5&gt;&lt;/div&gt;&lt;hr/&gt;&lt;div&gt;&lt;h5&gt;&lt;b&gt;Casting Time &lt;/b&gt;1 round&lt;/h5&gt;&lt;h5&gt;&lt;b&gt;Components &lt;/b&gt;V, S, F (an empty wooden bowl)&lt;/h5&gt;&lt;/div&gt;&lt;hr/&gt;&lt;div&gt;&lt;h5&gt;&lt;b&gt;EFFECT&lt;/b&gt;&lt;/h5&gt;&lt;/div&gt;&lt;hr/&gt;&lt;div&gt;&lt;h5&gt;&lt;b&gt;Range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monster&lt;/i&gt;, except it summons a single meladaemon.&lt;/p&gt;&lt;/h4&gt;&lt;/div&gt;</t>
  </si>
  <si>
    <t>Summon Thanadaemon</t>
  </si>
  <si>
    <t>V, S, F (two silver coins)</t>
  </si>
  <si>
    <t>This spell functions like summon monster, except it summons a single thanadaemon. You can only use this spell in an area with enough open water to accommodate the daemon's skiff, or when on the Astral Plane or Ethereal Plane.</t>
  </si>
  <si>
    <t>&lt;p&gt;This spell functions like &lt;i&gt;summon monster&lt;/i&gt;, except it summons a single thanadaemon. You can only use this spell in an area with enough open water to accommodate the daemon's skiff, or when on the Astral Plane or Ethereal Plane.&lt;/p&gt;</t>
  </si>
  <si>
    <t>&lt;link rel="stylesheet"href="PF.css"&gt;&lt;div class="heading"&gt;&lt;p class="alignleft"&gt;Summon Thanadaemon&lt;/p&gt;&lt;div style="clear: both;"&gt;&lt;/div&gt;&lt;/div&gt;&lt;div&gt;&lt;h5&gt;&lt;b&gt;School &lt;/b&gt;conjuration (summoning) [evil]; &lt;b&gt;Level &lt;/b&gt;cleric 9/oracle 9, sorcerer/wizard 9, witch 9&lt;/h5&gt;&lt;/div&gt;&lt;hr/&gt;&lt;div&gt;&lt;h5&gt;&lt;b&gt;CASTING&lt;/b&gt;&lt;/h5&gt;&lt;/div&gt;&lt;hr/&gt;&lt;div&gt;&lt;h5&gt;&lt;b&gt;Casting Time &lt;/b&gt;1 round&lt;/h5&gt;&lt;h5&gt;&lt;b&gt;Components &lt;/b&gt;V, S, F (two silver coins)&lt;/h5&gt;&lt;/div&gt;&lt;hr/&gt;&lt;div&gt;&lt;h5&gt;&lt;b&gt;EFFECT&lt;/b&gt;&lt;/h5&gt;&lt;/div&gt;&lt;hr/&gt;&lt;div&gt;&lt;h5&gt;&lt;b&gt;Range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monster&lt;/i&gt;, except it summons a single thanadaemon. You can only use this spell in an area with enough open water to accommodate the daemon's skiff, or when on the Astral Plane or Ethereal Plane.&lt;/p&gt;&lt;/h4&gt;&lt;/div&gt;</t>
  </si>
  <si>
    <t>Replenish Ki</t>
  </si>
  <si>
    <t>You tune the target's internal store of supernatural energy, replenishing its ki pool. If you are the target, you regain 2 ki points. If another creature is the target, it regains 1 ki point. This does not allow the target to exceed its ki pool's maximum. This spell has no effect if the target does not have a ki pool.</t>
  </si>
  <si>
    <t>&lt;p&gt;You tune the target's internal store of supernatural energy, replenishing its &lt;i&gt;ki&lt;/i&gt; pool. If you are the target, you regain 2 &lt;i&gt;ki&lt;/i&gt; points. If another creature is the target, it regains 1 &lt;i&gt;ki&lt;/i&gt; point. This does not allow the target to exceed its &lt;i&gt;ki&lt;/i&gt; pool's maximum. This spell has no effect if the target does not have a &lt;i&gt;ki&lt;/i&gt; pool.&lt;/p&gt;</t>
  </si>
  <si>
    <t>AP 53</t>
  </si>
  <si>
    <t>&lt;link rel="stylesheet"href="PF.css"&gt;&lt;div class="heading"&gt;&lt;p class="alignleft"&gt;Replenish Ki&lt;/p&gt;&lt;div style="clear: both;"&gt;&lt;/div&gt;&lt;/div&gt;&lt;div&gt;&lt;h5&gt;&lt;b&gt;School &lt;/b&gt;conjuration (healing); &lt;b&gt;Level &lt;/b&gt;cleric 4/oracle 4&lt;/h5&gt;&lt;/div&gt;&lt;hr/&gt;&lt;div&gt;&lt;h5&gt;&lt;b&gt;CASTING&lt;/b&gt;&lt;/h5&gt;&lt;/div&gt;&lt;hr/&gt;&lt;div&gt;&lt;h5&gt;&lt;b&gt;Casting Time &lt;/b&gt;1 minute&lt;/h5&gt;&lt;h5&gt;&lt;b&gt;Components &lt;/b&gt;V, S, DF&lt;/h5&gt;&lt;/div&gt;&lt;hr/&gt;&lt;div&gt;&lt;h5&gt;&lt;b&gt;EFFECT&lt;/b&gt;&lt;/h5&gt;&lt;/div&gt;&lt;hr/&gt;&lt;div&gt;&lt;h5&gt;&lt;b&gt;Range &lt;/b&gt;touch&lt;/h5&gt;&lt;h5&gt;&lt;b&gt;Targets &lt;/b&gt;creature touched&lt;/h5&gt;&lt;h5&gt;&lt;b&gt;Duration &lt;/b&gt;instantaneous&lt;/h5&gt;&lt;/div&gt;&lt;hr/&gt;&lt;div&gt;&lt;h5&gt;&lt;b&gt;DESCRIPTION&lt;/b&gt;&lt;/h5&gt;&lt;/div&gt;&lt;hr/&gt;&lt;div&gt;&lt;h4&gt;&lt;p&gt;You tune the target's internal store of supernatural energy, replenishing its &lt;i&gt;ki&lt;/i&gt; pool. If you are the target, you regain 2 &lt;i&gt;ki&lt;/i&gt; points. If another creature is the target, it regains 1 &lt;i&gt;ki&lt;/i&gt; point. This does not allow the target to exceed its &lt;i&gt;ki&lt;/i&gt; pool's maximum. This spell has no effect if the target does not have a &lt;i&gt;ki&lt;/i&gt; pool.&lt;/p&gt;&lt;/h4&gt;&lt;/div&gt;</t>
  </si>
  <si>
    <t>Call the Void</t>
  </si>
  <si>
    <t>Reflex for half; see text</t>
  </si>
  <si>
    <t>This spell surrounds you with an aura of nothingness that channels the mysterious energies of the Dark Tapestry. Creatures adjacent to you when this spell is cast and at the start of your turn take 2d6 points of damage. In addition, creatures affected by your aura are fatigued, cannot breathe, and cannot speak or cast spells with somatic components. Creatures adjacent to you are allowed a Reflex save to halve the damage and negate the fatigue effect, but cannot breathe or speak regardless of whether their save is successful as long as they are adjacent to you.</t>
  </si>
  <si>
    <t>&lt;p&gt;This spell surrounds you with an aura of nothingness that channels the mysterious energies of the Dark Tapestry. Creatures adjacent to you when this spell is cast and at the start of your turn take 2d6 points of damage. In addition, creatures affected by your aura are fatigued, cannot breathe, and cannot speak or cast spells with somatic components. Creatures adjacent to you are allowed a Reflex save to halve the damage and negate the fatigue effect, but cannot breathe or speak regardless of whether their save is successful as long as they are adjacent to you.&lt;/p&gt;</t>
  </si>
  <si>
    <t>Dragon Empires Primer</t>
  </si>
  <si>
    <t>&lt;link rel="stylesheet"href="PF.css"&gt;&lt;div class="heading"&gt;&lt;p class="alignleft"&gt;Call the Void&lt;/p&gt;&lt;div style="clear: both;"&gt;&lt;/div&gt;&lt;/div&gt;&lt;div&gt;&lt;h5&gt;&lt;b&gt;School &lt;/b&gt;evocation; &lt;b&gt;Level &lt;/b&gt;sorcerer/wizard 3, witch 3&lt;/h5&gt;&lt;/div&gt;&lt;hr/&gt;&lt;div&gt;&lt;h5&gt;&lt;b&gt;CASTING&lt;/b&gt;&lt;/h5&gt;&lt;/div&gt;&lt;hr/&gt;&lt;div&gt;&lt;h5&gt;&lt;b&gt;Casting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 (D)&lt;/h5&gt;&lt;h5&gt;&lt;b&gt;Saving Throw &lt;/b&gt;Reflex for half; see text; &lt;b&gt;Spell Resistance &lt;/b&gt;yes&lt;/h5&gt;&lt;/div&gt;&lt;hr/&gt;&lt;div&gt;&lt;h5&gt;&lt;b&gt;DESCRIPTION&lt;/b&gt;&lt;/h5&gt;&lt;/div&gt;&lt;hr/&gt;&lt;div&gt;&lt;h4&gt;&lt;p&gt;This spell surrounds you with an aura of nothingness that channels the mysterious energies of the Dark Tapestry. Creatures adjacent to you when this spell is cast and at the start of your turn take 2d6 points of damage. In addition, creatures affected by your aura are fatigued, cannot breathe, and cannot speak or cast spells with somatic components. Creatures adjacent to you are allowed a Reflex save to halve the damage and negate the fatigue effect, but cannot breathe or speak regardless of whether their save is successful as long as they are adjacent to you.&lt;/p&gt;&lt;/h4&gt;&lt;/div&gt;</t>
  </si>
  <si>
    <t>Black Spot</t>
  </si>
  <si>
    <t>cleric 4/oracle 4, sorcerer/wizard 5, witch 4</t>
  </si>
  <si>
    <t>The black spot is a specific and feared pirate curse. An intangible, illusory black spot manifests above the target's head and remains until the target dies or the curse is lifted. The black spot cannot be covered or hidden by any means, including other illusions. The black spot radiates a cursed aura in a 10-foot radius around its target. Anyone within the aura gains a +2 bonus on weapon attack and damage rolls against the target. In addition, the target has a -4 penalty on saving throws against death effects. Every day in which a creature bears a black spot, it must make a Fortitude save. On a failed save, the creature takes 1 point of Constitution damage. The damage cannot be healed until the black spot is removed. If the creature's Constitution reaches 0, it dies. Pirates killed by this spell often return as ghosts, but that is not a direct effect of this spell. The black spot cannot be dispelled, but it can be removed with break enchantment, limited wish, miracle, remove curse, or wish.</t>
  </si>
  <si>
    <t>&lt;p&gt;The &lt;i&gt;black spot&lt;/i&gt; is a specific and feared pirate curse. An intangible, illusory &lt;i&gt;black spot&lt;/i&gt; manifests above the target's head and remains until the target dies or the curse is lifted. The &lt;i&gt;black spot&lt;/i&gt; cannot be covered or hidden by any means, including other illusions.&lt;/p&gt;&lt;p&gt;The &lt;i&gt;black spot&lt;/i&gt; radiates a cursed aura in a 10-foot radius around its target. Anyone within the aura gains a +2 bonus on weapon attack and damage rolls against the target. In addition, the target has a -4 penalty on saving throws against death effects.&lt;/p&gt;&lt;p&gt;Every day in which a creature bears a &lt;i&gt;black spot&lt;/i&gt;, it must make a Fortitude save. On a failed save, the creature takes 1 point of Constitution damage. The damage cannot be healed until the &lt;i&gt;black spot&lt;/i&gt; is removed. If the creature's Constitution reaches 0, it dies. Pirates killed by this spell often return as ghosts, but that is not a direct effect of this spell.&lt;/p&gt;&lt;p&gt;The &lt;i&gt;black spot&lt;/i&gt; cannot be dispelled, but it can be removed with &lt;i&gt;break enchantment&lt;/i&gt;, &lt;i&gt;limited &lt;i&gt;wish&lt;/i&gt;&lt;/i&gt;, &lt;i&gt;miracle&lt;/i&gt;, &lt;i&gt;remove curse&lt;/i&gt;, or &lt;i&gt;wish&lt;/i&gt;.&lt;/p&gt;</t>
  </si>
  <si>
    <t>Pirates Of The Inner Sea</t>
  </si>
  <si>
    <t>&lt;link rel="stylesheet"href="PF.css"&gt;&lt;div class="heading"&gt;&lt;p class="alignleft"&gt;Black Spot&lt;/p&gt;&lt;div style="clear: both;"&gt;&lt;/div&gt;&lt;/div&gt;&lt;div&gt;&lt;h5&gt;&lt;b&gt;School &lt;/b&gt;necromancy; &lt;b&gt;Level &lt;/b&gt;cleric 4/oracle 4, sorcerer/wizard 5, witch 4&lt;/h5&gt;&lt;/div&gt;&lt;hr/&gt;&lt;div&gt;&lt;h5&gt;&lt;b&gt;CASTING&lt;/b&gt;&lt;/h5&gt;&lt;/div&gt;&lt;hr/&gt;&lt;div&gt;&lt;h5&gt;&lt;b&gt;Casting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&lt;/b&gt;permanent&lt;/h5&gt;&lt;h5&gt;&lt;b&gt;Saving Throw &lt;/b&gt;Will negates; &lt;b&gt;Spell Resistance &lt;/b&gt;yes&lt;/h5&gt;&lt;/div&gt;&lt;hr/&gt;&lt;div&gt;&lt;h5&gt;&lt;b&gt;DESCRIPTION&lt;/b&gt;&lt;/h5&gt;&lt;/div&gt;&lt;hr/&gt;&lt;div&gt;&lt;h4&gt;&lt;p&gt;The &lt;i&gt;black spot&lt;/i&gt; is a specific and feared pirate curse. An intangible, illusory &lt;i&gt;black spot&lt;/i&gt; manifests above the target's head and remains until the target dies or the curse is lifted. The &lt;i&gt;black spot&lt;/i&gt; cannot be covered or hidden by any means, including other illusions.&lt;/p&gt;&lt;p&gt;The &lt;i&gt;black spot&lt;/i&gt; radiates a cursed aura in a 10-foot radius around its target. Anyone within the aura gains a +2 bonus on weapon attack and damage rolls against the target. In addition, the target has a -4 penalty on saving throws against death effects.&lt;/p&gt;&lt;p&gt;Every day in which a creature bears a &lt;i&gt;black spot&lt;/i&gt;, it must make a Fortitude save. On a failed save, the creature takes 1 point of Constitution damage. The damage cannot be healed until the &lt;i&gt;black spot&lt;/i&gt; is removed. If the creature's Constitution reaches 0, it dies. Pirates killed by this spell often return as ghosts, but that is not a direct effect of this spell.&lt;/p&gt;&lt;p&gt;The &lt;i&gt;black spot&lt;/i&gt; cannot be dispelled, but it can be removed with &lt;i&gt;break enchantment&lt;/i&gt;, &lt;i&gt;limited &lt;i&gt;wish&lt;/i&gt;&lt;/i&gt;, &lt;i&gt;miracle&lt;/i&gt;, &lt;i&gt;remove curse&lt;/i&gt;, or &lt;i&gt;wish&lt;/i&gt;.&lt;/p&gt;&lt;/h4&gt;&lt;/div&gt;</t>
  </si>
  <si>
    <t>Buoyancy</t>
  </si>
  <si>
    <t>one Medium or smaller object or creature/level, no two of which may be more than 20 ft. apart</t>
  </si>
  <si>
    <t>until on dry land or 1 round/level</t>
  </si>
  <si>
    <t>The affected creatures or objects become incredibly buoyant. The affected creatures (including gear and carried objects up to each creature's maximum load) and objects naturally float on any water at least 1 foot deep. An affected creature that deliberately tries to submerge must succeed at a DC 20 Swim check every round to stay underwater. The spell ends if the creature or object spends at least 1 round on dry land.</t>
  </si>
  <si>
    <t>&lt;p&gt;The affected creatures or objects become incredibly buoyant. The affected creatures (including gear and carried objects up to each creature's maximum load) and objects naturally float on any water at least 1 foot deep. An affected creature that deliberately tries to submerge must succeed at a DC 20 Swim check every round to stay underwater. The spell ends if the creature or object spends at least 1 round on dry land.&lt;/p&gt;</t>
  </si>
  <si>
    <t>&lt;link rel="stylesheet"href="PF.css"&gt;&lt;div class="heading"&gt;&lt;p class="alignleft"&gt;Buoyancy&lt;/p&gt;&lt;div style="clear: both;"&gt;&lt;/div&gt;&lt;/div&gt;&lt;div&gt;&lt;h5&gt;&lt;b&gt;School &lt;/b&gt;transmutation; &lt;b&gt;Level &lt;/b&gt;bard 2, sorcerer/wizard 2&lt;/h5&gt;&lt;/div&gt;&lt;hr/&gt;&lt;div&gt;&lt;h5&gt;&lt;b&gt;CASTING&lt;/b&gt;&lt;/h5&gt;&lt;/div&gt;&lt;hr/&gt;&lt;div&gt;&lt;h5&gt;&lt;b&gt;Casting Time &lt;/b&gt;1 immediate action&lt;/h5&gt;&lt;h5&gt;&lt;b&gt;Components &lt;/b&gt;V&lt;/h5&gt;&lt;/div&gt;&lt;hr/&gt;&lt;div&gt;&lt;h5&gt;&lt;b&gt;EFFECT&lt;/b&gt;&lt;/h5&gt;&lt;/div&gt;&lt;hr/&gt;&lt;div&gt;&lt;h5&gt;&lt;b&gt;Range &lt;/b&gt;close (25 ft. + 5 ft./2 levels)&lt;/h5&gt;&lt;h5&gt;&lt;b&gt;Targets &lt;/b&gt;one Medium or smaller object or creature/level, no two of which may be more than 20 ft. apart&lt;/h5&gt;&lt;h5&gt;&lt;b&gt;Duration &lt;/b&gt;until on dry land or 1 round/level&lt;/h5&gt;&lt;h5&gt;&lt;b&gt;Saving Throw &lt;/b&gt;Will negates (harmless) or Will negates (object); &lt;b&gt;Spell Resistance &lt;/b&gt;yes (object)&lt;/h5&gt;&lt;/div&gt;&lt;hr/&gt;&lt;div&gt;&lt;h5&gt;&lt;b&gt;DESCRIPTION&lt;/b&gt;&lt;/h5&gt;&lt;/div&gt;&lt;hr/&gt;&lt;div&gt;&lt;h4&gt;&lt;p&gt;The affected creatures or objects become incredibly buoyant. The affected creatures (including gear and carried objects up to each creature's maximum load) and objects naturally float on any water at least 1 foot deep. An affected creature that deliberately tries to submerge must succeed at a DC 20 Swim check every round to stay underwater. The spell ends if the creature or object spends at least 1 round on dry land.&lt;/p&gt;&lt;/h4&gt;&lt;/div&gt;</t>
  </si>
  <si>
    <t>Salvage</t>
  </si>
  <si>
    <t>one shipwreck</t>
  </si>
  <si>
    <t>An invisible force pulls together the remains of a shipwreck. Bits of hull, tattered sails, broken masts, and smashed figureheads knit themselves back together. Rotten wood turns solid once more, and sails re-weave themselves as the rigging snakes across the masts. It takes a variable amount of time for the ship to rebuild itself, depending on its size. Size Duration Raft 1 minute Rowboat 1 minute Keelboat 10 minutes Longship 1 hour Sailing ship 2 hours Warship 3 hours Galleon 4 hours At the end of the duration, an air bubble forms around the repaired ship. If submerged, the ship shoots to the surface, erupting with a great splash before settling on the water. Though the spell requires time to repair the ship, its effects are instantaneous. A salvaged ship cannot be dispelled to return it to a shipwreck. However, before the spell's duration ends and while the ship is still being repaired, salvage can be dispelled to interrupt the repair process. The ship remains in the condition it was in when the spell was interrupted until a new salvage spell is cast (but continues to age normally and suffers the effects of its environments). A new salvage spell's duration is modified by any repairs already begun.</t>
  </si>
  <si>
    <t>&lt;p&gt;An invisible force pulls together the remains of a shipwreck.&lt;/p&gt;&lt;p&gt;Bits of hull, tattered sails, broken masts, and smashed figureheads knit themselves back together. Rotten wood turns solid once more, and sails re-weave themselves as the rigging snakes across the masts.&lt;/p&gt;&lt;p&gt;It takes a variable amount of time for the ship to rebuild itself, depending on its size.&lt;/p&gt;&lt;p&gt; &lt;table&gt;&lt;tr&gt;&lt;th&gt;Size&lt;/th&gt;&lt;th&gt;Duration&lt;/th&gt;&lt;/tr&gt;&lt;tr&gt;&lt;td&gt;Raft&lt;/td&gt;&lt;td&gt;1 minute&lt;/td&gt;&lt;/tr&gt;&lt;tr&gt;&lt;td&gt;Rowboat&lt;/td&gt;&lt;td&gt;1 minute&lt;/td&gt;&lt;/tr&gt;&lt;tr&gt;&lt;td&gt;Keelboat&lt;/td&gt;&lt;td&gt;10 minutes&lt;/td&gt;&lt;/tr&gt;&lt;tr&gt;&lt;td&gt;Longship&lt;/td&gt;&lt;td&gt;1 hour&lt;/td&gt;&lt;/tr&gt;&lt;tr&gt;&lt;td&gt;Sailing ship&lt;/td&gt;&lt;td&gt;2 hours&lt;/td&gt;&lt;/tr&gt;&lt;tr&gt;&lt;td&gt;Warship&lt;/td&gt;&lt;td&gt;3 hours&lt;/td&gt;&lt;/tr&gt;&lt;tr&gt;&lt;td&gt;Galleon&lt;/td&gt;&lt;td&gt;4 hours&lt;/td&gt;&lt;/tr&gt;&lt;/table&gt; At the end of the duration, an air bubble forms around the repaired ship. If submerged, the ship shoots to the surface, erupting with a great splash before settling on the water.&lt;/p&gt;&lt;p&gt;Though the spell requires time to repair the ship, its effects are instantaneous. A &lt;i&gt;&lt;i&gt;salvage&lt;/i&gt;d&lt;/i&gt; ship cannot be dispelled to return it to a shipwreck. However, before the spell's duration ends and while the ship is still being repaired, &lt;i&gt;salvage&lt;/i&gt; can be dispelled to interrupt the repair process. The ship remains in the condition it was in when the spell was interrupted until a new &lt;i&gt;salvage&lt;/i&gt; spell is cast (but continues to age normally and suffers the effects of its environments). A new &lt;i&gt;salvage&lt;/i&gt; spell's duration is modified by any repairs already begun.&lt;/p&gt;</t>
  </si>
  <si>
    <t>&lt;link rel="stylesheet"href="PF.css"&gt;&lt;div class="heading"&gt;&lt;p class="alignleft"&gt;Salvage&lt;/p&gt;&lt;div style="clear: both;"&gt;&lt;/div&gt;&lt;/div&gt;&lt;div&gt;&lt;h5&gt;&lt;b&gt;School &lt;/b&gt;transmutation; &lt;b&gt;Level &lt;/b&gt;cleric 9/oracle 9, sorcerer/wizard 9&lt;/h5&gt;&lt;/div&gt;&lt;hr/&gt;&lt;div&gt;&lt;h5&gt;&lt;b&gt;CASTING&lt;/b&gt;&lt;/h5&gt;&lt;/div&gt;&lt;hr/&gt;&lt;div&gt;&lt;h5&gt;&lt;b&gt;Casting Time &lt;/b&gt;1 standard action&lt;/h5&gt;&lt;h5&gt;&lt;b&gt;Components &lt;/b&gt;V, S, M&lt;/h5&gt;&lt;/div&gt;&lt;hr/&gt;&lt;div&gt;&lt;h5&gt;&lt;b&gt;EFFECT&lt;/b&gt;&lt;/h5&gt;&lt;/div&gt;&lt;hr/&gt;&lt;div&gt;&lt;h5&gt;&lt;b&gt;Range &lt;/b&gt;long (400 ft. + 40 ft./level)&lt;/h5&gt;&lt;h5&gt;&lt;b&gt;Targets &lt;/b&gt;one shipwreck&lt;/h5&gt;&lt;h5&gt;&lt;b&gt;Duration &lt;/b&gt;see text&lt;/h5&gt;&lt;h5&gt;&lt;b&gt;Saving Throw &lt;/b&gt;Fortitude negates (object); &lt;b&gt;Spell Resistance &lt;/b&gt;yes (object)&lt;/h5&gt;&lt;/div&gt;&lt;hr/&gt;&lt;div&gt;&lt;h5&gt;&lt;b&gt;DESCRIPTION&lt;/b&gt;&lt;/h5&gt;&lt;/div&gt;&lt;hr/&gt;&lt;div&gt;&lt;h4&gt;&lt;p&gt;An invisible force pulls together the remains of a shipwreck.&lt;/p&gt;&lt;p&gt;Bits of hull, tattered sails, broken masts, and smashed figureheads knit themselves back together. Rotten wood turns solid once more, and sails re-weave themselves as the rigging snakes across the masts.&lt;/p&gt;&lt;p&gt;It takes a variable amount of time for the ship to rebuild itself, depending on its size.&lt;/p&gt;&lt;p&gt; &lt;table&gt;&lt;tr&gt;&lt;th&gt;Size&lt;/th&gt;&lt;th&gt;Duration&lt;/th&gt;&lt;/tr&gt;&lt;tr&gt;&lt;td&gt;Raft&lt;/td&gt;&lt;td&gt;1 minute&lt;/td&gt;&lt;/tr&gt;&lt;tr&gt;&lt;td&gt;Rowboat&lt;/td&gt;&lt;td&gt;1 minute&lt;/td&gt;&lt;/tr&gt;&lt;tr&gt;&lt;td&gt;Keelboat&lt;/td&gt;&lt;td&gt;10 minutes&lt;/td&gt;&lt;/tr&gt;&lt;tr&gt;&lt;td&gt;Longship&lt;/td&gt;&lt;td&gt;1 hour&lt;/td&gt;&lt;/tr&gt;&lt;tr&gt;&lt;td&gt;Sailing ship&lt;/td&gt;&lt;td&gt;2 hours&lt;/td&gt;&lt;/tr&gt;&lt;tr&gt;&lt;td&gt;Warship&lt;/td&gt;&lt;td&gt;3 hours&lt;/td&gt;&lt;/tr&gt;&lt;tr&gt;&lt;td&gt;Galleon&lt;/td&gt;&lt;td&gt;4 hours&lt;/td&gt;&lt;/tr&gt;&lt;/table&gt; At the end of the duration, an air bubble forms around the repaired ship. If submerged, the ship shoots to the surface, erupting with a great splash before settling on the water.&lt;/p&gt;&lt;p&gt;Though the spell requires time to repair the ship, its effects are instantaneous. A &lt;i&gt;&lt;i&gt;salvage&lt;/i&gt;d&lt;/i&gt; ship cannot be dispelled to return it to a shipwreck. However, before the spell's duration ends and while the ship is still being repaired, &lt;i&gt;salvage&lt;/i&gt; can be dispelled to interrupt the repair process. The ship remains in the condition it was in when the spell was interrupted until a new &lt;i&gt;salvage&lt;/i&gt; spell is cast (but continues to age normally and suffers the effects of its environments). A new &lt;i&gt;salvage&lt;/i&gt; spell's duration is modified by any repairs already begun.&lt;/p&gt;&lt;/h4&gt;&lt;/div&gt;</t>
  </si>
  <si>
    <t>Skeleton Crew</t>
  </si>
  <si>
    <t>cleric 3/oracle 3, sorcerer/wizard 4, summoner 4, witch 4</t>
  </si>
  <si>
    <t>one or more humanoid corpses touched</t>
  </si>
  <si>
    <t>This spell turns corpses into skeletons (Pathfinder RPG Bestiary 250) that act as crew and obey your commands to the extent of their abilities. The undead you create are 1 Hit Die skeletons that possess Profession (sailor) scores equal to half your character level plus your Wisdom modifier (for clerics), Intelligence modifier (for witches and wizards), or Charisma modifier (for sorcerers and summoners). Each skeleton can perform the duties of one crew member but has no other abilities. The created skeletons cannot speak, attack, or even defend themselves. The only orders they obey are ones pertaining to the operation of a ship. Skeletal crew members are not proficient with any weapons or armor. You can't create more Hit Dice of skeletal crew members than twice your caster level with a single casting of skeleton crew. The desecrate spell doubles this limit. The undead you create by casting skeleton crew remain under your control for the duration of the spell, and do not count against your limit of total Hit Dice worth of undead creatures you can control. A skeletal crew member can only be created from a mostly intact humanoid corpse. The corpse must have bones. When you cast this spell, any flesh left on the corpses melts away into fog.</t>
  </si>
  <si>
    <t>&lt;p&gt;This spell turns corpses into skeletons (&lt;i&gt;Pathfinder RPG Bestiary&lt;/i&gt; 250) that act as crew and obey your commands to the extent of their abilities.&lt;/p&gt;&lt;p&gt;The undead you create are 1 Hit Die skeletons that possess Profession (sailor) scores equal to half your character level plus your Wisdom modifier (for clerics), Intelligence modifier (for witches and wizards), or Charisma modifier (for sorcerers and summoners). Each skeleton can perform the duties of one crew member but has no other abilities. The created skeletons cannot speak, attack, or even defend themselves. The only orders they obey are ones pertaining to the operation of a ship. Skeletal crew members are not proficient with any weapons or armor.&lt;/p&gt;&lt;p&gt;You can't create more Hit Dice of skeletal crew members than twice your caster level with a single casting of &lt;i&gt;skeleton crew&lt;/i&gt;. The &lt;i&gt;desecrate&lt;/i&gt; spell doubles this limit.&lt;/p&gt;&lt;p&gt;The undead you create by casting &lt;i&gt;skeleton crew&lt;/i&gt; remain under your control for the duration of the spell, and do not count against your limit of total Hit Dice worth of undead creatures you can control.&lt;/p&gt;&lt;p&gt;A skeletal crew member can only be created from a mostly intact humanoid corpse. The corpse must have bones. When you cast this spell, any flesh left on the corpses melts away into fog.&lt;/p&gt;</t>
  </si>
  <si>
    <t>&lt;link rel="stylesheet"href="PF.css"&gt;&lt;div class="heading"&gt;&lt;p class="alignleft"&gt;Skeleton Crew&lt;/p&gt;&lt;div style="clear: both;"&gt;&lt;/div&gt;&lt;/div&gt;&lt;div&gt;&lt;h5&gt;&lt;b&gt;School &lt;/b&gt;necromancy; &lt;b&gt;Level &lt;/b&gt;cleric 3/oracle 3, sorcerer/wizard 4, summoner 4, witch 4&lt;/h5&gt;&lt;/div&gt;&lt;hr/&gt;&lt;div&gt;&lt;h5&gt;&lt;b&gt;CASTING&lt;/b&gt;&lt;/h5&gt;&lt;/div&gt;&lt;hr/&gt;&lt;div&gt;&lt;h5&gt;&lt;b&gt;Casting Time &lt;/b&gt;1 standard action&lt;/h5&gt;&lt;h5&gt;&lt;b&gt;Components &lt;/b&gt;V, S, M&lt;/h5&gt;&lt;/div&gt;&lt;hr/&gt;&lt;div&gt;&lt;h5&gt;&lt;b&gt;EFFECT&lt;/b&gt;&lt;/h5&gt;&lt;/div&gt;&lt;hr/&gt;&lt;div&gt;&lt;h5&gt;&lt;b&gt;Range &lt;/b&gt;touch&lt;/h5&gt;&lt;h5&gt;&lt;b&gt;Targets &lt;/b&gt;one or more humanoid corpses touched&lt;/h5&gt;&lt;h5&gt;&lt;b&gt;Duration &lt;/b&gt;1 day/level&lt;/h5&gt;&lt;h5&gt;&lt;b&gt;Saving Throw &lt;/b&gt;none; &lt;b&gt;Spell Resistance &lt;/b&gt;no&lt;/h5&gt;&lt;/div&gt;&lt;hr/&gt;&lt;div&gt;&lt;h5&gt;&lt;b&gt;DESCRIPTION&lt;/b&gt;&lt;/h5&gt;&lt;/div&gt;&lt;hr/&gt;&lt;div&gt;&lt;h4&gt;&lt;p&gt;This spell turns corpses into skeletons (&lt;i&gt;Pathfinder RPG Bestiary&lt;/i&gt; 250) that act as crew and obey your commands to the extent of their abilities.&lt;/p&gt;&lt;p&gt;The undead you create are 1 Hit Die skeletons that possess Profession (sailor) scores equal to half your character level plus your Wisdom modifier (for clerics), Intelligence modifier (for witches and wizards), or Charisma modifier (for sorcerers and summoners). Each skeleton can perform the duties of one crew member but has no other abilities. The created skeletons cannot speak, attack, or even defend themselves. The only orders they obey are ones pertaining to the operation of a ship. Skeletal crew members are not proficient with any weapons or armor.&lt;/p&gt;&lt;p&gt;You can't create more Hit Dice of skeletal crew members than twice your caster level with a single casting of &lt;i&gt;skeleton crew&lt;/i&gt;. The &lt;i&gt;desecrate&lt;/i&gt; spell doubles this limit.&lt;/p&gt;&lt;p&gt;The undead you create by casting &lt;i&gt;skeleton crew&lt;/i&gt; remain under your control for the duration of the spell, and do not count against your limit of total Hit Dice worth of undead creatures you can control.&lt;/p&gt;&lt;p&gt;A skeletal crew member can only be created from a mostly intact humanoid corpse. The corpse must have bones. When you cast this spell, any flesh left on the corpses melts away into fog.&lt;/p&gt;&lt;/h4&gt;&lt;/div&gt;</t>
  </si>
  <si>
    <t>Track Ship</t>
  </si>
  <si>
    <t>travel</t>
  </si>
  <si>
    <t>V, S, F (piece of ship)</t>
  </si>
  <si>
    <t>magical icon</t>
  </si>
  <si>
    <t>In order to cast this spell, you must have a piece of the ship you wish to track. Merchants often preserve slivers from their trade ships specifically for this purpose. You also need a nautical chart. When you cast this spell, an icon of the targeted ship appears on the nautical chart. The icon moves as the ship moves for the duration of this spell. If the ship is not within the area delineated by the chart, the spell fails. If the ship is reduced to 0 or fewer hit points, its icon changes from a ship to a skull and crossbones.</t>
  </si>
  <si>
    <t>&lt;p&gt;In order to cast this spell, you must have a piece of the ship you wish to track. Merchants often preserve slivers from their trade ships specifically for this purpose. You also need a nautical chart.&lt;/p&gt;&lt;p&gt;When you cast this spell, an icon of the targeted ship appears on the nautical chart. The icon moves as the ship moves for the duration of this spell. If the ship is not within the area delineated by the chart, the spell fails. If the ship is reduced to 0 or fewer hit points, its icon changes from a ship to a skull and crossbones.&lt;/p&gt;</t>
  </si>
  <si>
    <t>&lt;link rel="stylesheet"href="PF.css"&gt;&lt;div class="heading"&gt;&lt;p class="alignleft"&gt;Track Ship&lt;/p&gt;&lt;div style="clear: both;"&gt;&lt;/div&gt;&lt;/div&gt;&lt;div&gt;&lt;h5&gt;&lt;b&gt;School &lt;/b&gt;divination (scrying) [travel]; &lt;b&gt;Level &lt;/b&gt;bard 2, cleric 2/oracle 2, sorcerer/wizard 2&lt;/h5&gt;&lt;/div&gt;&lt;hr/&gt;&lt;div&gt;&lt;h5&gt;&lt;b&gt;CASTING&lt;/b&gt;&lt;/h5&gt;&lt;/div&gt;&lt;hr/&gt;&lt;div&gt;&lt;h5&gt;&lt;b&gt;Casting Time &lt;/b&gt;1 standard action&lt;/h5&gt;&lt;h5&gt;&lt;b&gt;Components &lt;/b&gt;V, S, F (piece of ship)&lt;/h5&gt;&lt;/div&gt;&lt;hr/&gt;&lt;div&gt;&lt;h5&gt;&lt;b&gt;EFFECT&lt;/b&gt;&lt;/h5&gt;&lt;/div&gt;&lt;hr/&gt;&lt;div&gt;&lt;h5&gt;&lt;b&gt;Range &lt;/b&gt;see text&lt;/h5&gt;&lt;h5&gt;&lt;b&gt;Effect &lt;/b&gt;magical icon&lt;/h5&gt;&lt;h5&gt;&lt;b&gt;Duration &lt;/b&gt;1 hour/level&lt;/h5&gt;&lt;h5&gt;&lt;b&gt;Saving Throw &lt;/b&gt;Will negates (object); &lt;b&gt;Spell Resistance &lt;/b&gt;yes (object)&lt;/h5&gt;&lt;/div&gt;&lt;hr/&gt;&lt;div&gt;&lt;h5&gt;&lt;b&gt;DESCRIPTION&lt;/b&gt;&lt;/h5&gt;&lt;/div&gt;&lt;hr/&gt;&lt;div&gt;&lt;h4&gt;&lt;p&gt;In order to cast this spell, you must have a piece of the ship you wish to track. Merchants often preserve slivers from their trade ships specifically for this purpose. You also need a nautical chart.&lt;/p&gt;&lt;p&gt;When you cast this spell, an icon of the targeted ship appears on the nautical chart. The icon moves as the ship moves for the duration of this spell. If the ship is not within the area delineated by the chart, the spell fails. If the ship is reduced to 0 or fewer hit points, its icon changes from a ship to a skull and crossbones.&lt;/p&gt;&lt;/h4&gt;&lt;/div&gt;</t>
  </si>
  <si>
    <t>Unseen Crew</t>
  </si>
  <si>
    <t>bard 4, sorcerer/wizard 5, summoner 5, witch 5</t>
  </si>
  <si>
    <t>one invisible sailor per level</t>
  </si>
  <si>
    <t>An unseen crew member is an invisible, shapeless force that performs the duties of one crew member. It can tie off ropes, hoist sails, swab decks, and other such duties. An unseen crew member possesses no other skills. It cannot fight, speak, or even defend itself. An unseen crew member has a Strength score of 10 and a Profession (sailor) score equal to half your character level plus your Intelligence modifier (for witches and wizards) or your Charisma modifier (for bards, sorcerers, and summoners). It cannot fly, but it can climb, swim, or walk with a base speed of 20 feet. An unseen crew member cannot be killed, but it dissipates if it takes more than 1 point of damage per caster level you possess from area attacks (it gets no saves against attacks). If you attempt to send an unseen crew member beyond the spell's range (measured from your current position), the crew member ceases to exist.</t>
  </si>
  <si>
    <t>&lt;p&gt;An unseen crew member is an invisible, shapeless force that performs the duties of one crew member. It can tie off ropes, hoist sails, swab decks, and other such duties. An unseen crew member possesses no other skills. It cannot fight, speak, or even defend itself.&lt;/p&gt;&lt;p&gt;An unseen crew member has a Strength score of 10 and a Profession (sailor) score equal to half your character level plus your Intelligence modifier (for witches and wizards) or your Charisma modifier (for bards, sorcerers, and summoners). It cannot fly, but it can climb, swim, or walk with a base speed of 20 feet.&lt;/p&gt;&lt;p&gt;An unseen crew member cannot be killed, but it dissipates if it takes more than 1 point of damage per caster level you possess from area attacks (it gets no saves against attacks). If you attempt to send an unseen crew member beyond the spell's range (measured from your current position), the crew member ceases to exist.&lt;/p&gt;</t>
  </si>
  <si>
    <t>&lt;link rel="stylesheet"href="PF.css"&gt;&lt;div class="heading"&gt;&lt;p class="alignleft"&gt;Unseen Crew&lt;/p&gt;&lt;div style="clear: both;"&gt;&lt;/div&gt;&lt;/div&gt;&lt;div&gt;&lt;h5&gt;&lt;b&gt;School &lt;/b&gt;conjuration (creation); &lt;b&gt;Level &lt;/b&gt;bard 4, sorcerer/wizard 5, summoner 5, witch 5&lt;/h5&gt;&lt;/div&gt;&lt;hr/&gt;&lt;div&gt;&lt;h5&gt;&lt;b&gt;CASTING&lt;/b&gt;&lt;/h5&gt;&lt;/div&gt;&lt;hr/&gt;&lt;div&gt;&lt;h5&gt;&lt;b&gt;Casting Time &lt;/b&gt;1 standard action&lt;/h5&gt;&lt;h5&gt;&lt;b&gt;Components &lt;/b&gt;V, S, M&lt;/h5&gt;&lt;/div&gt;&lt;hr/&gt;&lt;div&gt;&lt;h5&gt;&lt;b&gt;EFFECT&lt;/b&gt;&lt;/h5&gt;&lt;/div&gt;&lt;hr/&gt;&lt;div&gt;&lt;h5&gt;&lt;b&gt;Range &lt;/b&gt;long (400 ft. + 40 ft./level)&lt;/h5&gt;&lt;h5&gt;&lt;b&gt;Effect &lt;/b&gt;one invisible sailor per level&lt;/h5&gt;&lt;h5&gt;&lt;b&gt;Duration &lt;/b&gt;1 day/level&lt;/h5&gt;&lt;h5&gt;&lt;b&gt;Saving Throw &lt;/b&gt;none; &lt;b&gt;Spell Resistance &lt;/b&gt;no&lt;/h5&gt;&lt;/div&gt;&lt;hr/&gt;&lt;div&gt;&lt;h5&gt;&lt;b&gt;DESCRIPTION&lt;/b&gt;&lt;/h5&gt;&lt;/div&gt;&lt;hr/&gt;&lt;div&gt;&lt;h4&gt;&lt;p&gt;An unseen crew member is an invisible, shapeless force that performs the duties of one crew member. It can tie off ropes, hoist sails, swab decks, and other such duties. An unseen crew member possesses no other skills. It cannot fight, speak, or even defend itself.&lt;/p&gt;&lt;p&gt;An unseen crew member has a Strength score of 10 and a Profession (sailor) score equal to half your character level plus your Intelligence modifier (for witches and wizards) or your Charisma modifier (for bards, sorcerers, and summoners). It cannot fly, but it can climb, swim, or walk with a base speed of 20 feet.&lt;/p&gt;&lt;p&gt;An unseen crew member cannot be killed, but it dissipates if it takes more than 1 point of damage per caster level you possess from area attacks (it gets no saves against attacks). If you attempt to send an unseen crew member beyond the spell's range (measured from your current position), the crew member ceases to exist.&lt;/p&gt;&lt;/h4&gt;&lt;/div&gt;</t>
  </si>
  <si>
    <t>Planetary Adaptation</t>
  </si>
  <si>
    <t>This spell functions as planar adaptation (Advanced Player's Guide 236), save that it only works on worlds of the Material Plane. The cold void of space is considered a single world for the purpose of this spell, allowing you to survive in vacuum.</t>
  </si>
  <si>
    <t>&lt;p&gt;This spell functions as &lt;i&gt;planar adaptation&lt;/i&gt; (Advanced Player's Guide 236), save that it only works on worlds of the Material Plane. The cold void of space is considered a single world for the purpose of this spell, allowing you to survive in vacuum.&lt;/p&gt;</t>
  </si>
  <si>
    <t>Distant Worlds</t>
  </si>
  <si>
    <t>&lt;link rel="stylesheet"href="PF.css"&gt;&lt;div class="heading"&gt;&lt;p class="alignleft"&gt;Planetary Adaptation&lt;/p&gt;&lt;div style="clear: both;"&gt;&lt;/div&gt;&lt;/div&gt;&lt;div&gt;&lt;h5&gt;&lt;b&gt;School &lt;/b&gt;transmutation; &lt;b&gt;Level &lt;/b&gt;alchemist 5, cleric 4/oracle 4, sorcerer/wizard 5, summoner 5&lt;/h5&gt;&lt;/div&gt;&lt;hr/&gt;&lt;div&gt;&lt;h5&gt;&lt;b&gt;CASTING&lt;/b&gt;&lt;/h5&gt;&lt;/div&gt;&lt;hr/&gt;&lt;div&gt;&lt;h5&gt;&lt;b&gt;Casting Time &lt;/b&gt;1 standard action&lt;/h5&gt;&lt;h5&gt;&lt;b&gt;Components &lt;/b&gt;V&lt;/h5&gt;&lt;/div&gt;&lt;hr/&gt;&lt;div&gt;&lt;h5&gt;&lt;b&gt;EFFECT&lt;/b&gt;&lt;/h5&gt;&lt;/div&gt;&lt;hr/&gt;&lt;div&gt;&lt;h5&gt;&lt;b&gt;Range &lt;/b&gt;personal&lt;/h5&gt;&lt;h5&gt;&lt;b&gt;Targets &lt;/b&gt;you&lt;/h5&gt;&lt;h5&gt;&lt;b&gt;Duration &lt;/b&gt;1 hour/level&lt;/h5&gt;&lt;/div&gt;&lt;hr/&gt;&lt;div&gt;&lt;h5&gt;&lt;b&gt;DESCRIPTION&lt;/b&gt;&lt;/h5&gt;&lt;/div&gt;&lt;hr/&gt;&lt;div&gt;&lt;h4&gt;&lt;p&gt;This spell functions as &lt;i&gt;planar adaptation&lt;/i&gt; (Advanced Player's Guide 236), save that it only works on worlds of the Material Plane. The cold void of space is considered a single world for the purpose of this spell, allowing you to survive in vacuum.&lt;/p&gt;&lt;/h4&gt;&lt;/div&gt;</t>
  </si>
  <si>
    <t>Planetary Adaptation, Mass</t>
  </si>
  <si>
    <t>This spell functions as planetary adaptation, except as noted above.</t>
  </si>
  <si>
    <t>&lt;p&gt;This spell functions as &lt;i&gt;planetary adaptation&lt;/i&gt;, except as noted above.&lt;/p&gt;</t>
  </si>
  <si>
    <t>&lt;link rel="stylesheet"href="PF.css"&gt;&lt;div class="heading"&gt;&lt;p class="alignleft"&gt;Planetary Adaptation, Mass&lt;/p&gt;&lt;div style="clear: both;"&gt;&lt;/div&gt;&lt;/div&gt;&lt;div&gt;&lt;h5&gt;&lt;b&gt;School &lt;/b&gt;transmutation; &lt;b&gt;Level &lt;/b&gt;cleric 6/oracle 6, sorcerer/wizard 7, summoner 6&lt;/h5&gt;&lt;/div&gt;&lt;hr/&gt;&lt;div&gt;&lt;h5&gt;&lt;b&gt;CASTING&lt;/b&gt;&lt;/h5&gt;&lt;/div&gt;&lt;hr/&gt;&lt;div&gt;&lt;h5&gt;&lt;b&gt;Casting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creature/level, no two of which can be more than 30 ft. apart&lt;/h5&gt;&lt;h5&gt;&lt;b&gt;Duration &lt;/b&gt;1 hour/level&lt;/h5&gt;&lt;h5&gt;&lt;b&gt;Saving Throw &lt;/b&gt;Will negates (harmless); &lt;b&gt;Spell Resistance &lt;/b&gt;yes (harmless)&lt;/h5&gt;&lt;/div&gt;&lt;hr/&gt;&lt;div&gt;&lt;h5&gt;&lt;b&gt;DESCRIPTION&lt;/b&gt;&lt;/h5&gt;&lt;/div&gt;&lt;hr/&gt;&lt;div&gt;&lt;h4&gt;&lt;p&gt;This spell functions as &lt;i&gt;planetary adaptation&lt;/i&gt;, except as noted above.&lt;/p&gt;&lt;/h4&gt;&lt;/div&gt;</t>
  </si>
  <si>
    <t>Advanced Scurvy</t>
  </si>
  <si>
    <t>The subject contracts an advanced form of scurvy. He becomes constantly fatigued, suffers from bone pain (-1 penalty on Strength-and Dexterity-based checks), wounds easily (add +1 point of damage to any bleed effects affecting the target), experiences loose teeth, and is slow to heal (natural healing occurs at half the normal rate). Scurvy can be treated magically or can be overcome with proper nutrition; eating the right foods ends the fatigue and bone pain within 1-2 days and provides a full cure 2d6 days after that.</t>
  </si>
  <si>
    <t>&lt;p&gt;The subject contracts an advanced form of scurvy. He becomes constantly fatigued, suffers from bone pain (-1 penalty on Strength-and Dexterity-based checks), wounds easily (add +1 point of damage to any bleed effects affecting the target), experiences loose teeth, and is slow to heal (natural healing occurs at half the normal rate). Scurvy can be treated magically or can be overcome with proper nutrition; eating the right foods ends the fatigue and bone pain within 1-2 days and provides a full cure 2d6 days after that.&lt;/p&gt;</t>
  </si>
  <si>
    <t>AP 55</t>
  </si>
  <si>
    <t>&lt;link rel="stylesheet"href="PF.css"&gt;&lt;div class="heading"&gt;&lt;p class="alignleft"&gt;Advanced Scurvy&lt;/p&gt;&lt;div style="clear: both;"&gt;&lt;/div&gt;&lt;/div&gt;&lt;div&gt;&lt;h5&gt;&lt;b&gt;School &lt;/b&gt;necromancy [disease, evil]; &lt;b&gt;Level &lt;/b&gt;cleric 1/oracle 1, druid 1 (Besmara)&lt;/h5&gt;&lt;/div&gt;&lt;hr/&gt;&lt;div&gt;&lt;h5&gt;&lt;b&gt;CASTING&lt;/b&gt;&lt;/h5&gt;&lt;/div&gt;&lt;hr/&gt;&lt;div&gt;&lt;h5&gt;&lt;b&gt;Casting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&lt;/b&gt;living creature touched&lt;/h5&gt;&lt;h5&gt;&lt;b&gt;Duration &lt;/b&gt;instantaneous&lt;/h5&gt;&lt;h5&gt;&lt;b&gt;Saving Throw &lt;/b&gt;Fortitude negates; &lt;b&gt;Spell Resistance &lt;/b&gt;yes&lt;/h5&gt;&lt;/div&gt;&lt;hr/&gt;&lt;div&gt;&lt;h5&gt;&lt;b&gt;DESCRIPTION&lt;/b&gt;&lt;/h5&gt;&lt;/div&gt;&lt;hr/&gt;&lt;div&gt;&lt;h4&gt;&lt;p&gt;The subject contracts an advanced form of scurvy. He becomes constantly fatigued, suffers from bone pain (-1 penalty on Strength-and Dexterity-based checks), wounds easily (add +1 point of damage to any bleed effects affecting the target), experiences loose teeth, and is slow to heal (natural healing occurs at half the normal rate). Scurvy can be treated magically or can be overcome with proper nutrition; eating the right foods ends the fatigue and bone pain within 1-2 days and provides a full cure 2d6 days after that.&lt;/p&gt;&lt;/h4&gt;&lt;/div&gt;</t>
  </si>
  <si>
    <t>Besmara</t>
  </si>
  <si>
    <t>Cloud Of Seasickness</t>
  </si>
  <si>
    <t>cleric 2/oracle 2, druid 2, sorcerer/wizard 2</t>
  </si>
  <si>
    <t>V, S, M (a piece of seaweed)</t>
  </si>
  <si>
    <t>This spell functions like stinking cloud, except as noted above and that the vapors make creatures sickened instead of nauseated. Cloud of seasickness can be made permanent with a permanency spell (requiring a 9th-level caster and costing 2,500 gp). A permanent cloud of seasickness dispersed by wind reforms in 10 minutes.</t>
  </si>
  <si>
    <t>&lt;p&gt;This spell functions like &lt;i&gt;stinking cloud&lt;/i&gt;, except as noted above and that the vapors make creatures sickened instead of nauseated. &lt;i&gt;Cloud of seasickness&lt;/i&gt; can be made permanent with a &lt;i&gt;permanency&lt;/i&gt; spell (requiring a 9th-level caster and costing 2,500 gp). A permanent &lt;i&gt;cloud of seasickness&lt;/i&gt; dispersed by wind reforms in 10 minutes.&lt;/p&gt;</t>
  </si>
  <si>
    <t>&lt;link rel="stylesheet"href="PF.css"&gt;&lt;div class="heading"&gt;&lt;p class="alignleft"&gt;Cloud Of Seasickness&lt;/p&gt;&lt;div style="clear: both;"&gt;&lt;/div&gt;&lt;/div&gt;&lt;div&gt;&lt;h5&gt;&lt;b&gt;School &lt;/b&gt;conjuration (creation) [poison]; &lt;b&gt;Level &lt;/b&gt;cleric 2/oracle 2, druid 2, sorcerer/wizard 2 (Besmara)&lt;/h5&gt;&lt;/div&gt;&lt;hr/&gt;&lt;div&gt;&lt;h5&gt;&lt;b&gt;CASTING&lt;/b&gt;&lt;/h5&gt;&lt;/div&gt;&lt;hr/&gt;&lt;div&gt;&lt;h5&gt;&lt;b&gt;Casting Time &lt;/b&gt;1 standard action&lt;/h5&gt;&lt;h5&gt;&lt;b&gt;Components &lt;/b&gt;V, S, M (a piece of seaweed)&lt;/h5&gt;&lt;/div&gt;&lt;hr/&gt;&lt;div&gt;&lt;h5&gt;&lt;b&gt;EFFECT&lt;/b&gt;&lt;/h5&gt;&lt;/div&gt;&lt;hr/&gt;&lt;div&gt;&lt;h5&gt;&lt;b&gt;Range &lt;/b&gt;close (25 ft. + 5 ft./2 levels)&lt;/h5&gt;&lt;h5&gt;&lt;b&gt;Effect &lt;/b&gt;cloud spreads in 20-ft. radius, 20 ft. high&lt;/h5&gt;&lt;h5&gt;&lt;b&gt;Duration &lt;/b&gt;1 round/level&lt;/h5&gt;&lt;h5&gt;&lt;b&gt;Saving Throw &lt;/b&gt;Fortitude negates; see text; &lt;b&gt;Spell Resistance &lt;/b&gt;no&lt;/h5&gt;&lt;/div&gt;&lt;hr/&gt;&lt;div&gt;&lt;h5&gt;&lt;b&gt;DESCRIPTION&lt;/b&gt;&lt;/h5&gt;&lt;/div&gt;&lt;hr/&gt;&lt;div&gt;&lt;h4&gt;&lt;p&gt;This spell functions like &lt;i&gt;stinking cloud&lt;/i&gt;, except as noted above and that the vapors make creatures sickened instead of nauseated. &lt;i&gt;Cloud of seasickness&lt;/i&gt; can be made permanent with a &lt;i&gt;permanency&lt;/i&gt; spell (requiring a 9th-level caster and costing 2,500 gp). A permanent &lt;i&gt;cloud of seasickness&lt;/i&gt; dispersed by wind reforms in 10 minutes.&lt;/p&gt;&lt;/h4&gt;&lt;/div&gt;</t>
  </si>
  <si>
    <t>Submerge Ship</t>
  </si>
  <si>
    <t>V, S, M/DF (a glass marble or piece of soap)</t>
  </si>
  <si>
    <t>1 sailing vessel</t>
  </si>
  <si>
    <t>When this spell is cast upon a vessel, the ship is surrounded by a protective bubble of constantly replenishing, breathable air and sinks beneath the waves. For the duration of the spell, the ship can travel beneath the water as easily as it did above. While under the effects of this spell, the ship has magical propulsion that gives it a maximum speed of 120 feet and an acceleration of 30 feet (see the Skull &amp; Shackles Player's Guide for details). The ship's pilot uses the normal sailing skill to control the ship while under this spell's effects, and can command it to dive and ascend as part of the vessel's normal movement. Despite the magical propulsion, the ship still requires its crew to perform its normal functions. The spell protects the ship and all aboard from the dangers of drowning and pressure, but not from damage from outside obstacles or creatures. The bubble cannot be used offensively and prevents an affected ship from rising into a space that won't accommodate it (like a sea cave too small to contain it or under another vessel). Creatures can enter or leave the bubble at will, but those outside the sphere cannot be forced inside against their will, the sphere proving substantial enough that such creatures may choose whether to enter or to slip away along its sides. At the end of the spell's duration the bubble pops, causing a ship still underwater at that time to gain the sinking condition. This spell has no effect if cast upon a ship in water that cannot cover the vessel entirely. Although largely beneficial, this spell can be cast on a ship whose pilot does not want to submerge her vessel. The ship itself uses its Will saving throw to resist this effect.</t>
  </si>
  <si>
    <t>&lt;p&gt;When this spell is cast upon a vessel, the ship is surrounded by a protective bubble of constantly replenishing, breathable air and sinks beneath the waves. For the duration of the spell, the ship can travel beneath the water as easily as it did above. While under the effects of this spell, the ship has magical propulsion that gives it a maximum speed of 120 feet and an acceleration of 30 feet (see the Skull &amp; Shackles Player's Guide for details). The ship's pilot uses the normal sailing skill to control the ship while under this spell's effects, and can command it to dive and ascend as part of the vessel's normal movement. Despite the magical propulsion, the ship still requires its crew to perform its normal functions. The spell protects the ship and all aboard from the dangers of drowning and pressure, but not from damage from outside obstacles or creatures. The bubble cannot be used offensively and prevents an affected ship from rising into a space that won't accommodate it (like a sea cave too small to contain it or under another vessel). Creatures can enter or leave the bubble at will, but those outside the sphere cannot be forced inside against their will, the sphere proving substantial enough that such creatures may choose whether to enter or to slip away along its sides. At the end of the spell's duration the bubble pops, causing a ship still underwater at that time to gain the sinking condition. This spell has no effect if cast upon a ship in water that cannot cover the vessel entirely. Although largely beneficial, this spell can be cast on a ship whose pilot does not want to submerge her vessel. The ship itself uses its Will saving throw to resist this effect.&lt;/p&gt;</t>
  </si>
  <si>
    <t>AP 56</t>
  </si>
  <si>
    <t>&lt;link rel="stylesheet"href="PF.css"&gt;&lt;div class="heading"&gt;&lt;p class="alignleft"&gt;Submerge Ship&lt;/p&gt;&lt;div style="clear: both;"&gt;&lt;/div&gt;&lt;/div&gt;&lt;div&gt;&lt;h5&gt;&lt;b&gt;School &lt;/b&gt;transmutation; &lt;b&gt;Level &lt;/b&gt;cleric 7/oracle 7, sorcerer/wizard 7&lt;/h5&gt;&lt;/div&gt;&lt;hr/&gt;&lt;div&gt;&lt;h5&gt;&lt;b&gt;CASTING&lt;/b&gt;&lt;/h5&gt;&lt;/div&gt;&lt;hr/&gt;&lt;div&gt;&lt;h5&gt;&lt;b&gt;Casting Time &lt;/b&gt;1 minute&lt;/h5&gt;&lt;h5&gt;&lt;b&gt;Components &lt;/b&gt;V, S, M/DF (a glass marble or piece of soap)&lt;/h5&gt;&lt;/div&gt;&lt;hr/&gt;&lt;div&gt;&lt;h5&gt;&lt;b&gt;EFFECT&lt;/b&gt;&lt;/h5&gt;&lt;/div&gt;&lt;hr/&gt;&lt;div&gt;&lt;h5&gt;&lt;b&gt;Range &lt;/b&gt;touch&lt;/h5&gt;&lt;h5&gt;&lt;b&gt;Targets &lt;/b&gt;1 sailing vessel&lt;/h5&gt;&lt;h5&gt;&lt;b&gt;Duration &lt;/b&gt;10 minutes/level&lt;/h5&gt;&lt;h5&gt;&lt;b&gt;Saving Throw &lt;/b&gt;Will negates (harmless); &lt;b&gt;Spell Resistance &lt;/b&gt;no&lt;/h5&gt;&lt;/div&gt;&lt;hr/&gt;&lt;div&gt;&lt;h5&gt;&lt;b&gt;DESCRIPTION&lt;/b&gt;&lt;/h5&gt;&lt;/div&gt;&lt;hr/&gt;&lt;div&gt;&lt;h4&gt;&lt;p&gt;When this spell is cast upon a vessel, the ship is surrounded by a protective bubble of constantly replenishing, breathable air and sinks beneath the waves. For the duration of the spell, the ship can travel beneath the water as easily as it did above. While under the effects of this spell, the ship has magical propulsion that gives it a maximum speed of 120 feet and an acceleration of 30 feet (see the Skull &amp; Shackles Player's Guide for details). The ship's pilot uses the normal sailing skill to control the ship while under this spell's effects, and can command it to dive and ascend as part of the vessel's normal movement. Despite the magical propulsion, the ship still requires its crew to perform its normal functions. The spell protects the ship and all aboard from the dangers of drowning and pressure, but not from damage from outside obstacles or creatures. The bubble cannot be used offensively and prevents an affected ship from rising into a space that won't accommodate it (like a sea cave too small to contain it or under another vessel). Creatures can enter or leave the bubble at will, but those outside the sphere cannot be forced inside against their will, the sphere proving substantial enough that such creatures may choose whether to enter or to slip away along its sides. At the end of the spell's duration the bubble pops, causing a ship still underwater at that time to gain the sinking condition. This spell has no effect if cast upon a ship in water that cannot cover the vessel entirely. Although largely beneficial, this spell can be cast on a ship whose pilot does not want to submerge her vessel. The ship itself uses its Will saving throw to resist this effect.&lt;/p&gt;&lt;/h4&gt;&lt;/div&gt;</t>
  </si>
  <si>
    <t>Heroic Fortune</t>
  </si>
  <si>
    <t>alchemist 2, bard 2, cleric 2/oracle 2, paladin 3</t>
  </si>
  <si>
    <t>V, S, DF, M (diamond dust worth 100 gp)</t>
  </si>
  <si>
    <t>This spell grants 1 hero point to the target. This hero point must be spent before the duration expires, or it is lost. The bonus hero point is spent before any other hero points the target might possess.</t>
  </si>
  <si>
    <t>&lt;p&gt;This spell grants 1 hero point to the target. This hero point must be spent before the duration expires, or it is lost. The bonus hero point is spent before any other hero points the target might possess.&lt;/p&gt;</t>
  </si>
  <si>
    <t>&lt;link rel="stylesheet"href="PF.css"&gt;&lt;div class="heading"&gt;&lt;p class="alignleft"&gt;Heroic Fortune&lt;/p&gt;&lt;div style="clear: both;"&gt;&lt;/div&gt;&lt;/div&gt;&lt;div&gt;&lt;h5&gt;&lt;b&gt;School &lt;/b&gt;evocation; &lt;b&gt;Level &lt;/b&gt;alchemist 2, bard 2, cleric 2/oracle 2, paladin 3&lt;/h5&gt;&lt;/div&gt;&lt;hr/&gt;&lt;div&gt;&lt;h5&gt;&lt;b&gt;CASTING&lt;/b&gt;&lt;/h5&gt;&lt;/div&gt;&lt;hr/&gt;&lt;div&gt;&lt;h5&gt;&lt;b&gt;Casting Time &lt;/b&gt;1 standard action&lt;/h5&gt;&lt;h5&gt;&lt;b&gt;Components &lt;/b&gt;V, S, DF, M (diamond dust worth 100 gp)&lt;/h5&gt;&lt;/div&gt;&lt;hr/&gt;&lt;div&gt;&lt;h5&gt;&lt;b&gt;EFFECT&lt;/b&gt;&lt;/h5&gt;&lt;/div&gt;&lt;hr/&gt;&lt;div&gt;&lt;h5&gt;&lt;b&gt;Range &lt;/b&gt;touch&lt;/h5&gt;&lt;h5&gt;&lt;b&gt;Targets &lt;/b&gt;creature touched&lt;/h5&gt;&lt;h5&gt;&lt;b&gt;Duration &lt;/b&gt;1 round/level&lt;/h5&gt;&lt;h5&gt;&lt;b&gt;Saving Throw &lt;/b&gt;Will negates (harmless); &lt;b&gt;Spell Resistance &lt;/b&gt;no&lt;/h5&gt;&lt;/div&gt;&lt;hr/&gt;&lt;div&gt;&lt;h5&gt;&lt;b&gt;DESCRIPTION&lt;/b&gt;&lt;/h5&gt;&lt;/div&gt;&lt;hr/&gt;&lt;div&gt;&lt;h4&gt;&lt;p&gt;This spell grants 1 hero point to the target. This hero point must be spent before the duration expires, or it is lost. The bonus hero point is spent before any other hero points the target might possess.&lt;/p&gt;&lt;/h4&gt;&lt;/div&gt;</t>
  </si>
  <si>
    <t>Heroic Fortune, Mass</t>
  </si>
  <si>
    <t>bard 4, cleric 5/oracle 5</t>
  </si>
  <si>
    <t>V, S, DF, M (diamond dust worth 1,000 gp)</t>
  </si>
  <si>
    <t>This spell functions like heroic fortune, except as noted above.</t>
  </si>
  <si>
    <t>&lt;p&gt;This spell functions like &lt;i&gt;heroic fortune&lt;/i&gt;, except as noted above.&lt;/p&gt;</t>
  </si>
  <si>
    <t>&lt;link rel="stylesheet"href="PF.css"&gt;&lt;div class="heading"&gt;&lt;p class="alignleft"&gt;Heroic Fortune, Mass&lt;/p&gt;&lt;div style="clear: both;"&gt;&lt;/div&gt;&lt;/div&gt;&lt;div&gt;&lt;h5&gt;&lt;b&gt;School &lt;/b&gt;evocation; &lt;b&gt;Level &lt;/b&gt;bard 4, cleric 5/oracle 5&lt;/h5&gt;&lt;/div&gt;&lt;hr/&gt;&lt;div&gt;&lt;h5&gt;&lt;b&gt;CASTING&lt;/b&gt;&lt;/h5&gt;&lt;/div&gt;&lt;hr/&gt;&lt;div&gt;&lt;h5&gt;&lt;b&gt;Casting Time &lt;/b&gt;1 standard action&lt;/h5&gt;&lt;h5&gt;&lt;b&gt;Components &lt;/b&gt;V, S, DF, M (diamond dust worth 1,000 gp)&lt;/h5&gt;&lt;/div&gt;&lt;hr/&gt;&lt;div&gt;&lt;h5&gt;&lt;b&gt;EFFECT&lt;/b&gt;&lt;/h5&gt;&lt;/div&gt;&lt;hr/&gt;&lt;div&gt;&lt;h5&gt;&lt;b&gt;Range &lt;/b&gt;close (25 ft. + 5 ft./2 levels)&lt;/h5&gt;&lt;h5&gt;&lt;b&gt;Targets &lt;/b&gt;one or more creatures, no two of which can be more than 30 ft. apart&lt;/h5&gt;&lt;h5&gt;&lt;b&gt;Duration &lt;/b&gt;1 round/level&lt;/h5&gt;&lt;h5&gt;&lt;b&gt;Saving Throw &lt;/b&gt;Will negates (harmless); &lt;b&gt;Spell Resistance &lt;/b&gt;no&lt;/h5&gt;&lt;/div&gt;&lt;hr/&gt;&lt;div&gt;&lt;h5&gt;&lt;b&gt;DESCRIPTION&lt;/b&gt;&lt;/h5&gt;&lt;/div&gt;&lt;hr/&gt;&lt;div&gt;&lt;h4&gt;&lt;p&gt;This spell functions like &lt;i&gt;heroic fortune&lt;/i&gt;, except as noted above.&lt;/p&gt;&lt;/h4&gt;&lt;/div&gt;</t>
  </si>
  <si>
    <t>Malediction</t>
  </si>
  <si>
    <t>V, S, F (onyx dust worth 500 gp)</t>
  </si>
  <si>
    <t>instantaneous/1 minute per HD of the target; see text</t>
  </si>
  <si>
    <t>You utter a dire curse over the body of a dying creature, allowing you to consume its waning life force. Upon this spell, you touch a living creature that has -1 or fewer hit points. If the target fails its saving throw, it dies and you gain 1 hero point for every 5 Hit Dice possessed by the target (minimum 1, maximum 3). These hero points last for a number of minutes equal to the target's Hit Dice. Any hero points remaining when this spell ends are lost.</t>
  </si>
  <si>
    <t>&lt;p&gt;You utter a dire curse over the body of a dying creature, allowing you to consume its waning life force. Upon this spell, you touch a living creature that has -1 or fewer hit points. If the target fails its saving throw, it dies and you gain 1 hero point for every 5 Hit Dice possessed by the target (minimum 1, maximum 3). These hero points last for a number of minutes equal to the target's Hit Dice. Any hero points remaining when this spell ends are lost.&lt;/p&gt;</t>
  </si>
  <si>
    <t>&lt;link rel="stylesheet"href="PF.css"&gt;&lt;div class="heading"&gt;&lt;p class="alignleft"&gt;Malediction&lt;/p&gt;&lt;div style="clear: both;"&gt;&lt;/div&gt;&lt;/div&gt;&lt;div&gt;&lt;h5&gt;&lt;b&gt;School &lt;/b&gt;necromancy [death, evil]; &lt;b&gt;Level &lt;/b&gt;sorcerer/wizard 3, witch 3&lt;/h5&gt;&lt;/div&gt;&lt;hr/&gt;&lt;div&gt;&lt;h5&gt;&lt;b&gt;CASTING&lt;/b&gt;&lt;/h5&gt;&lt;/div&gt;&lt;hr/&gt;&lt;div&gt;&lt;h5&gt;&lt;b&gt;Casting Time &lt;/b&gt;1 standard action&lt;/h5&gt;&lt;h5&gt;&lt;b&gt;Components &lt;/b&gt;V, S, F (onyx dust worth 500 gp)&lt;/h5&gt;&lt;/div&gt;&lt;hr/&gt;&lt;div&gt;&lt;h5&gt;&lt;b&gt;EFFECT&lt;/b&gt;&lt;/h5&gt;&lt;/div&gt;&lt;hr/&gt;&lt;div&gt;&lt;h5&gt;&lt;b&gt;Range &lt;/b&gt;touch&lt;/h5&gt;&lt;h5&gt;&lt;b&gt;Targets &lt;/b&gt;living creature touched&lt;/h5&gt;&lt;h5&gt;&lt;b&gt;Duration &lt;/b&gt;instantaneous/1 minute per HD of the target; see text&lt;/h5&gt;&lt;h5&gt;&lt;b&gt;Saving Throw &lt;/b&gt;Will negates; &lt;b&gt;Spell Resistance &lt;/b&gt;yes&lt;/h5&gt;&lt;/div&gt;&lt;hr/&gt;&lt;div&gt;&lt;h5&gt;&lt;b&gt;DESCRIPTION&lt;/b&gt;&lt;/h5&gt;&lt;/div&gt;&lt;hr/&gt;&lt;div&gt;&lt;h4&gt;&lt;p&gt;You utter a dire curse over the body of a dying creature, allowing you to consume its waning life force. Upon this spell, you touch a living creature that has -1 or fewer hit points. If the target fails its saving throw, it dies and you gain 1 hero point for every 5 Hit Dice possessed by the target (minimum 1, maximum 3). These hero points last for a number of minutes equal to the target's Hit Dice. Any hero points remaining when this spell ends are lost.&lt;/p&gt;&lt;/h4&gt;&lt;/div&gt;</t>
  </si>
  <si>
    <t>Severed Fate</t>
  </si>
  <si>
    <t>cleric 3/oracle 3, witch 2</t>
  </si>
  <si>
    <t>You curse the target, preventing it from drawing upon the powers of destiny. The target is shaken and cannot use hero points for the duration of the spell. This effect can be removed by dispel magic, remove curse, or other similar effects.</t>
  </si>
  <si>
    <t>&lt;p&gt;You curse the target, preventing it from drawing upon the powers of destiny. The target is shaken and cannot use hero points for the duration of the spell. This effect can be removed by &lt;i&gt;dispel magic&lt;/i&gt;, &lt;i&gt;remove curse&lt;/i&gt;, or other similar effects.&lt;/p&gt;</t>
  </si>
  <si>
    <t>&lt;link rel="stylesheet"href="PF.css"&gt;&lt;div class="heading"&gt;&lt;p class="alignleft"&gt;Severed Fate&lt;/p&gt;&lt;div style="clear: both;"&gt;&lt;/div&gt;&lt;/div&gt;&lt;div&gt;&lt;h5&gt;&lt;b&gt;School &lt;/b&gt;enchantment; &lt;b&gt;Level &lt;/b&gt;cleric 3/oracle 3, witch 2&lt;/h5&gt;&lt;/div&gt;&lt;hr/&gt;&lt;div&gt;&lt;h5&gt;&lt;b&gt;CASTING&lt;/b&gt;&lt;/h5&gt;&lt;/div&gt;&lt;hr/&gt;&lt;div&gt;&lt;h5&gt;&lt;b&gt;Casting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living creature&lt;/h5&gt;&lt;h5&gt;&lt;b&gt;Duration &lt;/b&gt;10 minutes/level&lt;/h5&gt;&lt;h5&gt;&lt;b&gt;Saving Throw &lt;/b&gt;Will negates; &lt;b&gt;Spell Resistance &lt;/b&gt;yes&lt;/h5&gt;&lt;/div&gt;&lt;hr/&gt;&lt;div&gt;&lt;h5&gt;&lt;b&gt;DESCRIPTION&lt;/b&gt;&lt;/h5&gt;&lt;/div&gt;&lt;hr/&gt;&lt;div&gt;&lt;h4&gt;&lt;p&gt;You curse the target, preventing it from drawing upon the powers of destiny. The target is shaken and cannot use hero points for the duration of the spell. This effect can be removed by &lt;i&gt;dispel magic&lt;/i&gt;, &lt;i&gt;remove curse&lt;/i&gt;, or other similar effects.&lt;/p&gt;&lt;/h4&gt;&lt;/div&gt;</t>
  </si>
  <si>
    <t>Unravel Destiny</t>
  </si>
  <si>
    <t>You utter a dire portent, causing destiny and fate to unravel around the target. This profoundly disturbing effect causes the target to suffer a cumulative -2 penalty on all ability checks, attack rolls, saving throws, and skill checks for every hero point it possesses. The target can reduce this penalty by spending hero points normally, but it takes 2d6 points of damage for each hero point spent while this spell is in effect.</t>
  </si>
  <si>
    <t>&lt;p&gt;You utter a dire portent, causing destiny and fate to unravel around the target. This profoundly disturbing effect causes the target to suffer a cumulative -2 penalty on all ability checks, attack rolls, saving throws, and skill checks for every hero point it possesses. The target can reduce this penalty by spending hero points normally, but it takes 2d6 points of damage for each hero point spent while this spell is in effect.&lt;/p&gt;</t>
  </si>
  <si>
    <t>&lt;link rel="stylesheet"href="PF.css"&gt;&lt;div class="heading"&gt;&lt;p class="alignleft"&gt;Unravel Destiny&lt;/p&gt;&lt;div style="clear: both;"&gt;&lt;/div&gt;&lt;/div&gt;&lt;div&gt;&lt;h5&gt;&lt;b&gt;School &lt;/b&gt;divination; &lt;b&gt;Level &lt;/b&gt;cleric 3/oracle 3, sorcerer/wizard 3, witch 3&lt;/h5&gt;&lt;/div&gt;&lt;hr/&gt;&lt;div&gt;&lt;h5&gt;&lt;b&gt;CASTING&lt;/b&gt;&lt;/h5&gt;&lt;/div&gt;&lt;hr/&gt;&lt;div&gt;&lt;h5&gt;&lt;b&gt;Casting Time &lt;/b&gt;1 standard action&lt;/h5&gt;&lt;h5&gt;&lt;b&gt;Components &lt;/b&gt;V, S, DF&lt;/h5&gt;&lt;/div&gt;&lt;hr/&gt;&lt;div&gt;&lt;h5&gt;&lt;b&gt;EFFECT&lt;/b&gt;&lt;/h5&gt;&lt;/div&gt;&lt;hr/&gt;&lt;div&gt;&lt;h5&gt;&lt;b&gt;Range &lt;/b&gt;short (25 ft. + 5 ft./2 levels)&lt;/h5&gt;&lt;h5&gt;&lt;b&gt;Targets &lt;/b&gt;one creature&lt;/h5&gt;&lt;h5&gt;&lt;b&gt;Duration &lt;/b&gt;1 round/level&lt;/h5&gt;&lt;h5&gt;&lt;b&gt;Saving Throw &lt;/b&gt;Will negates; &lt;b&gt;Spell Resistance &lt;/b&gt;yes&lt;/h5&gt;&lt;/div&gt;&lt;hr/&gt;&lt;div&gt;&lt;h5&gt;&lt;b&gt;DESCRIPTION&lt;/b&gt;&lt;/h5&gt;&lt;/div&gt;&lt;hr/&gt;&lt;div&gt;&lt;h4&gt;&lt;p&gt;You utter a dire portent, causing destiny and fate to unravel around the target. This profoundly disturbing effect causes the target to suffer a cumulative -2 penalty on all ability checks, attack rolls, saving throws, and skill checks for every hero point it possesses. The target can reduce this penalty by spending hero points normally, but it takes 2d6 points of damage for each hero point spent while this spell is in effect.&lt;/p&gt;&lt;/h4&gt;&lt;/div&gt;</t>
  </si>
  <si>
    <t>Embrace Destiny</t>
  </si>
  <si>
    <t>oracle 1, sorcerer/wizard 2, witch 2</t>
  </si>
  <si>
    <t>Upon completing this spell, roll a single d20 and record the result. At any point during the duration of this spell, you may use that roll for a single ability check, attack roll, initiative check, saving throw, or skill check, using the recorded result in place of a roll. This spell cannot be used to replace a roll that has already been made; the recorded result must be used instead of a roll. Once you have used this recorded result or the duration of the spell ends, the spell's effect ends. You can't have more than one instance of embrace destiny active on you at the same time.</t>
  </si>
  <si>
    <t>&lt;p&gt;Upon completing this spell, roll a single d20 and record the result. At any point during the duration of this spell, you may use that roll for a single ability check, attack roll, initiative check, saving throw, or skill check, using the recorded result in place of a roll. This spell cannot be used to replace a roll that has already been made; the recorded result must be used instead of a roll. Once you have used this recorded result or the duration of the spell ends, the spell's effect ends. You can't have more than one instance of &lt;i&gt;embrace destiny&lt;/i&gt; active on you at the same time.&lt;/p&gt;</t>
  </si>
  <si>
    <t>Lost Kingdoms</t>
  </si>
  <si>
    <t>&lt;link rel="stylesheet"href="PF.css"&gt;&lt;div class="heading"&gt;&lt;p class="alignleft"&gt;Embrace Destiny&lt;/p&gt;&lt;div style="clear: both;"&gt;&lt;/div&gt;&lt;/div&gt;&lt;div&gt;&lt;h5&gt;&lt;b&gt;School &lt;/b&gt;divination; &lt;b&gt;Level &lt;/b&gt;oracle 1, sorcerer/wizard 2, witch 2&lt;/h5&gt;&lt;/div&gt;&lt;hr/&gt;&lt;div&gt;&lt;h5&gt;&lt;b&gt;CASTING&lt;/b&gt;&lt;/h5&gt;&lt;/div&gt;&lt;hr/&gt;&lt;div&gt;&lt;h5&gt;&lt;b&gt;Casting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 (see text)&lt;/h5&gt;&lt;/div&gt;&lt;hr/&gt;&lt;div&gt;&lt;h5&gt;&lt;b&gt;DESCRIPTION&lt;/b&gt;&lt;/h5&gt;&lt;/div&gt;&lt;hr/&gt;&lt;div&gt;&lt;h4&gt;&lt;p&gt;Upon completing this spell, roll a single d20 and record the result. At any point during the duration of this spell, you may use that roll for a single ability check, attack roll, initiative check, saving throw, or skill check, using the recorded result in place of a roll. This spell cannot be used to replace a roll that has already been made; the recorded result must be used instead of a roll. Once you have used this recorded result or the duration of the spell ends, the spell's effect ends. You can't have more than one instance of &lt;i&gt;embrace destiny&lt;/i&gt; active on you at the same time.&lt;/p&gt;&lt;/h4&gt;&lt;/div&gt;</t>
  </si>
  <si>
    <t>Groundswell</t>
  </si>
  <si>
    <t>cleric 2/oracle 2, druid 2, magus 2, ranger 2</t>
  </si>
  <si>
    <t>This spell allows the target to cause the ground to rise up beneath him. As a swift action, the target can cause the ground to rise 5 feet, while all adjacent squares are treated as steep slopes (Core Rulebook 428). The groundswell precludes flanking from creatures standing at lower elevations than the target. If the target moves after creating a groundswell, the ground returns to its normal elevation at the end of his turn; otherwise, it remains in place until the target moves or uses a swift action to return the ground to normal. A groundswell cannot increase elevation of the ground beyond 5 feet.</t>
  </si>
  <si>
    <t>&lt;p&gt;This spell allows the target to cause the ground to rise up beneath him. As a swift action, the target can cause the ground to rise 5 feet, while all adjacent squares are treated as steep slopes (&lt;i&gt;Core Rulebook&lt;/i&gt; 428). The &lt;i&gt;groundswell&lt;/i&gt; precludes flanking from creatures standing at lower elevations than the target. If the target moves after creating a &lt;i&gt;groundswell&lt;/i&gt;, the ground returns to its normal elevation at the end of his turn; otherwise, it remains in place until the target moves or uses a swift action to return the ground to normal. A &lt;i&gt;groundswell&lt;/i&gt; cannot increase elevation of the ground beyond 5 feet.&lt;/p&gt;</t>
  </si>
  <si>
    <t>Advanced Race Guide</t>
  </si>
  <si>
    <t>&lt;link rel="stylesheet"href="PF.css"&gt;&lt;div class="heading"&gt;&lt;p class="alignleft"&gt;Groundswell&lt;/p&gt;&lt;div style="clear: both;"&gt;&lt;/div&gt;&lt;/div&gt;&lt;div&gt;&lt;h5&gt;&lt;b&gt;School &lt;/b&gt;transmutation [earth]; &lt;b&gt;Level &lt;/b&gt;cleric 2/oracle 2, druid 2, magus 2, ranger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minute/level&lt;/h5&gt;&lt;h5&gt;&lt;b&gt;Saving Throw &lt;/b&gt;Fortitude negates (harmless); &lt;b&gt;Spell Resistance &lt;/b&gt;yes (harmless)&lt;/h5&gt;&lt;/div&gt;&lt;hr/&gt;&lt;div&gt;&lt;h5&gt;&lt;b&gt;DESCRIPTION&lt;/b&gt;&lt;/h5&gt;&lt;/div&gt;&lt;hr/&gt;&lt;div&gt;&lt;h4&gt;&lt;p&gt;This spell allows the target to cause the ground to rise up beneath him. As a swift action, the target can cause the ground to rise 5 feet, while all adjacent squares are treated as steep slopes (&lt;i&gt;Core Rulebook&lt;/i&gt; 428). The &lt;i&gt;groundswell&lt;/i&gt; precludes flanking from creatures standing at lower elevations than the target. If the target moves after creating a &lt;i&gt;groundswell&lt;/i&gt;, the ground returns to its normal elevation at the end of his turn; otherwise, it remains in place until the target moves or uses a swift action to return the ground to normal. A &lt;i&gt;groundswell&lt;/i&gt; cannot increase elevation of the ground beyond 5 feet.&lt;/p&gt;&lt;/h4&gt;&lt;/div&gt;</t>
  </si>
  <si>
    <t>Ironbeard</t>
  </si>
  <si>
    <t>antipaladin 1, cleric 1/oracle 1, magus 1, paladin 1, ranger 1</t>
  </si>
  <si>
    <t>This spell causes a brushy beard of stiff iron to erupt from the face of a willing target. The ironbeard grants a +1 armor bonus to AC, and this bonus stacks with any armor worn by the creature. The ironbeard may also be used as a weapon equivalent to cold iron armor spikes. The ironbeard makes it difficult to speak, so any spellcasting with a verbal component has a 20% spell failure chance.</t>
  </si>
  <si>
    <t>&lt;p&gt;This spell causes a brushy beard of stiff iron to erupt from the face of a willing target. The &lt;i&gt;ironbeard&lt;/i&gt; grants a +1 armor bonus to AC, and this bonus stacks with any armor worn by the creature. The &lt;i&gt;ironbeard&lt;/i&gt; may also be used as a weapon equivalent to cold iron armor spikes. The &lt;i&gt;ironbeard&lt;/i&gt; makes it difficult to speak, so any spellcasting with a verbal component has a 20% spell failure chance.&lt;/p&gt;</t>
  </si>
  <si>
    <t>&lt;link rel="stylesheet"href="PF.css"&gt;&lt;div class="heading"&gt;&lt;p class="alignleft"&gt;Ironbeard&lt;/p&gt;&lt;div style="clear: both;"&gt;&lt;/div&gt;&lt;/div&gt;&lt;div&gt;&lt;h5&gt;&lt;b&gt;School &lt;/b&gt;transmutation; &lt;b&gt;Level &lt;/b&gt;antipaladin 1, cleric 1/oracle 1, magus 1, paladin 1, ranger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minute/level&lt;/h5&gt;&lt;h5&gt;&lt;b&gt;Saving Throw &lt;/b&gt;Fortitude negates (harmless); &lt;b&gt;Spell Resistance &lt;/b&gt;yes (harmless)&lt;/h5&gt;&lt;/div&gt;&lt;hr/&gt;&lt;div&gt;&lt;h5&gt;&lt;b&gt;DESCRIPTION&lt;/b&gt;&lt;/h5&gt;&lt;/div&gt;&lt;hr/&gt;&lt;div&gt;&lt;h4&gt;&lt;p&gt;This spell causes a brushy beard of stiff iron to erupt from the face of a willing target. The &lt;i&gt;ironbeard&lt;/i&gt; grants a +1 armor bonus to AC, and this bonus stacks with any armor worn by the creature. The &lt;i&gt;ironbeard&lt;/i&gt; may also be used as a weapon equivalent to cold iron armor spikes. The &lt;i&gt;ironbeard&lt;/i&gt; makes it difficult to speak, so any spellcasting with a verbal component has a 20% spell failure chance.&lt;/p&gt;&lt;/h4&gt;&lt;/div&gt;</t>
  </si>
  <si>
    <t>Toilsome Chant</t>
  </si>
  <si>
    <t>You can cast this spell as part of the action to begin an inspire competence bardic performance. The benefit of inspire competence persists for as long as is necessary to complete the target's next skill check using the chosen skill (up to a maximum of 1 hour per caster level), even if you cease your bardic performance.</t>
  </si>
  <si>
    <t>&lt;p&gt;You can cast this spell as part of the action to begin an inspire competence bardic performance. The benefit of inspire competence persists for as long as is necessary to complete the target's next skill check using the chosen skill (up to a maximum of 1 hour per caster level), even if you cease your bardic performance.&lt;/p&gt;</t>
  </si>
  <si>
    <t>&lt;link rel="stylesheet"href="PF.css"&gt;&lt;div class="heading"&gt;&lt;p class="alignleft"&gt;Toilsome Chant&lt;/p&gt;&lt;div style="clear: both;"&gt;&lt;/div&gt;&lt;/div&gt;&lt;div&gt;&lt;h5&gt;&lt;b&gt;School &lt;/b&gt;enchantment (compulsion) [mind-affecting]; &lt;b&gt;Level &lt;/b&gt;bard 1&lt;/h5&gt;&lt;/div&gt;&lt;hr/&gt;&lt;div&gt;&lt;h5&gt;&lt;b&gt;CASTING&lt;/b&gt;&lt;/h5&gt;&lt;/div&gt;&lt;hr/&gt;&lt;div&gt;&lt;h5&gt;&lt;b&gt;Casting Time &lt;/b&gt;see text&lt;/h5&gt;&lt;h5&gt;&lt;b&gt;Components &lt;/b&gt;V, S&lt;/h5&gt;&lt;/div&gt;&lt;hr/&gt;&lt;div&gt;&lt;h5&gt;&lt;b&gt;EFFECT&lt;/b&gt;&lt;/h5&gt;&lt;/div&gt;&lt;hr/&gt;&lt;div&gt;&lt;h5&gt;&lt;b&gt;Range &lt;/b&gt;close (25 ft. + 5 ft./2 levels)&lt;/h5&gt;&lt;h5&gt;&lt;b&gt;Targets &lt;/b&gt;one living creature&lt;/h5&gt;&lt;h5&gt;&lt;b&gt;Duration &lt;/b&gt;see text&lt;/h5&gt;&lt;h5&gt;&lt;b&gt;Saving Throw &lt;/b&gt;Will negates (harmless); &lt;b&gt;Spell Resistance &lt;/b&gt;yes (harmless)&lt;/h5&gt;&lt;/div&gt;&lt;hr/&gt;&lt;div&gt;&lt;h5&gt;&lt;b&gt;DESCRIPTION&lt;/b&gt;&lt;/h5&gt;&lt;/div&gt;&lt;hr/&gt;&lt;div&gt;&lt;h4&gt;&lt;p&gt;You can cast this spell as part of the action to begin an inspire competence bardic performance. The benefit of inspire competence persists for as long as is necessary to complete the target's next skill check using the chosen skill (up to a maximum of 1 hour per caster level), even if you cease your bardic performance.&lt;/p&gt;&lt;/h4&gt;&lt;/div&gt;</t>
  </si>
  <si>
    <t>Blend</t>
  </si>
  <si>
    <t>alchemist 1, druid 1, magus 1, ranger 1, sorcerer/wizard 1, witch 1</t>
  </si>
  <si>
    <t>You draw upon your elven link to the wilderness to change the coloration of yourself and your equipment to match that of your surroundings. This grants you a +4 circumstance bonus on Stealth checks and allows you to make Stealth checks without cover or concealment, but only while you move no more than half your base speed or less. If you move more than half your base speed on your turn, you gain no benefit from this spell until the start of your next turn. If you make an attack, this spell ends (as invisibility).</t>
  </si>
  <si>
    <t>&lt;p&gt;You draw upon your elven link to the wilderness to change the coloration of yourself and your equipment to match that of your surroundings. This grants you a +4 circumstance bonus on Stealth checks and allows you to make Stealth checks without cover or concealment, but only while you move no more than half your base speed or less. If you move more than half your base speed on your turn, you gain no benefit from this spell until the start of your next turn. If you make an attack, this spell ends (as invisibility).&lt;/p&gt;</t>
  </si>
  <si>
    <t>&lt;link rel="stylesheet"href="PF.css"&gt;&lt;div class="heading"&gt;&lt;p class="alignleft"&gt;Blend&lt;/p&gt;&lt;div style="clear: both;"&gt;&lt;/div&gt;&lt;/div&gt;&lt;div&gt;&lt;h5&gt;&lt;b&gt;School &lt;/b&gt;illusion (glamer); &lt;b&gt;Level &lt;/b&gt;alchemist 1, druid 1, magus 1, ranger 1, sorcerer/wizard 1, witch 1&lt;/h5&gt;&lt;/div&gt;&lt;hr/&gt;&lt;div&gt;&lt;h5&gt;&lt;b&gt;CASTING&lt;/b&gt;&lt;/h5&gt;&lt;/div&gt;&lt;hr/&gt;&lt;div&gt;&lt;h5&gt;&lt;b&gt;Casting Time &lt;/b&gt;1 standard action&lt;/h5&gt;&lt;h5&gt;&lt;b&gt;Components &lt;/b&gt;S&lt;/h5&gt;&lt;/div&gt;&lt;hr/&gt;&lt;div&gt;&lt;h5&gt;&lt;b&gt;EFFECT&lt;/b&gt;&lt;/h5&gt;&lt;/div&gt;&lt;hr/&gt;&lt;div&gt;&lt;h5&gt;&lt;b&gt;Range &lt;/b&gt;personal&lt;/h5&gt;&lt;h5&gt;&lt;b&gt;Targets &lt;/b&gt;you&lt;/h5&gt;&lt;h5&gt;&lt;b&gt;Duration &lt;/b&gt;10 minutes/level&lt;/h5&gt;&lt;/div&gt;&lt;hr/&gt;&lt;div&gt;&lt;h5&gt;&lt;b&gt;DESCRIPTION&lt;/b&gt;&lt;/h5&gt;&lt;/div&gt;&lt;hr/&gt;&lt;div&gt;&lt;h4&gt;&lt;p&gt;You draw upon your elven link to the wilderness to change the coloration of yourself and your equipment to match that of your surroundings. This grants you a +4 circumstance bonus on Stealth checks and allows you to make Stealth checks without cover or concealment, but only while you move no more than half your base speed or less. If you move more than half your base speed on your turn, you gain no benefit from this spell until the start of your next turn. If you make an attack, this spell ends (as invisibility).&lt;/p&gt;&lt;/h4&gt;&lt;/div&gt;</t>
  </si>
  <si>
    <t>Ward Of The Season</t>
  </si>
  <si>
    <t>cleric 4/oracle 4, druid 3, ranger 3, witch 3</t>
  </si>
  <si>
    <t>This spell harnesses the power of the seasons to protect the target and grant a number of bonuses. This spell has one of four different effects. The caster of the spell can select any one of the following four effects, but can change the effect as a standard action that reduces the total remaining duration by 1 hour. Spring: The target is wrapped in light vines, culminating in a crown of bright, beautiful flowers. While the spell remains in effect, the target is immune to bleed effects and regains 1 hit point per round whenever below 0 hit points, as long as the target is still alive. This stabilizes the target. For each hit point restored in this way, the spell's total remaining duration is reduced by 1 hour. Summer: The target is surrounded by tiny motes of light. While the spell remains in effect, the target's base speed increases 10 feet. The target may instead increase its base speed by 30 feet for 1 round by reducing the spell's total remaining duration by 1 hour. Fall: A cloak of autumn leaves appears on the target. While the spell remains in effect, the target gains a +2 morale bonus on Fortitude saves. The target can decide to roll twice on any saving throw against disease or poison and take the higher result by reducing the spell's total remaining duration by 1 hour. Winter: A flutter of snow and crisp air surrounds the target. While this spell remains in effect, the target automatically succeeds at Acrobatics skill checks made to avoid falling while moving across slick or narrow surfaces. The target can move freely through difficult terrain for 1 round by reducing the spell's remaining duration by 1 hour. Difficult terrain created by magic affects the target normally.</t>
  </si>
  <si>
    <t>&lt;p&gt;This spell harnesses the power of the seasons to protect the target and grant a number of bonuses. This spell has one of four different effects. The caster of the spell can select any one of the following four effects, but can change the effect as a standard action that reduces the total remaining duration by 1 hour. &lt;i&gt;Spring&lt;/i&gt;: The target is wrapped in light vines, culminating in a crown of bright, beautiful flowers. While the spell remains in effect, the target is immune to bleed effects and regains 1 hit point per round whenever below 0 hit points, as long as the target is still alive. This stabilizes the target. For each hit point restored in this way, the spell's total remaining duration is reduced by 1 hour. &lt;i&gt;Summer&lt;/i&gt;: The target is surrounded by tiny motes of light. While the spell remains in effect, the target's base speed increases 10 feet. The target may instead increase its base speed by 30 feet for 1 round by reducing the spell's total remaining duration by 1 hour. &lt;i&gt;Fall&lt;/i&gt;: A cloak of autumn leaves appears on the target. While the spell remains in effect, the target gains a +2 morale bonus on Fortitude saves. The target can decide to roll twice on any saving throw against disease or poison and take the higher result by reducing the spell's total remaining duration by 1 hour. &lt;i&gt;Winter&lt;/i&gt;: A flutter of snow and crisp air surrounds the target. While this spell remains in effect, the target automatically succeeds at Acrobatics skill checks made to avoid falling while moving across slick or narrow surfaces. The target can move freely through difficult terrain for 1 round by reducing the spell's remaining duration by 1 hour. Difficult terrain created by magic affects the target normally.&lt;/p&gt;</t>
  </si>
  <si>
    <t>&lt;link rel="stylesheet"href="PF.css"&gt;&lt;div class="heading"&gt;&lt;p class="alignleft"&gt;Ward Of The Season&lt;/p&gt;&lt;div style="clear: both;"&gt;&lt;/div&gt;&lt;/div&gt;&lt;div&gt;&lt;h5&gt;&lt;b&gt;School &lt;/b&gt;abjuration; &lt;b&gt;Level &lt;/b&gt;cleric 4/oracle 4, druid 3, ranger 3, witch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&lt;/b&gt;one creature&lt;/h5&gt;&lt;h5&gt;&lt;b&gt;Duration &lt;/b&gt;1 hour/level&lt;/h5&gt;&lt;h5&gt;&lt;b&gt;Saving Throw &lt;/b&gt;Will negates (harmless); &lt;b&gt;Spell Resistance &lt;/b&gt;no&lt;/h5&gt;&lt;/div&gt;&lt;hr/&gt;&lt;div&gt;&lt;h5&gt;&lt;b&gt;DESCRIPTION&lt;/b&gt;&lt;/h5&gt;&lt;/div&gt;&lt;hr/&gt;&lt;div&gt;&lt;h4&gt;&lt;p&gt;This spell harnesses the power of the seasons to protect the target and grant a number of bonuses. This spell has one of four different effects. The caster of the spell can select any one of the following four effects, but can change the effect as a standard action that reduces the total remaining duration by 1 hour. &lt;i&gt;Spring&lt;/i&gt;: The target is wrapped in light vines, culminating in a crown of bright, beautiful flowers. While the spell remains in effect, the target is immune to bleed effects and regains 1 hit point per round whenever below 0 hit points, as long as the target is still alive. This stabilizes the target. For each hit point restored in this way, the spell's total remaining duration is reduced by 1 hour. &lt;i&gt;Summer&lt;/i&gt;: The target is surrounded by tiny motes of light. While the spell remains in effect, the target's base speed increases 10 feet. The target may instead increase its base speed by 30 feet for 1 round by reducing the spell's total remaining duration by 1 hour. &lt;i&gt;Fall&lt;/i&gt;: A cloak of autumn leaves appears on the target. While the spell remains in effect, the target gains a +2 morale bonus on Fortitude saves. The target can decide to roll twice on any saving throw against disease or poison and take the higher result by reducing the spell's total remaining duration by 1 hour. &lt;i&gt;Winter&lt;/i&gt;: A flutter of snow and crisp air surrounds the target. While this spell remains in effect, the target automatically succeeds at Acrobatics skill checks made to avoid falling while moving across slick or narrow surfaces. The target can move freely through difficult terrain for 1 round by reducing the spell's remaining duration by 1 hour. Difficult terrain created by magic affects the target normally.&lt;/p&gt;&lt;/h4&gt;&lt;/div&gt;</t>
  </si>
  <si>
    <t>Whispering Lore</t>
  </si>
  <si>
    <t>cleric 2/oracle 2, druid 1, ranger 1, witch 1</t>
  </si>
  <si>
    <t>V, S, M/DF (an owl's beak)</t>
  </si>
  <si>
    <t>Upon casting this spell, you are able to gain knowledge from the land itself. As you walk through the terrain, it whisper information in a language you understand, though the whispering is so rambling it is hard to distinguish useful information. This whispering grants you a +4 insight bonus on a single Knowledge skill type appropriate to the type of terrain you are in. If you are within a cold, desert, forest, jungle, mountain, plains, swamp, or water environment, you gain the bonus on Knowledge (nature) checks. If you are within an underground environment, you gain the bonus on Knowledge (dungeoneering) checks. If you are within an urban environment, you gain the bonus on Knowledge (local) checks. If you are on a plane other than the Material Plane, you gain the bonus on Knowledge (planes) checks. If you enter a new terrain, you lose the previous terrain's skill bonus and gain the new bonus.</t>
  </si>
  <si>
    <t>&lt;p&gt;Upon casting this spell, you are able to gain knowledge from the land itself. As you walk through the terrain, it whisper information in a language you understand, though the whispering is so rambling it is hard to distinguish useful information. This whispering grants you a +4 insight bonus on a single Knowledge skill type appropriate to the type of terrain you are in. If you are within a cold, desert, forest, jungle, mountain, plains, swamp, or water environment, you gain the bonus on Knowledge (nature) checks. If you are within an underground environment, you gain the bonus on Knowledge (dungeoneering) checks. If you are within an urban environment, you gain the bonus on Knowledge (local) checks. If you are on a plane other than the Material Plane, you gain the bonus on Knowledge (planes) checks. If you enter a new terrain, you lose the previous terrain's skill bonus and gain the new bonus.&lt;/p&gt;</t>
  </si>
  <si>
    <t>&lt;link rel="stylesheet"href="PF.css"&gt;&lt;div class="heading"&gt;&lt;p class="alignleft"&gt;Whispering Lore&lt;/p&gt;&lt;div style="clear: both;"&gt;&lt;/div&gt;&lt;/div&gt;&lt;div&gt;&lt;h5&gt;&lt;b&gt;School &lt;/b&gt;divination; &lt;b&gt;Level &lt;/b&gt;cleric 2/oracle 2, druid 1, ranger 1, witch 1&lt;/h5&gt;&lt;/div&gt;&lt;hr/&gt;&lt;div&gt;&lt;h5&gt;&lt;b&gt;CASTING&lt;/b&gt;&lt;/h5&gt;&lt;/div&gt;&lt;hr/&gt;&lt;div&gt;&lt;h5&gt;&lt;b&gt;Casting Time &lt;/b&gt;1 full-round action&lt;/h5&gt;&lt;h5&gt;&lt;b&gt;Components &lt;/b&gt;V, S, M/DF (an owl's beak)&lt;/h5&gt;&lt;/div&gt;&lt;hr/&gt;&lt;div&gt;&lt;h5&gt;&lt;b&gt;EFFECT&lt;/b&gt;&lt;/h5&gt;&lt;/div&gt;&lt;hr/&gt;&lt;div&gt;&lt;h5&gt;&lt;b&gt;Range &lt;/b&gt;personal&lt;/h5&gt;&lt;h5&gt;&lt;b&gt;Targets &lt;/b&gt;you&lt;/h5&gt;&lt;h5&gt;&lt;b&gt;Duration &lt;/b&gt;10 minutes/level (D)&lt;/h5&gt;&lt;/div&gt;&lt;hr/&gt;&lt;div&gt;&lt;h5&gt;&lt;b&gt;DESCRIPTION&lt;/b&gt;&lt;/h5&gt;&lt;/div&gt;&lt;hr/&gt;&lt;div&gt;&lt;h4&gt;&lt;p&gt;Upon casting this spell, you are able to gain knowledge from the land itself. As you walk through the terrain, it whisper information in a language you understand, though the whispering is so rambling it is hard to distinguish useful information. This whispering grants you a +4 insight bonus on a single Knowledge skill type appropriate to the type of terrain you are in. If you are within a cold, desert, forest, jungle, mountain, plains, swamp, or water environment, you gain the bonus on Knowledge (nature) checks. If you are within an underground environment, you gain the bonus on Knowledge (dungeoneering) checks. If you are within an urban environment, you gain the bonus on Knowledge (local) checks. If you are on a plane other than the Material Plane, you gain the bonus on Knowledge (planes) checks. If you enter a new terrain, you lose the previous terrain's skill bonus and gain the new bonus.&lt;/p&gt;&lt;/h4&gt;&lt;/div&gt;</t>
  </si>
  <si>
    <t>Death From Below</t>
  </si>
  <si>
    <t>bard 3, sorcerer/wizard 2</t>
  </si>
  <si>
    <t>You grant the target a dodge bonus to its Armor Class against attacks from larger creatures. The bonus is equal to +1 for every size category the attacker is larger than the target of the spell, to a maximum of +1 per 3 caster levels. If the spell's target is a gnome, the maximum bonus is equal to +1 per 2 caster levels.</t>
  </si>
  <si>
    <t>&lt;p&gt;You grant the target a dodge bonus to its Armor Class against attacks from larger creatures. The bonus is equal to +1 for every size category the attacker is larger than the target of the spell, to a maximum of +1 per 3 caster levels. If the spell's target is a gnome, the maximum bonus is equal to +1 per 2 caster levels.&lt;/p&gt;</t>
  </si>
  <si>
    <t>&lt;link rel="stylesheet"href="PF.css"&gt;&lt;div class="heading"&gt;&lt;p class="alignleft"&gt;Death From Below&lt;/p&gt;&lt;div style="clear: both;"&gt;&lt;/div&gt;&lt;/div&gt;&lt;div&gt;&lt;h5&gt;&lt;b&gt;School &lt;/b&gt;abjuration; &lt;b&gt;Level &lt;/b&gt;bard 3, sorcerer/wizard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round/level&lt;/h5&gt;&lt;h5&gt;&lt;b&gt;Saving Throw &lt;/b&gt;Fortitude negates (harmless); &lt;b&gt;Spell Resistance &lt;/b&gt;yes (harmless)&lt;/h5&gt;&lt;/div&gt;&lt;hr/&gt;&lt;div&gt;&lt;h5&gt;&lt;b&gt;DESCRIPTION&lt;/b&gt;&lt;/h5&gt;&lt;/div&gt;&lt;hr/&gt;&lt;div&gt;&lt;h4&gt;&lt;p&gt;You grant the target a dodge bonus to its Armor Class against attacks from larger creatures. The bonus is equal to +1 for every size category the attacker is larger than the target of the spell, to a maximum of +1 per 3 caster levels. If the spell's target is a gnome, the maximum bonus is equal to +1 per 2 caster levels.&lt;/p&gt;&lt;/h4&gt;&lt;/div&gt;</t>
  </si>
  <si>
    <t>Jitterbugs</t>
  </si>
  <si>
    <t>short (25 ft. +5 ft. 2/levels)</t>
  </si>
  <si>
    <t>You cause the target to perceive itself as being covered in creeping, crawling, stinging bugs. This causes the target to become jittery and unable to stay still, forcing it to constantly move and twitch. The target takes a -4 penalty on all Dexterity checks and Dexterity-based skill checks, and cannot take the delay, ready, or total defense actions.</t>
  </si>
  <si>
    <t>&lt;p&gt;You cause the target to perceive itself as being covered in creeping, crawling, stinging bugs. This causes the target to become jittery and unable to stay still, forcing it to constantly move and twitch. The target takes a -4 penalty on all Dexterity checks and Dexterity-based skill checks, and cannot take the delay, ready, or total defense actions.&lt;/p&gt;</t>
  </si>
  <si>
    <t>&lt;link rel="stylesheet"href="PF.css"&gt;&lt;div class="heading"&gt;&lt;p class="alignleft"&gt;Jitterbugs&lt;/p&gt;&lt;div style="clear: both;"&gt;&lt;/div&gt;&lt;/div&gt;&lt;div&gt;&lt;h5&gt;&lt;b&gt;School &lt;/b&gt;illusion (figment) [mind-affecting]; &lt;b&gt;Level &lt;/b&gt;bard 1, sorcerer/wizard 2&lt;/h5&gt;&lt;/div&gt;&lt;hr/&gt;&lt;div&gt;&lt;h5&gt;&lt;b&gt;CASTING&lt;/b&gt;&lt;/h5&gt;&lt;/div&gt;&lt;hr/&gt;&lt;div&gt;&lt;h5&gt;&lt;b&gt;Casting Time &lt;/b&gt;1 standard action&lt;/h5&gt;&lt;h5&gt;&lt;b&gt;Components &lt;/b&gt;V, S&lt;/h5&gt;&lt;/div&gt;&lt;hr/&gt;&lt;div&gt;&lt;h5&gt;&lt;b&gt;EFFECT&lt;/b&gt;&lt;/h5&gt;&lt;/div&gt;&lt;hr/&gt;&lt;div&gt;&lt;h5&gt;&lt;b&gt;Range &lt;/b&gt;short (25 ft. +5 ft. 2/levels)&lt;/h5&gt;&lt;h5&gt;&lt;b&gt;Targets &lt;/b&gt;one creature&lt;/h5&gt;&lt;h5&gt;&lt;b&gt;Duration &lt;/b&gt;1 round/level&lt;/h5&gt;&lt;h5&gt;&lt;b&gt;Saving Throw &lt;/b&gt;Will negates; &lt;b&gt;Spell Resistance &lt;/b&gt;yes&lt;/h5&gt;&lt;/div&gt;&lt;hr/&gt;&lt;div&gt;&lt;h5&gt;&lt;b&gt;DESCRIPTION&lt;/b&gt;&lt;/h5&gt;&lt;/div&gt;&lt;hr/&gt;&lt;div&gt;&lt;h4&gt;&lt;p&gt;You cause the target to perceive itself as being covered in creeping, crawling, stinging bugs. This causes the target to become jittery and unable to stay still, forcing it to constantly move and twitch. The target takes a -4 penalty on all Dexterity checks and Dexterity-based skill checks, and cannot take the delay, ready, or total defense actions.&lt;/p&gt;&lt;/h4&gt;&lt;h5&gt;&lt;b&gt;Mythic: &lt;/b&gt;Starting on the second round of the spell, the affected target must succeed at a Fortitude save on your turn or be nauseated for 1 round, as if distracted by an actual swarm.&lt;/h5&gt;&lt;/div&gt;</t>
  </si>
  <si>
    <t>Starting on the second round of the spell, the affected target must succeed at a Fortitude save on your turn or be nauseated for 1 round, as if distracted by an actual swarm.</t>
  </si>
  <si>
    <t>Major Phantom Object</t>
  </si>
  <si>
    <t>phantasmal, unattended, non-magical object, up to 1 cu. ft./level</t>
  </si>
  <si>
    <t>This spell functions as the major creation spell, except as noted above and the object created is a semi-real phantasm. Any creature that interacts with the object may make a Will save, with success causing the object to cease to exist. A gnome casting this spell may make a Spellcraft check in place of any Craft check required to make a complex item.</t>
  </si>
  <si>
    <t>&lt;p&gt;This spell functions as the &lt;i&gt;major creation spell&lt;/i&gt;, except as noted above and the object created is a semi-real phantasm. Any creature that interacts with the object may make a Will save, with success causing the object to cease to exist. A gnome casting this spell may make a Spellcraft check in place of any Craft check required to make a complex item.&lt;/p&gt;</t>
  </si>
  <si>
    <t>&lt;link rel="stylesheet"href="PF.css"&gt;&lt;div class="heading"&gt;&lt;p class="alignleft"&gt;Major Phantom Object&lt;/p&gt;&lt;div style="clear: both;"&gt;&lt;/div&gt;&lt;/div&gt;&lt;div&gt;&lt;h5&gt;&lt;b&gt;School &lt;/b&gt;illusion (figment) [mind-affecting]; &lt;b&gt;Level &lt;/b&gt;sorcerer/wizard 5&lt;/h5&gt;&lt;/div&gt;&lt;hr/&gt;&lt;div&gt;&lt;h5&gt;&lt;b&gt;CASTING&lt;/b&gt;&lt;/h5&gt;&lt;/div&gt;&lt;hr/&gt;&lt;div&gt;&lt;h5&gt;&lt;b&gt;Casting Time &lt;/b&gt;10 minutes&lt;/h5&gt;&lt;h5&gt;&lt;b&gt;Components &lt;/b&gt;V, S&lt;/h5&gt;&lt;/div&gt;&lt;hr/&gt;&lt;div&gt;&lt;h5&gt;&lt;b&gt;EFFECT&lt;/b&gt;&lt;/h5&gt;&lt;/div&gt;&lt;hr/&gt;&lt;div&gt;&lt;h5&gt;&lt;b&gt;Range &lt;/b&gt;close (25 ft. + 5 ft./2 levels)&lt;/h5&gt;&lt;h5&gt;&lt;b&gt;Effect &lt;/b&gt;phantasmal, unattended, non-magical object, up to 1 cu. ft./level&lt;/h5&gt;&lt;h5&gt;&lt;b&gt;Duration &lt;/b&gt;10 minutes/level (D)&lt;/h5&gt;&lt;h5&gt;&lt;b&gt;Saving Throw &lt;/b&gt;Will negates; &lt;b&gt;Spell Resistance &lt;/b&gt;yes&lt;/h5&gt;&lt;/div&gt;&lt;hr/&gt;&lt;div&gt;&lt;h5&gt;&lt;b&gt;DESCRIPTION&lt;/b&gt;&lt;/h5&gt;&lt;/div&gt;&lt;hr/&gt;&lt;div&gt;&lt;h4&gt;&lt;p&gt;This spell functions as the &lt;i&gt;major creation spell&lt;/i&gt;, except as noted above and the object created is a semi-real phantasm. Any creature that interacts with the object may make a Will save, with success causing the object to cease to exist. A gnome casting this spell may make a Spellcraft check in place of any Craft check required to make a complex item.&lt;/p&gt;&lt;/h4&gt;&lt;/div&gt;</t>
  </si>
  <si>
    <t>Minor Dream</t>
  </si>
  <si>
    <t>alchemist 2, bard 3, sorcerer/wizard 3, witch 2</t>
  </si>
  <si>
    <t>you or one gnome touched</t>
  </si>
  <si>
    <t>This spell functions as the dream spell, except as follows. The messenger must be yourself or a gnome touched. The message can be no longer than 20 words. If the recipient of the message is not asleep when the spell is cast, the spell automatically fails.</t>
  </si>
  <si>
    <t>&lt;p&gt;This spell functions as the &lt;i&gt;dream&lt;/i&gt; spell, except as follows. The messenger must be yourself or a gnome touched. The message can be no longer than 20 words. If the recipient of the message is not asleep when the spell is cast, the spell automatically fails.&lt;/p&gt;</t>
  </si>
  <si>
    <t>&lt;link rel="stylesheet"href="PF.css"&gt;&lt;div class="heading"&gt;&lt;p class="alignleft"&gt;Minor Dream&lt;/p&gt;&lt;div style="clear: both;"&gt;&lt;/div&gt;&lt;/div&gt;&lt;div&gt;&lt;h5&gt;&lt;b&gt;School &lt;/b&gt;illusion (figment) [mind-affecting]; &lt;b&gt;Level &lt;/b&gt;alchemist 2, bard 3, sorcerer/wizard 3, witch 2&lt;/h5&gt;&lt;/div&gt;&lt;hr/&gt;&lt;div&gt;&lt;h5&gt;&lt;b&gt;CASTING&lt;/b&gt;&lt;/h5&gt;&lt;/div&gt;&lt;hr/&gt;&lt;div&gt;&lt;h5&gt;&lt;b&gt;Casting Time &lt;/b&gt;1 minute&lt;/h5&gt;&lt;h5&gt;&lt;b&gt;Components &lt;/b&gt;V, S&lt;/h5&gt;&lt;/div&gt;&lt;hr/&gt;&lt;div&gt;&lt;h5&gt;&lt;b&gt;EFFECT&lt;/b&gt;&lt;/h5&gt;&lt;/div&gt;&lt;hr/&gt;&lt;div&gt;&lt;h5&gt;&lt;b&gt;Range &lt;/b&gt;unlimited&lt;/h5&gt;&lt;h5&gt;&lt;b&gt;Targets &lt;/b&gt;you or one gnome touched&lt;/h5&gt;&lt;h5&gt;&lt;b&gt;Duration &lt;/b&gt;see text&lt;/h5&gt;&lt;h5&gt;&lt;b&gt;Saving Throw &lt;/b&gt;none; &lt;b&gt;Spell Resistance &lt;/b&gt;yes&lt;/h5&gt;&lt;/div&gt;&lt;hr/&gt;&lt;div&gt;&lt;h5&gt;&lt;b&gt;DESCRIPTION&lt;/b&gt;&lt;/h5&gt;&lt;/div&gt;&lt;hr/&gt;&lt;div&gt;&lt;h4&gt;&lt;p&gt;This spell functions as the &lt;i&gt;dream&lt;/i&gt; spell, except as follows. The messenger must be yourself or a gnome touched. The message can be no longer than 20 words. If the recipient of the message is not asleep when the spell is cast, the spell automatically fails.&lt;/p&gt;&lt;/h4&gt;&lt;/div&gt;</t>
  </si>
  <si>
    <t>Minor Phantom Object</t>
  </si>
  <si>
    <t>phantasmal, unattended, nonmagical object of nonliving plant matter, up to 1 cu. ft./level</t>
  </si>
  <si>
    <t>This spell functions as the minor creation spell, except the object created is a semi-real phantasm. Any creature that interacts with the object may make a Will save, with success causing the object to cease to exist. A gnome casting this spell may make a Spellcraft check in place of any Craft check required to make a complex item.</t>
  </si>
  <si>
    <t>&lt;p&gt;This spell functions as the &lt;i&gt;minor creation spell&lt;/i&gt;, except the object created is a semi-real phantasm. Any creature that interacts with the object may make a Will save, with success causing the object to cease to exist. A gnome casting this spell may make a Spellcraft check in place of any Craft check required to make a complex item.&lt;/p&gt;</t>
  </si>
  <si>
    <t>&lt;link rel="stylesheet"href="PF.css"&gt;&lt;div class="heading"&gt;&lt;p class="alignleft"&gt;Minor Phantom Object&lt;/p&gt;&lt;div style="clear: both;"&gt;&lt;/div&gt;&lt;/div&gt;&lt;div&gt;&lt;h5&gt;&lt;b&gt;School &lt;/b&gt;illusion (figment) [mind-affecting]; &lt;b&gt;Level &lt;/b&gt;sorcerer/wizard 4&lt;/h5&gt;&lt;/div&gt;&lt;hr/&gt;&lt;div&gt;&lt;h5&gt;&lt;b&gt;CASTING&lt;/b&gt;&lt;/h5&gt;&lt;/div&gt;&lt;hr/&gt;&lt;div&gt;&lt;h5&gt;&lt;b&gt;Casting Time &lt;/b&gt;1 minute&lt;/h5&gt;&lt;h5&gt;&lt;b&gt;Components &lt;/b&gt;V, S&lt;/h5&gt;&lt;/div&gt;&lt;hr/&gt;&lt;div&gt;&lt;h5&gt;&lt;b&gt;EFFECT&lt;/b&gt;&lt;/h5&gt;&lt;/div&gt;&lt;hr/&gt;&lt;div&gt;&lt;h5&gt;&lt;b&gt;Range &lt;/b&gt;0 ft.&lt;/h5&gt;&lt;h5&gt;&lt;b&gt;Effect &lt;/b&gt;phantasmal, unattended, nonmagical object of nonliving plant matter, up to 1 cu. ft./level&lt;/h5&gt;&lt;h5&gt;&lt;b&gt;Duration &lt;/b&gt;10 minutes/level (D)&lt;/h5&gt;&lt;h5&gt;&lt;b&gt;Saving Throw &lt;/b&gt;Will negates; &lt;b&gt;Spell Resistance &lt;/b&gt;yes&lt;/h5&gt;&lt;/div&gt;&lt;hr/&gt;&lt;div&gt;&lt;h5&gt;&lt;b&gt;DESCRIPTION&lt;/b&gt;&lt;/h5&gt;&lt;/div&gt;&lt;hr/&gt;&lt;div&gt;&lt;h4&gt;&lt;p&gt;This spell functions as the &lt;i&gt;minor creation spell&lt;/i&gt;, except the object created is a semi-real phantasm. Any creature that interacts with the object may make a Will save, with success causing the object to cease to exist. A gnome casting this spell may make a Spellcraft check in place of any Craft check required to make a complex item.&lt;/p&gt;&lt;/h4&gt;&lt;/div&gt;</t>
  </si>
  <si>
    <t>Recharge Innate Magic</t>
  </si>
  <si>
    <t>alchemist 1, bard 1, cleric 1/oracle 1, druid 1, inquisitor 1, magus 1, sorcerer/wizard 1, witch 1</t>
  </si>
  <si>
    <t>You channel magic energy into your own aura, recharging your innate magic abilities. You regain one use of all 0-level and 1st-level spell-like abilities you can use as a result of a racial trait.</t>
  </si>
  <si>
    <t>&lt;p&gt;You channel magic energy into your own aura, recharging your innate magic abilities. You regain one use of all 0-level and 1st-level spell-like abilities you can use as a result of a racial trait.&lt;/p&gt;</t>
  </si>
  <si>
    <t>&lt;link rel="stylesheet"href="PF.css"&gt;&lt;div class="heading"&gt;&lt;p class="alignleft"&gt;Recharge Innate Magic&lt;/p&gt;&lt;div style="clear: both;"&gt;&lt;/div&gt;&lt;/div&gt;&lt;div&gt;&lt;h5&gt;&lt;b&gt;School &lt;/b&gt;transmutation; &lt;b&gt;Level &lt;/b&gt;alchemist 1, bard 1, cleric 1/oracle 1, druid 1, inquisitor 1, magus 1, sorcerer/wizard 1, witch 1&lt;/h5&gt;&lt;/div&gt;&lt;hr/&gt;&lt;div&gt;&lt;h5&gt;&lt;b&gt;CASTING&lt;/b&gt;&lt;/h5&gt;&lt;/div&gt;&lt;hr/&gt;&lt;div&gt;&lt;h5&gt;&lt;b&gt;Casting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&lt;/b&gt;instantaneous&lt;/h5&gt;&lt;/div&gt;&lt;hr/&gt;&lt;div&gt;&lt;h5&gt;&lt;b&gt;DESCRIPTION&lt;/b&gt;&lt;/h5&gt;&lt;/div&gt;&lt;hr/&gt;&lt;div&gt;&lt;h4&gt;&lt;p&gt;You channel magic energy into your own aura, recharging your innate magic abilities. You regain one use of all 0-level and 1st-level spell-like abilities you can use as a result of a racial trait.&lt;/p&gt;&lt;/h4&gt;&lt;/div&gt;</t>
  </si>
  <si>
    <t>Forgetful Slumber</t>
  </si>
  <si>
    <t>V, S, M (a few drops of river water)</t>
  </si>
  <si>
    <t>This spell acts as the deeper slumber spell, but only affects one creature of 10 Hit Dice or fewer. In addition, a creature affected by this spell awakens with no knowledge of the events that led to the spell's casting. The target loses all memory from the 5 minutes prior to falling asleep. No effect short of a miracle or wish can restore memories lost by this spell.</t>
  </si>
  <si>
    <t>&lt;p&gt;This spell acts as the &lt;i&gt;deeper slumber&lt;/i&gt; spell, but only affects one creature of 10 Hit Dice or fewer. In addition, a creature affected by this spell awakens with no knowledge of the events that led to the spell's casting. The target loses all memory from the 5 minutes prior to falling asleep. No effect short of a &lt;i&gt;miracle&lt;/i&gt; or &lt;i&gt;wish&lt;/i&gt; can restore memories lost by this spell.&lt;/p&gt;</t>
  </si>
  <si>
    <t>&lt;link rel="stylesheet"href="PF.css"&gt;&lt;div class="heading"&gt;&lt;p class="alignleft"&gt;Forgetful Slumber&lt;/p&gt;&lt;div style="clear: both;"&gt;&lt;/div&gt;&lt;/div&gt;&lt;div&gt;&lt;h5&gt;&lt;b&gt;School &lt;/b&gt;enchantment (compulsion) [mind-affecting]; &lt;b&gt;Level &lt;/b&gt;bard 4, sorcerer/wizard 4, witch 4&lt;/h5&gt;&lt;/div&gt;&lt;hr/&gt;&lt;div&gt;&lt;h5&gt;&lt;b&gt;CASTING&lt;/b&gt;&lt;/h5&gt;&lt;/div&gt;&lt;hr/&gt;&lt;div&gt;&lt;h5&gt;&lt;b&gt;Casting Time &lt;/b&gt;1 round&lt;/h5&gt;&lt;h5&gt;&lt;b&gt;Components &lt;/b&gt;V, S, M (a few drops of river water)&lt;/h5&gt;&lt;/div&gt;&lt;hr/&gt;&lt;div&gt;&lt;h5&gt;&lt;b&gt;EFFECT&lt;/b&gt;&lt;/h5&gt;&lt;/div&gt;&lt;hr/&gt;&lt;div&gt;&lt;h5&gt;&lt;b&gt;Range &lt;/b&gt;close (25 ft. + 5 ft./2 levels)&lt;/h5&gt;&lt;h5&gt;&lt;b&gt;Targets &lt;/b&gt;one living creature&lt;/h5&gt;&lt;h5&gt;&lt;b&gt;Duration &lt;/b&gt;1 minute/level&lt;/h5&gt;&lt;h5&gt;&lt;b&gt;Saving Throw &lt;/b&gt;Will negates; &lt;b&gt;Spell Resistance &lt;/b&gt;yes&lt;/h5&gt;&lt;/div&gt;&lt;hr/&gt;&lt;div&gt;&lt;h5&gt;&lt;b&gt;DESCRIPTION&lt;/b&gt;&lt;/h5&gt;&lt;/div&gt;&lt;hr/&gt;&lt;div&gt;&lt;h4&gt;&lt;p&gt;This spell acts as the &lt;i&gt;deeper slumber&lt;/i&gt; spell, but only affects one creature of 10 Hit Dice or fewer. In addition, a creature affected by this spell awakens with no knowledge of the events that led to the spell's casting. The target loses all memory from the 5 minutes prior to falling asleep. No effect short of a &lt;i&gt;miracle&lt;/i&gt; or &lt;i&gt;wish&lt;/i&gt; can restore memories lost by this spell.&lt;/p&gt;&lt;/h4&gt;&lt;/div&gt;</t>
  </si>
  <si>
    <t>Paragon Surge</t>
  </si>
  <si>
    <t>alchemist 3, cleric 3/oracle 3, magus 4, paladin 4, sorcerer/wizard 3, witch 3</t>
  </si>
  <si>
    <t>personal (half-elf only)</t>
  </si>
  <si>
    <t>You surge with ancestral power, temporarily embodying all the strengths of both elvenkind and humankind simultaneously, and transforming into a paragon of both races, something greater than elf or human alone. Unlike with most polymorph effects, your basic form does not change, so you keep all extraordinary and supernatural abilities of your half-elven form as well as all of your gear. For the duration of the spell, you receive a +2 enhancement bonus to Dexterity and Intelligence and are treated as if you possessed any one feat for which you meet the prerequisites, chosen when you cast this spell.</t>
  </si>
  <si>
    <t>&lt;p&gt;You surge with ancestral power, temporarily embodying all the strengths of both elvenkind and humankind simultaneously, and transforming into a paragon of both races, something greater than elf or human alone. Unlike with most polymorph effects, your basic form does not change, so you keep all extraordinary and supernatural abilities of your half-elven form as well as all of your gear. For the duration of the spell, you receive a +2 enhancement bonus to Dexterity and Intelligence and are treated as if you possessed any one feat for which you meet the prerequisites, chosen when you cast this spell.&lt;/p&gt;</t>
  </si>
  <si>
    <t>&lt;link rel="stylesheet"href="PF.css"&gt;&lt;div class="heading"&gt;&lt;p class="alignleft"&gt;Paragon Surge&lt;/p&gt;&lt;div style="clear: both;"&gt;&lt;/div&gt;&lt;/div&gt;&lt;div&gt;&lt;h5&gt;&lt;b&gt;School &lt;/b&gt;transmutation (polymorph); &lt;b&gt;Level &lt;/b&gt;alchemist 3, cleric 3/oracle 3, magus 4, paladin 4, sorcerer/wizard 3, witch 3&lt;/h5&gt;&lt;/div&gt;&lt;hr/&gt;&lt;div&gt;&lt;h5&gt;&lt;b&gt;CASTING&lt;/b&gt;&lt;/h5&gt;&lt;/div&gt;&lt;hr/&gt;&lt;div&gt;&lt;h5&gt;&lt;b&gt;Casting Time &lt;/b&gt;1 standard action&lt;/h5&gt;&lt;h5&gt;&lt;b&gt;Components &lt;/b&gt;V, S&lt;/h5&gt;&lt;/div&gt;&lt;hr/&gt;&lt;div&gt;&lt;h5&gt;&lt;b&gt;EFFECT&lt;/b&gt;&lt;/h5&gt;&lt;/div&gt;&lt;hr/&gt;&lt;div&gt;&lt;h5&gt;&lt;b&gt;Range &lt;/b&gt;personal (half-elf only)&lt;/h5&gt;&lt;h5&gt;&lt;b&gt;Duration &lt;/b&gt;1 minute/level&lt;/h5&gt;&lt;/div&gt;&lt;hr/&gt;&lt;div&gt;&lt;h5&gt;&lt;b&gt;DESCRIPTION&lt;/b&gt;&lt;/h5&gt;&lt;/div&gt;&lt;hr/&gt;&lt;div&gt;&lt;h4&gt;&lt;p&gt;You surge with ancestral power, temporarily embodying all the strengths of both elvenkind and humankind simultaneously, and transforming into a paragon of both races, something greater than elf or human alone. Unlike with most polymorph effects, your basic form does not change, so you keep all extraordinary and supernatural abilities of your half-elven form as well as all of your gear. For the duration of the spell, you receive a +2 enhancement bonus to Dexterity and Intelligence and are treated as if you possessed any one feat for which you meet the prerequisites, chosen when you cast this spell.&lt;/p&gt;&lt;/h4&gt;&lt;/div&gt;</t>
  </si>
  <si>
    <t>Resilient Reservoir</t>
  </si>
  <si>
    <t>magus 3, paladin 3, sorcerer/wizard 4, witch 4</t>
  </si>
  <si>
    <t>special, see text</t>
  </si>
  <si>
    <t>1 round/ level</t>
  </si>
  <si>
    <t>none (see below)</t>
  </si>
  <si>
    <t>This spell creates a magical well of retribution that a caster can unleash with blinding speed. Upon casting this spell, damage from melee attacks and touch spells gets transferred into a special pool that you then redirect before the spell's duration expires. Each time you are struck by a melee attack or touch spell that deals hit point damage, 1 point of damage is negated and transferred into the reservoir created by this spell. The total number of points in the reservoir cannot exceed your caster level (to a maximum of 20 points at 20th level). As an immediate action, anytime before the spell's duration expires, you can release some or all of the energy of the reservoir, granting yourself an insight bonus on one skill check, attack roll, damage roll, or combat maneuver check, but you must do so before the roll is made. This bonus is equal to the number of points in the reservoir. For every five caster levels, you may call upon the reservoir one additional time (maximum of four times at 15th level). If you are reduced to negative hit points while you are under the effect of this spell, the spell automatically release the remaining magic of the reservoir in a concussive blast of force. All creatures within a 15-foot radius take 1d6 points of force damage per 2 points remaining in the reserve (maximum of 10d6). A successful Reflex save halves this damage, and spell resistance applies to this effect.</t>
  </si>
  <si>
    <t>&lt;p&gt;This spell creates a magical well of retribution that a caster can unleash with blinding speed. Upon casting this spell, damage from melee attacks and touch spells gets transferred into a special pool that you then redirect before the spell's duration expires. Each time you are struck by a melee attack or touch spell that deals hit point damage, 1 point of damage is negated and transferred into the reservoir created by this spell. The total number of points in the reservoir cannot exceed your caster level (to a maximum of 20 points at 20th level). As an immediate action, anytime before the spell's duration expires, you can release some or all of the energy of the reservoir, granting yourself an insight bonus on one skill check, attack roll, damage roll, or combat maneuver check, but you must do so before the roll is made. This bonus is equal to the number of points in the reservoir. For every five caster levels, you may call upon the reservoir one additional time (maximum of four times at 15th level). If you are reduced to negative hit points while you are under the effect of this spell, the spell automatically release the remaining magic of the reservoir in a concussive blast of force. All creatures within a 15-foot radius take 1d6 points of force damage per 2 points remaining in the reserve (maximum of 10d6). A successful Reflex save halves this damage, and spell resistance applies to this effect.&lt;/p&gt;</t>
  </si>
  <si>
    <t>&lt;link rel="stylesheet"href="PF.css"&gt;&lt;div class="heading"&gt;&lt;p class="alignleft"&gt;Resilient Reservoir&lt;/p&gt;&lt;div style="clear: both;"&gt;&lt;/div&gt;&lt;/div&gt;&lt;div&gt;&lt;h5&gt;&lt;b&gt;School &lt;/b&gt;transmutation; &lt;b&gt;Level &lt;/b&gt;magus 3, paladin 3, sorcerer/wizard 4, witch 4&lt;/h5&gt;&lt;/div&gt;&lt;hr/&gt;&lt;div&gt;&lt;h5&gt;&lt;b&gt;CASTING&lt;/b&gt;&lt;/h5&gt;&lt;/div&gt;&lt;hr/&gt;&lt;div&gt;&lt;h5&gt;&lt;b&gt;Casting Time &lt;/b&gt;1 standard action&lt;/h5&gt;&lt;h5&gt;&lt;b&gt;Components &lt;/b&gt;V, S&lt;/h5&gt;&lt;/div&gt;&lt;hr/&gt;&lt;div&gt;&lt;h5&gt;&lt;b&gt;EFFECT&lt;/b&gt;&lt;/h5&gt;&lt;/div&gt;&lt;hr/&gt;&lt;div&gt;&lt;h5&gt;&lt;b&gt;Range &lt;/b&gt;personal&lt;/h5&gt;&lt;h5&gt;&lt;b&gt;Area &lt;/b&gt;special, see text&lt;/h5&gt;&lt;h5&gt;&lt;b&gt;Duration &lt;/b&gt;1 round/ level&lt;/h5&gt;&lt;h5&gt;&lt;b&gt;Saving Throw &lt;/b&gt;none (see below); &lt;b&gt;Spell Resistance &lt;/b&gt;yes&lt;/h5&gt;&lt;/div&gt;&lt;hr/&gt;&lt;div&gt;&lt;h5&gt;&lt;b&gt;DESCRIPTION&lt;/b&gt;&lt;/h5&gt;&lt;/div&gt;&lt;hr/&gt;&lt;div&gt;&lt;h4&gt;&lt;p&gt;This spell creates a magical well of retribution that a caster can unleash with blinding speed. Upon casting this spell, damage from melee attacks and touch spells gets transferred into a special pool that you then redirect before the spell's duration expires. Each time you are struck by a melee attack or touch spell that deals hit point damage, 1 point of damage is negated and transferred into the reservoir created by this spell. The total number of points in the reservoir cannot exceed your caster level (to a maximum of 20 points at 20th level). As an immediate action, anytime before the spell's duration expires, you can release some or all of the energy of the reservoir, granting yourself an insight bonus on one skill check, attack roll, damage roll, or combat maneuver check, but you must do so before the roll is made. This bonus is equal to the number of points in the reservoir. For every five caster levels, you may call upon the reservoir one additional time (maximum of four times at 15th level). If you are reduced to negative hit points while you are under the effect of this spell, the spell automatically release the remaining magic of the reservoir in a concussive blast of force. All creatures within a 15-foot radius take 1d6 points of force damage per 2 points remaining in the reserve (maximum of 10d6). A successful Reflex save halves this damage, and spell resistance applies to this effect.&lt;/p&gt;&lt;/h4&gt;&lt;/div&gt;</t>
  </si>
  <si>
    <t>Urban Grace</t>
  </si>
  <si>
    <t>alchemist 1, bard 1, ranger 1, sorcerer/wizard 1, witch 1</t>
  </si>
  <si>
    <t>You become one with the city around you, allowing you to move more easily through its crowds and buildings. For the duration of this spell, your base land speed increases by 10 feet. In addition, it does not cost you 2 squares of movement to enter a square with crowds, though the crowd still provides cover to you. This ability does not allow you to enter the space of enemy creatures without making the appropriate Acrobatics check. In addition, you receive a +4 circumstance bonus on Acrobatics checks made to move across uneven urban surfaces, such as roofs and broken pavement, and on Climb checks made to scale walls and other artificial surfaces. Whenever you make an Acrobatics check to make a long jump between two buildings or artificial structures, you are always treated as if you had a running start, regardless of the actual distance traveled.</t>
  </si>
  <si>
    <t>&lt;p&gt;You become one with the city around you, allowing you to move more easily through its crowds and buildings. For the duration of this spell, your base land speed increases by 10 feet. In addition, it does not cost you 2 squares of movement to enter a square with crowds, though the crowd still provides cover to you. This ability does not allow you to enter the space of enemy creatures without making the appropriate Acrobatics check. In addition, you receive a +4 circumstance bonus on Acrobatics checks made to move across uneven urban surfaces, such as roofs and broken pavement, and on Climb checks made to scale walls and other artificial surfaces. Whenever you make an Acrobatics check to make a long jump between two buildings or artificial structures, you are always treated as if you had a running start, regardless of the actual distance traveled.&lt;/p&gt;</t>
  </si>
  <si>
    <t>&lt;link rel="stylesheet"href="PF.css"&gt;&lt;div class="heading"&gt;&lt;p class="alignleft"&gt;Urban Grace&lt;/p&gt;&lt;div style="clear: both;"&gt;&lt;/div&gt;&lt;/div&gt;&lt;div&gt;&lt;h5&gt;&lt;b&gt;School &lt;/b&gt;transmutation; &lt;b&gt;Level &lt;/b&gt;alchemist 1, bard 1, ranger 1, sorcerer/wizard 1, witch 1&lt;/h5&gt;&lt;/div&gt;&lt;hr/&gt;&lt;div&gt;&lt;h5&gt;&lt;b&gt;CASTING&lt;/b&gt;&lt;/h5&gt;&lt;/div&gt;&lt;hr/&gt;&lt;div&gt;&lt;h5&gt;&lt;b&gt;Casting Time &lt;/b&gt;1 standard action&lt;/h5&gt;&lt;h5&gt;&lt;b&gt;Components &lt;/b&gt;V, S&lt;/h5&gt;&lt;/div&gt;&lt;hr/&gt;&lt;div&gt;&lt;h5&gt;&lt;b&gt;EFFECT&lt;/b&gt;&lt;/h5&gt;&lt;/div&gt;&lt;hr/&gt;&lt;div&gt;&lt;h5&gt;&lt;b&gt;Range &lt;/b&gt;personal&lt;/h5&gt;&lt;h5&gt;&lt;b&gt;Duration &lt;/b&gt;1 minute/level&lt;/h5&gt;&lt;/div&gt;&lt;hr/&gt;&lt;div&gt;&lt;h5&gt;&lt;b&gt;DESCRIPTION&lt;/b&gt;&lt;/h5&gt;&lt;/div&gt;&lt;hr/&gt;&lt;div&gt;&lt;h4&gt;&lt;p&gt;You become one with the city around you, allowing you to move more easily through its crowds and buildings. For the duration of this spell, your base land speed increases by 10 feet. In addition, it does not cost you 2 squares of movement to enter a square with crowds, though the crowd still provides cover to you. This ability does not allow you to enter the space of enemy creatures without making the appropriate Acrobatics check. In addition, you receive a +4 circumstance bonus on Acrobatics checks made to move across uneven urban surfaces, such as roofs and broken pavement, and on Climb checks made to scale walls and other artificial surfaces. Whenever you make an Acrobatics check to make a long jump between two buildings or artificial structures, you are always treated as if you had a running start, regardless of the actual distance traveled.&lt;/p&gt;&lt;/h4&gt;&lt;/div&gt;</t>
  </si>
  <si>
    <t>Battle Trance</t>
  </si>
  <si>
    <t>alchemist 3, antipaladin 3, cleric/oracle 4, inquisitor 3, ranger 3, witch 4</t>
  </si>
  <si>
    <t>You are transformed into a single-minded force of destruction. You gain the ferocity monster special ability, a number of temporary hit points equal to 1d6 + your caster level (maximum +10), and a +4 morale bonus on saving throws against mind-affecting effects. You cannot use the withdraw action or willingly move away from a creature that has attacked you. When you use this spell, you immediately take 4 points of Intelligence damage. You must make a DC 20 concentration check to cast spells, and all other concentration checks to cast spells have a -5 penalty.</t>
  </si>
  <si>
    <t>&lt;p&gt;You are transformed into a single-minded force of destruction. You gain the ferocity monster special ability, a number of temporary hit points equal to 1d6 + your caster level (maximum +10), and a +4 morale bonus on saving throws against mind-affecting effects. You cannot use the withdraw action or willingly move away from a creature that has attacked you. When you use this spell, you immediately take 4 points of Intelligence damage. You must make a DC 20 concentration check to cast spells, and all other concentration checks to cast spells have a -5 penalty.&lt;/p&gt;</t>
  </si>
  <si>
    <t>&lt;link rel="stylesheet"href="PF.css"&gt;&lt;div class="heading"&gt;&lt;p class="alignleft"&gt;Battle Trance&lt;/p&gt;&lt;div style="clear: both;"&gt;&lt;/div&gt;&lt;/div&gt;&lt;div&gt;&lt;h5&gt;&lt;b&gt;School &lt;/b&gt;enchantment (compulsion) [emotion, mind-affecting]; &lt;b&gt;Level &lt;/b&gt;alchemist 3, antipaladin 3, cleric/oracle 4, inquisitor 3, ranger 3, witch 4&lt;/h5&gt;&lt;/div&gt;&lt;hr/&gt;&lt;div&gt;&lt;h5&gt;&lt;b&gt;CASTING&lt;/b&gt;&lt;/h5&gt;&lt;/div&gt;&lt;hr/&gt;&lt;div&gt;&lt;h5&gt;&lt;b&gt;Casting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minute/level&lt;/h5&gt;&lt;h5&gt;&lt;b&gt;Saving Throw &lt;/b&gt;Will negates; &lt;b&gt;Spell Resistance &lt;/b&gt;yes&lt;/h5&gt;&lt;/div&gt;&lt;hr/&gt;&lt;div&gt;&lt;h5&gt;&lt;b&gt;DESCRIPTION&lt;/b&gt;&lt;/h5&gt;&lt;/div&gt;&lt;hr/&gt;&lt;div&gt;&lt;h4&gt;&lt;p&gt;You are transformed into a single-minded force of destruction. You gain the ferocity monster special ability, a number of temporary hit points equal to 1d6 + your caster level (maximum +10), and a +4 morale bonus on saving throws against mind-affecting effects. You cannot use the withdraw action or willingly move away from a creature that has attacked you. When you use this spell, you immediately take 4 points of Intelligence damage. You must make a DC 20 concentration check to cast spells, and all other concentration checks to cast spells have a -5 penalty.&lt;/p&gt;&lt;/h4&gt;&lt;h5&gt;&lt;b&gt;Mythic: &lt;/b&gt;The number of temporary hit points you gain increases to 2d6 + your caster level (maximum +10) + your tier. The morale bonus on saving throws against mind-affecting effects increases to +6.&lt;/h5&gt;&lt;h5&gt;&lt;b&gt;Augmented (5th)&lt;/b&gt;: If you expend two uses of mythic power, you gain a +4 morale bonus to Strength, immunity to non-mythic mind-affecting effects, and DR 5/epic.&lt;/h5&gt;&lt;/div&gt;</t>
  </si>
  <si>
    <t>The number of temporary hit points you gain increases to 2d6 + your caster level (maximum +10) + your tier. The morale bonus on saving throws against mind-affecting effects increases to +6.</t>
  </si>
  <si>
    <t>Augmented (5th): If you expend two uses of mythic power, you gain a +4 morale bonus to Strength, immunity to non-mythic mind-affecting effects, and DR 5/epic.</t>
  </si>
  <si>
    <t>Ghost Wolf</t>
  </si>
  <si>
    <t>sorcerer/wizard 4, summoner 2</t>
  </si>
  <si>
    <t>V, S, F (dire wolf tooth)</t>
  </si>
  <si>
    <t>one quasi-real wolflike creature</t>
  </si>
  <si>
    <t>1 hour/level (D) or 1 round/level; see text</t>
  </si>
  <si>
    <t>none (see description)</t>
  </si>
  <si>
    <t>This spell conjures a Large, quasi-real, wolflike creature made of roiling black smoke. It functions as phantom steed, except as noted above. In addition, the creature radiates an aura of fear. Any creature with fewer than 6 Hit Dice within 30 feet (except the ghost wolf ‘s rider) must make a Will save or become shaken for 1d4 rounds (this is a mind-affecting fear effect). A creature that makes its Will save is unaffected by the steed's fear aura for 24 hours. The ghost wolf may also be used in combat. Once per round, the rider may direct the ghost wolf to attack in battle as a free action (bite +10, 1d8+6 points of damage); unlike an animal mount, this does not require a Ride check or any training. Once the ghost wolf attacks, it lasts for only 1 round per level thereafter.</t>
  </si>
  <si>
    <t>&lt;p&gt;This spell conjures a Large, quasi-real, wolflike creature made of roiling black smoke. It functions as &lt;i&gt;phantom steed&lt;/i&gt;, except as noted above. In addition, the creature radiates an aura of fear. Any creature with fewer than 6 Hit Dice within 30 feet (except the ghost wolf ‘s rider) must make a Will save or become shaken for 1d4 rounds (this is a mind-affecting fear effect). A creature that makes its Will save is unaffected by the steed's fear aura for 24 hours. The ghost wolf may also be used in combat. Once per round, the rider may direct the ghost wolf to attack in battle as a free action (bite +10, 1d8+6 points of damage); unlike an animal mount, this does not require a Ride check or any training. Once the ghost wolf attacks, it lasts for only 1 round per level thereafter.&lt;/p&gt;</t>
  </si>
  <si>
    <t>&lt;link rel="stylesheet"href="PF.css"&gt;&lt;div class="heading"&gt;&lt;p class="alignleft"&gt;Ghost Wolf&lt;/p&gt;&lt;div style="clear: both;"&gt;&lt;/div&gt;&lt;/div&gt;&lt;div&gt;&lt;h5&gt;&lt;b&gt;School &lt;/b&gt;conjuration (creation); &lt;b&gt;Level &lt;/b&gt;sorcerer/wizard 4, summoner 2&lt;/h5&gt;&lt;/div&gt;&lt;hr/&gt;&lt;div&gt;&lt;h5&gt;&lt;b&gt;CASTING&lt;/b&gt;&lt;/h5&gt;&lt;/div&gt;&lt;hr/&gt;&lt;div&gt;&lt;h5&gt;&lt;b&gt;Casting Time &lt;/b&gt;10 minutes&lt;/h5&gt;&lt;h5&gt;&lt;b&gt;Components &lt;/b&gt;V, S, F (dire wolf tooth)&lt;/h5&gt;&lt;/div&gt;&lt;hr/&gt;&lt;div&gt;&lt;h5&gt;&lt;b&gt;EFFECT&lt;/b&gt;&lt;/h5&gt;&lt;/div&gt;&lt;hr/&gt;&lt;div&gt;&lt;h5&gt;&lt;b&gt;Range &lt;/b&gt;0 ft.&lt;/h5&gt;&lt;h5&gt;&lt;b&gt;Targets &lt;/b&gt;one quasi-real wolflike creature&lt;/h5&gt;&lt;h5&gt;&lt;b&gt;Duration &lt;/b&gt;1 hour/level (D) or 1 round/level; see text&lt;/h5&gt;&lt;h5&gt;&lt;b&gt;Saving Throw &lt;/b&gt;none (see description); &lt;b&gt;Spell Resistance &lt;/b&gt;no&lt;/h5&gt;&lt;/div&gt;&lt;hr/&gt;&lt;div&gt;&lt;h5&gt;&lt;b&gt;DESCRIPTION&lt;/b&gt;&lt;/h5&gt;&lt;/div&gt;&lt;hr/&gt;&lt;div&gt;&lt;h4&gt;&lt;p&gt;This spell conjures a Large, quasi-real, wolflike creature made of roiling black smoke. It functions as &lt;i&gt;phantom steed&lt;/i&gt;, except as noted above. In addition, the creature radiates an aura of fear. Any creature with fewer than 6 Hit Dice within 30 feet (except the ghost wolf ‘s rider) must make a Will save or become shaken for 1d4 rounds (this is a mind-affecting fear effect). A creature that makes its Will save is unaffected by the steed's fear aura for 24 hours. The ghost wolf may also be used in combat. Once per round, the rider may direct the ghost wolf to attack in battle as a free action (bite +10, 1d8+6 points of damage); unlike an animal mount, this does not require a Ride check or any training. Once the ghost wolf attacks, it lasts for only 1 round per level thereafter.&lt;/p&gt;&lt;/h4&gt;&lt;/div&gt;</t>
  </si>
  <si>
    <t>Half-blood Extraction</t>
  </si>
  <si>
    <t>alchemist 5, cleric 5/oracle 5, druid 5, sorcerer/wizard 5, witch 5</t>
  </si>
  <si>
    <t>V, S, M/DF (oils and poisons worth 3,000 gp)</t>
  </si>
  <si>
    <t>willing half-orc touched</t>
  </si>
  <si>
    <t>You transform the target half-orc into a full-blooded orc. The target loses all of its half-orc racial traits and gains the orc racial traits.</t>
  </si>
  <si>
    <t>&lt;p&gt;You transform the target half-orc into a full-blooded orc. The target loses all of its half-orc racial traits and gains the orc racial traits.&lt;/p&gt;</t>
  </si>
  <si>
    <t>&lt;link rel="stylesheet"href="PF.css"&gt;&lt;div class="heading"&gt;&lt;p class="alignleft"&gt;Half-blood Extraction&lt;/p&gt;&lt;div style="clear: both;"&gt;&lt;/div&gt;&lt;/div&gt;&lt;div&gt;&lt;h5&gt;&lt;b&gt;School &lt;/b&gt;transmutation (polymorph); &lt;b&gt;Level &lt;/b&gt;alchemist 5, cleric 5/oracle 5, druid 5, sorcerer/wizard 5, witch 5&lt;/h5&gt;&lt;/div&gt;&lt;hr/&gt;&lt;div&gt;&lt;h5&gt;&lt;b&gt;CASTING&lt;/b&gt;&lt;/h5&gt;&lt;/div&gt;&lt;hr/&gt;&lt;div&gt;&lt;h5&gt;&lt;b&gt;Casting Time &lt;/b&gt;1 hour&lt;/h5&gt;&lt;h5&gt;&lt;b&gt;Components &lt;/b&gt;V, S, M/DF (oils and poisons worth 3,000 gp)&lt;/h5&gt;&lt;/div&gt;&lt;hr/&gt;&lt;div&gt;&lt;h5&gt;&lt;b&gt;EFFECT&lt;/b&gt;&lt;/h5&gt;&lt;/div&gt;&lt;hr/&gt;&lt;div&gt;&lt;h5&gt;&lt;b&gt;Range &lt;/b&gt;touch&lt;/h5&gt;&lt;h5&gt;&lt;b&gt;Targets &lt;/b&gt;willing half-orc touched&lt;/h5&gt;&lt;h5&gt;&lt;b&gt;Duration &lt;/b&gt;instantaneous&lt;/h5&gt;&lt;h5&gt;&lt;b&gt;Saving Throw &lt;/b&gt;none; &lt;b&gt;Spell Resistance &lt;/b&gt;no&lt;/h5&gt;&lt;/div&gt;&lt;hr/&gt;&lt;div&gt;&lt;h5&gt;&lt;b&gt;DESCRIPTION&lt;/b&gt;&lt;/h5&gt;&lt;/div&gt;&lt;hr/&gt;&lt;div&gt;&lt;h4&gt;&lt;p&gt;You transform the target half-orc into a full-blooded orc. The target loses all of its half-orc racial traits and gains the orc racial traits.&lt;/p&gt;&lt;/h4&gt;&lt;/div&gt;</t>
  </si>
  <si>
    <t>Linebreaker</t>
  </si>
  <si>
    <t>alchemist 1, antipaladin 1, inquisitor 1, magus 1, paladin 1, ranger 1</t>
  </si>
  <si>
    <t>You gain a +20 foot bonus to your base speed when charging and a +2 bonus on combat maneuver checks made to bull rush or overrun.</t>
  </si>
  <si>
    <t>&lt;p&gt;You gain a +20 foot bonus to your base speed when charging and a +2 bonus on combat maneuver checks made to bull rush or overrun.&lt;/p&gt;</t>
  </si>
  <si>
    <t>&lt;link rel="stylesheet"href="PF.css"&gt;&lt;div class="heading"&gt;&lt;p class="alignleft"&gt;Linebreaker&lt;/p&gt;&lt;div style="clear: both;"&gt;&lt;/div&gt;&lt;/div&gt;&lt;div&gt;&lt;h5&gt;&lt;b&gt;School &lt;/b&gt;transmutation; &lt;b&gt;Level &lt;/b&gt;alchemist 1, antipaladin 1, inquisitor 1, magus 1, paladin 1, ranger 1&lt;/h5&gt;&lt;/div&gt;&lt;hr/&gt;&lt;div&gt;&lt;h5&gt;&lt;b&gt;CASTING&lt;/b&gt;&lt;/h5&gt;&lt;/div&gt;&lt;hr/&gt;&lt;div&gt;&lt;h5&gt;&lt;b&gt;Casting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minute/level&lt;/h5&gt;&lt;/div&gt;&lt;hr/&gt;&lt;div&gt;&lt;h5&gt;&lt;b&gt;DESCRIPTION&lt;/b&gt;&lt;/h5&gt;&lt;/div&gt;&lt;hr/&gt;&lt;div&gt;&lt;h4&gt;&lt;p&gt;You gain a +20 foot bonus to your base speed when charging and a +2 bonus on combat maneuver checks made to bull rush or overrun.&lt;/p&gt;&lt;/h4&gt;&lt;/div&gt;</t>
  </si>
  <si>
    <t>Savage Maw</t>
  </si>
  <si>
    <t>antipaladin 1, cleric 2/oracle 2, druid 2, inquisitor 2, magus 2, ranger 1</t>
  </si>
  <si>
    <t>1 minute/level (D), special (see below)</t>
  </si>
  <si>
    <t>Your teeth extend and sharpen, transforming your mouth into a maw of razor-sharp fangs. You gain a bite attack that deals 1d4 points of damage plus your Strength modifier. If you confirm a critical hit with this attack, it also deals 1 point of bleed damage. If you already have a bite attack, your bite deals 2 points of bleed damage on a critical hit. You are considered proficient with this attack. If used as part of a full-attack action, the bite is considered a secondary attack, is made at your full base attack bonus -5, and adds half your Strength modifier to its damage. You can end this spell before its normal duration by making a bestial roar as a swift action. When you do, you can make an Intimidate check to demoralize all foes within a 30-foot radius that can hear the roar.</t>
  </si>
  <si>
    <t>&lt;p&gt;Your teeth extend and sharpen, transforming your mouth into a maw of razor-sharp fangs. You gain a bite attack that deals 1d4 points of damage plus your Strength modifier. If you confirm a critical hit with this attack, it also deals 1 point of bleed damage. If you already have a bite attack, your bite deals 2 points of bleed damage on a critical hit. You are considered proficient with this attack. If used as part of a full-attack action, the bite is considered a secondary attack, is made at your full base attack bonus -5, and adds half your Strength modifier to its damage. You can end this spell before its normal duration by making a bestial roar as a swift action. When you do, you can make an Intimidate check to demoralize all foes within a 30-foot radius that can hear the roar.&lt;/p&gt;</t>
  </si>
  <si>
    <t>&lt;link rel="stylesheet"href="PF.css"&gt;&lt;div class="heading"&gt;&lt;p class="alignleft"&gt;Savage Maw&lt;/p&gt;&lt;div style="clear: both;"&gt;&lt;/div&gt;&lt;/div&gt;&lt;div&gt;&lt;h5&gt;&lt;b&gt;School &lt;/b&gt;transmutation; &lt;b&gt;Level &lt;/b&gt;antipaladin 1, cleric 2/oracle 2, druid 2, inquisitor 2, magus 2, ranger 1&lt;/h5&gt;&lt;/div&gt;&lt;hr/&gt;&lt;div&gt;&lt;h5&gt;&lt;b&gt;CASTING&lt;/b&gt;&lt;/h5&gt;&lt;/div&gt;&lt;hr/&gt;&lt;div&gt;&lt;h5&gt;&lt;b&gt;Casting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minute/level (D), special (see below)&lt;/h5&gt;&lt;/div&gt;&lt;hr/&gt;&lt;div&gt;&lt;h5&gt;&lt;b&gt;DESCRIPTION&lt;/b&gt;&lt;/h5&gt;&lt;/div&gt;&lt;hr/&gt;&lt;div&gt;&lt;h4&gt;&lt;p&gt;Your teeth extend and sharpen, transforming your mouth into a maw of razor-sharp fangs. You gain a bite attack that deals 1d4 points of damage plus your Strength modifier. If you confirm a critical hit with this attack, it also deals 1 point of bleed damage. If you already have a bite attack, your bite deals 2 points of bleed damage on a critical hit. You are considered proficient with this attack. If used as part of a full-attack action, the bite is considered a secondary attack, is made at your full base attack bonus -5, and adds half your Strength modifier to its damage. You can end this spell before its normal duration by making a bestial roar as a swift action. When you do, you can make an Intimidate check to demoralize all foes within a 30-foot radius that can hear the roar.&lt;/p&gt;&lt;/h4&gt;&lt;/div&gt;</t>
  </si>
  <si>
    <t>Blessing Of Luck And Resolve</t>
  </si>
  <si>
    <t>1 minute/level (D), special see below</t>
  </si>
  <si>
    <t>A favored blessing of halfling clerics, this spell grants its target a +2 morale bonus on saving throws against fear effects. If the target has the fearless racial trait, it is immune to fear instead. If the target fails a saving throw against fear, it can end the spell as an immediate action to reroll the save with a +4 morale bonus, and must take the new result, even if it is worse.</t>
  </si>
  <si>
    <t>&lt;p&gt;A favored blessing of halfling clerics, this spell grants its target a +2 morale bonus on saving throws against fear effects. If the target has the fearless racial trait, it is immune to fear instead. If the target fails a saving throw against fear, it can end the spell as an immediate action to reroll the save with a +4 morale bonus, and must take the new result, even if it is worse.&lt;/p&gt;</t>
  </si>
  <si>
    <t>&lt;link rel="stylesheet"href="PF.css"&gt;&lt;div class="heading"&gt;&lt;p class="alignleft"&gt;Blessing Of Luck And Resolve&lt;/p&gt;&lt;div style="clear: both;"&gt;&lt;/div&gt;&lt;/div&gt;&lt;div&gt;&lt;h5&gt;&lt;b&gt;School &lt;/b&gt;enchantment (compulsion) [mind-affecting]; &lt;b&gt;Level &lt;/b&gt;cleric 2/oracle 2, inquisitor 2, paladin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&lt;/b&gt;one living creature touched&lt;/h5&gt;&lt;h5&gt;&lt;b&gt;Duration &lt;/b&gt;1 minute/level (D), special see below&lt;/h5&gt;&lt;/div&gt;&lt;hr/&gt;&lt;div&gt;&lt;h5&gt;&lt;b&gt;DESCRIPTION&lt;/b&gt;&lt;/h5&gt;&lt;/div&gt;&lt;hr/&gt;&lt;div&gt;&lt;h4&gt;&lt;p&gt;A favored blessing of halfling clerics, this spell grants its target a +2 morale bonus on saving throws against fear effects. If the target has the fearless racial trait, it is immune to fear instead. If the target fails a saving throw against fear, it can end the spell as an immediate action to reroll the save with a +4 morale bonus, and must take the new result, even if it is worse.&lt;/p&gt;&lt;/h4&gt;&lt;/div&gt;</t>
  </si>
  <si>
    <t>Blessing Of Luck And Resolve, Mass</t>
  </si>
  <si>
    <t>cleric 6/oracle 6, inquisitor 6, paladin 4</t>
  </si>
  <si>
    <t>This spell functions like blessing of luck and resolve, except that it affects multiple creatures.</t>
  </si>
  <si>
    <t>&lt;p&gt;This spell functions like &lt;i&gt;blessing of luck and resolve&lt;/i&gt;, except that it affects multiple creatures.&lt;/p&gt;</t>
  </si>
  <si>
    <t>&lt;link rel="stylesheet"href="PF.css"&gt;&lt;div class="heading"&gt;&lt;p class="alignleft"&gt;Blessing Of Luck And Resolve, Mass&lt;/p&gt;&lt;div style="clear: both;"&gt;&lt;/div&gt;&lt;/div&gt;&lt;div&gt;&lt;h5&gt;&lt;b&gt;School &lt;/b&gt;enchantment (compulsion) [mind-affecting]; &lt;b&gt;Level &lt;/b&gt;cleric 6/oracle 6, inquisitor 6, paladin 4&lt;/h5&gt;&lt;/div&gt;&lt;hr/&gt;&lt;div&gt;&lt;h5&gt;&lt;b&gt;CASTING&lt;/b&gt;&lt;/h5&gt;&lt;/div&gt;&lt;hr/&gt;&lt;div&gt;&lt;h5&gt;&lt;b&gt;Casting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creature/level, no two of which can be more than 30 ft. apart&lt;/h5&gt;&lt;h5&gt;&lt;b&gt;Duration &lt;/b&gt;1 minute/level (D), special see below&lt;/h5&gt;&lt;/div&gt;&lt;hr/&gt;&lt;div&gt;&lt;h5&gt;&lt;b&gt;DESCRIPTION&lt;/b&gt;&lt;/h5&gt;&lt;/div&gt;&lt;hr/&gt;&lt;div&gt;&lt;h4&gt;&lt;p&gt;This spell functions like &lt;i&gt;blessing of luck and resolve&lt;/i&gt;, except that it affects multiple creatures.&lt;/p&gt;&lt;/h4&gt;&lt;/div&gt;</t>
  </si>
  <si>
    <t>Escaping Ward</t>
  </si>
  <si>
    <t>bard 2, inquisitor 2, magus 2, ranger 2, sorcerer/wizard 2</t>
  </si>
  <si>
    <t>This ward grants you extra maneuverability when you avoid attacks against larger foes. While affected by this spell, when you are attacked and missed by a creature that is at least one size category larger than you, you can, as an immediate action, move up to 5 feet away from the attacking creature. You can increase this movement by 5 feet for every 5 caster levels. This movement does not provoke attacks of opportunity.</t>
  </si>
  <si>
    <t>&lt;p&gt;This ward grants you extra maneuverability when you avoid attacks against larger foes. While affected by this spell, when you are attacked and missed by a creature that is at least one size category larger than you, you can, as an immediate action, move up to 5 feet away from the attacking creature. You can increase this movement by 5 feet for every 5 caster levels. This movement does not provoke attacks of opportunity.&lt;/p&gt;</t>
  </si>
  <si>
    <t>&lt;link rel="stylesheet"href="PF.css"&gt;&lt;div class="heading"&gt;&lt;p class="alignleft"&gt;Escaping Ward&lt;/p&gt;&lt;div style="clear: both;"&gt;&lt;/div&gt;&lt;/div&gt;&lt;div&gt;&lt;h5&gt;&lt;b&gt;School &lt;/b&gt;abjuration; &lt;b&gt;Level &lt;/b&gt;bard 2, inquisitor 2, magus 2, ranger 2, sorcerer/wizard 2&lt;/h5&gt;&lt;/div&gt;&lt;hr/&gt;&lt;div&gt;&lt;h5&gt;&lt;b&gt;CASTING&lt;/b&gt;&lt;/h5&gt;&lt;/div&gt;&lt;hr/&gt;&lt;div&gt;&lt;h5&gt;&lt;b&gt;Casting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round/level&lt;/h5&gt;&lt;/div&gt;&lt;hr/&gt;&lt;div&gt;&lt;h5&gt;&lt;b&gt;DESCRIPTION&lt;/b&gt;&lt;/h5&gt;&lt;/div&gt;&lt;hr/&gt;&lt;div&gt;&lt;h4&gt;&lt;p&gt;This ward grants you extra maneuverability when you avoid attacks against larger foes. While affected by this spell, when you are attacked and missed by a creature that is at least one size category larger than you, you can, as an immediate action, move up to 5 feet away from the attacking creature. You can increase this movement by 5 feet for every 5 caster levels. This movement does not provoke attacks of opportunity.&lt;/p&gt;&lt;/h4&gt;&lt;/div&gt;</t>
  </si>
  <si>
    <t>Fearsome Duplicate</t>
  </si>
  <si>
    <t>bard 3, inquisitor 3, sorcerer/wizard 3, witch 3</t>
  </si>
  <si>
    <t>monstrously distorted duplicate of you</t>
  </si>
  <si>
    <t>You create a larger and far more menacing version of yourself that you can send forth, manipulate like a puppet, and use to interact with others. You can make the duplicate up to two size categories larger than you are and determine a theme as to how it alters your original appearance. However, this duplicate always retains some vestiges of your actual appearance. Creatures who already know you gain a +2 bonus on saving throws made to disbelieve this spell. Your duplicate has no actual substance, and you cannot use it to alter its surroundings or to attack or otherwise harm creatures it encounters. You can use the duplicate to speak, and interact verbally with creatures using the Bluff, Diplomacy, and Intimidate skills, and you gain a +2 competence bonus on Intimidate checks when using that skill through the duplicate. You can see, hear, taste, and smell your duplicate's surroundings as if you are actually present using your Perception skill. While you also remain aware of your own immediate surroundings when controlling your duplicate, controlling it does take a toll on your senses. You take a -4 penalty on Perception checks while you control your duplicate. The duplicate moves under your mental command, and while you need not act out its movements, you must take a standard action to control your duplicate for 1 round (concentrating on the spell) or it winks out of existence. You can maintain control of your duplicate even if you have no line of sight or line of effect to it. The duplicate immediately winks out of existence if it is hit by an attack or in the area of a damaging effect, or if it moves beyond the maximum range of the spell.</t>
  </si>
  <si>
    <t>&lt;p&gt;You create a larger and far more menacing version of yourself that you can send forth, manipulate like a puppet, and use to interact with others. You can make the duplicate up to two size categories larger than you are and determine a theme as to how it alters your original appearance. However, this duplicate always retains some vestiges of your actual appearance. Creatures who already know you gain a +2 bonus on saving throws made to disbelieve this spell. Your duplicate has no actual substance, and you cannot use it to alter its surroundings or to attack or otherwise harm creatures it encounters. You can use the duplicate to speak, and interact verbally with creatures using the Bluff, Diplomacy, and Intimidate skills, and you gain a +2 competence bonus on Intimidate checks when using that skill through the duplicate. You can see, hear, taste, and smell your duplicate's surroundings as if you are actually present using your Perception skill. While you also remain aware of your own immediate surroundings when controlling your duplicate, controlling it does take a toll on your senses. You take a -4 penalty on Perception checks while you control your duplicate. The duplicate moves under your mental command, and while you need not act out its movements, you must take a standard action to control your duplicate for 1 round (concentrating on the spell) or it winks out of existence. You can maintain control of your duplicate even if you have no line of sight or line of effect to it. The duplicate immediately winks out of existence if it is hit by an attack or in the area of a damaging effect, or if it moves beyond the maximum range of the spell.&lt;/p&gt;</t>
  </si>
  <si>
    <t>&lt;link rel="stylesheet"href="PF.css"&gt;&lt;div class="heading"&gt;&lt;p class="alignleft"&gt;Fearsome Duplicate&lt;/p&gt;&lt;div style="clear: both;"&gt;&lt;/div&gt;&lt;/div&gt;&lt;div&gt;&lt;h5&gt;&lt;b&gt;School &lt;/b&gt;illusion (figment); &lt;b&gt;Level &lt;/b&gt;bard 3, inquisitor 3, sorcerer/wizard 3, witch 3&lt;/h5&gt;&lt;/div&gt;&lt;hr/&gt;&lt;div&gt;&lt;h5&gt;&lt;b&gt;CASTING&lt;/b&gt;&lt;/h5&gt;&lt;/div&gt;&lt;hr/&gt;&lt;div&gt;&lt;h5&gt;&lt;b&gt;Casting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ft./level)&lt;/h5&gt;&lt;h5&gt;&lt;b&gt;Effect &lt;/b&gt;monstrously distorted duplicate of you&lt;/h5&gt;&lt;h5&gt;&lt;b&gt;Duration &lt;/b&gt;1 minute/level (D)&lt;/h5&gt;&lt;h5&gt;&lt;b&gt;Saving Throw &lt;/b&gt;Will disbelief (if interacted with); &lt;b&gt;Spell Resistance &lt;/b&gt;yes&lt;/h5&gt;&lt;/div&gt;&lt;hr/&gt;&lt;div&gt;&lt;h5&gt;&lt;b&gt;DESCRIPTION&lt;/b&gt;&lt;/h5&gt;&lt;/div&gt;&lt;hr/&gt;&lt;div&gt;&lt;h4&gt;&lt;p&gt;You create a larger and far more menacing version of yourself that you can send forth, manipulate like a puppet, and use to interact with others. You can make the duplicate up to two size categories larger than you are and determine a theme as to how it alters your original appearance. However, this duplicate always retains some vestiges of your actual appearance. Creatures who already know you gain a +2 bonus on saving throws made to disbelieve this spell. Your duplicate has no actual substance, and you cannot use it to alter its surroundings or to attack or otherwise harm creatures it encounters. You can use the duplicate to speak, and interact verbally with creatures using the Bluff, Diplomacy, and Intimidate skills, and you gain a +2 competence bonus on Intimidate checks when using that skill through the duplicate. You can see, hear, taste, and smell your duplicate's surroundings as if you are actually present using your Perception skill. While you also remain aware of your own immediate surroundings when controlling your duplicate, controlling it does take a toll on your senses. You take a -4 penalty on Perception checks while you control your duplicate. The duplicate moves under your mental command, and while you need not act out its movements, you must take a standard action to control your duplicate for 1 round (concentrating on the spell) or it winks out of existence. You can maintain control of your duplicate even if you have no line of sight or line of effect to it. The duplicate immediately winks out of existence if it is hit by an attack or in the area of a damaging effect, or if it moves beyond the maximum range of the spell.&lt;/p&gt;&lt;/h4&gt;&lt;/div&gt;</t>
  </si>
  <si>
    <t>Village Veil</t>
  </si>
  <si>
    <t>bard 5, cleric 5/oracle 5, sorcerer/wizard 5, witch 5</t>
  </si>
  <si>
    <t>one 10-ft. cube per level</t>
  </si>
  <si>
    <t>You throw an illusion over an area to make creatures that view or interact with it believe it has suffered some great catastrophe or calamity that renders it utterly worthless for their needs. You must set a few general guidelines when casting the spell as to the nature of this disaster (fire, tornado, bandit raid, plague, etc.), after which the illusion fills in the remaining details to make it seem realistic. When casting the spell, you can grant creatures with particular, clearly identifiable physical traits (race, gender, age category, etc.) immunity to this spell. This allows all such eligible creatures to perceive the true nature of the affected area instead of its illusory appearance. Creatures without this immunity that fail their saving throws always perceive the affected area as having absolutely nothing of interest or worth to them. Unless they have reason for suspicion, they always move on without closely investigating the area. Creatures with sufficient reasons for suspicion who do choose to investigate the area gain another saving throw, this one with a +2 bonus, as they enter the village and directly interact with the illusion. You can expand the area of this spell by casting it multiple times. Each time you do, you must effectively "attach" the spell to the existing area by using the same disaster and granting the same sorts of creatures immunity to its effects. If you fail to do this, the entire illusion, no matter how large, disappears.</t>
  </si>
  <si>
    <t>&lt;p&gt;You throw an illusion over an area to make creatures that view or interact with it believe it has suffered some great catastrophe or calamity that renders it utterly worthless for their needs. You must set a few general guidelines when casting the spell as to the nature of this disaster (fire, tornado, bandit raid, plague, etc.), after which the illusion fills in the remaining details to make it seem realistic. When casting the spell, you can grant creatures with particular, clearly identifiable physical traits (race, gender, age category, etc.) immunity to this spell. This allows all such eligible creatures to perceive the true nature of the affected area instead of its illusory appearance. Creatures without this immunity that fail their saving throws always perceive the affected area as having absolutely nothing of interest or worth to them. Unless they have reason for suspicion, they always move on without closely investigating the area. Creatures with sufficient reasons for suspicion who do choose to investigate the area gain another saving throw, this one with a +2 bonus, as they enter the village and directly interact with the illusion. You can expand the area of this spell by casting it multiple times. Each time you do, you must effectively "attach" the spell to the existing area by using the same disaster and granting the same sorts of creatures immunity to its effects. If you fail to do this, the entire illusion, no matter how large, disappears.&lt;/p&gt;</t>
  </si>
  <si>
    <t>&lt;link rel="stylesheet"href="PF.css"&gt;&lt;div class="heading"&gt;&lt;p class="alignleft"&gt;Village Veil&lt;/p&gt;&lt;div style="clear: both;"&gt;&lt;/div&gt;&lt;/div&gt;&lt;div&gt;&lt;h5&gt;&lt;b&gt;School &lt;/b&gt;illusion (figment) [mind-affecting]; &lt;b&gt;Level &lt;/b&gt;bard 5, cleric 5/oracle 5, sorcerer/wizard 5, witch 5&lt;/h5&gt;&lt;/div&gt;&lt;hr/&gt;&lt;div&gt;&lt;h5&gt;&lt;b&gt;CASTING&lt;/b&gt;&lt;/h5&gt;&lt;/div&gt;&lt;hr/&gt;&lt;div&gt;&lt;h5&gt;&lt;b&gt;Casting Time &lt;/b&gt;1 standard action&lt;/h5&gt;&lt;h5&gt;&lt;b&gt;Components &lt;/b&gt;V, S&lt;/h5&gt;&lt;/div&gt;&lt;hr/&gt;&lt;div&gt;&lt;h5&gt;&lt;b&gt;EFFECT&lt;/b&gt;&lt;/h5&gt;&lt;/div&gt;&lt;hr/&gt;&lt;div&gt;&lt;h5&gt;&lt;b&gt;Range &lt;/b&gt;long (400 ft. + 40 ft./level)&lt;/h5&gt;&lt;h5&gt;&lt;b&gt;Area &lt;/b&gt;one 10-ft. cube per level&lt;/h5&gt;&lt;h5&gt;&lt;b&gt;Duration &lt;/b&gt;1 day/level&lt;/h5&gt;&lt;h5&gt;&lt;b&gt;Saving Throw &lt;/b&gt;Will disbelief; &lt;b&gt;Spell Resistance &lt;/b&gt;yes&lt;/h5&gt;&lt;/div&gt;&lt;hr/&gt;&lt;div&gt;&lt;h5&gt;&lt;b&gt;DESCRIPTION&lt;/b&gt;&lt;/h5&gt;&lt;/div&gt;&lt;hr/&gt;&lt;div&gt;&lt;h4&gt;&lt;p&gt;You throw an illusion over an area to make creatures that view or interact with it believe it has suffered some great catastrophe or calamity that renders it utterly worthless for their needs. You must set a few general guidelines when casting the spell as to the nature of this disaster (fire, tornado, bandit raid, plague, etc.), after which the illusion fills in the remaining details to make it seem realistic. When casting the spell, you can grant creatures with particular, clearly identifiable physical traits (race, gender, age category, etc.) immunity to this spell. This allows all such eligible creatures to perceive the true nature of the affected area instead of its illusory appearance. Creatures without this immunity that fail their saving throws always perceive the affected area as having absolutely nothing of interest or worth to them. Unless they have reason for suspicion, they always move on without closely investigating the area. Creatures with sufficient reasons for suspicion who do choose to investigate the area gain another saving throw, this one with a +2 bonus, as they enter the village and directly interact with the illusion. You can expand the area of this spell by casting it multiple times. Each time you do, you must effectively "attach" the spell to the existing area by using the same disaster and granting the same sorts of creatures immunity to its effects. If you fail to do this, the entire illusion, no matter how large, disappears.&lt;/p&gt;&lt;/h4&gt;&lt;/div&gt;</t>
  </si>
  <si>
    <t>Bestow Insight</t>
  </si>
  <si>
    <t>bard 2, cleric 3/oracle 3, inquisitor 2, sorcerer/wizard 2, witch 2</t>
  </si>
  <si>
    <t>one creature touched</t>
  </si>
  <si>
    <t>When casting this spell, choose a single skill that you have at least one rank in. The target gains a +2 insight bonus on skill checks with this skill and is considered trained in that skill. The insight bonus increases by 1 for every four levels of the caster (maximum +6). Furthermore, once before the spell's duration, the target can choose to roll two checks and take the greater result. Doing so ends the spell's other effects.</t>
  </si>
  <si>
    <t>&lt;p&gt;When casting this spell, choose a single skill that you have at least one rank in. The target gains a +2 insight bonus on skill checks with this skill and is considered trained in that skill. The insight bonus increases by 1 for every four levels of the caster (maximum +6). Furthermore, once before the spell's duration, the target can choose to roll two checks and take the greater result. Doing so ends the spell's other effects.&lt;/p&gt;</t>
  </si>
  <si>
    <t>&lt;link rel="stylesheet"href="PF.css"&gt;&lt;div class="heading"&gt;&lt;p class="alignleft"&gt;Bestow Insight&lt;/p&gt;&lt;div style="clear: both;"&gt;&lt;/div&gt;&lt;/div&gt;&lt;div&gt;&lt;h5&gt;&lt;b&gt;School &lt;/b&gt;enchantment (compulsion); &lt;b&gt;Level &lt;/b&gt;bard 2, cleric 3/oracle 3, inquisitor 2, sorcerer/wizard 2, witch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&lt;/b&gt;one creature touched&lt;/h5&gt;&lt;h5&gt;&lt;b&gt;Duration &lt;/b&gt;1 minute/level&lt;/h5&gt;&lt;/div&gt;&lt;hr/&gt;&lt;div&gt;&lt;h5&gt;&lt;b&gt;DESCRIPTION&lt;/b&gt;&lt;/h5&gt;&lt;/div&gt;&lt;hr/&gt;&lt;div&gt;&lt;h4&gt;&lt;p&gt;When casting this spell, choose a single skill that you have at least one rank in. The target gains a +2 insight bonus on skill checks with this skill and is considered trained in that skill. The insight bonus increases by 1 for every four levels of the caster (maximum +6). Furthermore, once before the spell's duration, the target can choose to roll two checks and take the greater result. Doing so ends the spell's other effects.&lt;/p&gt;&lt;/h4&gt;&lt;/div&gt;</t>
  </si>
  <si>
    <t>Black Mark</t>
  </si>
  <si>
    <t>curse, fear</t>
  </si>
  <si>
    <t>druid 7, witch 7</t>
  </si>
  <si>
    <t>V, S, M (a flask of seawater)</t>
  </si>
  <si>
    <t>You mark the target with a black marking on its skin; the mark's exact appearance determined by you, but can be no larger than your hand. The black mark functions as a mark of justice, and when the mark is activated, the target becomes shaken anytime it is on or in the water more than a 5 feet from shore. In addition, as long as the black mark is active, the target is affected as if subject to nature's exile (Advanced Player's Guide 233), but all creatures with the aquatic or water subtype or with a swim speed are made hostile, even those not of the animal type, though non-aquatic animals are not.</t>
  </si>
  <si>
    <t>&lt;p&gt;You mark the target with a &lt;i&gt;black mark&lt;/i&gt;ing on its skin; the mark's exact appearance determined by you, but can be no larger than your hand. The &lt;i&gt;black mark&lt;/i&gt; functions as a &lt;i&gt;mark of justice&lt;/i&gt;, and when the mark is activated, the target becomes shaken anytime it is on or in the water more than a 5 feet from shore. In addition, as long as the &lt;i&gt;black mark&lt;/i&gt; is active, the target is affected as if subject to nature's exile (Advanced Player's Guide 233), but all creatures with the aquatic or water subtype or with a swim speed are made hostile, even those not of the animal type, though non-aquatic animals are not.&lt;/p&gt;</t>
  </si>
  <si>
    <t>&lt;link rel="stylesheet"href="PF.css"&gt;&lt;div class="heading"&gt;&lt;p class="alignleft"&gt;Black Mark&lt;/p&gt;&lt;div style="clear: both;"&gt;&lt;/div&gt;&lt;/div&gt;&lt;div&gt;&lt;h5&gt;&lt;b&gt;School &lt;/b&gt;necromancy [curse, fear]; &lt;b&gt;Level &lt;/b&gt;druid 7, witch 7&lt;/h5&gt;&lt;/div&gt;&lt;hr/&gt;&lt;div&gt;&lt;h5&gt;&lt;b&gt;CASTING&lt;/b&gt;&lt;/h5&gt;&lt;/div&gt;&lt;hr/&gt;&lt;div&gt;&lt;h5&gt;&lt;b&gt;Casting Time &lt;/b&gt;1 standard action&lt;/h5&gt;&lt;h5&gt;&lt;b&gt;Components &lt;/b&gt;V, S, M (a flask of seawater)&lt;/h5&gt;&lt;/div&gt;&lt;hr/&gt;&lt;div&gt;&lt;h5&gt;&lt;b&gt;EFFECT&lt;/b&gt;&lt;/h5&gt;&lt;/div&gt;&lt;hr/&gt;&lt;div&gt;&lt;h5&gt;&lt;b&gt;Range &lt;/b&gt;touch&lt;/h5&gt;&lt;h5&gt;&lt;b&gt;Targets &lt;/b&gt;one creature&lt;/h5&gt;&lt;h5&gt;&lt;b&gt;Duration &lt;/b&gt;permanent&lt;/h5&gt;&lt;h5&gt;&lt;b&gt;Saving Throw &lt;/b&gt;Will negates; &lt;b&gt;Spell Resistance &lt;/b&gt;yes&lt;/h5&gt;&lt;/div&gt;&lt;hr/&gt;&lt;div&gt;&lt;h5&gt;&lt;b&gt;DESCRIPTION&lt;/b&gt;&lt;/h5&gt;&lt;/div&gt;&lt;hr/&gt;&lt;div&gt;&lt;h4&gt;&lt;p&gt;You mark the target with a &lt;i&gt;black mark&lt;/i&gt;ing on its skin; the mark's exact appearance determined by you, but can be no larger than your hand. The &lt;i&gt;black mark&lt;/i&gt; functions as a &lt;i&gt;mark of justice&lt;/i&gt;, and when the mark is activated, the target becomes shaken anytime it is on or in the water more than a 5 feet from shore. In addition, as long as the &lt;i&gt;black mark&lt;/i&gt; is active, the target is affected as if subject to nature's exile (Advanced Player's Guide 233), but all creatures with the aquatic or water subtype or with a swim speed are made hostile, even those not of the animal type, though non-aquatic animals are not.&lt;/p&gt;&lt;/h4&gt;&lt;h5&gt;&lt;b&gt;Mythic: &lt;/b&gt;Any time the cursed creature travels on or in the water more than 1 mile from shore, each day it (or the vessel it's on) is attacked by one or more aquatic or water monsters, as if summoned by summon nature's ally VII (caster level 13th).&lt;/h5&gt;&lt;/div&gt;</t>
  </si>
  <si>
    <t>Any time the cursed creature travels on or in the water more than 1 mile from shore, each day it (or the vessel it's on) is attacked by one or more aquatic or water monsters, as if summoned by summon nature's ally VII (caster level 13th).</t>
  </si>
  <si>
    <t>Old Salt's Curse</t>
  </si>
  <si>
    <t>druid 5, witch 5</t>
  </si>
  <si>
    <t>You inflict a curse of the roiling sea upon the target, making it permanently sickened. Anytime the target is on or in the water more than a mile from shore, it also becomes staggered with seasickness. This curse cannot be dispelled, though remove curse or break enchantment can negate it.</t>
  </si>
  <si>
    <t>&lt;p&gt;You inflict a curse of the roiling sea upon the target, making it permanently sickened. Anytime the target is on or in the water more than a mile from shore, it also becomes staggered with seasickness. This curse cannot be dispelled, though &lt;i&gt;remove curse&lt;/i&gt; or &lt;i&gt;break enchantment&lt;/i&gt; can negate it.&lt;/p&gt;</t>
  </si>
  <si>
    <t>&lt;link rel="stylesheet"href="PF.css"&gt;&lt;div class="heading"&gt;&lt;p class="alignleft"&gt;Old Salt's Curse&lt;/p&gt;&lt;div style="clear: both;"&gt;&lt;/div&gt;&lt;/div&gt;&lt;div&gt;&lt;h5&gt;&lt;b&gt;School &lt;/b&gt;necromancy [curse]; &lt;b&gt;Level &lt;/b&gt;druid 5, witch 5&lt;/h5&gt;&lt;/div&gt;&lt;hr/&gt;&lt;div&gt;&lt;h5&gt;&lt;b&gt;CASTING&lt;/b&gt;&lt;/h5&gt;&lt;/div&gt;&lt;hr/&gt;&lt;div&gt;&lt;h5&gt;&lt;b&gt;Casting Time &lt;/b&gt;1 standard action&lt;/h5&gt;&lt;h5&gt;&lt;b&gt;Components &lt;/b&gt;V, S, M (a flask of seawater)&lt;/h5&gt;&lt;/div&gt;&lt;hr/&gt;&lt;div&gt;&lt;h5&gt;&lt;b&gt;EFFECT&lt;/b&gt;&lt;/h5&gt;&lt;/div&gt;&lt;hr/&gt;&lt;div&gt;&lt;h5&gt;&lt;b&gt;Range &lt;/b&gt;touch&lt;/h5&gt;&lt;h5&gt;&lt;b&gt;Targets &lt;/b&gt;one creature&lt;/h5&gt;&lt;h5&gt;&lt;b&gt;Duration &lt;/b&gt;permanent&lt;/h5&gt;&lt;h5&gt;&lt;b&gt;Saving Throw &lt;/b&gt;Will negates; &lt;b&gt;Spell Resistance &lt;/b&gt;yes&lt;/h5&gt;&lt;/div&gt;&lt;hr/&gt;&lt;div&gt;&lt;h5&gt;&lt;b&gt;DESCRIPTION&lt;/b&gt;&lt;/h5&gt;&lt;/div&gt;&lt;hr/&gt;&lt;div&gt;&lt;h4&gt;&lt;p&gt;You inflict a curse of the roiling sea upon the target, making it permanently sickened. Anytime the target is on or in the water more than a mile from shore, it also becomes staggered with seasickness. This curse cannot be dispelled, though &lt;i&gt;remove curse&lt;/i&gt; or &lt;i&gt;break enchantment&lt;/i&gt; can negate it.&lt;/p&gt;&lt;/h4&gt;&lt;/div&gt;</t>
  </si>
  <si>
    <t>Sacred Space</t>
  </si>
  <si>
    <t>V, S, M (a vial of ambrosia)</t>
  </si>
  <si>
    <t>This spell sanctifies an area with heavenly power. The DC to resist spells or spell-like abilities with the good descriptor or channeled energy that damages evil outsiders (as when using Alignment Channel) increases by +2. In addition, evil outsiders take a -1 penalty on attack rolls, damage rolls, and saving throws, and they cannot be called or summoned into a sacred space. If the sacred space contains an altar, shrine, or other permanent fixture dedicated to your deity, pantheon, or good-aligned higher power, the modifiers given above are doubled. You cannot cast sacred space in an area with a permanent fixture dedicated to a deity other than yours.</t>
  </si>
  <si>
    <t>&lt;p&gt;This spell sanctifies an area with heavenly power. The DC to resist spells or spell-like abilities with the good descriptor or channeled energy that damages evil outsiders (as when using Alignment Channel) increases by +2. In addition, evil outsiders take a -1 penalty on attack rolls, damage rolls, and saving throws, and they cannot be called or summoned into a &lt;i&gt;sacred space&lt;/i&gt;. If the &lt;i&gt;sacred space&lt;/i&gt; contains an altar, shrine, or other permanent fixture dedicated to your deity, pantheon, or good-aligned higher power, the modifiers given above are doubled. You cannot cast &lt;i&gt;sacred space&lt;/i&gt; in an area with a permanent fixture dedicated to a deity other than yours.&lt;/p&gt;</t>
  </si>
  <si>
    <t>&lt;link rel="stylesheet"href="PF.css"&gt;&lt;div class="heading"&gt;&lt;p class="alignleft"&gt;Sacred Space&lt;/p&gt;&lt;div style="clear: both;"&gt;&lt;/div&gt;&lt;/div&gt;&lt;div&gt;&lt;h5&gt;&lt;b&gt;School &lt;/b&gt;evocation [good]; &lt;b&gt;Level &lt;/b&gt;cleric 2/oracle 2, paladin 2&lt;/h5&gt;&lt;/div&gt;&lt;hr/&gt;&lt;div&gt;&lt;h5&gt;&lt;b&gt;CASTING&lt;/b&gt;&lt;/h5&gt;&lt;/div&gt;&lt;hr/&gt;&lt;div&gt;&lt;h5&gt;&lt;b&gt;Casting Time &lt;/b&gt;1 standard action&lt;/h5&gt;&lt;h5&gt;&lt;b&gt;Components &lt;/b&gt;V, S, M (a vial of ambrosia)&lt;/h5&gt;&lt;/div&gt;&lt;hr/&gt;&lt;div&gt;&lt;h5&gt;&lt;b&gt;EFFECT&lt;/b&gt;&lt;/h5&gt;&lt;/div&gt;&lt;hr/&gt;&lt;div&gt;&lt;h5&gt;&lt;b&gt;Range &lt;/b&gt;close (25 ft. + 5 ft./2 levels)&lt;/h5&gt;&lt;h5&gt;&lt;b&gt;Area &lt;/b&gt;20-ft.-radius emanation&lt;/h5&gt;&lt;h5&gt;&lt;b&gt;Duration &lt;/b&gt;2 hours/level&lt;/h5&gt;&lt;h5&gt;&lt;b&gt;Saving Throw &lt;/b&gt;none; &lt;b&gt;Spell Resistance &lt;/b&gt;no&lt;/h5&gt;&lt;/div&gt;&lt;hr/&gt;&lt;div&gt;&lt;h5&gt;&lt;b&gt;DESCRIPTION&lt;/b&gt;&lt;/h5&gt;&lt;/div&gt;&lt;hr/&gt;&lt;div&gt;&lt;h4&gt;&lt;p&gt;This spell sanctifies an area with heavenly power. The DC to resist spells or spell-like abilities with the good descriptor or channeled energy that damages evil outsiders (as when using Alignment Channel) increases by +2. In addition, evil outsiders take a -1 penalty on attack rolls, damage rolls, and saving throws, and they cannot be called or summoned into a &lt;i&gt;sacred space&lt;/i&gt;. If the &lt;i&gt;sacred space&lt;/i&gt; contains an altar, shrine, or other permanent fixture dedicated to your deity, pantheon, or good-aligned higher power, the modifiers given above are doubled. You cannot cast &lt;i&gt;sacred space&lt;/i&gt; in an area with a permanent fixture dedicated to a deity other than yours.&lt;/p&gt;&lt;/h4&gt;&lt;/div&gt;</t>
  </si>
  <si>
    <t>Truespeak</t>
  </si>
  <si>
    <t>bard 4, cleric 6/oracle 6, sorcerer/wizard 5, witch 5</t>
  </si>
  <si>
    <t>You can communicate with any creature that is not mindless. As long as you can be heard, your speech is understandable to all creatures, each of which hears you as though you were conversing in its language or other natural mode of communication, and you hear their responses as though in your own native language. You may ask questions and receive answers, though this spell does not make creatures more friendly or cooperative than normal, and non-sentient creatures may give limited responses. While using truespeak, your language-dependent effects can affect any creature that is not mindless.</t>
  </si>
  <si>
    <t>&lt;p&gt;You can communicate with any creature that is not mindless. As long as you can be heard, your speech is understandable to all creatures, each of which hears you as though you were conversing in its language or other natural mode of communication, and you hear their responses as though in your own native language. You may ask questions and receive answers, though this spell does not make creatures more friendly or cooperative than normal, and non-sentient creatures may give limited responses. While using &lt;i&gt;truespeak&lt;/i&gt;, your language-dependent effects can affect any creature that is not mindless.&lt;/p&gt;</t>
  </si>
  <si>
    <t>&lt;link rel="stylesheet"href="PF.css"&gt;&lt;div class="heading"&gt;&lt;p class="alignleft"&gt;Truespeak&lt;/p&gt;&lt;div style="clear: both;"&gt;&lt;/div&gt;&lt;/div&gt;&lt;div&gt;&lt;h5&gt;&lt;b&gt;School &lt;/b&gt;divination; &lt;b&gt;Level &lt;/b&gt;bard 4, cleric 6/oracle 6, sorcerer/wizard 5, witch 5&lt;/h5&gt;&lt;/div&gt;&lt;hr/&gt;&lt;div&gt;&lt;h5&gt;&lt;b&gt;CASTING&lt;/b&gt;&lt;/h5&gt;&lt;/div&gt;&lt;hr/&gt;&lt;div&gt;&lt;h5&gt;&lt;b&gt;Casting Time &lt;/b&gt;1 standard action&lt;/h5&gt;&lt;h5&gt;&lt;b&gt;Components &lt;/b&gt;V&lt;/h5&gt;&lt;/div&gt;&lt;hr/&gt;&lt;div&gt;&lt;h5&gt;&lt;b&gt;EFFECT&lt;/b&gt;&lt;/h5&gt;&lt;/div&gt;&lt;hr/&gt;&lt;div&gt;&lt;h5&gt;&lt;b&gt;Range &lt;/b&gt;personal&lt;/h5&gt;&lt;h5&gt;&lt;b&gt;Targets &lt;/b&gt;you&lt;/h5&gt;&lt;h5&gt;&lt;b&gt;Duration &lt;/b&gt;1 minute/level&lt;/h5&gt;&lt;/div&gt;&lt;hr/&gt;&lt;div&gt;&lt;h5&gt;&lt;b&gt;DESCRIPTION&lt;/b&gt;&lt;/h5&gt;&lt;/div&gt;&lt;hr/&gt;&lt;div&gt;&lt;h4&gt;&lt;p&gt;You can communicate with any creature that is not mindless. As long as you can be heard, your speech is understandable to all creatures, each of which hears you as though you were conversing in its language or other natural mode of communication, and you hear their responses as though in your own native language. You may ask questions and receive answers, though this spell does not make creatures more friendly or cooperative than normal, and non-sentient creatures may give limited responses. While using &lt;i&gt;truespeak&lt;/i&gt;, your language-dependent effects can affect any creature that is not mindless.&lt;/p&gt;&lt;/h4&gt;&lt;/div&gt;</t>
  </si>
  <si>
    <t>Veil Of Heaven</t>
  </si>
  <si>
    <t>You surround yourself with a veil of positive energy, making it harder for evil outsiders to harm you. For the duration of this spell, you gain a +2 sacred bonus to AC and on saves. Both of these bonuses apply only against attacks or effects created by outsiders with the evil subtype. You can dismiss this spell as a swift action to deal 1d8 points of damage + 1 point per paladin level to all such outsiders within 5 feet. A Will save halves this damage.</t>
  </si>
  <si>
    <t>&lt;p&gt;You surround yourself with a veil of positive energy, making it harder for evil outsiders to harm you. For the duration of this spell, you gain a +2 sacred bonus to AC and on saves. Both of these bonuses apply only against attacks or effects created by outsiders with the evil subtype. You can dismiss this spell as a swift action to deal 1d8 points of damage + 1 point per paladin level to all such outsiders within 5 feet. A Will save halves this damage.&lt;/p&gt;</t>
  </si>
  <si>
    <t>&lt;link rel="stylesheet"href="PF.css"&gt;&lt;div class="heading"&gt;&lt;p class="alignleft"&gt;Veil Of Heaven&lt;/p&gt;&lt;div style="clear: both;"&gt;&lt;/div&gt;&lt;/div&gt;&lt;div&gt;&lt;h5&gt;&lt;b&gt;School &lt;/b&gt;abjuration [good]; &lt;b&gt;Level &lt;/b&gt;paladin 1&lt;/h5&gt;&lt;/div&gt;&lt;hr/&gt;&lt;div&gt;&lt;h5&gt;&lt;b&gt;CASTING&lt;/b&gt;&lt;/h5&gt;&lt;/div&gt;&lt;hr/&gt;&lt;div&gt;&lt;h5&gt;&lt;b&gt;Casting Time &lt;/b&gt;1 standard action&lt;/h5&gt;&lt;h5&gt;&lt;b&gt;Components &lt;/b&gt;V, S, DF&lt;/h5&gt;&lt;/div&gt;&lt;hr/&gt;&lt;div&gt;&lt;h5&gt;&lt;b&gt;EFFECT&lt;/b&gt;&lt;/h5&gt;&lt;/div&gt;&lt;hr/&gt;&lt;div&gt;&lt;h5&gt;&lt;b&gt;Range &lt;/b&gt;personal or 5 ft.; see text&lt;/h5&gt;&lt;h5&gt;&lt;b&gt;Targets &lt;/b&gt;you or all creatures within 5 ft.; see text&lt;/h5&gt;&lt;h5&gt;&lt;b&gt;Duration &lt;/b&gt;10 minutes/level (D)&lt;/h5&gt;&lt;h5&gt;&lt;b&gt;Saving Throw &lt;/b&gt;Will half; &lt;b&gt;Spell Resistance &lt;/b&gt;none&lt;/h5&gt;&lt;/div&gt;&lt;hr/&gt;&lt;div&gt;&lt;h5&gt;&lt;b&gt;DESCRIPTION&lt;/b&gt;&lt;/h5&gt;&lt;/div&gt;&lt;hr/&gt;&lt;div&gt;&lt;h4&gt;&lt;p&gt;You surround yourself with a veil of positive energy, making it harder for evil outsiders to harm you. For the duration of this spell, you gain a +2 sacred bonus to AC and on saves. Both of these bonuses apply only against attacks or effects created by outsiders with the evil subtype. You can dismiss this spell as a swift action to deal 1d8 points of damage + 1 point per paladin level to all such outsiders within 5 feet. A Will save halves this damage.&lt;/p&gt;&lt;/h4&gt;&lt;/div&gt;</t>
  </si>
  <si>
    <t>Nine Lives</t>
  </si>
  <si>
    <t>cleric 8/oracle 8, witch 8</t>
  </si>
  <si>
    <t>Despite its name, this powerful ward does not grant the target multiple lives, but rather gives the target the ability to get out of trouble and relieves harmful effects and conditions. For the spell's duration, the target can use any of the following abilities as an immediate action, but only up to a total of nine times, at which point the spell ends. Cat's Luck: The target can use this ability when it fails a saving throw. The target can reroll the failed saving throw, but must take the new result even if it is worse. Fortitude: The target uses this ability when a critical hit or sneak attack is scored against it. The critical hit or sneak attack is negated and the damage is instead rolled normally. Rejuvenate: The target uses this ability when it is reduced to 0 or fewer hit points. The target is instantly healed 3d6 points of damage. If enough hit points are regained to bring the target to positive hit points, it does not fall unconscious. If it is not enough to leave the target with positive hit points, the target automatically stabilizes. Both of these effects work even if the damage was originally enough to kill the target. Shake Off: The target uses this ability when it is under the effects of any of the following conditions: blinded, confused, cowering, dazed, dazzled, entangled, exhausted, fatigued, frightened, nauseated, panicked, shaken, sickened, or staggered. Using this ability ends one of those conditions. Shimmy Out: The target uses this ability when it is grappled or pinned. The target automatically escapes the grapple as if it had succeeded at an Escape Artist check to escape the grapple. Stay Up: The target uses this ability when it is tripped or otherwise knocked prone. The target steadies itself and stays upright.</t>
  </si>
  <si>
    <t>&lt;p&gt;Despite its name, this powerful ward does not grant the target multiple lives, but rather gives the target the ability to get out of trouble and relieves harmful effects and conditions. For the spell's duration, the target can use any of the following abilities as an immediate action, but only up to a total of nine times, at which point the spell ends. Cat's Luck: The target can use this ability when it fails a saving throw. The target can reroll the failed saving throw, but must take the new result even if it is worse. &lt;i&gt;Fortitude&lt;/i&gt;: The target uses this ability when a critical hit or sneak attack is scored against it. The critical hit or sneak attack is negated and the damage is instead rolled normally. &lt;i&gt;Rejuvenate&lt;/i&gt;: The target uses this ability when it is reduced to 0 or fewer hit points. The target is instantly healed 3d6 points of damage. If enough hit points are regained to bring the target to positive hit points, it does not fall unconscious. If it is not enough to leave the target with positive hit points, the target automatically stabilizes. Both of these effects work even if the damage was originally enough to kill the target. &lt;i&gt;Shake Off&lt;/i&gt;: The target uses this ability when it is under the effects of any of the following conditions: blinded, confused, cowering, dazed, dazzled, entangled, exhausted, fatigued, frightened, nauseated, panicked, shaken, sickened, or staggered. Using this ability ends one of those conditions. &lt;i&gt;Shimmy Out&lt;/i&gt;: The target uses this ability when it is grappled or pinned. The target automatically escapes the grapple as if it had succeeded at an Escape Artist check to escape the grapple. &lt;i&gt;Stay Up&lt;/i&gt;: The target uses this ability when it is tripped or otherwise knocked prone. The target steadies itself and stays upright.&lt;/p&gt;</t>
  </si>
  <si>
    <t>&lt;link rel="stylesheet"href="PF.css"&gt;&lt;div class="heading"&gt;&lt;p class="alignleft"&gt;Nine Lives&lt;/p&gt;&lt;div style="clear: both;"&gt;&lt;/div&gt;&lt;/div&gt;&lt;div&gt;&lt;h5&gt;&lt;b&gt;School &lt;/b&gt;abjuration; &lt;b&gt;Level &lt;/b&gt;cleric 8/oracle 8, witch 8&lt;/h5&gt;&lt;/div&gt;&lt;hr/&gt;&lt;div&gt;&lt;h5&gt;&lt;b&gt;CASTING&lt;/b&gt;&lt;/h5&gt;&lt;/div&gt;&lt;hr/&gt;&lt;div&gt;&lt;h5&gt;&lt;b&gt;Casting Time &lt;/b&gt;1 standard action&lt;/h5&gt;&lt;h5&gt;&lt;b&gt;Components &lt;/b&gt;?&lt;/h5&gt;&lt;/div&gt;&lt;hr/&gt;&lt;div&gt;&lt;h5&gt;&lt;b&gt;EFFECT&lt;/b&gt;&lt;/h5&gt;&lt;/div&gt;&lt;hr/&gt;&lt;div&gt;&lt;h5&gt;&lt;b&gt;Range &lt;/b&gt;touch&lt;/h5&gt;&lt;h5&gt;&lt;b&gt;Targets &lt;/b&gt;one creature touched&lt;/h5&gt;&lt;h5&gt;&lt;b&gt;Duration &lt;/b&gt;1 hour/level&lt;/h5&gt;&lt;h5&gt;&lt;b&gt;Saving Throw &lt;/b&gt;Will negates (harmless); &lt;b&gt;Spell Resistance &lt;/b&gt;yes (harmless)&lt;/h5&gt;&lt;/div&gt;&lt;hr/&gt;&lt;div&gt;&lt;h5&gt;&lt;b&gt;DESCRIPTION&lt;/b&gt;&lt;/h5&gt;&lt;/div&gt;&lt;hr/&gt;&lt;div&gt;&lt;h4&gt;&lt;p&gt;Despite its name, this powerful ward does not grant the target multiple lives, but rather gives the target the ability to get out of trouble and relieves harmful effects and conditions. For the spell's duration, the target can use any of the following abilities as an immediate action, but only up to a total of nine times, at which point the spell ends. Cat's Luck: The target can use this ability when it fails a saving throw. The target can reroll the failed saving throw, but must take the new result even if it is worse. &lt;i&gt;Fortitude&lt;/i&gt;: The target uses this ability when a critical hit or sneak attack is scored against it. The critical hit or sneak attack is negated and the damage is instead rolled normally. &lt;i&gt;Rejuvenate&lt;/i&gt;: The target uses this ability when it is reduced to 0 or fewer hit points. The target is instantly healed 3d6 points of damage. If enough hit points are regained to bring the target to positive hit points, it does not fall unconscious. If it is not enough to leave the target with positive hit points, the target automatically stabilizes. Both of these effects work even if the damage was originally enough to kill the target. &lt;i&gt;Shake Off&lt;/i&gt;: The target uses this ability when it is under the effects of any of the following conditions: blinded, confused, cowering, dazed, dazzled, entangled, exhausted, fatigued, frightened, nauseated, panicked, shaken, sickened, or staggered. Using this ability ends one of those conditions. &lt;i&gt;Shimmy Out&lt;/i&gt;: The target uses this ability when it is grappled or pinned. The target automatically escapes the grapple as if it had succeeded at an Escape Artist check to escape the grapple. &lt;i&gt;Stay Up&lt;/i&gt;: The target uses this ability when it is tripped or otherwise knocked prone. The target steadies itself and stays upright.&lt;/p&gt;&lt;/h4&gt;&lt;/div&gt;</t>
  </si>
  <si>
    <t>Steal Breath</t>
  </si>
  <si>
    <t>bard 2, druid 2, sorcerer/wizard 2, witch 2</t>
  </si>
  <si>
    <t>1 round (see text)</t>
  </si>
  <si>
    <t>You pull the breath from a creature's lungs, dealing damage and leaving it unable to speak, use breath weapons, or cast spells with verbal components. If the target fails its saving throw, it takes 2d6 points of damage, and it cannot speak, use breath weapons, or anything else requiring breathing, and a visible line of swirling air leaves the target's mouth and enters your mouth. If, during the duration, the target moves out of range or line of effect to you, the spell immediately ends. This spell has no effect on creatures that do not need to breathe air.</t>
  </si>
  <si>
    <t>&lt;p&gt;You pull the breath from a creature's lungs, dealing damage and leaving it unable to speak, use breath weapons, or cast spells with verbal components. If the target fails its saving throw, it takes 2d6 points of damage, and it cannot speak, use breath weapons, or anything else requiring breathing, and a visible line of swirling air leaves the target's mouth and enters your mouth. If, during the duration, the target moves out of range or line of effect to you, the spell immediately ends. This spell has no effect on creatures that do not need to breathe air.&lt;/p&gt;</t>
  </si>
  <si>
    <t>&lt;link rel="stylesheet"href="PF.css"&gt;&lt;div class="heading"&gt;&lt;p class="alignleft"&gt;Steal Breath&lt;/p&gt;&lt;div style="clear: both;"&gt;&lt;/div&gt;&lt;/div&gt;&lt;div&gt;&lt;h5&gt;&lt;b&gt;School &lt;/b&gt;transmutation [air]; &lt;b&gt;Level &lt;/b&gt;bard 2, druid 2, sorcerer/wizard 2, witch 2&lt;/h5&gt;&lt;/div&gt;&lt;hr/&gt;&lt;div&gt;&lt;h5&gt;&lt;b&gt;CASTING&lt;/b&gt;&lt;/h5&gt;&lt;/div&gt;&lt;hr/&gt;&lt;div&gt;&lt;h5&gt;&lt;b&gt;Casting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living creature&lt;/h5&gt;&lt;h5&gt;&lt;b&gt;Duration &lt;/b&gt;1 round (see text)&lt;/h5&gt;&lt;h5&gt;&lt;b&gt;Saving Throw &lt;/b&gt;Fortitude negates; see text; &lt;b&gt;Spell Resistance &lt;/b&gt;yes&lt;/h5&gt;&lt;/div&gt;&lt;hr/&gt;&lt;div&gt;&lt;h5&gt;&lt;b&gt;DESCRIPTION&lt;/b&gt;&lt;/h5&gt;&lt;/div&gt;&lt;hr/&gt;&lt;div&gt;&lt;h4&gt;&lt;p&gt;You pull the breath from a creature's lungs, dealing damage and leaving it unable to speak, use breath weapons, or cast spells with verbal components. If the target fails its saving throw, it takes 2d6 points of damage, and it cannot speak, use breath weapons, or anything else requiring breathing, and a visible line of swirling air leaves the target's mouth and enters your mouth. If, during the duration, the target moves out of range or line of effect to you, the spell immediately ends. This spell has no effect on creatures that do not need to breathe air.&lt;/p&gt;&lt;/h4&gt;&lt;/div&gt;</t>
  </si>
  <si>
    <t>Blinding Ray</t>
  </si>
  <si>
    <t>cleric/oracle 2, inquisitor 3, paladin 2</t>
  </si>
  <si>
    <t>one or more rays of light</t>
  </si>
  <si>
    <t>You blast your enemies with blinding rays of sunlight. You may fire one ray, plus one additional ray for every four levels beyond 3rd (to a maximum of three rays at 11th level). Each ray requires a ranged touch attack to hit. If a ray hits, it explodes into powerful motes of light, and the target must save or be blinded for 1 round. If the target has light blindness, light sensitivity, or is otherwise vulnerable to bright light, it instead must save or be blinded for 1d4 rounds and take 1d4 points of damage per two caster levels (maximum 5d4). Any creature blinded by a ray sheds light as a sunrod for the duration of its blindness. The rays may be fired at the same or different targets, but all rays must be aimed at targets within 30 feet of each other and fired simultaneously.</t>
  </si>
  <si>
    <t>&lt;p&gt;You blast your enemies with blinding rays of sunlight. You may fire one ray, plus one additional ray for every four levels beyond 3rd (to a maximum of three rays at 11th level). Each ray requires a ranged touch attack to hit. If a ray hits, it explodes into powerful motes of light, and the target must save or be blinded for 1 round. If the target has light blindness, light sensitivity, or is otherwise vulnerable to bright light, it instead must save or be blinded for 1d4 rounds and take 1d4 points of damage per two caster levels (maximum 5d4). Any creature blinded by a ray sheds light as a sunrod for the duration of its blindness. The rays may be fired at the same or different targets, but all rays must be aimed at targets within 30 feet of each other and fired simultaneously.&lt;/p&gt;</t>
  </si>
  <si>
    <t>&lt;link rel="stylesheet"href="PF.css"&gt;&lt;div class="heading"&gt;&lt;p class="alignleft"&gt;Blinding Ray&lt;/p&gt;&lt;div style="clear: both;"&gt;&lt;/div&gt;&lt;/div&gt;&lt;div&gt;&lt;h5&gt;&lt;b&gt;School &lt;/b&gt;evocation [good, light]; &lt;b&gt;Level &lt;/b&gt;cleric/oracle 2, inquisitor 3, paladin 2&lt;/h5&gt;&lt;/div&gt;&lt;hr/&gt;&lt;div&gt;&lt;h5&gt;&lt;b&gt;CASTING&lt;/b&gt;&lt;/h5&gt;&lt;/div&gt;&lt;hr/&gt;&lt;div&gt;&lt;h5&gt;&lt;b&gt;Casting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levels)&lt;/h5&gt;&lt;h5&gt;&lt;b&gt;Effect &lt;/b&gt;one or more rays of light&lt;/h5&gt;&lt;h5&gt;&lt;b&gt;Duration &lt;/b&gt;instantaneous (see text)&lt;/h5&gt;&lt;h5&gt;&lt;b&gt;Saving Throw &lt;/b&gt;Fortitude negates; &lt;b&gt;Spell Resistance &lt;/b&gt;yes&lt;/h5&gt;&lt;/div&gt;&lt;hr/&gt;&lt;div&gt;&lt;h5&gt;&lt;b&gt;DESCRIPTION&lt;/b&gt;&lt;/h5&gt;&lt;/div&gt;&lt;hr/&gt;&lt;div&gt;&lt;h4&gt;&lt;p&gt;You blast your enemies with blinding rays of sunlight. You may fire one ray, plus one additional ray for every four levels beyond 3rd (to a maximum of three rays at 11th level). Each ray requires a ranged touch attack to hit. If a ray hits, it explodes into powerful motes of light, and the target must save or be blinded for 1 round. If the target has light blindness, light sensitivity, or is otherwise vulnerable to bright light, it instead must save or be blinded for 1d4 rounds and take 1d4 points of damage per two caster levels (maximum 5d4). Any creature blinded by a ray sheds light as a sunrod for the duration of its blindness. The rays may be fired at the same or different targets, but all rays must be aimed at targets within 30 feet of each other and fired simultaneously.&lt;/p&gt;&lt;/h4&gt;&lt;h5&gt;&lt;b&gt;Mythic: &lt;/b&gt;On a successful saving throw, the target is dazzled for 1 round. On a failed saving throw, the target is instead blinded for 1d4 rounds. A target with light blindness, light sensitivity, or any other vulnerability to light is instead blinded for 1d4 rounds on a successful saving throw and permanently blinded on a failed saving throw.&lt;/h5&gt;&lt;/div&gt;</t>
  </si>
  <si>
    <t>On a successful saving throw, the target is dazzled for 1 round. On a failed saving throw, the target is instead blinded for 1d4 rounds. A target with light blindness, light sensitivity, or any other vulnerability to light is instead blinded for 1d4 rounds on a successful saving throw and permanently blinded on a failed saving throw.</t>
  </si>
  <si>
    <t>Life Channel</t>
  </si>
  <si>
    <t>one touched creature with negative energy affinity</t>
  </si>
  <si>
    <t>When cast on a creature with negative energy affinity, the target is able to convert channeled positive energy into temporary hit points. When subject to an effect that heals hit points only to living creatures (such as cure light wounds or channel positive energy), the target gains a number of temporary hit points equal to half the number of hit points that the positive energy would normally heal. These temporary hit points go away at the end of this spell's duration.</t>
  </si>
  <si>
    <t>&lt;p&gt;When cast on a creature with negative energy affinity, the target is able to convert channeled positive energy into temporary hit points. When subject to an effect that heals hit points only to living creatures (such as &lt;i&gt;cure light wounds&lt;/i&gt; or channel positive energy), the target gains a number of temporary hit points equal to half the number of hit points that the positive energy would normally heal. These temporary hit points go away at the end of this spell's duration.&lt;/p&gt;</t>
  </si>
  <si>
    <t>&lt;link rel="stylesheet"href="PF.css"&gt;&lt;div class="heading"&gt;&lt;p class="alignleft"&gt;Life Channel&lt;/p&gt;&lt;div style="clear: both;"&gt;&lt;/div&gt;&lt;/div&gt;&lt;div&gt;&lt;h5&gt;&lt;b&gt;School &lt;/b&gt;transmutation; &lt;b&gt;Level &lt;/b&gt;cleric 2/oracle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&lt;/b&gt;one touched creature with negative energy affinity&lt;/h5&gt;&lt;h5&gt;&lt;b&gt;Duration &lt;/b&gt;1 minute/level&lt;/h5&gt;&lt;h5&gt;&lt;b&gt;Saving Throw &lt;/b&gt;Fortitude negates (harmless); &lt;b&gt;Spell Resistance &lt;/b&gt;yes (harmless)&lt;/h5&gt;&lt;/div&gt;&lt;hr/&gt;&lt;div&gt;&lt;h5&gt;&lt;b&gt;DESCRIPTION&lt;/b&gt;&lt;/h5&gt;&lt;/div&gt;&lt;hr/&gt;&lt;div&gt;&lt;h4&gt;&lt;p&gt;When cast on a creature with negative energy affinity, the target is able to convert channeled positive energy into temporary hit points. When subject to an effect that heals hit points only to living creatures (such as &lt;i&gt;cure light wounds&lt;/i&gt; or channel positive energy), the target gains a number of temporary hit points equal to half the number of hit points that the positive energy would normally heal. These temporary hit points go away at the end of this spell's duration.&lt;/p&gt;&lt;/h4&gt;&lt;/div&gt;</t>
  </si>
  <si>
    <t>Spawn Ward</t>
  </si>
  <si>
    <t>The target becomes resistant to the effects of energy drain and blood drain attacks made by undead creatures, and cannot be made into undead spawn if killed while the spell is in effect. If the attacking undead's Hit Dice is less than or equal to your caster level, the blood drain or energy drain has no effect. If the attacking undead's Hit Dice are greater than your caster level, the undead must make a Fortitude save (against the DC of the spell) with each attack for those special abilities to have any effect. The spell only prevents the Constitution damage from blood drain and negative levels from energy drain, but not any other effects of these attacks.</t>
  </si>
  <si>
    <t>&lt;p&gt;The target becomes resistant to the effects of energy drain and blood drain attacks made by undead creatures, and cannot be made into undead spawn if killed while the spell is in effect. If the attacking undead's Hit Dice is less than or equal to your caster level, the blood drain or energy drain has no effect. If the attacking undead's Hit Dice are greater than your caster level, the undead must make a Fortitude save (against the DC of the spell) with each attack for those special abilities to have any effect. The spell only prevents the Constitution damage from blood drain and negative levels from energy drain, but not any other effects of these attacks.&lt;/p&gt;</t>
  </si>
  <si>
    <t>&lt;link rel="stylesheet"href="PF.css"&gt;&lt;div class="heading"&gt;&lt;p class="alignleft"&gt;Spawn Ward&lt;/p&gt;&lt;div style="clear: both;"&gt;&lt;/div&gt;&lt;/div&gt;&lt;div&gt;&lt;h5&gt;&lt;b&gt;School &lt;/b&gt;necromancy; &lt;b&gt;Level &lt;/b&gt;cleric 5/oracle 5, inquisitor 5&lt;/h5&gt;&lt;/div&gt;&lt;hr/&gt;&lt;div&gt;&lt;h5&gt;&lt;b&gt;CASTING&lt;/b&gt;&lt;/h5&gt;&lt;/div&gt;&lt;hr/&gt;&lt;div&gt;&lt;h5&gt;&lt;b&gt;Casting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&lt;/b&gt;10 minutes/level&lt;/h5&gt;&lt;h5&gt;&lt;b&gt;Saving Throw &lt;/b&gt;Fortitude negates (harmless); &lt;b&gt;Spell Resistance &lt;/b&gt;yes (harmless)&lt;/h5&gt;&lt;/div&gt;&lt;hr/&gt;&lt;div&gt;&lt;h5&gt;&lt;b&gt;DESCRIPTION&lt;/b&gt;&lt;/h5&gt;&lt;/div&gt;&lt;hr/&gt;&lt;div&gt;&lt;h4&gt;&lt;p&gt;The target becomes resistant to the effects of energy drain and blood drain attacks made by undead creatures, and cannot be made into undead spawn if killed while the spell is in effect. If the attacking undead's Hit Dice is less than or equal to your caster level, the blood drain or energy drain has no effect. If the attacking undead's Hit Dice are greater than your caster level, the undead must make a Fortitude save (against the DC of the spell) with each attack for those special abilities to have any effect. The spell only prevents the Constitution damage from blood drain and negative levels from energy drain, but not any other effects of these attacks.&lt;/p&gt;&lt;/h4&gt;&lt;/div&gt;</t>
  </si>
  <si>
    <t>Ancestral Regression</t>
  </si>
  <si>
    <t>alchemist 2, antipaladin 3, cleric 2/oracle 2, sorcerer/wizard 3, witch 2</t>
  </si>
  <si>
    <t>willing drow touched</t>
  </si>
  <si>
    <t>The target drow transforms into a surface elf. The drow loses her darkvision and light-blindness racial traits and gains the low-light vision racial trait in their place. The alignment and personality of the drow are not affected by the transformation, but the spell conceals her alignment as an undetectable alignment spell. The spell grants the target a +10 bonus on Disguise checks to pass as an elf, though she appears to be an elven analog of herself and can be recognized as such by other drow who know her.</t>
  </si>
  <si>
    <t>&lt;p&gt;The target drow transforms into a surface elf. The drow loses her darkvision and light-blindness racial traits and gains the low-light vision racial trait in their place. The alignment and personality of the drow are not affected by the transformation, but the spell conceals her alignment as an &lt;i&gt;undetectable alignment&lt;/i&gt; spell. The spell grants the target a +10 bonus on Disguise checks to pass as an elf, though she appears to be an elven analog of herself and can be recognized as such by other drow who know her.&lt;/p&gt;</t>
  </si>
  <si>
    <t>&lt;link rel="stylesheet"href="PF.css"&gt;&lt;div class="heading"&gt;&lt;p class="alignleft"&gt;Ancestral Regression&lt;/p&gt;&lt;div style="clear: both;"&gt;&lt;/div&gt;&lt;/div&gt;&lt;div&gt;&lt;h5&gt;&lt;b&gt;School &lt;/b&gt;transmutation (polymorph); &lt;b&gt;Level &lt;/b&gt;alchemist 2, antipaladin 3, cleric 2/oracle 2, sorcerer/wizard 3, witch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&lt;/b&gt;willing drow touched&lt;/h5&gt;&lt;h5&gt;&lt;b&gt;Duration &lt;/b&gt;24 hours (D)&lt;/h5&gt;&lt;h5&gt;&lt;b&gt;Saving Throw &lt;/b&gt;Will negates (harmless); &lt;b&gt;Spell Resistance &lt;/b&gt;yes (harmless)&lt;/h5&gt;&lt;/div&gt;&lt;hr/&gt;&lt;div&gt;&lt;h5&gt;&lt;b&gt;DESCRIPTION&lt;/b&gt;&lt;/h5&gt;&lt;/div&gt;&lt;hr/&gt;&lt;div&gt;&lt;h4&gt;&lt;p&gt;The target drow transforms into a surface elf. The drow loses her darkvision and light-blindness racial traits and gains the low-light vision racial trait in their place. The alignment and personality of the drow are not affected by the transformation, but the spell conceals her alignment as an &lt;i&gt;undetectable alignment&lt;/i&gt; spell. The spell grants the target a +10 bonus on Disguise checks to pass as an elf, though she appears to be an elven analog of herself and can be recognized as such by other drow who know her.&lt;/p&gt;&lt;/h4&gt;&lt;/div&gt;</t>
  </si>
  <si>
    <t>Web Bolt</t>
  </si>
  <si>
    <t>magus 1, sorcerer/wizard 1, witch 1</t>
  </si>
  <si>
    <t>fist-sized blob of webbing</t>
  </si>
  <si>
    <t>You launch a ball of webbing at a target, which must make a save or be affected as if by a web spell occupying only the creature's space. If the creature saves or breaks free of the webbing, the remaining webs dissolve and the square is not considered difficult terrain. The spell has no effect if the target is not on or adjacent to a solid surface that can support the webbing.</t>
  </si>
  <si>
    <t>&lt;p&gt;You launch a ball of &lt;i&gt;web&lt;/i&gt;bing at a target, which must make a save or be affected as if by a &lt;i&gt;web&lt;/i&gt; spell occupying only the creature's space. If the creature saves or breaks free of the &lt;i&gt;web&lt;/i&gt;bing, the remaining &lt;i&gt;web&lt;/i&gt;s dissolve and the square is not considered difficult terrain. The spell has no effect if the target is not on or adjacent to a solid surface that can support the &lt;i&gt;web&lt;/i&gt;bing.&lt;/p&gt;</t>
  </si>
  <si>
    <t>&lt;link rel="stylesheet"href="PF.css"&gt;&lt;div class="heading"&gt;&lt;p class="alignleft"&gt;Web Bolt&lt;/p&gt;&lt;div style="clear: both;"&gt;&lt;/div&gt;&lt;/div&gt;&lt;div&gt;&lt;h5&gt;&lt;b&gt;School &lt;/b&gt;conjuration (creation); &lt;b&gt;Level &lt;/b&gt;magus 1, sorcerer/wizard 1, witch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levels)&lt;/h5&gt;&lt;h5&gt;&lt;b&gt;Effect &lt;/b&gt;fist-sized blob of webbing&lt;/h5&gt;&lt;h5&gt;&lt;b&gt;Duration &lt;/b&gt;1 min./level&lt;/h5&gt;&lt;h5&gt;&lt;b&gt;Saving Throw &lt;/b&gt;Reflex negates; see text; &lt;b&gt;Spell Resistance &lt;/b&gt;no&lt;/h5&gt;&lt;/div&gt;&lt;hr/&gt;&lt;div&gt;&lt;h5&gt;&lt;b&gt;DESCRIPTION&lt;/b&gt;&lt;/h5&gt;&lt;/div&gt;&lt;hr/&gt;&lt;div&gt;&lt;h4&gt;&lt;p&gt;You launch a ball of &lt;i&gt;web&lt;/i&gt;bing at a target, which must make a save or be affected as if by a &lt;i&gt;web&lt;/i&gt; spell occupying only the creature's space. If the creature saves or breaks free of the &lt;i&gt;web&lt;/i&gt;bing, the remaining &lt;i&gt;web&lt;/i&gt;s dissolve and the square is not considered difficult terrain. The spell has no effect if the target is not on or adjacent to a solid surface that can support the &lt;i&gt;web&lt;/i&gt;bing.&lt;/p&gt;&lt;/h4&gt;&lt;/div&gt;</t>
  </si>
  <si>
    <t>Web Cloud</t>
  </si>
  <si>
    <t>You create a cloud of flame-resistant strands of adhesive webbing that billows and flows much like a cloudkill spell. The cloud moves away from you at a rate of 10 feet per round, rolling along the surface of the ground. Figure out the cloud's new spread each round based on its new point of origin, which is 10 feet farther away from the point of origin where the caster cast the spell. Creatures trapped in the webbing remain trapped even after the cloud passes, but the area the cloud leaves behind does not count as difficult terrain. Because the webbing is heavier than air, it sinks to the lowest level of the land, even pouring down den or sinkhole openings. The cloud of webbing cannot penetrate liquids, nor can it be cast underwater. The cloud otherwise acts like a web spell. A creature in the cloud at the start of its turn must save against the cloud or be affected. The webbing of this spell is flammable (see the web spell), but has fire resistance 5.</t>
  </si>
  <si>
    <t>&lt;p&gt;You create a cloud of flame-resistant strands of adhesive &lt;i&gt;web&lt;/i&gt;bing that billows and flows much like a &lt;i&gt;cloudkill&lt;/i&gt; spell. The cloud moves away from you at a rate of 10 feet per round, rolling along the surface of the ground. Figure out the cloud's new spread each round based on its new point of origin, which is 10 feet farther away from the point of origin where the caster cast the spell. Creatures trapped in the &lt;i&gt;web&lt;/i&gt;bing remain trapped even after the cloud passes, but the area the cloud leaves behind does not count as difficult terrain. Because the &lt;i&gt;web&lt;/i&gt;bing is heavier than air, it sinks to the lowest level of the land, even pouring down den or sinkhole openings. The cloud of &lt;i&gt;web&lt;/i&gt;bing cannot penetrate liquids, nor can it be cast underwater. The cloud otherwise acts like a &lt;i&gt;web&lt;/i&gt; spell. A creature in the cloud at the start of its turn must save against the cloud or be affected. The &lt;i&gt;web&lt;/i&gt;bing of this spell is flammable (see the &lt;i&gt;web&lt;/i&gt; spell), but has fire resistance 5.&lt;/p&gt;</t>
  </si>
  <si>
    <t>&lt;link rel="stylesheet"href="PF.css"&gt;&lt;div class="heading"&gt;&lt;p class="alignleft"&gt;Web Cloud&lt;/p&gt;&lt;div style="clear: both;"&gt;&lt;/div&gt;&lt;/div&gt;&lt;div&gt;&lt;h5&gt;&lt;b&gt;School &lt;/b&gt;conjuration (creation); &lt;b&gt;Level &lt;/b&gt;sorcerer/wizard 4, witch 4&lt;/h5&gt;&lt;/div&gt;&lt;hr/&gt;&lt;div&gt;&lt;h5&gt;&lt;b&gt;CASTING&lt;/b&gt;&lt;/h5&gt;&lt;/div&gt;&lt;hr/&gt;&lt;div&gt;&lt;h5&gt;&lt;b&gt;Casting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ft./level)&lt;/h5&gt;&lt;h5&gt;&lt;b&gt;Effect &lt;/b&gt;cloud spreads in 20-ft. radius, 20 ft. high&lt;/h5&gt;&lt;h5&gt;&lt;b&gt;Duration &lt;/b&gt;1 minute/level&lt;/h5&gt;&lt;h5&gt;&lt;b&gt;Saving Throw &lt;/b&gt;Reflex partial; see text; &lt;b&gt;Spell Resistance &lt;/b&gt;no&lt;/h5&gt;&lt;/div&gt;&lt;hr/&gt;&lt;div&gt;&lt;h5&gt;&lt;b&gt;DESCRIPTION&lt;/b&gt;&lt;/h5&gt;&lt;/div&gt;&lt;hr/&gt;&lt;div&gt;&lt;h4&gt;&lt;p&gt;You create a cloud of flame-resistant strands of adhesive webbing that billows and flows much like a &lt;i&gt;cloudkill&lt;/i&gt; spell. The cloud moves away from you at a rate of 10 feet per round, rolling along the surface of the ground. Figure out the cloud's new spread each round based on its new point of origin, which is 10 feet farther away from the point of origin where the caster cast the spell. Creatures trapped in the webbing remain trapped even after the cloud passes, but the area the cloud leaves behind does not count as difficult terrain. Because the webbing is heavier than air, it sinks to the lowest level of the land, even pouring down den or sinkhole openings. The cloud of webbing cannot penetrate liquids, nor can it be cast underwater. The cloud otherwise acts like a &lt;i&gt;web&lt;/i&gt; spell. A creature in the cloud at the start of its turn must save against the cloud or be affected. The webbing of this spell is flammable (see the &lt;i&gt;web&lt;/i&gt; spell), but has fire resistance 5.&lt;/p&gt;&lt;/h4&gt;&lt;/div&gt;</t>
  </si>
  <si>
    <t>Gloomblind Bolts</t>
  </si>
  <si>
    <t>one or more bolts of energy</t>
  </si>
  <si>
    <t>You create one or more bolts of negative energy infused with shadow pulled from the Shadow Plane. You can fire one bolt, plus one for every four levels beyond 5th (to a maximum of three bolts at 13th level) at the same or different targets, but all bolts must be aimed at targets within 30 feet of each other and require a ranged touch attack to hit. Each bolt deals 4d6 points of damage to a living creature or heals 4d6 points of damage to an undead creature. Furthermore, the bolt's energy spreads over the skin of creature, possibly blinding it for a short time. Any creature struck by a bolt must succeed at a Reflex saving throw or become blinded for 1 round.</t>
  </si>
  <si>
    <t>&lt;p&gt;You create one or more bolts of negative energy infused with shadow pulled from the Shadow Plane. You can fire one bolt, plus one for every four levels beyond 5th (to a maximum of three bolts at 13th level) at the same or different targets, but all bolts must be aimed at targets within 30 feet of each other and require a ranged touch attack to hit. Each bolt deals 4d6 points of damage to a living creature or heals 4d6 points of damage to an undead creature. Furthermore, the bolt's energy spreads over the skin of creature, possibly blinding it for a short time. Any creature struck by a bolt must succeed at a Reflex saving throw or become blinded for 1 round.&lt;/p&gt;</t>
  </si>
  <si>
    <t>&lt;link rel="stylesheet"href="PF.css"&gt;&lt;div class="heading"&gt;&lt;p class="alignleft"&gt;Gloomblind Bolts&lt;/p&gt;&lt;div style="clear: both;"&gt;&lt;/div&gt;&lt;/div&gt;&lt;div&gt;&lt;h5&gt;&lt;b&gt;School &lt;/b&gt;conjuration (creation) [shadow]; &lt;b&gt;Level &lt;/b&gt;magus 3, sorcerer/wizard 3, witch 3&lt;/h5&gt;&lt;/div&gt;&lt;hr/&gt;&lt;div&gt;&lt;h5&gt;&lt;b&gt;CASTING&lt;/b&gt;&lt;/h5&gt;&lt;/div&gt;&lt;hr/&gt;&lt;div&gt;&lt;h5&gt;&lt;b&gt;Casting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ft./level)&lt;/h5&gt;&lt;h5&gt;&lt;b&gt;Effect &lt;/b&gt;one or more bolts of energy&lt;/h5&gt;&lt;h5&gt;&lt;b&gt;Duration &lt;/b&gt;instantaneous&lt;/h5&gt;&lt;h5&gt;&lt;b&gt;Saving Throw &lt;/b&gt;Reflex negates; see text; &lt;b&gt;Spell Resistance &lt;/b&gt;yes&lt;/h5&gt;&lt;/div&gt;&lt;hr/&gt;&lt;div&gt;&lt;h5&gt;&lt;b&gt;DESCRIPTION&lt;/b&gt;&lt;/h5&gt;&lt;/div&gt;&lt;hr/&gt;&lt;div&gt;&lt;h4&gt;&lt;p&gt;You create one or more bolts of negative energy infused with shadow pulled from the Shadow Plane. You can fire one bolt, plus one for every four levels beyond 5th (to a maximum of three bolts at 13th level) at the same or different targets, but all bolts must be aimed at targets within 30 feet of each other and require a ranged touch attack to hit. Each bolt deals 4d6 points of damage to a living creature or heals 4d6 points of damage to an undead creature. Furthermore, the bolt's energy spreads over the skin of creature, possibly blinding it for a short time. Any creature struck by a bolt must succeed at a Reflex saving throw or become blinded for 1 round.&lt;/p&gt;&lt;/h4&gt;&lt;/div&gt;</t>
  </si>
  <si>
    <t>Shadowy Haven</t>
  </si>
  <si>
    <t>V, S, M (a small black silk bag)</t>
  </si>
  <si>
    <t>one 5-foot square of floor touched</t>
  </si>
  <si>
    <t>This spell functions like rope trick, except the point of entry is through a 5-foot-square instead of a rope. The space holds as many as 10 creatures of any size. When this spell is cast upon a 5-foot-square part of a wall, it creates an extradimensional space adjacent to the Plane of Shadow. Creatures in the extradimensional space are hidden beyond the reach of spells (including divinations) unless those spells work across planes. The space holds as many as 10 creatures (of any size). The entrance to the extradimensional space remains visible as an area that is darker than the ambient illumination. Spells cannot be cast across the extradimensional interface, nor can area effects cross it. Those in the extradimensional space can see out of it as if a 5-foot-by-5-foot door or window were centered on the affected surface. The window is invisible (though it is within the shadowed entrance to the spell, which is visible), and even creatures that can see the window from the outside can't see through it. Anything inside the extradimensional space is ejected when the spell ends. Only one creature may enter or exit the extradimensional space at a time. The entrance is only open when the area around it is in dim light. Any other level of light (brighter or darker) closes the entrance, trapping creatures inside the extradimensional space. If the entrance is closed when the spell expires, there is a 50% chance that creatures in it are ejected into the Shadow Plane instead of the location of the entrance. If this occurs, the creatures appear on the Shadow Plane 1d10 miles in a random direction from their corresponding location on the Material Plane. The spell has no effect if cast on a plane that is not adjacent to the Shadow Plane. Because the extradimensional space is adjacent to the Shadow Plane, any shadow walk spell or similar effect that allows travel to the Shadow Plane is more accurate, reducing the distance creatures arrive off-target by half.</t>
  </si>
  <si>
    <t>&lt;p&gt;This spell functions like &lt;i&gt;rope trick&lt;/i&gt;, except the point of entry is through a 5-foot-square instead of a rope. The space holds as many as 10 creatures of any size. When this spell is cast upon a 5-foot-square part of a wall, it creates an extradimensional space adjacent to the Plane of Shadow. Creatures in the extradimensional space are hidden beyond the reach of spells (including divinations) unless those spells work across planes. The space holds as many as 10 creatures (of any size). The entrance to the extradimensional space remains visible as an area that is darker than the ambient illumination. Spells cannot be cast across the extradimensional interface, nor can area effects cross it. Those in the extradimensional space can see out of it as if a 5-foot-by-5-foot door or window were centered on the affected surface. The window is invisible (though it is within the shadowed entrance to the spell, which is visible), and even creatures that can see the window from the outside can't see through it. Anything inside the extradimensional space is ejected when the spell ends. Only one creature may enter or exit the extradimensional space at a time. The entrance is only open when the area around it is in dim light. Any other level of light (brighter or darker) closes the entrance, trapping creatures inside the extradimensional space. If the entrance is closed when the spell expires, there is a 50% chance that creatures in it are ejected into the Shadow Plane instead of the location of the entrance. If this occurs, the creatures appear on the Shadow Plane 1d10 miles in a random direction from their corresponding location on the Material Plane. The spell has no effect if cast on a plane that is not adjacent to the Shadow Plane. Because the extradimensional space is adjacent to the Shadow Plane, any &lt;i&gt;shadow walk&lt;/i&gt; spell or similar effect that allows travel to the Shadow Plane is more accurate, reducing the distance creatures arrive off-target by half.&lt;/p&gt;</t>
  </si>
  <si>
    <t>&lt;link rel="stylesheet"href="PF.css"&gt;&lt;div class="heading"&gt;&lt;p class="alignleft"&gt;Shadowy Haven&lt;/p&gt;&lt;div style="clear: both;"&gt;&lt;/div&gt;&lt;/div&gt;&lt;div&gt;&lt;h5&gt;&lt;b&gt;School &lt;/b&gt;transmutation; &lt;b&gt;Level &lt;/b&gt;sorcerer/wizard 4&lt;/h5&gt;&lt;/div&gt;&lt;hr/&gt;&lt;div&gt;&lt;h5&gt;&lt;b&gt;CASTING&lt;/b&gt;&lt;/h5&gt;&lt;/div&gt;&lt;hr/&gt;&lt;div&gt;&lt;h5&gt;&lt;b&gt;Casting Time &lt;/b&gt;1 standard action&lt;/h5&gt;&lt;h5&gt;&lt;b&gt;Components &lt;/b&gt;V, S, M (a small black silk bag)&lt;/h5&gt;&lt;/div&gt;&lt;hr/&gt;&lt;div&gt;&lt;h5&gt;&lt;b&gt;EFFECT&lt;/b&gt;&lt;/h5&gt;&lt;/div&gt;&lt;hr/&gt;&lt;div&gt;&lt;h5&gt;&lt;b&gt;Range &lt;/b&gt;touch&lt;/h5&gt;&lt;h5&gt;&lt;b&gt;Targets &lt;/b&gt;one 5-foot square of floor touched&lt;/h5&gt;&lt;h5&gt;&lt;b&gt;Duration &lt;/b&gt;2 hours/level (D)&lt;/h5&gt;&lt;h5&gt;&lt;b&gt;Saving Throw &lt;/b&gt;none; &lt;b&gt;Spell Resistance &lt;/b&gt;no&lt;/h5&gt;&lt;/div&gt;&lt;hr/&gt;&lt;div&gt;&lt;h5&gt;&lt;b&gt;DESCRIPTION&lt;/b&gt;&lt;/h5&gt;&lt;/div&gt;&lt;hr/&gt;&lt;div&gt;&lt;h4&gt;&lt;p&gt;This spell functions like &lt;i&gt;rope trick&lt;/i&gt;, except the point of entry is through a 5-foot-square instead of a rope. The space holds as many as 10 creatures of any size. When this spell is cast upon a 5-foot-square part of a wall, it creates an extradimensional space adjacent to the Plane of Shadow. Creatures in the extradimensional space are hidden beyond the reach of spells (including divinations) unless those spells work across planes. The space holds as many as 10 creatures (of any size). The entrance to the extradimensional space remains visible as an area that is darker than the ambient illumination. Spells cannot be cast across the extradimensional interface, nor can area effects cross it. Those in the extradimensional space can see out of it as if a 5-foot-by-5-foot door or window were centered on the affected surface. The window is invisible (though it is within the shadowed entrance to the spell, which is visible), and even creatures that can see the window from the outside can't see through it. Anything inside the extradimensional space is ejected when the spell ends. Only one creature may enter or exit the extradimensional space at a time. The entrance is only open when the area around it is in dim light. Any other level of light (brighter or darker) closes the entrance, trapping creatures inside the extradimensional space. If the entrance is closed when the spell expires, there is a 50% chance that creatures in it are ejected into the Shadow Plane instead of the location of the entrance. If this occurs, the creatures appear on the Shadow Plane 1d10 miles in a random direction from their corresponding location on the Material Plane. The spell has no effect if cast on a plane that is not adjacent to the Shadow Plane. Because the extradimensional space is adjacent to the Shadow Plane, any &lt;i&gt;shadow walk&lt;/i&gt; spell or similar effect that allows travel to the Shadow Plane is more accurate, reducing the distance creatures arrive off-target by half.&lt;/p&gt;&lt;/h4&gt;&lt;/div&gt;</t>
  </si>
  <si>
    <t>Fire Trail</t>
  </si>
  <si>
    <t>trail of flame that follows the caster's movements; see text</t>
  </si>
  <si>
    <t>When you cast this spell, flammable liquid oozes from your pores, dripping onto the ground and spontaneously combusting. The flame does not harm you. During this spell's duration, each time you leave your space, you create a trail of fire that burns within the spaces you move through for 1 round before it burns out. You can leave up to 60 feet of flame trail each round, assuming you are Small or Medium. If you are larger than Medium, the maximum trail length is reduced based on your size. If you are Large, you can leave a trail up to 30 feet long (and 10 feet wide), and if you are Huge, you can leave a trail up to 15 feet long (and 15 feet wide); even larger casters can only leave a trail up to 10 feet long (and as wide as your space) each round. You choose where to leave a flame trail. Creatures that start their turn adjacent to the flame trail take 1d6 points of fire damage. Creatures that start their turn within the flame trail or that enter an area of flame take a number of points of fire damage equal to 1d6 + 1 per caster level (maximum +10). If a creature moves into an area of the flame trail multiple times in a round, it takes this damage each time it enters the area of the flame trail. Flammable objects in or adjacent to the fire trail catch fire.</t>
  </si>
  <si>
    <t>&lt;p&gt;When you cast this spell, flammable liquid oozes from your pores, dripping onto the ground and spontaneously combusting. The flame does not harm you. During this spell's duration, each time you leave your space, you create a trail of fire that burns within the spaces you move through for 1 round before it burns out. You can leave up to 60 feet of flame trail each round, assuming you are Small or Medium. If you are larger than Medium, the maximum trail length is reduced based on your size. If you are Large, you can leave a trail up to 30 feet long (and 10 feet wide), and if you are Huge, you can leave a trail up to 15 feet long (and 15 feet wide); even larger casters can only leave a trail up to 10 feet long (and as wide as your space) each round. You choose where to leave a flame trail. Creatures that start their turn adjacent to the flame trail take 1d6 points of fire damage. Creatures that start their turn within the flame trail or that enter an area of flame take a number of points of fire damage equal to 1d6 + 1 per caster level (maximum +10). If a creature moves into an area of the flame trail multiple times in a round, it takes this damage each time it enters the area of the flame trail. Flammable objects in or adjacent to the fire trail catch fire.&lt;/p&gt;</t>
  </si>
  <si>
    <t>&lt;link rel="stylesheet"href="PF.css"&gt;&lt;div class="heading"&gt;&lt;p class="alignleft"&gt;Fire Trail&lt;/p&gt;&lt;div style="clear: both;"&gt;&lt;/div&gt;&lt;/div&gt;&lt;div&gt;&lt;h5&gt;&lt;b&gt;School &lt;/b&gt;transmutation [fire]; &lt;b&gt;Level &lt;/b&gt;alchemist 3, magus 3, sorcerer/wizard 3&lt;/h5&gt;&lt;/div&gt;&lt;hr/&gt;&lt;div&gt;&lt;h5&gt;&lt;b&gt;CASTING&lt;/b&gt;&lt;/h5&gt;&lt;/div&gt;&lt;hr/&gt;&lt;div&gt;&lt;h5&gt;&lt;b&gt;Casting Time &lt;/b&gt;1 standard action&lt;/h5&gt;&lt;h5&gt;&lt;b&gt;Components &lt;/b&gt;V, S&lt;/h5&gt;&lt;/div&gt;&lt;hr/&gt;&lt;div&gt;&lt;h5&gt;&lt;b&gt;EFFECT&lt;/b&gt;&lt;/h5&gt;&lt;/div&gt;&lt;hr/&gt;&lt;div&gt;&lt;h5&gt;&lt;b&gt;Range &lt;/b&gt;personal&lt;/h5&gt;&lt;h5&gt;&lt;b&gt;Effect &lt;/b&gt;trail of flame that follows the caster's movements; see text&lt;/h5&gt;&lt;h5&gt;&lt;b&gt;Duration &lt;/b&gt;1 round/level&lt;/h5&gt;&lt;h5&gt;&lt;b&gt;Saving Throw &lt;/b&gt;none; &lt;b&gt;Spell Resistance &lt;/b&gt;yes&lt;/h5&gt;&lt;/div&gt;&lt;hr/&gt;&lt;div&gt;&lt;h5&gt;&lt;b&gt;DESCRIPTION&lt;/b&gt;&lt;/h5&gt;&lt;/div&gt;&lt;hr/&gt;&lt;div&gt;&lt;h4&gt;&lt;p&gt;When you cast this spell, flammable liquid oozes from your pores, dripping onto the ground and spontaneously combusting. The flame does not harm you. During this spell's duration, each time you leave your space, you create a trail of fire that burns within the spaces you move through for 1 round before it burns out. You can leave up to 60 feet of flame trail each round, assuming you are Small or Medium. If you are larger than Medium, the maximum trail length is reduced based on your size. If you are Large, you can leave a trail up to 30 feet long (and 10 feet wide), and if you are Huge, you can leave a trail up to 15 feet long (and 15 feet wide); even larger casters can only leave a trail up to 10 feet long (and as wide as your space) each round. You choose where to leave a flame trail. Creatures that start their turn adjacent to the flame trail take 1d6 points of fire damage. Creatures that start their turn within the flame trail or that enter an area of flame take a number of points of fire damage equal to 1d6 + 1 per caster level (maximum +10). If a creature moves into an area of the flame trail multiple times in a round, it takes this damage each time it enters the area of the flame trail. Flammable objects in or adjacent to the fire trail catch fire.&lt;/p&gt;&lt;/h4&gt;&lt;/div&gt;</t>
  </si>
  <si>
    <t>Mudball</t>
  </si>
  <si>
    <t>druid 1, magus 1, sorcerer/wizard 1, witch 1</t>
  </si>
  <si>
    <t>single fist-sized blob of sticky mud</t>
  </si>
  <si>
    <t>When you cast this spell, you conjure a single ball of sticky mud and launch it at an enemy's face as a ranged touch attack. If the mudball hits, the target is blinded. Each round at the beginning of its turn, a creature blinded by this spell can attempt a Reflex saving throw to shake off the mud, ending the effect. The mudball can also be wiped off by the creature affected by it or by a creature adjacent to the creature affected by it as a standard action.</t>
  </si>
  <si>
    <t>&lt;p&gt;When you cast this spell, you conjure a single ball of sticky mud and launch it at an enemy's face as a ranged touch attack. If the mudball hits, the target is blinded. Each round at the beginning of its turn, a creature blinded by this spell can attempt a Reflex saving throw to shake off the mud, ending the effect. The mudball can also be wiped off by the creature affected by it or by a creature adjacent to the creature affected by it as a standard action.&lt;/p&gt;</t>
  </si>
  <si>
    <t>&lt;link rel="stylesheet"href="PF.css"&gt;&lt;div class="heading"&gt;&lt;p class="alignleft"&gt;Mudball&lt;/p&gt;&lt;div style="clear: both;"&gt;&lt;/div&gt;&lt;/div&gt;&lt;div&gt;&lt;h5&gt;&lt;b&gt;School &lt;/b&gt;conjuration [earth]; &lt;b&gt;Level &lt;/b&gt;druid 1, magus 1, sorcerer/wizard 1, witch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levels)&lt;/h5&gt;&lt;h5&gt;&lt;b&gt;Effect &lt;/b&gt;single fist-sized blob of sticky mud&lt;/h5&gt;&lt;h5&gt;&lt;b&gt;Duration &lt;/b&gt;instantaneous&lt;/h5&gt;&lt;h5&gt;&lt;b&gt;Saving Throw &lt;/b&gt;Reflex negates; see text; &lt;b&gt;Spell Resistance &lt;/b&gt;no&lt;/h5&gt;&lt;/div&gt;&lt;hr/&gt;&lt;div&gt;&lt;h5&gt;&lt;b&gt;DESCRIPTION&lt;/b&gt;&lt;/h5&gt;&lt;/div&gt;&lt;hr/&gt;&lt;div&gt;&lt;h4&gt;&lt;p&gt;When you cast this spell, you conjure a single ball of sticky mud and launch it at an enemy's face as a ranged touch attack. If the mudball hits, the target is blinded. Each round at the beginning of its turn, a creature blinded by this spell can attempt a Reflex saving throw to shake off the mud, ending the effect. The mudball can also be wiped off by the creature affected by it or by a creature adjacent to the creature affected by it as a standard action.&lt;/p&gt;&lt;/h4&gt;&lt;/div&gt;</t>
  </si>
  <si>
    <t>Vomit Twin</t>
  </si>
  <si>
    <t>creation, teleportation</t>
  </si>
  <si>
    <t>alchemist 3, magus 3, sorcerer/wizard 4, summoner 3</t>
  </si>
  <si>
    <t>creates one ooze duplicate of the caster</t>
  </si>
  <si>
    <t>Upon casting this spell, you vomit forth a disgusting ooze copy of yourself into a single adjacent square. As long as the twin exists, whenever you take a move action to move, the twin can move as well, although it does not need to follow you and cannot take any other actions. On subsequent rounds, at the start of your turn, you can instantaneously exchange places with your twin, as if using teleport. This is not an action and does not provoke an attack of opportunity. The twin has a speed of 30 feet and provokes attacks of opportunity from movement as normal. It has an AC equal to 10 + 1/2 your caster level and a number of hit points equal to your caster level. If the twin is reduced to 0 hit points, it is destroyed, although you can create a new one on your turn as a standard action as long as the duration persists. You cannot have more than one vomit twin at a time.</t>
  </si>
  <si>
    <t>&lt;p&gt;Upon casting this spell, you vomit forth a disgusting ooze copy of yourself into a single adjacent square. As long as the twin exists, whenever you take a move action to move, the twin can move as well, although it does not need to follow you and cannot take any other actions. On subsequent rounds, at the start of your turn, you can instantaneously exchange places with your twin, as if using &lt;i&gt;teleport&lt;/i&gt;. This is not an action and does not provoke an attack of opportunity. The twin has a speed of 30 feet and provokes attacks of opportunity from movement as normal. It has an AC equal to 10 + 1/2 your caster level and a number of hit points equal to your caster level. If the twin is reduced to 0 hit points, it is destroyed, although you can create a new one on your turn as a standard action as long as the duration persists. You cannot have more than one vomit twin at a time.&lt;/p&gt;</t>
  </si>
  <si>
    <t>&lt;link rel="stylesheet"href="PF.css"&gt;&lt;div class="heading"&gt;&lt;p class="alignleft"&gt;Vomit Twin&lt;/p&gt;&lt;div style="clear: both;"&gt;&lt;/div&gt;&lt;/div&gt;&lt;div&gt;&lt;h5&gt;&lt;b&gt;School &lt;/b&gt;conjuration (creation, teleportation); &lt;b&gt;Level &lt;/b&gt;alchemist 3, magus 3, sorcerer/wizard 4, summoner 3&lt;/h5&gt;&lt;/div&gt;&lt;hr/&gt;&lt;div&gt;&lt;h5&gt;&lt;b&gt;CASTING&lt;/b&gt;&lt;/h5&gt;&lt;/div&gt;&lt;hr/&gt;&lt;div&gt;&lt;h5&gt;&lt;b&gt;Casting Time &lt;/b&gt;1 standard action&lt;/h5&gt;&lt;h5&gt;&lt;b&gt;Components &lt;/b&gt;V, S&lt;/h5&gt;&lt;/div&gt;&lt;hr/&gt;&lt;div&gt;&lt;h5&gt;&lt;b&gt;EFFECT&lt;/b&gt;&lt;/h5&gt;&lt;/div&gt;&lt;hr/&gt;&lt;div&gt;&lt;h5&gt;&lt;b&gt;Range &lt;/b&gt;personal&lt;/h5&gt;&lt;h5&gt;&lt;b&gt;Effect &lt;/b&gt;creates one ooze duplicate of the caster&lt;/h5&gt;&lt;h5&gt;&lt;b&gt;Duration &lt;/b&gt;1 round/level&lt;/h5&gt;&lt;/div&gt;&lt;hr/&gt;&lt;div&gt;&lt;h5&gt;&lt;b&gt;DESCRIPTION&lt;/b&gt;&lt;/h5&gt;&lt;/div&gt;&lt;hr/&gt;&lt;div&gt;&lt;h4&gt;&lt;p&gt;Upon casting this spell, you vomit forth a disgusting ooze copy of yourself into a single adjacent square. As long as the twin exists, whenever you take a move action to move, the twin can move as well, although it does not need to follow you and cannot take any other actions. On subsequent rounds, at the start of your turn, you can instantaneously exchange places with your twin, as if using &lt;i&gt;teleport&lt;/i&gt;. This is not an action and does not provoke an attack of opportunity. The twin has a speed of 30 feet and provokes attacks of opportunity from movement as normal. It has an AC equal to 10 + 1/2 your caster level and a number of hit points equal to your caster level. If the twin is reduced to 0 hit points, it is destroyed, although you can create a new one on your turn as a standard action as long as the duration persists. You cannot have more than one vomit twin at a time.&lt;/p&gt;&lt;/h4&gt;&lt;h5&gt;&lt;b&gt;Mythic: &lt;/b&gt;Any spell you cast that has a range of touch, close, medium, or long can originate from the twin instead of you. The twin gains a deflection bonus to AC equal to your tier, and has hit points equal to double your caster level. The twin can attempt attacks of opportunity using your base attack bonus, but has no ability score modifiers, skills, or feats. It threatens an area appropriate for your size and wields a copy of the weapon you were wielding when you cast mythic vomit twin. If the twin's weapon is destroyed or disarmed, on your turn the twin generates a new weapon from its own substance. Its attacks deal damage using that weapon's die type.&lt;/h5&gt;&lt;h5&gt;&lt;b&gt;Augmented (5th)&lt;/b&gt;: If you expend two uses of mythic power, you create two copies when you cast the spell, and both can be active at the same time. If you instead expend three uses of mythic power, you create three copies when you cast the spell, and all three can be active at the same time.&lt;/h5&gt;&lt;/div&gt;</t>
  </si>
  <si>
    <t>Any spell you cast that has a range of touch, close, medium, or long can originate from the twin instead of you. The twin gains a deflection bonus to AC equal to your tier, and has hit points equal to double your caster level. The twin can attempt attacks of opportunity using your base attack bonus, but has no ability score modifiers, skills, or feats. It threatens an area appropriate for your size and wields a copy of the weapon you were wielding when you cast mythic vomit twin. If the twin's weapon is destroyed or disarmed, on your turn the twin generates a new weapon from its own substance. Its attacks deal damage using that weapon's die type.</t>
  </si>
  <si>
    <t>Augmented (5th): If you expend two uses of mythic power, you create two copies when you cast the spell, and both can be active at the same time. If you instead expend three uses of mythic power, you create three copies when you cast the spell, and all three can be active at the same time.</t>
  </si>
  <si>
    <t>Agonizing Rebuke</t>
  </si>
  <si>
    <t>antipaladin 2, cleric 3/oracle 3, inquisitor 3, witch 3</t>
  </si>
  <si>
    <t>yes.</t>
  </si>
  <si>
    <t>With a word and a gesture, you instill such apprehension about attacking you in your target that doing so causes it mental distress and pain. Each time the target makes an attack against you, targets you with a harmful spell, or otherwise takes and action that would harm you, it takes 2d6 points of nonlethal damage.</t>
  </si>
  <si>
    <t>&lt;p&gt;With a word and a gesture, you instill such apprehension about attacking you in your target that doing so causes it mental distress and pain. Each time the target makes an attack against you, targets you with a harmful spell, or otherwise takes and action that would harm you, it takes 2d6 points of nonlethal damage.&lt;/p&gt;</t>
  </si>
  <si>
    <t>&lt;link rel="stylesheet"href="PF.css"&gt;&lt;div class="heading"&gt;&lt;p class="alignleft"&gt;Agonizing Rebuke&lt;/p&gt;&lt;div style="clear: both;"&gt;&lt;/div&gt;&lt;/div&gt;&lt;div&gt;&lt;h5&gt;&lt;b&gt;School &lt;/b&gt;illusion (phantasm) [emotion, mind-affecting]; &lt;b&gt;Level &lt;/b&gt;antipaladin 2, cleric 3/oracle 3, inquisitor 3, witch 3&lt;/h5&gt;&lt;/div&gt;&lt;hr/&gt;&lt;div&gt;&lt;h5&gt;&lt;b&gt;CASTING&lt;/b&gt;&lt;/h5&gt;&lt;/div&gt;&lt;hr/&gt;&lt;div&gt;&lt;h5&gt;&lt;b&gt;Casting Time &lt;/b&gt;1 standard action&lt;/h5&gt;&lt;h5&gt;&lt;b&gt;Components &lt;/b&gt;V, S&lt;/h5&gt;&lt;/div&gt;&lt;hr/&gt;&lt;div&gt;&lt;h5&gt;&lt;b&gt;EFFECT&lt;/b&gt;&lt;/h5&gt;&lt;/div&gt;&lt;hr/&gt;&lt;div&gt;&lt;h5&gt;&lt;b&gt;Range &lt;/b&gt;close (25 ft. + 5 ft./2 level)&lt;/h5&gt;&lt;h5&gt;&lt;b&gt;Targets &lt;/b&gt;one living creature&lt;/h5&gt;&lt;h5&gt;&lt;b&gt;Duration &lt;/b&gt;1 round/level&lt;/h5&gt;&lt;h5&gt;&lt;b&gt;Saving Throw &lt;/b&gt;Will negates; &lt;b&gt;Spell Resistance &lt;/b&gt;yes.&lt;/h5&gt;&lt;/div&gt;&lt;hr/&gt;&lt;div&gt;&lt;h5&gt;&lt;b&gt;DESCRIPTION&lt;/b&gt;&lt;/h5&gt;&lt;/div&gt;&lt;hr/&gt;&lt;div&gt;&lt;h4&gt;&lt;p&gt;With a word and a gesture, you instill such apprehension about attacking you in your target that doing so causes it mental distress and pain. Each time the target makes an attack against you, targets you with a harmful spell, or otherwise takes and action that would harm you, it takes 2d6 points of nonlethal damage.&lt;/p&gt;&lt;/h4&gt;&lt;/div&gt;</t>
  </si>
  <si>
    <t>Chains Of Fire</t>
  </si>
  <si>
    <t>magus 6, sorcerer/wizard 6</t>
  </si>
  <si>
    <t>V, S, F (a drop of oil and a small piece of flint)</t>
  </si>
  <si>
    <t>This spell functions like chain lightning, except as noted above, and the spell deals fire damage instead of electricity damage.</t>
  </si>
  <si>
    <t>&lt;p&gt;This spell functions like &lt;i&gt;chain lightning&lt;/i&gt;, except as noted above, and the spell deals fire damage instead of electricity damage.&lt;/p&gt;</t>
  </si>
  <si>
    <t>&lt;link rel="stylesheet"href="PF.css"&gt;&lt;div class="heading"&gt;&lt;p class="alignleft"&gt;Chains Of Fire&lt;/p&gt;&lt;div style="clear: both;"&gt;&lt;/div&gt;&lt;/div&gt;&lt;div&gt;&lt;h5&gt;&lt;b&gt;School &lt;/b&gt;evocation [fire]; &lt;b&gt;Level &lt;/b&gt;magus 6, sorcerer/wizard 6&lt;/h5&gt;&lt;/div&gt;&lt;hr/&gt;&lt;div&gt;&lt;h5&gt;&lt;b&gt;CASTING&lt;/b&gt;&lt;/h5&gt;&lt;/div&gt;&lt;hr/&gt;&lt;div&gt;&lt;h5&gt;&lt;b&gt;Casting Time &lt;/b&gt;1 standard action&lt;/h5&gt;&lt;h5&gt;&lt;b&gt;Components &lt;/b&gt;V, S, F (a drop of oil and a small piece of flint)&lt;/h5&gt;&lt;/div&gt;&lt;hr/&gt;&lt;div&gt;&lt;h5&gt;&lt;b&gt;EFFECT&lt;/b&gt;&lt;/h5&gt;&lt;/div&gt;&lt;hr/&gt;&lt;div&gt;&lt;h5&gt;&lt;b&gt;Range &lt;/b&gt;medium (100 ft. + 10 ft./level)&lt;/h5&gt;&lt;h5&gt;&lt;b&gt;Targets &lt;/b&gt;one primary target, plus one secondary target/level (each of which must be within 30 ft. of the primary target)&lt;/h5&gt;&lt;h5&gt;&lt;b&gt;Duration &lt;/b&gt;instantaneous&lt;/h5&gt;&lt;h5&gt;&lt;b&gt;Saving Throw &lt;/b&gt;Reflex half; &lt;b&gt;Spell Resistance &lt;/b&gt;yes&lt;/h5&gt;&lt;/div&gt;&lt;hr/&gt;&lt;div&gt;&lt;h5&gt;&lt;b&gt;DESCRIPTION&lt;/b&gt;&lt;/h5&gt;&lt;/div&gt;&lt;hr/&gt;&lt;div&gt;&lt;h4&gt;&lt;p&gt;This spell functions like &lt;i&gt;chain lightning&lt;/i&gt;, except as noted above, and the spell deals fire damage instead of electricity damage.&lt;/p&gt;&lt;/h4&gt;&lt;/div&gt;</t>
  </si>
  <si>
    <t>Death Candle</t>
  </si>
  <si>
    <t>death, evil, fire</t>
  </si>
  <si>
    <t>antipaladin 1, cleric 2/oracle 2, inquisitor 2, witch 2</t>
  </si>
  <si>
    <t>instantaneous/1 round per HD of subject; see text</t>
  </si>
  <si>
    <t>This spell functions like death knell, except instead of using the slain target's life energy to enhance yourself, you use it to summon a Small fire elemental resembling a burning, howling version of the slain creature. The elemental acts immediately on your turn and otherwise behaves as if you had summoned it with summon monster II. The elemental remains for a number of rounds equal to the Hit Dice of the slain creature.</t>
  </si>
  <si>
    <t>&lt;p&gt;This spell functions like &lt;i&gt;death knell&lt;/i&gt;, except instead of using the slain target's life energy to enhance yourself, you use it to summon a Small fire elemental resembling a burning, howling version of the slain creature. The elemental acts immediately on your turn and otherwise behaves as if you had summoned it with &lt;i&gt;summon monster II&lt;/i&gt;. The elemental remains for a number of rounds equal to the Hit Dice of the slain creature.&lt;/p&gt;</t>
  </si>
  <si>
    <t>&lt;link rel="stylesheet"href="PF.css"&gt;&lt;div class="heading"&gt;&lt;p class="alignleft"&gt;Death Candle&lt;/p&gt;&lt;div style="clear: both;"&gt;&lt;/div&gt;&lt;/div&gt;&lt;div&gt;&lt;h5&gt;&lt;b&gt;School &lt;/b&gt;necromancy [death, evil, fire]; &lt;b&gt;Level &lt;/b&gt;antipaladin 1, cleric 2/oracle 2, inquisitor 2, witch 2&lt;/h5&gt;&lt;/div&gt;&lt;hr/&gt;&lt;div&gt;&lt;h5&gt;&lt;b&gt;CASTING&lt;/b&gt;&lt;/h5&gt;&lt;/div&gt;&lt;hr/&gt;&lt;div&gt;&lt;h5&gt;&lt;b&gt;Casting Time &lt;/b&gt;1 round&lt;/h5&gt;&lt;h5&gt;&lt;b&gt;Components &lt;/b&gt;V, S&lt;/h5&gt;&lt;/div&gt;&lt;hr/&gt;&lt;div&gt;&lt;h5&gt;&lt;b&gt;EFFECT&lt;/b&gt;&lt;/h5&gt;&lt;/div&gt;&lt;hr/&gt;&lt;div&gt;&lt;h5&gt;&lt;b&gt;Duration &lt;/b&gt;instantaneous/1 round per HD of subject; see text&lt;/h5&gt;&lt;h5&gt;&lt;b&gt;Saving Throw &lt;/b&gt;Fortitude negates; &lt;b&gt;Spell Resistance &lt;/b&gt;yes&lt;/h5&gt;&lt;/div&gt;&lt;hr/&gt;&lt;div&gt;&lt;h5&gt;&lt;b&gt;DESCRIPTION&lt;/b&gt;&lt;/h5&gt;&lt;/div&gt;&lt;hr/&gt;&lt;div&gt;&lt;h4&gt;&lt;p&gt;This spell functions like &lt;i&gt;death knell&lt;/i&gt;, except instead of using the slain target's life energy to enhance yourself, you use it to summon a Small fire elemental resembling a burning, howling version of the slain creature. The elemental acts immediately on your turn and otherwise behaves as if you had summoned it with &lt;i&gt;summon monster II&lt;/i&gt;. The elemental remains for a number of rounds equal to the Hit Dice of the slain creature.&lt;/p&gt;&lt;/h4&gt;&lt;/div&gt;</t>
  </si>
  <si>
    <t>Firestream</t>
  </si>
  <si>
    <t>20-ft. line</t>
  </si>
  <si>
    <t>concentration, up to 1 round/level; see text</t>
  </si>
  <si>
    <t>A rushing stream of fire sprays from your outstretched hand, dealing 2d6 points of fire damage to every creature in the area. Each round you continue to concentrate on the spell, you can select a new area for it to affect. Firestream sets fire to combustibles and damages objects in the area. It can melt metals with low melting points, such as lead, gold, copper, silver, and bronze. If the damage caused to an interposing barrier shatters or breaks through it, the firestream may continue beyond the barrier if the area permits; otherwise it stops at the barrier just as any other spell effect does.</t>
  </si>
  <si>
    <t>&lt;p&gt;A rushing stream of fire sprays from your outstretched hand, dealing 2d6 points of fire damage to every creature in the area. Each round you continue to concentrate on the spell, you can select a new area for it to affect. &lt;i&gt;Firestream&lt;/i&gt; sets fire to combustibles and damages objects in the area. It can melt metals with low melting points, such as lead, gold, copper, silver, and bronze. If the damage caused to an interposing barrier shatters or breaks through it, the firestream may continue beyond the barrier if the area permits; otherwise it stops at the barrier just as any other spell effect does.&lt;/p&gt;</t>
  </si>
  <si>
    <t>&lt;link rel="stylesheet"href="PF.css"&gt;&lt;div class="heading"&gt;&lt;p class="alignleft"&gt;Firestream&lt;/p&gt;&lt;div style="clear: both;"&gt;&lt;/div&gt;&lt;/div&gt;&lt;div&gt;&lt;h5&gt;&lt;b&gt;School &lt;/b&gt;evocation [fire]; &lt;b&gt;Level &lt;/b&gt;magus 3, sorcerer/wizard 3&lt;/h5&gt;&lt;/div&gt;&lt;hr/&gt;&lt;div&gt;&lt;h5&gt;&lt;b&gt;CASTING&lt;/b&gt;&lt;/h5&gt;&lt;/div&gt;&lt;hr/&gt;&lt;div&gt;&lt;h5&gt;&lt;b&gt;Casting Time &lt;/b&gt;1 standard action&lt;/h5&gt;&lt;h5&gt;&lt;b&gt;Components &lt;/b&gt;V, S&lt;/h5&gt;&lt;/div&gt;&lt;hr/&gt;&lt;div&gt;&lt;h5&gt;&lt;b&gt;EFFECT&lt;/b&gt;&lt;/h5&gt;&lt;/div&gt;&lt;hr/&gt;&lt;div&gt;&lt;h5&gt;&lt;b&gt;Range &lt;/b&gt;20 ft.&lt;/h5&gt;&lt;h5&gt;&lt;b&gt;Area &lt;/b&gt;20-ft. line&lt;/h5&gt;&lt;h5&gt;&lt;b&gt;Duration &lt;/b&gt;concentration, up to 1 round/level; see text&lt;/h5&gt;&lt;h5&gt;&lt;b&gt;Saving Throw &lt;/b&gt;Reflex half; &lt;b&gt;Spell Resistance &lt;/b&gt;yes&lt;/h5&gt;&lt;/div&gt;&lt;hr/&gt;&lt;div&gt;&lt;h5&gt;&lt;b&gt;DESCRIPTION&lt;/b&gt;&lt;/h5&gt;&lt;/div&gt;&lt;hr/&gt;&lt;div&gt;&lt;h4&gt;&lt;p&gt;A rushing stream of fire sprays from your outstretched hand, dealing 2d6 points of fire damage to every creature in the area. Each round you continue to concentrate on the spell, you can select a new area for it to affect. &lt;i&gt;Firestream&lt;/i&gt; sets fire to combustibles and damages objects in the area. It can melt metals with low melting points, such as lead, gold, copper, silver, and bronze. If the damage caused to an interposing barrier shatters or breaks through it, the firestream may continue beyond the barrier if the area permits; otherwise it stops at the barrier just as any other spell effect does.&lt;/p&gt;&lt;/h4&gt;&lt;h5&gt;&lt;b&gt;Mythic: &lt;/b&gt;The damage dealt increases to 2d10 points of fire damage. Any creature that fails its saving throw also catches fire (Core Rulebook 444). The continuous line of fire pushes against all creatures, making them treat the spell's area as difficult terrain.&lt;/h5&gt;&lt;h5&gt;&lt;b&gt;Augmented (4th)&lt;/b&gt;: If you expend two uses of mythic power, you create a second line of fire using your other hand. If you overlap the lines, creatures in the overlap must attempt two saving throws and take the lower result, but don't take damage from both lines. You may stop either line of fire as a free action on your turn, but once you stop maintaining a line, you must cast mythic firestream again to recreate it.&lt;/h5&gt;&lt;/div&gt;</t>
  </si>
  <si>
    <t>The damage dealt increases to 2d10 points of fire damage. Any creature that fails its saving throw also catches fire (Core Rulebook 444). The continuous line of fire pushes against all creatures, making them treat the spell's area as difficult terrain.</t>
  </si>
  <si>
    <t>Augmented (4th): If you expend two uses of mythic power, you create a second line of fire using your other hand. If you overlap the lines, creatures in the overlap must attempt two saving throws and take the lower result, but don't take damage from both lines. You may stop either line of fire as a free action on your turn, but once you stop maintaining a line, you must cast mythic firestream again to recreate it.</t>
  </si>
  <si>
    <t>Fury Of The Sun</t>
  </si>
  <si>
    <t>curse, fire</t>
  </si>
  <si>
    <t>You curse the target to suffer unbearable heat. On a failed saving throw, the target is immediately subjected to severe heat (Core Rulebook 444), takes 1d4 points of nonlethal damage, and is suffering from heatstroke (fatigued). The target must save every 10 minutes as normal for severe heat (starting at DC 15 rather than the DC of this spell). Because this heat is internal, the target cannot avoid it using the normal methods for escaping heat dangers such as Survival checks or finding shade.</t>
  </si>
  <si>
    <t>&lt;p&gt;You curse the target to suffer unbearable heat. On a failed saving throw, the target is immediately subjected to severe heat (&lt;i&gt;Core Rulebook&lt;/i&gt; 444), takes 1d4 points of nonlethal damage, and is suffering from heatstroke (fatigued). The target must save every 10 minutes as normal for severe heat (starting at DC 15 rather than the DC of this spell). Because this heat is internal, the target cannot avoid it using the normal methods for escaping heat dangers such as Survival checks or finding shade.&lt;/p&gt;</t>
  </si>
  <si>
    <t>&lt;link rel="stylesheet"href="PF.css"&gt;&lt;div class="heading"&gt;&lt;p class="alignleft"&gt;Fury Of The Sun&lt;/p&gt;&lt;div style="clear: both;"&gt;&lt;/div&gt;&lt;/div&gt;&lt;div&gt;&lt;h5&gt;&lt;b&gt;School &lt;/b&gt;transmutation [curse, fire]; &lt;b&gt;Level &lt;/b&gt;druid 2, witch 2&lt;/h5&gt;&lt;/div&gt;&lt;hr/&gt;&lt;div&gt;&lt;h5&gt;&lt;b&gt;CASTING&lt;/b&gt;&lt;/h5&gt;&lt;/div&gt;&lt;hr/&gt;&lt;div&gt;&lt;h5&gt;&lt;b&gt;Casting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&lt;/b&gt;10 minutes/level&lt;/h5&gt;&lt;h5&gt;&lt;b&gt;Saving Throw &lt;/b&gt;Fortitude negates; &lt;b&gt;Spell Resistance &lt;/b&gt;yes&lt;/h5&gt;&lt;/div&gt;&lt;hr/&gt;&lt;div&gt;&lt;h5&gt;&lt;b&gt;DESCRIPTION&lt;/b&gt;&lt;/h5&gt;&lt;/div&gt;&lt;hr/&gt;&lt;div&gt;&lt;h4&gt;&lt;p&gt;You curse the target to suffer unbearable heat. On a failed saving throw, the target is immediately subjected to severe heat (&lt;i&gt;Core Rulebook&lt;/i&gt; 444), takes 1d4 points of nonlethal damage, and is suffering from heatstroke (fatigued). The target must save every 10 minutes as normal for severe heat (starting at DC 15 rather than the DC of this spell). Because this heat is internal, the target cannot avoid it using the normal methods for escaping heat dangers such as Survival checks or finding shade.&lt;/p&gt;&lt;/h4&gt;&lt;/div&gt;</t>
  </si>
  <si>
    <t>Healing Warmth</t>
  </si>
  <si>
    <t>alchemist 4, cleric 4/oracle 4, druid 4, inquisitor 4</t>
  </si>
  <si>
    <t>This spell grants you temporary immunity to fire damage as protection from energy. As a standard action, you may sacrifice 12 points of remaining energy absorption from the spell to heal a touched creature of 1d8 points of damage. Healing a creature provokes an attack of opportunity. When the spell has absorbed 12 points of fire damage per caster level (to a maximum of 120 points at 10th level), it is discharged.</t>
  </si>
  <si>
    <t>&lt;p&gt;This spell grants you temporary immunity to fire damage as &lt;i&gt;protection from energy&lt;/i&gt;. As a standard action, you may sacrifice 12 points of remaining energy absorption from the spell to heal a touched creature of 1d8 points of damage. Healing a creature provokes an attack of opportunity. When the spell has absorbed 12 points of fire damage per caster level (to a maximum of 120 points at 10th level), it is discharged.&lt;/p&gt;</t>
  </si>
  <si>
    <t>&lt;link rel="stylesheet"href="PF.css"&gt;&lt;div class="heading"&gt;&lt;p class="alignleft"&gt;Healing Warmth&lt;/p&gt;&lt;div style="clear: both;"&gt;&lt;/div&gt;&lt;/div&gt;&lt;div&gt;&lt;h5&gt;&lt;b&gt;School &lt;/b&gt;abjuration; &lt;b&gt;Level &lt;/b&gt;alchemist 4, cleric 4/oracle 4, druid 4, inquisitor 4&lt;/h5&gt;&lt;/div&gt;&lt;hr/&gt;&lt;div&gt;&lt;h5&gt;&lt;b&gt;CASTING&lt;/b&gt;&lt;/h5&gt;&lt;/div&gt;&lt;hr/&gt;&lt;div&gt;&lt;h5&gt;&lt;b&gt;Casting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minute/level&lt;/h5&gt;&lt;/div&gt;&lt;hr/&gt;&lt;div&gt;&lt;h5&gt;&lt;b&gt;DESCRIPTION&lt;/b&gt;&lt;/h5&gt;&lt;/div&gt;&lt;hr/&gt;&lt;div&gt;&lt;h4&gt;&lt;p&gt;This spell grants you temporary immunity to fire damage as &lt;i&gt;protection from energy&lt;/i&gt;. As a standard action, you may sacrifice 12 points of remaining energy absorption from the spell to heal a touched creature of 1d8 points of damage. Healing a creature provokes an attack of opportunity. When the spell has absorbed 12 points of fire damage per caster level (to a maximum of 120 points at 10th level), it is discharged.&lt;/p&gt;&lt;/h4&gt;&lt;/div&gt;</t>
  </si>
  <si>
    <t>Scorching Ash Form</t>
  </si>
  <si>
    <t>S, M (a bit of gauze and a handful of ashes)</t>
  </si>
  <si>
    <t>This spell functions like gaseous form, except the target becomes a visible swirl of hot ash and smoke instead of harmless translucent gas. The target gains the fire subtype. Any creature that begins its turn sharing a space with the target takes 2d6 points of fire damage and must make a Fortitude save (DC 15, + 1 per previous check) or suffer the effects of smoke inhalation (Core Rulebook 444).</t>
  </si>
  <si>
    <t>&lt;p&gt;This spell functions like &lt;i&gt;gaseous form&lt;/i&gt;, except the target becomes a visible swirl of hot ash and smoke instead of harmless translucent gas. The target gains the fire subtype. Any creature that begins its turn sharing a space with the target takes 2d6 points of fire damage and must make a Fortitude save (DC 15, + 1 per previous check) or suffer the effects of smoke inhalation (&lt;i&gt;Core Rulebook&lt;/i&gt; 444).&lt;/p&gt;</t>
  </si>
  <si>
    <t>&lt;link rel="stylesheet"href="PF.css"&gt;&lt;div class="heading"&gt;&lt;p class="alignleft"&gt;Scorching Ash Form&lt;/p&gt;&lt;div style="clear: both;"&gt;&lt;/div&gt;&lt;/div&gt;&lt;div&gt;&lt;h5&gt;&lt;b&gt;School &lt;/b&gt;transmutation [fire]; &lt;b&gt;Level &lt;/b&gt;alchemist 4, sorcerer/wizard 4&lt;/h5&gt;&lt;/div&gt;&lt;hr/&gt;&lt;div&gt;&lt;h5&gt;&lt;b&gt;CASTING&lt;/b&gt;&lt;/h5&gt;&lt;/div&gt;&lt;hr/&gt;&lt;div&gt;&lt;h5&gt;&lt;b&gt;Casting Time &lt;/b&gt;1 standard action&lt;/h5&gt;&lt;h5&gt;&lt;b&gt;Components &lt;/b&gt;S, M (a bit of gauze and a handful of ashes)&lt;/h5&gt;&lt;/div&gt;&lt;hr/&gt;&lt;div&gt;&lt;h5&gt;&lt;b&gt;EFFECT&lt;/b&gt;&lt;/h5&gt;&lt;/div&gt;&lt;hr/&gt;&lt;div&gt;&lt;h5&gt;&lt;b&gt;Range &lt;/b&gt;touch&lt;/h5&gt;&lt;h5&gt;&lt;b&gt;Targets &lt;/b&gt;willing corporeal creature touched&lt;/h5&gt;&lt;h5&gt;&lt;b&gt;Duration &lt;/b&gt;1 minute/level&lt;/h5&gt;&lt;h5&gt;&lt;b&gt;Saving Throw &lt;/b&gt;none; &lt;b&gt;Spell Resistance &lt;/b&gt;no&lt;/h5&gt;&lt;/div&gt;&lt;hr/&gt;&lt;div&gt;&lt;h5&gt;&lt;b&gt;DESCRIPTION&lt;/b&gt;&lt;/h5&gt;&lt;/div&gt;&lt;hr/&gt;&lt;div&gt;&lt;h4&gt;&lt;p&gt;This spell functions like &lt;i&gt;gaseous form&lt;/i&gt;, except the target becomes a visible swirl of hot ash and smoke instead of harmless translucent gas. The target gains the fire subtype. Any creature that begins its turn sharing a space with the target takes 2d6 points of fire damage and must make a Fortitude save (DC 15, + 1 per previous check) or suffer the effects of smoke inhalation (&lt;i&gt;Core Rulebook&lt;/i&gt; 444).&lt;/p&gt;&lt;/h4&gt;&lt;h5&gt;&lt;b&gt;Mythic: &lt;/b&gt;The damage dealt increases to 3d6 points of fire damage. This otherwise makes the same changes as mythic gaseous form.&lt;/h5&gt;&lt;h5&gt;&lt;b&gt;Augmented&lt;/b&gt;: If you expend two uses of mythic power, the target can shift into or out of scorching ash form as a move action.&lt;/h5&gt;&lt;/div&gt;</t>
  </si>
  <si>
    <t>The damage dealt increases to 3d6 points of fire damage. This otherwise makes the same changes as mythic gaseous form.</t>
  </si>
  <si>
    <t>Augmented: If you expend two uses of mythic power, the target can shift into or out of scorching ash form as a move action.</t>
  </si>
  <si>
    <t>Touch Of Combustion</t>
  </si>
  <si>
    <t>druid 1, inquisitor 1, magus 1, sorcerer/wizard 1, witch 1</t>
  </si>
  <si>
    <t>Your successful melee touch attack causes the target to ignite in a violent burst of flame, dealing 1d6 points of fire damage. If it fails its saving throw, the target also catches on fire (Core Rulebook 444). If the target catches fire, on the first round thereafter, creatures adjacent to it (including you) must each succeed at a Reflex save or take 1d4 points of fire damage.</t>
  </si>
  <si>
    <t>&lt;p&gt;Your successful melee touch attack causes the target to ignite in a violent burst of flame, dealing 1d6 points of fire damage. If it fails its saving throw, the target also catches on fire (&lt;i&gt;Core Rulebook&lt;/i&gt; 444). If the target catches fire, on the first round thereafter, creatures adjacent to it (including you) must each succeed at a Reflex save or take 1d4 points of fire damage.&lt;/p&gt;</t>
  </si>
  <si>
    <t>&lt;link rel="stylesheet"href="PF.css"&gt;&lt;div class="heading"&gt;&lt;p class="alignleft"&gt;Touch Of Combustion&lt;/p&gt;&lt;div style="clear: both;"&gt;&lt;/div&gt;&lt;/div&gt;&lt;div&gt;&lt;h5&gt;&lt;b&gt;School &lt;/b&gt;evocation [fire]; &lt;b&gt;Level &lt;/b&gt;druid 1, inquisitor 1, magus 1, sorcerer/wizard 1, witch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or object touched&lt;/h5&gt;&lt;h5&gt;&lt;b&gt;Duration &lt;/b&gt;instantaneous&lt;/h5&gt;&lt;h5&gt;&lt;b&gt;Saving Throw &lt;/b&gt;Reflex negates; see text; &lt;b&gt;Spell Resistance &lt;/b&gt;yes&lt;/h5&gt;&lt;/div&gt;&lt;hr/&gt;&lt;div&gt;&lt;h5&gt;&lt;b&gt;DESCRIPTION&lt;/b&gt;&lt;/h5&gt;&lt;/div&gt;&lt;hr/&gt;&lt;div&gt;&lt;h4&gt;&lt;p&gt;Your successful melee touch attack causes the target to ignite in a violent burst of flame, dealing 1d6 points of fire damage. If it fails its saving throw, the target also catches on fire (&lt;i&gt;Core Rulebook&lt;/i&gt; 444). If the target catches fire, on the first round thereafter, creatures adjacent to it (including you) must each succeed at a Reflex save or take 1d4 points of fire damage.&lt;/p&gt;&lt;/h4&gt;&lt;/div&gt;</t>
  </si>
  <si>
    <t>Improve Trap</t>
  </si>
  <si>
    <t>antipaladin 2, druid 3, inquisitor 3, ranger 2, sorcerer/wizard 3, witch 3</t>
  </si>
  <si>
    <t>one trap</t>
  </si>
  <si>
    <t>When this spell is cast upon a trap, it improves one specific element of the trap chosen at the time of casting. The caster can improve the trap in any of the following ways (each one raises the trap's CR by +1). • Increase DC of the Perception check required to locate the trap by +5. • Increase DC of the Disable Device check required to disarm trap by +5. • Increase the trap's attack bonus or saving throw by +2. To cast this on a trap, you must know that the trap exists and its precise location. A trap can only have one improvement from this spell at a time. A second casting changes the improvement on the trap, but does not add another improvement.</t>
  </si>
  <si>
    <t>&lt;p&gt;When this spell is cast upon a trap, it improves one specific element of the trap chosen at the time of casting. The caster can improve the trap in any of the following ways (each one raises the trap's CR by +1). &lt;ul&gt;&lt;li&gt; Increase DC of the Perception check required to locate the trap by +5. &lt;li&gt; Increase DC of the Disable Device check required to disarm trap by +5. &lt;li&gt; Increase the trap's attack bonus or saving throw by +2. To cast this on a trap, you must know that the trap exists and its precise location. A trap can only have one improvement from this spell at a time. A second casting changes the improvement on the trap, but does not add another improvement.&lt;/ul&gt;&lt;/p&gt;</t>
  </si>
  <si>
    <t>&lt;link rel="stylesheet"href="PF.css"&gt;&lt;div class="heading"&gt;&lt;p class="alignleft"&gt;Improve Trap&lt;/p&gt;&lt;div style="clear: both;"&gt;&lt;/div&gt;&lt;/div&gt;&lt;div&gt;&lt;h5&gt;&lt;b&gt;School &lt;/b&gt;transmutation; &lt;b&gt;Level &lt;/b&gt;antipaladin 2, druid 3, inquisitor 3, ranger 2, sorcerer/wizard 3, witch 3&lt;/h5&gt;&lt;/div&gt;&lt;hr/&gt;&lt;div&gt;&lt;h5&gt;&lt;b&gt;CASTING&lt;/b&gt;&lt;/h5&gt;&lt;/div&gt;&lt;hr/&gt;&lt;div&gt;&lt;h5&gt;&lt;b&gt;Casting Time &lt;/b&gt;1 minute&lt;/h5&gt;&lt;h5&gt;&lt;b&gt;Components &lt;/b&gt;V, S&lt;/h5&gt;&lt;/div&gt;&lt;hr/&gt;&lt;div&gt;&lt;h5&gt;&lt;b&gt;EFFECT&lt;/b&gt;&lt;/h5&gt;&lt;/div&gt;&lt;hr/&gt;&lt;div&gt;&lt;h5&gt;&lt;b&gt;Range &lt;/b&gt;close (25 ft. + 5 ft./2 levels)&lt;/h5&gt;&lt;h5&gt;&lt;b&gt;Targets &lt;/b&gt;one trap&lt;/h5&gt;&lt;h5&gt;&lt;b&gt;Duration &lt;/b&gt;instantaneous&lt;/h5&gt;&lt;h5&gt;&lt;b&gt;Saving Throw &lt;/b&gt;Will negates (object); &lt;b&gt;Spell Resistance &lt;/b&gt;yes (object)&lt;/h5&gt;&lt;/div&gt;&lt;hr/&gt;&lt;div&gt;&lt;h5&gt;&lt;b&gt;DESCRIPTION&lt;/b&gt;&lt;/h5&gt;&lt;/div&gt;&lt;hr/&gt;&lt;div&gt;&lt;h4&gt;&lt;p&gt;When this spell is cast upon a trap, it improves one specific element of the trap chosen at the time of casting. The caster can improve the trap in any of the following ways (each one raises the trap's CR by +1). &lt;ul&gt;&lt;li&gt; Increase DC of the Perception check required to locate the trap by +5. &lt;li&gt; Increase DC of the Disable Device check required to disarm trap by +5. &lt;li&gt; Increase the trap's attack bonus or saving throw by +2.&lt;/ul&gt; To cast this on a trap, you must know that the trap exists and its precise location. A trap can only have one improvement from this spell at a time. A second casting changes the improvement on the trap, but does not add another improvement.&lt;/p&gt;&lt;/h4&gt;&lt;/div&gt;</t>
  </si>
  <si>
    <t>Blood Blaze</t>
  </si>
  <si>
    <t>alchemist 2, antipaladin 1, cleric 2/oracle 2, magus 2, sorcerer/wizard 2, witch 2</t>
  </si>
  <si>
    <t>The target gains a 5-foot-radius aura that causes the blood of creatures in that area to ignite upon contact with air. Any creature (including the spell's target) within the aura that takes at least 5 points of piercing, slashing, or bleed damage from a single attack automatically creates a spray of burning blood. The spray strikes a creature in a randomly determined square adjacent to the injured creature. The spray deals 1d6 points of fire damage to any creature in that square, and 1 point of splash damage to all creatures within 5 feet of the spray's target, including the target of this spell. A creature can only create one spray of burning blood per round. Creatures that do not have blood (including oozes and most constructs and undead) do not create blood sprays when attacked.</t>
  </si>
  <si>
    <t>&lt;p&gt;The target gains a 5-foot-radius aura that causes the blood of creatures in that area to ignite upon contact with air. Any creature (including the spell's target) within the aura that takes at least 5 points of piercing, slashing, or bleed damage from a single attack automatically creates a spray of burning blood. The spray strikes a creature in a randomly determined square adjacent to the injured creature. The spray deals 1d6 points of fire damage to any creature in that square, and 1 point of splash damage to all creatures within 5 feet of the spray's target, including the target of this spell. A creature can only create one spray of burning blood per round. Creatures that do not have blood (including oozes and most constructs and undead) do not create blood sprays when attacked.&lt;/p&gt;</t>
  </si>
  <si>
    <t>&lt;link rel="stylesheet"href="PF.css"&gt;&lt;div class="heading"&gt;&lt;p class="alignleft"&gt;Blood Blaze&lt;/p&gt;&lt;div style="clear: both;"&gt;&lt;/div&gt;&lt;/div&gt;&lt;div&gt;&lt;h5&gt;&lt;b&gt;School &lt;/b&gt;transmutation [fire]; &lt;b&gt;Level &lt;/b&gt;alchemist 2, antipaladin 1, cleric 2/oracle 2, magus 2, sorcerer/wizard 2, witch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round/level (D)&lt;/h5&gt;&lt;h5&gt;&lt;b&gt;Saving Throw &lt;/b&gt;Fortitude negates (harmless); &lt;b&gt;Spell Resistance &lt;/b&gt;yes (harmless)&lt;/h5&gt;&lt;/div&gt;&lt;hr/&gt;&lt;div&gt;&lt;h5&gt;&lt;b&gt;DESCRIPTION&lt;/b&gt;&lt;/h5&gt;&lt;/div&gt;&lt;hr/&gt;&lt;div&gt;&lt;h4&gt;&lt;p&gt;The target gains a 5-foot-radius aura that causes the blood of creatures in that area to ignite upon contact with air. Any creature (including the spell's target) within the aura that takes at least 5 points of piercing, slashing, or bleed damage from a single attack automatically creates a spray of burning blood. The spray strikes a creature in a randomly determined square adjacent to the injured creature. The spray deals 1d6 points of fire damage to any creature in that square, and 1 point of splash damage to all creatures within 5 feet of the spray's target, including the target of this spell. A creature can only create one spray of burning blood per round. Creatures that do not have blood (including oozes and most constructs and undead) do not create blood sprays when attacked.&lt;/p&gt;&lt;/h4&gt;&lt;/div&gt;</t>
  </si>
  <si>
    <t>Blood Scent</t>
  </si>
  <si>
    <t>alchemist 3, antipaladin 2, cleric 3/oracle 3, druid 3, inquisitor 3, ranger 2, sorcerer/wizard 3, witch 3</t>
  </si>
  <si>
    <t>one creature/2 levels, no two of which can be more than 30 ft. apart</t>
  </si>
  <si>
    <t>You greatly magnify the target's ability to smell the presence of blood. The target is considered to have the scent universal monster ability, but only for purposes of detecting and pinpointing injured creatures (below full hit points). Creatures below half their full hit points or suffering bleed damage are considered strong scents for this ability. Orcs and any creature under the effects of rage gain a +2 morale bonus on attack and damage rolls against creatures they can smell with this spell, or a +4 morale bonus if the target's blood counts as a strong scent.</t>
  </si>
  <si>
    <t>&lt;p&gt;You greatly magnify the target's ability to smell the presence of blood. The target is considered to have the scent universal monster ability, but only for purposes of detecting and pinpointing injured creatures (below full hit points). Creatures below half their full hit points or suffering bleed damage are considered strong scents for this ability. Orcs and any creature under the effects of rage gain a +2 morale bonus on attack and damage rolls against creatures they can smell with this spell, or a +4 morale bonus if the target's blood counts as a strong scent.&lt;/p&gt;</t>
  </si>
  <si>
    <t>&lt;link rel="stylesheet"href="PF.css"&gt;&lt;div class="heading"&gt;&lt;p class="alignleft"&gt;Blood Scent&lt;/p&gt;&lt;div style="clear: both;"&gt;&lt;/div&gt;&lt;/div&gt;&lt;div&gt;&lt;h5&gt;&lt;b&gt;School &lt;/b&gt;transmutation; &lt;b&gt;Level &lt;/b&gt;alchemist 3, antipaladin 2, cleric 3/oracle 3, druid 3, inquisitor 3, ranger 2, sorcerer/wizard 3, witch 3&lt;/h5&gt;&lt;/div&gt;&lt;hr/&gt;&lt;div&gt;&lt;h5&gt;&lt;b&gt;CASTING&lt;/b&gt;&lt;/h5&gt;&lt;/div&gt;&lt;hr/&gt;&lt;div&gt;&lt;h5&gt;&lt;b&gt;Casting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ft./level)&lt;/h5&gt;&lt;h5&gt;&lt;b&gt;Targets &lt;/b&gt;one creature/2 levels, no two of which can be more than 30 ft. apart&lt;/h5&gt;&lt;h5&gt;&lt;b&gt;Duration &lt;/b&gt;1 minute/level (D)&lt;/h5&gt;&lt;h5&gt;&lt;b&gt;Saving Throw &lt;/b&gt;Will negates (harmless); &lt;b&gt;Spell Resistance &lt;/b&gt;yes (harmless)&lt;/h5&gt;&lt;/div&gt;&lt;hr/&gt;&lt;div&gt;&lt;h5&gt;&lt;b&gt;DESCRIPTION&lt;/b&gt;&lt;/h5&gt;&lt;/div&gt;&lt;hr/&gt;&lt;div&gt;&lt;h4&gt;&lt;p&gt;You greatly magnify the target's ability to smell the presence of blood. The target is considered to have the scent universal monster ability, but only for purposes of detecting and pinpointing injured creatures (below full hit points). Creatures below half their full hit points or suffering bleed damage are considered strong scents for this ability. Orcs and any creature under the effects of rage gain a +2 morale bonus on attack and damage rolls against creatures they can smell with this spell, or a +4 morale bonus if the target's blood counts as a strong scent.&lt;/p&gt;&lt;/h4&gt;&lt;/div&gt;</t>
  </si>
  <si>
    <t>Enemy's Heart</t>
  </si>
  <si>
    <t>adept 2, antipaladin 2, cleric 2/oracle 2, witch 2</t>
  </si>
  <si>
    <t>1 full-round action, special see below</t>
  </si>
  <si>
    <t>V, S, M (target creature's heart)</t>
  </si>
  <si>
    <t>concentration/1 minute per HD of the subject; see text</t>
  </si>
  <si>
    <t>You cut out an enemy's heart and consume it, absorbing that enemy's power as your own. As part of casting this spell, you perform a coup de grace with a slashing weapon on a helpless, living adjacent target. If the target dies, you eat its heart to gain the spell's benefits. If the target survives, the spell is not wasted and you can try again as long as you continue concentrating on the spell. When you consume the heart, you gain the benefits of a death knell spell, except you gain 1d8 temporary hit points +1 per Hit Die of the target, and the bonus to Strength is a profane bonus.</t>
  </si>
  <si>
    <t>&lt;p&gt;You cut out an enemy's heart and consume it, absorbing that enemy's power as your own. As part of casting this spell, you perform a coup de grace with a slashing weapon on a helpless, living adjacent target. If the target dies, you eat its heart to gain the spell's benefits. If the target survives, the spell is not wasted and you can try again as long as you continue concentrating on the spell. When you consume the heart, you gain the benefits of a &lt;i&gt;death knell&lt;/i&gt; spell, except you gain 1d8 temporary hit points +1 per Hit Die of the target, and the bonus to Strength is a profane bonus.&lt;/p&gt;</t>
  </si>
  <si>
    <t>&lt;link rel="stylesheet"href="PF.css"&gt;&lt;div class="heading"&gt;&lt;p class="alignleft"&gt;Enemy's Heart&lt;/p&gt;&lt;div style="clear: both;"&gt;&lt;/div&gt;&lt;/div&gt;&lt;div&gt;&lt;h5&gt;&lt;b&gt;School &lt;/b&gt;necromancy [death, evil]; &lt;b&gt;Level &lt;/b&gt;adept 2, antipaladin 2, cleric 2/oracle 2, witch 2&lt;/h5&gt;&lt;/div&gt;&lt;hr/&gt;&lt;div&gt;&lt;h5&gt;&lt;b&gt;CASTING&lt;/b&gt;&lt;/h5&gt;&lt;/div&gt;&lt;hr/&gt;&lt;div&gt;&lt;h5&gt;&lt;b&gt;Casting Time &lt;/b&gt;1 full-round action, special see below&lt;/h5&gt;&lt;h5&gt;&lt;b&gt;Components &lt;/b&gt;V, S, M (target creature's heart)&lt;/h5&gt;&lt;/div&gt;&lt;hr/&gt;&lt;div&gt;&lt;h5&gt;&lt;b&gt;EFFECT&lt;/b&gt;&lt;/h5&gt;&lt;/div&gt;&lt;hr/&gt;&lt;div&gt;&lt;h5&gt;&lt;b&gt;Range &lt;/b&gt;touch&lt;/h5&gt;&lt;h5&gt;&lt;b&gt;Targets &lt;/b&gt;living creature touched&lt;/h5&gt;&lt;h5&gt;&lt;b&gt;Duration &lt;/b&gt;concentration/1 minute per HD of the subject; see text&lt;/h5&gt;&lt;h5&gt;&lt;b&gt;Saving Throw &lt;/b&gt;none; &lt;b&gt;Spell Resistance &lt;/b&gt;yes&lt;/h5&gt;&lt;/div&gt;&lt;hr/&gt;&lt;div&gt;&lt;h5&gt;&lt;b&gt;DESCRIPTION&lt;/b&gt;&lt;/h5&gt;&lt;/div&gt;&lt;hr/&gt;&lt;div&gt;&lt;h4&gt;&lt;p&gt;You cut out an enemy's heart and consume it, absorbing that enemy's power as your own. As part of casting this spell, you perform a coup de grace with a slashing weapon on a helpless, living adjacent target. If the target dies, you eat its heart to gain the spell's benefits. If the target survives, the spell is not wasted and you can try again as long as you continue concentrating on the spell. When you consume the heart, you gain the benefits of a &lt;i&gt;death knell&lt;/i&gt; spell, except you gain 1d8 temporary hit points +1 per Hit Die of the target, and the bonus to Strength is a profane bonus.&lt;/p&gt;&lt;/h4&gt;&lt;/div&gt;</t>
  </si>
  <si>
    <t>Sentry Skull</t>
  </si>
  <si>
    <t>antipaladin 1, cleric 2/oracle 2, sorcerer/wizard 2, witch 2</t>
  </si>
  <si>
    <t>V, S, M (an onyx gem worth at least 10 gp)</t>
  </si>
  <si>
    <t>severed head touched</t>
  </si>
  <si>
    <t>permanent (D); see text</t>
  </si>
  <si>
    <t>You restore the senses to the severed head of a humanoid or monstrous humanoid killed within the past 24 hours, creating a grisly sentinel. The head must be affixed to a pole, spear, tree branch, or other stable object, and the spell ends if the head or its object is moved. The head has darkvision 60 feet and low-light vision, can swivel in place to look in any direction, and has a +5 bonus on Perception checks. If you are within 30 feet of the head, as a standard action you can shift your senses to it, seeing and hearing from its location and gaining the benefit of its darkvision and low-light vision, and you may use its Perception skill instead of your own. While your senses are in the severed head, your body is blind and deaf until you spend a free action to shift your senses back to your own body. When you create the head, you can imprint it with a single triggering condition, similar to magic mouth. Once this triggering condition is set, it can never be changed. If you are within 30 feet of the head, you immediately know if it is triggered (if you have multiple active sentry skulls, you also know which one was triggered). This wakens you from normal sleep but does not otherwise disturb your concentration. For example, you could have a sentry skull alert you if any humanoid comes into view, if a particular rival approaches, if your guard animal is killed, and so on, as long as it occurs where the severed head can see it. This spell does not give the head any ability to speak, think, or take any kind of action other than to turn itself, though it is a suitable target for other spells such as magic mouth.</t>
  </si>
  <si>
    <t>&lt;p&gt;You restore the senses to the severed head of a humanoid or monstrous humanoid killed within the past 24 hours, creating a grisly sentinel. The head must be affixed to a pole, spear, tree branch, or other stable object, and the spell ends if the head or its object is moved. The head has darkvision 60 feet and low-light vision, can swivel in place to look in any direction, and has a +5 bonus on Perception checks. If you are within 30 feet of the head, as a standard action you can shift your senses to it, seeing and hearing from its location and gaining the benefit of its darkvision and low-light vision, and you may use its Perception skill instead of your own. While your senses are in the severed head, your body is blind and deaf until you spend a free action to shift your senses back to your own body. When you create the head, you can imprint it with a single triggering condition, similar to &lt;i&gt;magic mouth&lt;/i&gt;. Once this triggering condition is set, it can never be changed. If you are within 30 feet of the head, you immediately know if it is triggered (if you have multiple active &lt;i&gt;&lt;i&gt;sentry skull&lt;/i&gt;s&lt;/i&gt;, you also know which one was triggered). This wakens you from normal sleep but does not otherwise disturb your concentration. For example, you could have a &lt;i&gt;sentry skull&lt;/i&gt; alert you if any humanoid comes into view, if a particular rival approaches, if your guard animal is killed, and so on, as long as it occurs where the severed head can see it. This spell does not give the head any ability to speak, think, or take any kind of action other than to turn itself, though it is a suitable target for other spells such as &lt;i&gt;magic mouth&lt;/i&gt;.&lt;/p&gt;</t>
  </si>
  <si>
    <t>&lt;link rel="stylesheet"href="PF.css"&gt;&lt;div class="heading"&gt;&lt;p class="alignleft"&gt;Sentry Skull&lt;/p&gt;&lt;div style="clear: both;"&gt;&lt;/div&gt;&lt;/div&gt;&lt;div&gt;&lt;h5&gt;&lt;b&gt;School &lt;/b&gt;necromancy [evil]; &lt;b&gt;Level &lt;/b&gt;antipaladin 1, cleric 2/oracle 2, sorcerer/wizard 2, witch 2&lt;/h5&gt;&lt;/div&gt;&lt;hr/&gt;&lt;div&gt;&lt;h5&gt;&lt;b&gt;CASTING&lt;/b&gt;&lt;/h5&gt;&lt;/div&gt;&lt;hr/&gt;&lt;div&gt;&lt;h5&gt;&lt;b&gt;Casting Time &lt;/b&gt;1 hour&lt;/h5&gt;&lt;h5&gt;&lt;b&gt;Components &lt;/b&gt;V, S, M (an onyx gem worth at least 10 gp)&lt;/h5&gt;&lt;/div&gt;&lt;hr/&gt;&lt;div&gt;&lt;h5&gt;&lt;b&gt;EFFECT&lt;/b&gt;&lt;/h5&gt;&lt;/div&gt;&lt;hr/&gt;&lt;div&gt;&lt;h5&gt;&lt;b&gt;Range &lt;/b&gt;touch&lt;/h5&gt;&lt;h5&gt;&lt;b&gt;Targets &lt;/b&gt;severed head touched&lt;/h5&gt;&lt;h5&gt;&lt;b&gt;Duration &lt;/b&gt;permanent (D); see text&lt;/h5&gt;&lt;h5&gt;&lt;b&gt;Saving Throw &lt;/b&gt;none; &lt;b&gt;Spell Resistance &lt;/b&gt;no&lt;/h5&gt;&lt;/div&gt;&lt;hr/&gt;&lt;div&gt;&lt;h5&gt;&lt;b&gt;DESCRIPTION&lt;/b&gt;&lt;/h5&gt;&lt;/div&gt;&lt;hr/&gt;&lt;div&gt;&lt;h4&gt;&lt;p&gt;You restore the senses to the severed head of a humanoid or monstrous humanoid killed within the past 24 hours, creating a grisly sentinel. The head must be affixed to a pole, spear, tree branch, or other stable object, and the spell ends if the head or its object is moved. The head has darkvision 60 feet and low-light vision, can swivel in place to look in any direction, and has a +5 bonus on Perception checks. If you are within 30 feet of the head, as a standard action you can shift your senses to it, seeing and hearing from its location and gaining the benefit of its darkvision and low-light vision, and you may use its Perception skill instead of your own. While your senses are in the severed head, your body is blind and deaf until you spend a free action to shift your senses back to your own body. When you create the head, you can imprint it with a single triggering condition, similar to &lt;i&gt;magic mouth&lt;/i&gt;. Once this triggering condition is set, it can never be changed. If you are within 30 feet of the head, you immediately know if it is triggered (if you have multiple active &lt;i&gt;&lt;i&gt;sentry skull&lt;/i&gt;s&lt;/i&gt;, you also know which one was triggered). This wakens you from normal sleep but does not otherwise disturb your concentration. For example, you could have a &lt;i&gt;sentry skull&lt;/i&gt; alert you if any humanoid comes into view, if a particular rival approaches, if your guard animal is killed, and so on, as long as it occurs where the severed head can see it. This spell does not give the head any ability to speak, think, or take any kind of action other than to turn itself, though it is a suitable target for other spells such as &lt;i&gt;magic mouth&lt;/i&gt;.&lt;/p&gt;&lt;/h4&gt;&lt;/div&gt;</t>
  </si>
  <si>
    <t>Binding Earth</t>
  </si>
  <si>
    <t>one creature or unattended object (see text)</t>
  </si>
  <si>
    <t>If the target of this spell fails its Fortitude save, areas of earth and stone floor act as a snapping quagmire that pulls the target down and damages it if it attempts to move through such terrain. If the target is a creature, it treats all areas of earth and stone it moves through as difficult terrain. Furthermore, for each 5 feet a creature moves through such areas, it takes 1d6 points of damage. Creatures with a burrow speed or the earth glide ability are unaffected by binding earth. If cast on an unattended object resting on an area of stone or earth, the stone or earth warps and wraps around it, pulling it firmly to the ground. A DC 15 Strength check is required to pull the object free from snapping earth or stone.</t>
  </si>
  <si>
    <t>&lt;p&gt;If the target of this spell fails its Fortitude save, areas of earth and stone floor act as a snapping quagmire that pulls the target down and damages it if it attempts to move through such terrain. If the target is a creature, it treats all areas of earth and stone it moves through as difficult terrain. Furthermore, for each 5 feet a creature moves through such areas, it takes 1d6 points of damage. Creatures with a burrow speed or the earth glide ability are unaffected by &lt;i&gt;binding earth&lt;/i&gt;. If cast on an unattended object resting on an area of stone or earth, the stone or earth warps and wraps around it, pulling it firmly to the ground. A DC 15 Strength check is required to pull the object free from snapping earth or stone.&lt;/p&gt;</t>
  </si>
  <si>
    <t>&lt;link rel="stylesheet"href="PF.css"&gt;&lt;div class="heading"&gt;&lt;p class="alignleft"&gt;Binding Earth&lt;/p&gt;&lt;div style="clear: both;"&gt;&lt;/div&gt;&lt;/div&gt;&lt;div&gt;&lt;h5&gt;&lt;b&gt;School &lt;/b&gt;transmutation [earth]; &lt;b&gt;Level &lt;/b&gt;druid 2, witch 2&lt;/h5&gt;&lt;/div&gt;&lt;hr/&gt;&lt;div&gt;&lt;h5&gt;&lt;b&gt;CASTING&lt;/b&gt;&lt;/h5&gt;&lt;/div&gt;&lt;hr/&gt;&lt;div&gt;&lt;h5&gt;&lt;b&gt;Casting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levels)&lt;/h5&gt;&lt;h5&gt;&lt;b&gt;Targets &lt;/b&gt;one creature or unattended object (see text)&lt;/h5&gt;&lt;h5&gt;&lt;b&gt;Duration &lt;/b&gt;1 round/level&lt;/h5&gt;&lt;h5&gt;&lt;b&gt;Saving Throw &lt;/b&gt;Fortitude negates; &lt;b&gt;Spell Resistance &lt;/b&gt;yes&lt;/h5&gt;&lt;/div&gt;&lt;hr/&gt;&lt;div&gt;&lt;h5&gt;&lt;b&gt;DESCRIPTION&lt;/b&gt;&lt;/h5&gt;&lt;/div&gt;&lt;hr/&gt;&lt;div&gt;&lt;h4&gt;&lt;p&gt;If the target of this spell fails its Fortitude save, areas of earth and stone floor act as a snapping quagmire that pulls the target down and damages it if it attempts to move through such terrain. If the target is a creature, it treats all areas of earth and stone it moves through as difficult terrain. Furthermore, for each 5 feet a creature moves through such areas, it takes 1d6 points of damage. Creatures with a burrow speed or the earth glide ability are unaffected by &lt;i&gt;binding earth&lt;/i&gt;. If cast on an unattended object resting on an area of stone or earth, the stone or earth warps and wraps around it, pulling it firmly to the ground. A DC 15 Strength check is required to pull the object free from snapping earth or stone.&lt;/p&gt;&lt;/h4&gt;&lt;/div&gt;</t>
  </si>
  <si>
    <t>Binding Earth, Mass</t>
  </si>
  <si>
    <t>This spell functions as binding earth, except as noted above.</t>
  </si>
  <si>
    <t>&lt;p&gt;This spell functions as &lt;i&gt;binding earth&lt;/i&gt;, except as noted above.&lt;/p&gt;</t>
  </si>
  <si>
    <t>&lt;link rel="stylesheet"href="PF.css"&gt;&lt;div class="heading"&gt;&lt;p class="alignleft"&gt;Binding Earth, Mass&lt;/p&gt;&lt;div style="clear: both;"&gt;&lt;/div&gt;&lt;/div&gt;&lt;div&gt;&lt;h5&gt;&lt;b&gt;School &lt;/b&gt;transmutation [earth]; &lt;b&gt;Level &lt;/b&gt;druid 6, witch 6&lt;/h5&gt;&lt;/div&gt;&lt;hr/&gt;&lt;div&gt;&lt;h5&gt;&lt;b&gt;CASTING&lt;/b&gt;&lt;/h5&gt;&lt;/div&gt;&lt;hr/&gt;&lt;div&gt;&lt;h5&gt;&lt;b&gt;Casting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levels)&lt;/h5&gt;&lt;h5&gt;&lt;b&gt;Targets &lt;/b&gt;one creature or object/level, no two of which can be more than 30 ft. apart&lt;/h5&gt;&lt;h5&gt;&lt;b&gt;Duration &lt;/b&gt;1 round/level&lt;/h5&gt;&lt;h5&gt;&lt;b&gt;Saving Throw &lt;/b&gt;Fortitude negates; &lt;b&gt;Spell Resistance &lt;/b&gt;yes&lt;/h5&gt;&lt;/div&gt;&lt;hr/&gt;&lt;div&gt;&lt;h5&gt;&lt;b&gt;DESCRIPTION&lt;/b&gt;&lt;/h5&gt;&lt;/div&gt;&lt;hr/&gt;&lt;div&gt;&lt;h4&gt;&lt;p&gt;This spell functions as &lt;i&gt;binding earth&lt;/i&gt;, except as noted above.&lt;/p&gt;&lt;/h4&gt;&lt;/div&gt;</t>
  </si>
  <si>
    <t>Mighty Fist Of The Earth</t>
  </si>
  <si>
    <t>You create a fist-sized rock that flies toward one enemy. Make an unarmed strike attack roll against the target as if it were in your threatened area. If the attack is successful, the rock deals bludgeoning damage to the target as if you had hit the target with your unarmed strike. If you have a ki pool, as long as you have at least 1 point in your ki pool, the rock counts as a ki strike. At 4th level, a qinggong monk (Ultimate Magic 51) may select this spell as a ki power costing 1 ki point to activate (if the monk has 0 ki points after activating this ki power, the rock does not count as a ki strike).</t>
  </si>
  <si>
    <t>&lt;p&gt;You create a fist-sized rock that flies toward one enemy. Make an unarmed strike attack roll against the target as if it were in your threatened area. If the attack is successful, the rock deals bludgeoning damage to the target as if you had hit the target with your unarmed strike. If you have a &lt;i&gt;ki&lt;/i&gt; pool, as long as you have at least 1 point in your &lt;i&gt;ki&lt;/i&gt; pool, the rock counts as a &lt;i&gt;ki&lt;/i&gt; strike. At 4th level, a qinggong monk (&lt;i&gt;Ultimate Magic&lt;/i&gt; 51) may select this spell as a &lt;i&gt;ki&lt;/i&gt; power costing 1 &lt;i&gt;ki&lt;/i&gt; point to activate (if the monk has 0 &lt;i&gt;ki&lt;/i&gt; points after activating this &lt;i&gt;ki&lt;/i&gt; power, the rock does not count as a &lt;i&gt;ki&lt;/i&gt; strike).&lt;/p&gt;</t>
  </si>
  <si>
    <t>&lt;link rel="stylesheet"href="PF.css"&gt;&lt;div class="heading"&gt;&lt;p class="alignleft"&gt;Mighty Fist Of The Earth&lt;/p&gt;&lt;div style="clear: both;"&gt;&lt;/div&gt;&lt;/div&gt;&lt;div&gt;&lt;h5&gt;&lt;b&gt;School &lt;/b&gt;conjuration (creation) [earth]; &lt;b&gt;Level &lt;/b&gt;cleric/oracle 1, druid 1&lt;/h5&gt;&lt;/div&gt;&lt;hr/&gt;&lt;div&gt;&lt;h5&gt;&lt;b&gt;CASTING&lt;/b&gt;&lt;/h5&gt;&lt;/div&gt;&lt;hr/&gt;&lt;div&gt;&lt;h5&gt;&lt;b&gt;Casting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levels)&lt;/h5&gt;&lt;h5&gt;&lt;b&gt;Targets &lt;/b&gt;one creature&lt;/h5&gt;&lt;h5&gt;&lt;b&gt;Duration &lt;/b&gt;instantaneous&lt;/h5&gt;&lt;h5&gt;&lt;b&gt;Saving Throw &lt;/b&gt;none; &lt;b&gt;Spell Resistance &lt;/b&gt;yes&lt;/h5&gt;&lt;/div&gt;&lt;hr/&gt;&lt;div&gt;&lt;h5&gt;&lt;b&gt;DESCRIPTION&lt;/b&gt;&lt;/h5&gt;&lt;/div&gt;&lt;hr/&gt;&lt;div&gt;&lt;h4&gt;&lt;p&gt;You create a fist-sized rock that flies toward one enemy. Make an unarmed strike attack roll against the target as if it were in your threatened area. If the attack is successful, the rock deals bludgeoning damage to the target as if you had hit the target with your unarmed strike. If you have a &lt;i&gt;ki&lt;/i&gt; pool, as long as you have at least 1 point in your &lt;i&gt;ki&lt;/i&gt; pool, the rock counts as a &lt;i&gt;ki&lt;/i&gt; strike. At 4th level, a qinggong monk (&lt;i&gt;Ultimate Magic&lt;/i&gt; 51) may select this spell as a &lt;i&gt;ki&lt;/i&gt; power costing 1 &lt;i&gt;ki&lt;/i&gt; point to activate (if the monk has 0 &lt;i&gt;ki&lt;/i&gt; points after activating this &lt;i&gt;ki&lt;/i&gt; power, the rock does not count as a &lt;i&gt;ki&lt;/i&gt; strike).&lt;/p&gt;&lt;/h4&gt;&lt;h5&gt;&lt;b&gt;Mythic: &lt;/b&gt;Add your tier to the rock's attack roll and damage roll. Increase the critical multiplier of the attack by 1 (maximum x4).&lt;/h5&gt;&lt;/div&gt;</t>
  </si>
  <si>
    <t>Add your tier to the rock's attack roll and damage roll. Increase the critical multiplier of the attack by 1 (maximum x4).</t>
  </si>
  <si>
    <t>Raging Rubble</t>
  </si>
  <si>
    <t>bard 3, cleric 3/oracle 3, druid 3, sorcerer/wizard 3, witch 3</t>
  </si>
  <si>
    <t>one swarm of stones</t>
  </si>
  <si>
    <t>You animate an area of rubble, gravel, or other small stones, creating a dangerous, rolling area of debris. The animated rubble has a space of 10 feet and acts like a swarm, damaging (1d6 hit points) and distracting (DC 12) anything within it. As a move action, you can direct the rubble to move up to 10 feet. If the rubble is attacked, treat it as a Medium animated object with the young creature simple template and the swarm subtype.</t>
  </si>
  <si>
    <t>&lt;p&gt;You animate an area of rubble, gravel, or other small stones, creating a dangerous, rolling area of debris. The animated rubble has a space of 10 feet and acts like a swarm, damaging (1d6 hit points) and distracting (DC 12) anything within it. As a move action, you can direct the rubble to move up to 10 feet. If the rubble is attacked, treat it as a Medium animated object with the young creature simple template and the swarm subtype.&lt;/p&gt;</t>
  </si>
  <si>
    <t>&lt;link rel="stylesheet"href="PF.css"&gt;&lt;div class="heading"&gt;&lt;p class="alignleft"&gt;Raging Rubble&lt;/p&gt;&lt;div style="clear: both;"&gt;&lt;/div&gt;&lt;/div&gt;&lt;div&gt;&lt;h5&gt;&lt;b&gt;School &lt;/b&gt;transmutation [earth]; &lt;b&gt;Level &lt;/b&gt;bard 3, cleric 3/oracle 3, druid 3, sorcerer/wizard 3, witch 3&lt;/h5&gt;&lt;/div&gt;&lt;hr/&gt;&lt;div&gt;&lt;h5&gt;&lt;b&gt;CASTING&lt;/b&gt;&lt;/h5&gt;&lt;/div&gt;&lt;hr/&gt;&lt;div&gt;&lt;h5&gt;&lt;b&gt;Casting Time &lt;/b&gt;1 round&lt;/h5&gt;&lt;h5&gt;&lt;b&gt;Components &lt;/b&gt;V, S, DF&lt;/h5&gt;&lt;/div&gt;&lt;hr/&gt;&lt;div&gt;&lt;h5&gt;&lt;b&gt;EFFECT&lt;/b&gt;&lt;/h5&gt;&lt;/div&gt;&lt;hr/&gt;&lt;div&gt;&lt;h5&gt;&lt;b&gt;Range &lt;/b&gt;close (25 ft. + 5 ft./2 levels)&lt;/h5&gt;&lt;h5&gt;&lt;b&gt;Effect &lt;/b&gt;one swarm of stones&lt;/h5&gt;&lt;h5&gt;&lt;b&gt;Duration &lt;/b&gt;concentration + 2 rounds&lt;/h5&gt;&lt;h5&gt;&lt;b&gt;Saving Throw &lt;/b&gt;none; &lt;b&gt;Spell Resistance &lt;/b&gt;yes&lt;/h5&gt;&lt;/div&gt;&lt;hr/&gt;&lt;div&gt;&lt;h5&gt;&lt;b&gt;DESCRIPTION&lt;/b&gt;&lt;/h5&gt;&lt;/div&gt;&lt;hr/&gt;&lt;div&gt;&lt;h4&gt;&lt;p&gt;You animate an area of rubble, gravel, or other small stones, creating a dangerous, rolling area of debris. The animated rubble has a space of 10 feet and acts like a swarm, damaging (1d6 hit points) and distracting (DC 12) anything within it. As a move action, you can direct the rubble to move up to 10 feet. If the rubble is attacked, treat it as a Medium animated object with the young creature simple template and the swarm subtype.&lt;/p&gt;&lt;/h4&gt;&lt;/div&gt;</t>
  </si>
  <si>
    <t>Stone Shield</t>
  </si>
  <si>
    <t>cleric 1/oracle 1, druid 1, magus 2, sorcerer/wizard 1, summoner 1</t>
  </si>
  <si>
    <t>stone wall whose area is one 5-ft. square</t>
  </si>
  <si>
    <t>A 1-inch-thick slab of stone springs up from the ground, interposing itself between you and an opponent of your choice. The stone shield provides you with cover from that enemy (Core Rulebook 195) until the beginning of your next turn, granting you a +4 bonus to Armor Class and a +2 bonus on Reflex saving throws. If the opponent's attack misses you by 4 or less, the attack strikes the shield instead. The stone shield has hardness 8 and 15 hit points. If the shield is destroyed, the spell ends and the shield crumbles away into nothingness. Spells and effects that damage an area deal damage to the shield. You cannot use this spell if you are not adjacent to a large area of earth or stone such as the ground or a wall. A qinggong monk (Ultimate Magic) may select this spell as a ki power at 4th level.</t>
  </si>
  <si>
    <t>&lt;p&gt;A 1-inch-thick slab of stone springs up from the ground, interposing itself between you and an opponent of your choice. The &lt;i&gt;stone shield&lt;/i&gt; provides you with cover from that enemy (&lt;i&gt;Core Rulebook&lt;/i&gt; 195) until the beginning of your next turn, granting you a +4 bonus to Armor Class and a +2 bonus on Reflex saving throws. If the opponent's attack misses you by 4 or less, the attack strikes the shield instead. The &lt;i&gt;stone shield&lt;/i&gt; has hardness 8 and 15 hit points. If the shield is destroyed, the spell ends and the shield crumbles away into nothingness. Spells and effects that damage an area deal damage to the shield. You cannot use this spell if you are not adjacent to a large area of earth or stone such as the ground or a wall. A qinggong monk (&lt;i&gt;Ultimate&lt;/i&gt; Magic) may select this spell as a &lt;i&gt;ki&lt;/i&gt; power at 4th level.&lt;/p&gt;</t>
  </si>
  <si>
    <t>&lt;link rel="stylesheet"href="PF.css"&gt;&lt;div class="heading"&gt;&lt;p class="alignleft"&gt;Stone Shield&lt;/p&gt;&lt;div style="clear: both;"&gt;&lt;/div&gt;&lt;/div&gt;&lt;div&gt;&lt;h5&gt;&lt;b&gt;School &lt;/b&gt;conjuration (creation) [earth]; &lt;b&gt;Level &lt;/b&gt;cleric 1/oracle 1, druid 1, magus 2, sorcerer/wizard 1, summoner 1&lt;/h5&gt;&lt;/div&gt;&lt;hr/&gt;&lt;div&gt;&lt;h5&gt;&lt;b&gt;CASTING&lt;/b&gt;&lt;/h5&gt;&lt;/div&gt;&lt;hr/&gt;&lt;div&gt;&lt;h5&gt;&lt;b&gt;Casting Time &lt;/b&gt;1 immediate action&lt;/h5&gt;&lt;h5&gt;&lt;b&gt;Components &lt;/b&gt;V, S, DF&lt;/h5&gt;&lt;/div&gt;&lt;hr/&gt;&lt;div&gt;&lt;h5&gt;&lt;b&gt;EFFECT&lt;/b&gt;&lt;/h5&gt;&lt;/div&gt;&lt;hr/&gt;&lt;div&gt;&lt;h5&gt;&lt;b&gt;Range &lt;/b&gt;0 ft.&lt;/h5&gt;&lt;h5&gt;&lt;b&gt;Effect &lt;/b&gt;stone wall whose area is one 5-ft. square&lt;/h5&gt;&lt;h5&gt;&lt;b&gt;Duration &lt;/b&gt;1 round&lt;/h5&gt;&lt;h5&gt;&lt;b&gt;Saving Throw &lt;/b&gt;none; &lt;b&gt;Spell Resistance &lt;/b&gt;no&lt;/h5&gt;&lt;/div&gt;&lt;hr/&gt;&lt;div&gt;&lt;h5&gt;&lt;b&gt;DESCRIPTION&lt;/b&gt;&lt;/h5&gt;&lt;/div&gt;&lt;hr/&gt;&lt;div&gt;&lt;h4&gt;&lt;p&gt;A 1-inch-thick slab of stone springs up from the ground, interposing itself between you and an opponent of your choice. The &lt;i&gt;stone shield&lt;/i&gt; provides you with cover from that enemy (&lt;i&gt;Core Rulebook&lt;/i&gt; 195) until the beginning of your next turn, granting you a +4 bonus to Armor Class and a +2 bonus on Reflex saving throws. If the opponent's attack misses you by 4 or less, the attack strikes the shield instead. The &lt;i&gt;stone shield&lt;/i&gt; has hardness 8 and 15 hit points. If the shield is destroyed, the spell ends and the shield crumbles away into nothingness. Spells and effects that damage an area deal damage to the shield. You cannot use this spell if you are not adjacent to a large area of earth or stone such as the ground or a wall. A qinggong monk (&lt;i&gt;Ultimate&lt;/i&gt; Magic) may select this spell as a &lt;i&gt;ki&lt;/i&gt; power at 4th level.&lt;/p&gt;&lt;/h4&gt;&lt;/div&gt;</t>
  </si>
  <si>
    <t>Alchemical Tinkering</t>
  </si>
  <si>
    <t>cleric 2/oracle 2, sorcerer/wizard 1, witch 1</t>
  </si>
  <si>
    <t>firearm or alchemical item touched</t>
  </si>
  <si>
    <t>You transform one alchemical item or firearm into another alchemical item or firearm of the same or lesser cost. Magic items are unaffected by this spell. At the end of the spell's duration, alchemical items used while transformed are destroyed and do not return to a usable state and firearms transformed revert back to their original type.</t>
  </si>
  <si>
    <t>&lt;p&gt;You transform one alchemical item or firearm into another alchemical item or firearm of the same or lesser cost. Magic items are unaffected by this spell. At the end of the spell's duration, alchemical items used while transformed are destroyed and do not return to a usable state and firearms transformed revert back to their original type.&lt;/p&gt;</t>
  </si>
  <si>
    <t>&lt;link rel="stylesheet"href="PF.css"&gt;&lt;div class="heading"&gt;&lt;p class="alignleft"&gt;Alchemical Tinkering&lt;/p&gt;&lt;div style="clear: both;"&gt;&lt;/div&gt;&lt;/div&gt;&lt;div&gt;&lt;h5&gt;&lt;b&gt;School &lt;/b&gt;transmutation; &lt;b&gt;Level &lt;/b&gt;cleric 2/oracle 2, sorcerer/wizard 1, witch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&lt;/b&gt;firearm or alchemical item touched&lt;/h5&gt;&lt;h5&gt;&lt;b&gt;Duration &lt;/b&gt;1 minute/level&lt;/h5&gt;&lt;h5&gt;&lt;b&gt;Saving Throw &lt;/b&gt;Fortitude negates (object); &lt;b&gt;Spell Resistance &lt;/b&gt;yes&lt;/h5&gt;&lt;/div&gt;&lt;hr/&gt;&lt;div&gt;&lt;h5&gt;&lt;b&gt;DESCRIPTION&lt;/b&gt;&lt;/h5&gt;&lt;/div&gt;&lt;hr/&gt;&lt;div&gt;&lt;h4&gt;&lt;p&gt;You transform one alchemical item or firearm into another alchemical item or firearm of the same or lesser cost. Magic items are unaffected by this spell. At the end of the spell's duration, alchemical items used while transformed are destroyed and do not return to a usable state and firearms transformed revert back to their original type.&lt;/p&gt;&lt;/h4&gt;&lt;/div&gt;</t>
  </si>
  <si>
    <t>Delay Disease</t>
  </si>
  <si>
    <t>alchemist 2, cleric 2/oracle 2, druid 2, inquisitor 2, paladin 2, ranger 2, witch 1</t>
  </si>
  <si>
    <t>1 day</t>
  </si>
  <si>
    <t>The target becomes temporarily immune to disease. Any disease to which it is exposed during the spell's duration does not affect the target until the spell's duration has expired. If the target is currently infected with a disease, you must make a caster level check against the disease's DC to suspend it for the duration of the spell; otherwise, that disease affects the target normally. Delay disease does not cure any damage a disease may have already done.</t>
  </si>
  <si>
    <t>&lt;p&gt;The target becomes temporarily immune to disease. Any disease to which it is exposed during the spell's duration does not affect the target until the spell's duration has expired. If the target is currently infected with a disease, you must make a caster level check against the disease's DC to suspend it for the duration of the spell; otherwise, that disease affects the target normally. &lt;i&gt;Delay disease&lt;/i&gt; does not cure any damage a disease may have already done.&lt;/p&gt;</t>
  </si>
  <si>
    <t>&lt;link rel="stylesheet"href="PF.css"&gt;&lt;div class="heading"&gt;&lt;p class="alignleft"&gt;Delay Disease&lt;/p&gt;&lt;div style="clear: both;"&gt;&lt;/div&gt;&lt;/div&gt;&lt;div&gt;&lt;h5&gt;&lt;b&gt;School &lt;/b&gt;conjuration (healing); &lt;b&gt;Level &lt;/b&gt;alchemist 2, cleric 2/oracle 2, druid 2, inquisitor 2, paladin 2, ranger 2, witch 1&lt;/h5&gt;&lt;/div&gt;&lt;hr/&gt;&lt;div&gt;&lt;h5&gt;&lt;b&gt;CASTING&lt;/b&gt;&lt;/h5&gt;&lt;/div&gt;&lt;hr/&gt;&lt;div&gt;&lt;h5&gt;&lt;b&gt;Casting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 touched&lt;/h5&gt;&lt;h5&gt;&lt;b&gt;Duration &lt;/b&gt;1 day&lt;/h5&gt;&lt;h5&gt;&lt;b&gt;Saving Throw &lt;/b&gt;Fortitude negates (harmless); &lt;b&gt;Spell Resistance &lt;/b&gt;yes (harmless)&lt;/h5&gt;&lt;/div&gt;&lt;hr/&gt;&lt;div&gt;&lt;h5&gt;&lt;b&gt;DESCRIPTION&lt;/b&gt;&lt;/h5&gt;&lt;/div&gt;&lt;hr/&gt;&lt;div&gt;&lt;h4&gt;&lt;p&gt;The target becomes temporarily immune to disease. Any disease to which it is exposed during the spell's duration does not affect the target until the spell's duration has expired. If the target is currently infected with a disease, you must make a caster level check against the disease's DC to suspend it for the duration of the spell; otherwise, that disease affects the target normally. &lt;i&gt;Delay disease&lt;/i&gt; does not cure any damage a disease may have already done.&lt;/p&gt;&lt;/h4&gt;&lt;/div&gt;</t>
  </si>
  <si>
    <t>Sickening Strikes</t>
  </si>
  <si>
    <t>alchemist 2, antipaladin 2, druid 2, magus 3, ranger 4, witch 2</t>
  </si>
  <si>
    <t>You are imbued with disease, and any creature you strike with a melee attack must make a Fortitude save or be sickened for 1 minute. Creatures that are immune to disease are immune to this sickened effect.</t>
  </si>
  <si>
    <t>&lt;p&gt;You are imbued with disease, and any creature you strike with a melee attack must make a Fortitude save or be sickened for 1 minute. Creatures that are immune to disease are immune to this sickened effect.&lt;/p&gt;</t>
  </si>
  <si>
    <t>&lt;link rel="stylesheet"href="PF.css"&gt;&lt;div class="heading"&gt;&lt;p class="alignleft"&gt;Sickening Strikes&lt;/p&gt;&lt;div style="clear: both;"&gt;&lt;/div&gt;&lt;/div&gt;&lt;div&gt;&lt;h5&gt;&lt;b&gt;School &lt;/b&gt;transmutation [disease]; &lt;b&gt;Level &lt;/b&gt;alchemist 2, antipaladin 2, druid 2, magus 3, ranger 4, witch 2&lt;/h5&gt;&lt;/div&gt;&lt;hr/&gt;&lt;div&gt;&lt;h5&gt;&lt;b&gt;CASTING&lt;/b&gt;&lt;/h5&gt;&lt;/div&gt;&lt;hr/&gt;&lt;div&gt;&lt;h5&gt;&lt;b&gt;Casting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round/level&lt;/h5&gt;&lt;h5&gt;&lt;b&gt;Saving Throw &lt;/b&gt;Fortitude negates; see text; &lt;b&gt;Spell Resistance &lt;/b&gt;yes&lt;/h5&gt;&lt;/div&gt;&lt;hr/&gt;&lt;div&gt;&lt;h5&gt;&lt;b&gt;DESCRIPTION&lt;/b&gt;&lt;/h5&gt;&lt;/div&gt;&lt;hr/&gt;&lt;div&gt;&lt;h4&gt;&lt;p&gt;You are imbued with disease, and any creature you strike with a melee attack must make a Fortitude save or be sickened for 1 minute. Creatures that are immune to disease are immune to this sickened effect.&lt;/p&gt;&lt;/h4&gt;&lt;/div&gt;</t>
  </si>
  <si>
    <t>Absorbing Inhalation</t>
  </si>
  <si>
    <t>alchemist 4, druid 4, sorcerer/wizard 4</t>
  </si>
  <si>
    <t>one cloud-like effect, up to one 10-ft. cube/level</t>
  </si>
  <si>
    <t>You grant your lungs inhuman strength and capacity, allowing you to harmlessly and completely inhale one gas, fog, smoke, mist, or similar cloud-like effect. If the targeted cloud is a magical effect, you must succeed at a caster level check (DC 11 + the effect's caster level) to inhale it. Inhaling the cloud removes it from the area, leaving normal air in its place. If the cloud is too large for you to affect with a single casting of this spell, you may instead inhale a portion of the cloud, but you must inhale the portion of the cloud closest to you. This spell has no effect on gaseous creatures. It can only affect an instantaneous-duration cloud (such as a breath weapon) if you ready an action to cast the spell in response. While inhaled, the cloud does not harm you. You may keep the cloud harmlessly contained within you for up to 1 round per level, but you must hold your breath to do so (even if you do not normally have to breathe). If the cloud has a duration, the time the cloud is contained within you counts toward that duration. As a standard action, you may release the stored cloud as a breath weapon, filling a 60-foot cone (or the cloud's original area, if smaller than a 60-foot cone). Any creature in the breath's area is subject to its normal effects, making saving throws and spell resistance checks as appropriate against the cloud's original DC. The exhaled cloud resumes its duration, if any. Exhaling the stored cloud ends this spell. If you do not exhale the cloud before this spell's duration expires, you suffer the cloud's effects and automatically fail any saving throw to resist it.</t>
  </si>
  <si>
    <t>&lt;p&gt;You grant your lungs inhuman strength and capacity, allowing you to harmlessly and completely inhale one gas, fog, smoke, mist, or similar cloud-like effect. If the targeted cloud is a magical effect, you must succeed at a caster level check (DC 11 + the effect's caster level) to inhale it. Inhaling the cloud removes it from the area, leaving normal air in its place. If the cloud is too large for you to affect with a single casting of this spell, you may instead inhale a portion of the cloud, but you must inhale the portion of the cloud closest to you. This spell has no effect on gaseous creatures. It can only affect an instantaneous-duration cloud (such as a breath weapon) if you ready an action to cast the spell in response. While inhaled, the cloud does not harm you. You may keep the cloud harmlessly contained within you for up to 1 round per level, but you must hold your breath to do so (even if you do not normally have to breathe). If the cloud has a duration, the time the cloud is contained within you counts toward that duration. As a standard action, you may release the stored cloud as a breath weapon, filling a 60-foot cone (or the cloud's original area, if smaller than a 60-foot cone). Any creature in the breath's area is subject to its normal effects, making saving throws and spell resistance checks as appropriate against the cloud's original DC. The exhaled cloud resumes its duration, if any. Exhaling the stored cloud ends this spell. If you do not exhale the cloud before this spell's duration expires, you suffer the cloud's effects and automatically fail any saving throw to resist it.&lt;/p&gt;</t>
  </si>
  <si>
    <t>&lt;link rel="stylesheet"href="PF.css"&gt;&lt;div class="heading"&gt;&lt;p class="alignleft"&gt;Absorbing Inhalation&lt;/p&gt;&lt;div style="clear: both;"&gt;&lt;/div&gt;&lt;/div&gt;&lt;div&gt;&lt;h5&gt;&lt;b&gt;School &lt;/b&gt;transmutation [air]; &lt;b&gt;Level &lt;/b&gt;alchemist 4, druid 4, sorcerer/wizard 4&lt;/h5&gt;&lt;/div&gt;&lt;hr/&gt;&lt;div&gt;&lt;h5&gt;&lt;b&gt;CASTING&lt;/b&gt;&lt;/h5&gt;&lt;/div&gt;&lt;hr/&gt;&lt;div&gt;&lt;h5&gt;&lt;b&gt;Casting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cloud-like effect, up to one 10-ft. cube/level&lt;/h5&gt;&lt;h5&gt;&lt;b&gt;Duration &lt;/b&gt;1 round/level; see text&lt;/h5&gt;&lt;h5&gt;&lt;b&gt;Saving Throw &lt;/b&gt;see text; &lt;b&gt;Spell Resistance &lt;/b&gt;no&lt;/h5&gt;&lt;/div&gt;&lt;hr/&gt;&lt;div&gt;&lt;h5&gt;&lt;b&gt;DESCRIPTION&lt;/b&gt;&lt;/h5&gt;&lt;/div&gt;&lt;hr/&gt;&lt;div&gt;&lt;h4&gt;&lt;p&gt;You grant your lungs inhuman strength and capacity, allowing you to harmlessly and completely inhale one gas, fog, smoke, mist, or similar cloud-like effect. If the targeted cloud is a magical effect, you must succeed at a caster level check (DC 11 + the effect's caster level) to inhale it. Inhaling the cloud removes it from the area, leaving normal air in its place. If the cloud is too large for you to affect with a single casting of this spell, you may instead inhale a portion of the cloud, but you must inhale the portion of the cloud closest to you. This spell has no effect on gaseous creatures. It can only affect an instantaneous-duration cloud (such as a breath weapon) if you ready an action to cast the spell in response. While inhaled, the cloud does not harm you. You may keep the cloud harmlessly contained within you for up to 1 round per level, but you must hold your breath to do so (even if you do not normally have to breathe). If the cloud has a duration, the time the cloud is contained within you counts toward that duration. As a standard action, you may release the stored cloud as a breath weapon, filling a 60-foot cone (or the cloud's original area, if smaller than a 60-foot cone). Any creature in the breath's area is subject to its normal effects, making saving throws and spell resistance checks as appropriate against the cloud's original DC. The exhaled cloud resumes its duration, if any. Exhaling the stored cloud ends this spell. If you do not exhale the cloud before this spell's duration expires, you suffer the cloud's effects and automatically fail any saving throw to resist it.&lt;/p&gt;&lt;/h4&gt;&lt;/div&gt;</t>
  </si>
  <si>
    <t>Cloud Shape</t>
  </si>
  <si>
    <t>druid 4, ranger 4, sorcerer/wizard 4</t>
  </si>
  <si>
    <t>This spell functions like gaseous form, except you assume the shape of a Colossal cloud with a space of 30 feet. You choose the general appearance of the cloud (white, stormy, fluffy, flat, and so on), after which your appearance cannot be changed. Even the closest inspection cannot reveal that the cloud in question is actually a magically concealed creature. To all normal tests you are, in fact, a cloud, although a detect magic spell reveals a moderate transmutation aura on the cloud. Your fly speed in cloud form is 30 feet.</t>
  </si>
  <si>
    <t>&lt;p&gt;This spell functions like &lt;i&gt;gaseous form&lt;/i&gt;, except you assume the shape of a Colossal cloud with a space of 30 feet. You choose the general appearance of the cloud (white, stormy, fluffy, flat, and so on), after which your appearance cannot be changed. Even the closest inspection cannot reveal that the cloud in question is actually a magically concealed creature. To all normal tests you are, in fact, a cloud, although a &lt;i&gt;detect magic&lt;/i&gt; spell reveals a moderate transmutation aura on the cloud. Your fly speed in cloud form is 30 feet.&lt;/p&gt;</t>
  </si>
  <si>
    <t>&lt;link rel="stylesheet"href="PF.css"&gt;&lt;div class="heading"&gt;&lt;p class="alignleft"&gt;Cloud Shape&lt;/p&gt;&lt;div style="clear: both;"&gt;&lt;/div&gt;&lt;/div&gt;&lt;div&gt;&lt;h5&gt;&lt;b&gt;School &lt;/b&gt;transmutation [air]; &lt;b&gt;Level &lt;/b&gt;druid 4, ranger 4, sorcerer/wizard 4&lt;/h5&gt;&lt;/div&gt;&lt;hr/&gt;&lt;div&gt;&lt;h5&gt;&lt;b&gt;CASTING&lt;/b&gt;&lt;/h5&gt;&lt;/div&gt;&lt;hr/&gt;&lt;div&gt;&lt;h5&gt;&lt;b&gt;Casting Time &lt;/b&gt;1 standard action&lt;/h5&gt;&lt;h5&gt;&lt;b&gt;Components &lt;/b&gt;S, M/DF (a bit of gauze and a wisp of smoke)&lt;/h5&gt;&lt;/div&gt;&lt;hr/&gt;&lt;div&gt;&lt;h5&gt;&lt;b&gt;EFFECT&lt;/b&gt;&lt;/h5&gt;&lt;/div&gt;&lt;hr/&gt;&lt;div&gt;&lt;h5&gt;&lt;b&gt;Range &lt;/b&gt;personal&lt;/h5&gt;&lt;h5&gt;&lt;b&gt;Targets &lt;/b&gt;you&lt;/h5&gt;&lt;h5&gt;&lt;b&gt;Duration &lt;/b&gt;10 minutes/level (D)&lt;/h5&gt;&lt;h5&gt;&lt;b&gt;Saving Throw &lt;/b&gt;none; &lt;b&gt;Spell Resistance &lt;/b&gt;no&lt;/h5&gt;&lt;/div&gt;&lt;hr/&gt;&lt;div&gt;&lt;h5&gt;&lt;b&gt;DESCRIPTION&lt;/b&gt;&lt;/h5&gt;&lt;/div&gt;&lt;hr/&gt;&lt;div&gt;&lt;h4&gt;&lt;p&gt;This spell functions like &lt;i&gt;gaseous form&lt;/i&gt;, except you assume the shape of a Colossal cloud with a space of 30 feet. You choose the general appearance of the cloud (white, stormy, fluffy, flat, and so on), after which your appearance cannot be changed. Even the closest inspection cannot reveal that the cloud in question is actually a magically concealed creature. To all normal tests you are, in fact, a cloud, although a &lt;i&gt;detect magic&lt;/i&gt; spell reveals a moderate transmutation aura on the cloud. Your fly speed in cloud form is 30 feet.&lt;/p&gt;&lt;/h4&gt;&lt;/div&gt;</t>
  </si>
  <si>
    <t>Gusting Sphere</t>
  </si>
  <si>
    <t>5-ft.-diameter sphere of air</t>
  </si>
  <si>
    <t>Fortitude negates (object) or Reflex negates; see text</t>
  </si>
  <si>
    <t>A swirling ball of wind rolls in whichever direction you point, hurling those it strikes with great force. The sphere is treated in all ways as an area of severe wind (Core Rulebook 439), applying a -4 penalty on ranged weapon attacks that pass through it. The sphere moves 30 feet per round. As part of this movement, it can ascend or jump up to 30 feet to strike a target. If it enters a space containing a Medium or smaller creature, it stops moving for that round and generates a sharp thrust of wind to bull rush the creature. The sphere's CMB for bull rush combat maneuvers uses your caster level in place of its base attack bonus, with a +2 bonus for its Strength score (14). Whether or not the bull rush is successful, the creature takes 1d6 points of nonlethal bludgeoning damage from the attack. If the bull rush fails, the creature is still subject to the severe winds from the sphere as long as they remain in the same square as it. A gusting sphere rolls over objects or barriers that are less than 4 feet tall. The sphere moves as long as you actively direct it (a move action for you); otherwise, it merely stays at rest. A gusting sphere immediately dissipates if it exceeds the spell's range.</t>
  </si>
  <si>
    <t>&lt;p&gt;A swirling ball of wind rolls in whichever direction you point, hurling those it strikes with great force. The sphere is treated in all ways as an area of severe wind (&lt;i&gt;Core Rulebook&lt;/i&gt; 439), applying a -4 penalty on ranged weapon attacks that pass through it. The sphere moves 30 feet per round. As part of this movement, it can ascend or jump up to 30 feet to strike a target. If it enters a space containing a Medium or smaller creature, it stops moving for that round and generates a sharp thrust of wind to bull rush the creature. The sphere's CMB for bull rush combat maneuvers uses your caster level in place of its base attack bonus, with a +2 bonus for its Strength score (14). Whether or not the bull rush is successful, the creature takes 1d6 points of nonlethal bludgeoning damage from the attack. If the bull rush fails, the creature is still subject to the severe winds from the sphere as long as they remain in the same square as it. A &lt;i&gt;gusting sphere&lt;/i&gt; rolls over objects or barriers that are less than 4 feet tall. The sphere moves as long as you actively direct it (a move action for you); otherwise, it merely stays at rest. A &lt;i&gt;gusting sphere&lt;/i&gt; immediately dissipates if it exceeds the spell's range.&lt;/p&gt;</t>
  </si>
  <si>
    <t>&lt;link rel="stylesheet"href="PF.css"&gt;&lt;div class="heading"&gt;&lt;p class="alignleft"&gt;Gusting Sphere&lt;/p&gt;&lt;div style="clear: both;"&gt;&lt;/div&gt;&lt;/div&gt;&lt;div&gt;&lt;h5&gt;&lt;b&gt;School &lt;/b&gt;evocation [air]; &lt;b&gt;Level &lt;/b&gt;druid 2, magus 2, sorcerer/wizard 2&lt;/h5&gt;&lt;/div&gt;&lt;hr/&gt;&lt;div&gt;&lt;h5&gt;&lt;b&gt;CASTING&lt;/b&gt;&lt;/h5&gt;&lt;/div&gt;&lt;hr/&gt;&lt;div&gt;&lt;h5&gt;&lt;b&gt;Casting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ft./level)&lt;/h5&gt;&lt;h5&gt;&lt;b&gt;Effect &lt;/b&gt;5-ft.-diameter sphere of air&lt;/h5&gt;&lt;h5&gt;&lt;b&gt;Duration &lt;/b&gt;1 round/level&lt;/h5&gt;&lt;h5&gt;&lt;b&gt;Saving Throw &lt;/b&gt;Fortitude negates (object) or Reflex negates; see text; &lt;b&gt;Spell Resistance &lt;/b&gt;yes&lt;/h5&gt;&lt;/div&gt;&lt;hr/&gt;&lt;div&gt;&lt;h5&gt;&lt;b&gt;DESCRIPTION&lt;/b&gt;&lt;/h5&gt;&lt;/div&gt;&lt;hr/&gt;&lt;div&gt;&lt;h4&gt;&lt;p&gt;A swirling ball of wind rolls in whichever direction you point, hurling those it strikes with great force. The sphere is treated in all ways as an area of severe wind (&lt;i&gt;Core Rulebook&lt;/i&gt; 439), applying a -4 penalty on ranged weapon attacks that pass through it. The sphere moves 30 feet per round. As part of this movement, it can ascend or jump up to 30 feet to strike a target. If it enters a space containing a Medium or smaller creature, it stops moving for that round and generates a sharp thrust of wind to bull rush the creature. The sphere's CMB for bull rush combat maneuvers uses your caster level in place of its base attack bonus, with a +2 bonus for its Strength score (14). Whether or not the bull rush is successful, the creature takes 1d6 points of nonlethal bludgeoning damage from the attack. If the bull rush fails, the creature is still subject to the severe winds from the sphere as long as they remain in the same square as it. A &lt;i&gt;gusting sphere&lt;/i&gt; rolls over objects or barriers that are less than 4 feet tall. The sphere moves as long as you actively direct it (a move action for you); otherwise, it merely stays at rest. A &lt;i&gt;gusting sphere&lt;/i&gt; immediately dissipates if it exceeds the spell's range.&lt;/p&gt;&lt;/h4&gt;&lt;/div&gt;</t>
  </si>
  <si>
    <t>Miasmatic Form</t>
  </si>
  <si>
    <t>air, poison</t>
  </si>
  <si>
    <t>S, M (contact or inhaled poison worth 100 gp)</t>
  </si>
  <si>
    <t>This spell functions like gaseous form, except the target's vaporous body is dangerous to creatures that touch it. A creature can make a Fortitude save (DC 14 + your Intelligence modifier) on its turn to resist the vapors. When you cast this spell, you select one of the following options. Stinking cloud: The target's body nauseates creatures that fail their saving throws, as stinking cloud (Fortitude negates, see text). This form of the spell does not require a material component. Poisonous cloud: The target's body is deadly poison, dealing 1d2 points of Constitution damage to creatures that fail their saves (Fortitude halves). This form of the spell requires a material component.</t>
  </si>
  <si>
    <t>&lt;p&gt;This spell functions like &lt;i&gt;gaseous form&lt;/i&gt;, except the target's vaporous body is dangerous to creatures that touch it. A creature can make a Fortitude save (DC 14 + your Intelligence modifier) on its turn to resist the vapors. When you cast this spell, you select one of the following options. &lt;i&gt;Stinking cloud&lt;/i&gt;: The target's body nauseates creatures that fail their saving throws, as &lt;i&gt;stinking cloud&lt;/i&gt; (Fortitude negates, see text). This form of the spell does not require a material component. &lt;i&gt;Poisonous cloud&lt;/i&gt;: The target's body is deadly poison, dealing 1d2 points of Constitution damage to creatures that fail their saves (Fortitude halves). This form of the spell requires a material component.&lt;/p&gt;</t>
  </si>
  <si>
    <t>&lt;link rel="stylesheet"href="PF.css"&gt;&lt;div class="heading"&gt;&lt;p class="alignleft"&gt;Miasmatic Form&lt;/p&gt;&lt;div style="clear: both;"&gt;&lt;/div&gt;&lt;/div&gt;&lt;div&gt;&lt;h5&gt;&lt;b&gt;School &lt;/b&gt;transmutation [air, poison]; &lt;b&gt;Level &lt;/b&gt;alchemist 4, sorcerer/wizard 4&lt;/h5&gt;&lt;/div&gt;&lt;hr/&gt;&lt;div&gt;&lt;h5&gt;&lt;b&gt;CASTING&lt;/b&gt;&lt;/h5&gt;&lt;/div&gt;&lt;hr/&gt;&lt;div&gt;&lt;h5&gt;&lt;b&gt;Casting Time &lt;/b&gt;1 standard action&lt;/h5&gt;&lt;h5&gt;&lt;b&gt;Components &lt;/b&gt;S, M (contact or inhaled poison worth 100 gp)&lt;/h5&gt;&lt;/div&gt;&lt;hr/&gt;&lt;div&gt;&lt;h5&gt;&lt;b&gt;EFFECT&lt;/b&gt;&lt;/h5&gt;&lt;/div&gt;&lt;hr/&gt;&lt;div&gt;&lt;h5&gt;&lt;b&gt;Range &lt;/b&gt;touch&lt;/h5&gt;&lt;h5&gt;&lt;b&gt;Targets &lt;/b&gt;willing corporeal creature touched&lt;/h5&gt;&lt;h5&gt;&lt;b&gt;Duration &lt;/b&gt;1 minute/level&lt;/h5&gt;&lt;h5&gt;&lt;b&gt;Saving Throw &lt;/b&gt;none; see text; &lt;b&gt;Spell Resistance &lt;/b&gt;no&lt;/h5&gt;&lt;/div&gt;&lt;hr/&gt;&lt;div&gt;&lt;h5&gt;&lt;b&gt;DESCRIPTION&lt;/b&gt;&lt;/h5&gt;&lt;/div&gt;&lt;hr/&gt;&lt;div&gt;&lt;h4&gt;&lt;p&gt;This spell functions like &lt;i&gt;gaseous form&lt;/i&gt;, except the target's vaporous body is dangerous to creatures that touch it. A creature can make a Fortitude save (DC 14 + your Intelligence modifier) on its turn to resist the vapors. When you cast this spell, you select one of the following options. &lt;i&gt;Stinking cloud&lt;/i&gt;: The target's body nauseates creatures that fail their saving throws, as &lt;i&gt;stinking cloud&lt;/i&gt; (Fortitude negates, see text). This form of the spell does not require a material component. &lt;i&gt;Poisonous cloud&lt;/i&gt;: The target's body is deadly poison, dealing 1d2 points of Constitution damage to creatures that fail their saves (Fortitude halves). This form of the spell requires a material component.&lt;/p&gt;&lt;/h4&gt;&lt;/div&gt;</t>
  </si>
  <si>
    <t>Path Of The Winds</t>
  </si>
  <si>
    <t>100 ft.</t>
  </si>
  <si>
    <t>40-ft.-high downdraft of wind in a 100-foot line</t>
  </si>
  <si>
    <t>concentration + 1 round</t>
  </si>
  <si>
    <t>With a sweeping gesture, you call forth mighty winds to clear a path ahead of you. The winds are the equivalent of a windstorm (Core Rulebook 439). During the first round of the spell, the winds sweep the designated area clear of anything of Small or smaller size, blowing it outward to the sides of the spell's effect (50% chance of landing on either side). You may move within the effect without penalty, though all other creatures are subject to the wind's effects. On the second and all later rounds of the spell, the edges of the effect are treated as a wind wall. If the effect includes a body of water or other liquid, the winds create a channel up to 40 feet deep into the surface of the liquid. On your turn as a move action, you can move the effect of this spell, either rotating it at one of its ends up to 45 degrees, or moving it up to 50 feet in line with its current orientation (toward you or away from you).</t>
  </si>
  <si>
    <t>&lt;p&gt;With a sweeping gesture, you call forth mighty winds to clear a path ahead of you. The winds are the equivalent of a windstorm (&lt;i&gt;Core Rulebook&lt;/i&gt; 439). During the first round of the spell, the winds sweep the designated area clear of anything of Small or smaller size, blowing it outward to the sides of the spell's effect (50% chance of landing on either side). You may move within the effect without penalty, though all other creatures are subject to the wind's effects. On the second and all later rounds of the spell, the edges of the effect are treated as a wind wall. If the effect includes a body of water or other liquid, the winds create a channel up to 40 feet deep into the surface of the liquid. On your turn as a move action, you can move the effect of this spell, either rotating it at one of its ends up to 45 degrees, or moving it up to 50 feet in line with its current orientation (toward you or away from you).&lt;/p&gt;</t>
  </si>
  <si>
    <t>&lt;link rel="stylesheet"href="PF.css"&gt;&lt;div class="heading"&gt;&lt;p class="alignleft"&gt;Path Of The Winds&lt;/p&gt;&lt;div style="clear: both;"&gt;&lt;/div&gt;&lt;/div&gt;&lt;div&gt;&lt;h5&gt;&lt;b&gt;School &lt;/b&gt;evocation [air]; &lt;b&gt;Level &lt;/b&gt;druid 6, sorcerer/wizard 6&lt;/h5&gt;&lt;/div&gt;&lt;hr/&gt;&lt;div&gt;&lt;h5&gt;&lt;b&gt;CASTING&lt;/b&gt;&lt;/h5&gt;&lt;/div&gt;&lt;hr/&gt;&lt;div&gt;&lt;h5&gt;&lt;b&gt;Casting Time &lt;/b&gt;1 standard action&lt;/h5&gt;&lt;h5&gt;&lt;b&gt;Components &lt;/b&gt;V, S,&lt;/h5&gt;&lt;/div&gt;&lt;hr/&gt;&lt;div&gt;&lt;h5&gt;&lt;b&gt;EFFECT&lt;/b&gt;&lt;/h5&gt;&lt;/div&gt;&lt;hr/&gt;&lt;div&gt;&lt;h5&gt;&lt;b&gt;Range &lt;/b&gt;100 ft.&lt;/h5&gt;&lt;h5&gt;&lt;b&gt;Effect &lt;/b&gt;40-ft.-high downdraft of wind in a 100-foot line&lt;/h5&gt;&lt;h5&gt;&lt;b&gt;Duration &lt;/b&gt;concentration + 1 round&lt;/h5&gt;&lt;h5&gt;&lt;b&gt;Saving Throw &lt;/b&gt;Fortitude negates; &lt;b&gt;Spell Resistance &lt;/b&gt;yes&lt;/h5&gt;&lt;/div&gt;&lt;hr/&gt;&lt;div&gt;&lt;h5&gt;&lt;b&gt;DESCRIPTION&lt;/b&gt;&lt;/h5&gt;&lt;/div&gt;&lt;hr/&gt;&lt;div&gt;&lt;h4&gt;&lt;p&gt;With a sweeping gesture, you call forth mighty winds to clear a path ahead of you. The winds are the equivalent of a windstorm (&lt;i&gt;Core Rulebook&lt;/i&gt; 439). During the first round of the spell, the winds sweep the designated area clear of anything of Small or smaller size, blowing it outward to the sides of the spell's effect (50% chance of landing on either side). You may move within the effect without penalty, though all other creatures are subject to the wind's effects. On the second and all later rounds of the spell, the edges of the effect are treated as a wind wall. If the effect includes a body of water or other liquid, the winds create a channel up to 40 feet deep into the surface of the liquid. On your turn as a move action, you can move the effect of this spell, either rotating it at one of its ends up to 45 degrees, or moving it up to 50 feet in line with its current orientation (toward you or away from you).&lt;/p&gt;&lt;/h4&gt;&lt;/div&gt;</t>
  </si>
  <si>
    <t>Wind Blades</t>
  </si>
  <si>
    <t>druid 5, magus 5, sorcerer/wizard 5, witch 5</t>
  </si>
  <si>
    <t>You harden the air around the target into jagged invisible blades that deal damage based on how fast the target moves. On its turn, the target takes 1d6 points of slashing damage if it moves at least 5 feet, plus 1d6 points of slashing damage for each additional 10 feet of movement. Movement that doesn't pass through air (such as burrowing, swimming, or teleportation) doesn't cause this damage. In areas of strong wind (Core Rulebook 439), the target takes damage on its turn, even if it doesn't move. The wind deals 1d8 points of slashing damage for strong wind, plus 1d8 for every wind category above strong. This extra damage does not occur from instantaneous wind effects (such as gust of wind), only from wind effects that last at least 1 round.</t>
  </si>
  <si>
    <t>&lt;p&gt;You harden the air around the target into jagged invisible blades that deal damage based on how fast the target moves. On its turn, the target takes 1d6 points of slashing damage if it moves at least 5 feet, plus 1d6 points of slashing damage for each additional 10 feet of movement. Movement that doesn't pass through air (such as burrowing, swimming, or teleportation) doesn't cause this damage. In areas of strong wind (&lt;i&gt;Core Rulebook&lt;/i&gt; 439), the target takes damage on its turn, even if it doesn't move. The wind deals 1d8 points of slashing damage for strong wind, plus 1d8 for every wind category above strong. This extra damage does not occur from instantaneous wind effects (such as &lt;i&gt;gust of&lt;/i&gt; wind), only from wind effects that last at least 1 round.&lt;/p&gt;</t>
  </si>
  <si>
    <t>&lt;link rel="stylesheet"href="PF.css"&gt;&lt;div class="heading"&gt;&lt;p class="alignleft"&gt;Wind Blades&lt;/p&gt;&lt;div style="clear: both;"&gt;&lt;/div&gt;&lt;/div&gt;&lt;div&gt;&lt;h5&gt;&lt;b&gt;School &lt;/b&gt;transmutation [air]; &lt;b&gt;Level &lt;/b&gt;druid 5, magus 5, sorcerer/wizard 5, witch 5&lt;/h5&gt;&lt;/div&gt;&lt;hr/&gt;&lt;div&gt;&lt;h5&gt;&lt;b&gt;CASTING&lt;/b&gt;&lt;/h5&gt;&lt;/div&gt;&lt;hr/&gt;&lt;div&gt;&lt;h5&gt;&lt;b&gt;Casting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round/level&lt;/h5&gt;&lt;h5&gt;&lt;b&gt;Saving Throw &lt;/b&gt;Will negates; &lt;b&gt;Spell Resistance &lt;/b&gt;yes&lt;/h5&gt;&lt;/div&gt;&lt;hr/&gt;&lt;div&gt;&lt;h5&gt;&lt;b&gt;DESCRIPTION&lt;/b&gt;&lt;/h5&gt;&lt;/div&gt;&lt;hr/&gt;&lt;div&gt;&lt;h4&gt;&lt;p&gt;You harden the air around the target into jagged invisible blades that deal damage based on how fast the target moves. On its turn, the target takes 1d6 points of slashing damage if it moves at least 5 feet, plus 1d6 points of slashing damage for each additional 10 feet of movement. Movement that doesn't pass through air (such as burrowing, swimming, or teleportation) doesn't cause this damage. In areas of strong wind (&lt;i&gt;Core Rulebook&lt;/i&gt; 439), the target takes damage on its turn, even if it doesn't move. The wind deals 1d8 points of slashing damage for strong wind, plus 1d8 for every wind category above strong. This extra damage does not occur from instantaneous wind effects (such as &lt;i&gt;gust of&lt;/i&gt; wind), only from wind effects that last at least 1 round.&lt;/p&gt;&lt;/h4&gt;&lt;/div&gt;</t>
  </si>
  <si>
    <t>Windy Escape</t>
  </si>
  <si>
    <t>bard 1, druid 1, magus 1, sorcerer/wizard 1</t>
  </si>
  <si>
    <t>You respond to an attack by briefly becoming vaporous and insubstantial, allowing the attack to pass harmlessly through you. You gain DR 10/magic against this attack and are immune to any poison, sneak attacks, or critical hit effect from that attack. You cannot use windy escape against an attack of opportunity you provoked by casting a spell, using a spell-like ability, or using any other magical ability that provokes an attack of opportunity when used.</t>
  </si>
  <si>
    <t>&lt;p&gt;You respond to an attack by briefly becoming vaporous and insubstantial, allowing the attack to pass harmlessly through you. You gain DR 10/magic against this attack and are immune to any poison, sneak attacks, or critical hit effect from that attack. You cannot use &lt;i&gt;windy escape&lt;/i&gt; against an attack of opportunity you provoked by casting a spell, using a spell-like ability, or using any other magical ability that provokes an attack of opportunity when used.&lt;/p&gt;</t>
  </si>
  <si>
    <t>&lt;link rel="stylesheet"href="PF.css"&gt;&lt;div class="heading"&gt;&lt;p class="alignleft"&gt;Windy Escape&lt;/p&gt;&lt;div style="clear: both;"&gt;&lt;/div&gt;&lt;/div&gt;&lt;div&gt;&lt;h5&gt;&lt;b&gt;School &lt;/b&gt;transmutation [air]; &lt;b&gt;Level &lt;/b&gt;bard 1, druid 1, magus 1, sorcerer/wizard 1&lt;/h5&gt;&lt;/div&gt;&lt;hr/&gt;&lt;div&gt;&lt;h5&gt;&lt;b&gt;CASTING&lt;/b&gt;&lt;/h5&gt;&lt;/div&gt;&lt;hr/&gt;&lt;div&gt;&lt;h5&gt;&lt;b&gt;Casting Time &lt;/b&gt;1 immediate action&lt;/h5&gt;&lt;h5&gt;&lt;b&gt;Components &lt;/b&gt;V, S&lt;/h5&gt;&lt;/div&gt;&lt;hr/&gt;&lt;div&gt;&lt;h5&gt;&lt;b&gt;EFFECT&lt;/b&gt;&lt;/h5&gt;&lt;/div&gt;&lt;hr/&gt;&lt;div&gt;&lt;h5&gt;&lt;b&gt;Range &lt;/b&gt;personal&lt;/h5&gt;&lt;h5&gt;&lt;b&gt;Targets &lt;/b&gt;you&lt;/h5&gt;&lt;h5&gt;&lt;b&gt;Duration &lt;/b&gt;instantaneous&lt;/h5&gt;&lt;/div&gt;&lt;hr/&gt;&lt;div&gt;&lt;h5&gt;&lt;b&gt;DESCRIPTION&lt;/b&gt;&lt;/h5&gt;&lt;/div&gt;&lt;hr/&gt;&lt;div&gt;&lt;h4&gt;&lt;p&gt;You respond to an attack by briefly becoming vaporous and insubstantial, allowing the attack to pass harmlessly through you. You gain DR 10/magic against this attack and are immune to any poison, sneak attacks, or critical hit effect from that attack. You cannot use &lt;i&gt;windy escape&lt;/i&gt; against an attack of opportunity you provoked by casting a spell, using a spell-like ability, or using any other magical ability that provokes an attack of opportunity when used.&lt;/p&gt;&lt;/h4&gt;&lt;/div&gt;</t>
  </si>
  <si>
    <t>Commune With Birds</t>
  </si>
  <si>
    <t>bard 2, druid 1, ranger 1, sorcerer/wizard 2, witch 2</t>
  </si>
  <si>
    <t>You utter a question in the form of a low-pitched bird call that can be heard up to a mile away, and can understand the responses given by birds in the area. Over the next 10 minutes, the birds reply as if you had asked them the question using speak with animals, giving you a general consensus answer to the question based on their knowledge. For example, you could ask if there is drinkable water in the area, the location of predators or other creatures, directions to a mountaintop or other natural feature, and so on, and the local bird communities would answer to the best of their ability. If there are no birds in range, the spell has no effect and you do not get a response. Any creature using speak with animals (or a similar ability) who hears this bird call can understand your question, though it may not be able to reply in a way you can hear.</t>
  </si>
  <si>
    <t>&lt;p&gt;You utter a question in the form of a low-pitched bird call that can be heard up to a mile away, and can understand the responses given by birds in the area. Over the next 10 minutes, the birds reply as if you had asked them the question using &lt;i&gt;speak with animals&lt;/i&gt;, giving you a general consensus answer to the question based on their knowledge. For example, you could ask if there is drinkable water in the area, the location of predators or other creatures, directions to a mountaintop or other natural feature, and so on, and the local bird communities would answer to the best of their ability. If there are no birds in range, the spell has no effect and you do not get a response. Any creature using &lt;i&gt;speak with animals&lt;/i&gt; (or a similar ability) who hears this bird call can understand your question, though it may not be able to reply in a way you can hear.&lt;/p&gt;</t>
  </si>
  <si>
    <t>&lt;link rel="stylesheet"href="PF.css"&gt;&lt;div class="heading"&gt;&lt;p class="alignleft"&gt;Commune With Birds&lt;/p&gt;&lt;div style="clear: both;"&gt;&lt;/div&gt;&lt;/div&gt;&lt;div&gt;&lt;h5&gt;&lt;b&gt;School &lt;/b&gt;divination; &lt;b&gt;Level &lt;/b&gt;bard 2, druid 1, ranger 1, sorcerer/wizard 2, witch 2&lt;/h5&gt;&lt;/div&gt;&lt;hr/&gt;&lt;div&gt;&lt;h5&gt;&lt;b&gt;CASTING&lt;/b&gt;&lt;/h5&gt;&lt;/div&gt;&lt;hr/&gt;&lt;div&gt;&lt;h5&gt;&lt;b&gt;Casting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&lt;/b&gt;10 minutes; see text&lt;/h5&gt;&lt;/div&gt;&lt;hr/&gt;&lt;div&gt;&lt;h5&gt;&lt;b&gt;DESCRIPTION&lt;/b&gt;&lt;/h5&gt;&lt;/div&gt;&lt;hr/&gt;&lt;div&gt;&lt;h4&gt;&lt;p&gt;You utter a question in the form of a low-pitched bird call that can be heard up to a mile away, and can understand the responses given by birds in the area. Over the next 10 minutes, the birds reply as if you had asked them the question using &lt;i&gt;speak with animals&lt;/i&gt;, giving you a general consensus answer to the question based on their knowledge. For example, you could ask if there is drinkable water in the area, the location of predators or other creatures, directions to a mountaintop or other natural feature, and so on, and the local bird communities would answer to the best of their ability. If there are no birds in range, the spell has no effect and you do not get a response. Any creature using &lt;i&gt;speak with animals&lt;/i&gt; (or a similar ability) who hears this bird call can understand your question, though it may not be able to reply in a way you can hear.&lt;/p&gt;&lt;/h4&gt;&lt;/div&gt;</t>
  </si>
  <si>
    <t>Theft Ward</t>
  </si>
  <si>
    <t>cleric/oracle 1, inquisitor 1, sorcerer/wizard 1, witch 1</t>
  </si>
  <si>
    <t>You ward a single object in your possession against theft. You gain a +10 bonus on Perception checks to notice someone trying to take the object from you.</t>
  </si>
  <si>
    <t>&lt;p&gt;You ward a single object in your possession against theft. You gain a +10 bonus on Perception checks to notice someone trying to take the object from you.&lt;/p&gt;</t>
  </si>
  <si>
    <t>&lt;link rel="stylesheet"href="PF.css"&gt;&lt;div class="heading"&gt;&lt;p class="alignleft"&gt;Theft Ward&lt;/p&gt;&lt;div style="clear: both;"&gt;&lt;/div&gt;&lt;/div&gt;&lt;div&gt;&lt;h5&gt;&lt;b&gt;School &lt;/b&gt;abjuration; &lt;b&gt;Level &lt;/b&gt;cleric/oracle 1, inquisitor 1, sorcerer/wizard 1, witch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&lt;/b&gt;one object&lt;/h5&gt;&lt;h5&gt;&lt;b&gt;Duration &lt;/b&gt;1 day&lt;/h5&gt;&lt;/div&gt;&lt;hr/&gt;&lt;div&gt;&lt;h5&gt;&lt;b&gt;DESCRIPTION&lt;/b&gt;&lt;/h5&gt;&lt;/div&gt;&lt;hr/&gt;&lt;div&gt;&lt;h4&gt;&lt;p&gt;You ward a single object in your possession against theft. You gain a +10 bonus on Perception checks to notice someone trying to take the object from you.&lt;/p&gt;&lt;/h4&gt;&lt;h5&gt;&lt;b&gt;Mythic: &lt;/b&gt;Add your tier to the Perception check bonus. Add your tier to your CMD against disarm and steal combat maneuvers attempted against the item.&lt;/h5&gt;&lt;/div&gt;</t>
  </si>
  <si>
    <t>Add your tier to the Perception check bonus. Add your tier to your CMD against disarm and steal combat maneuvers attempted against the item.</t>
  </si>
  <si>
    <t>Winter Feathers</t>
  </si>
  <si>
    <t>cleric 1/oracle 1, druid 1, inquisitor 1, ranger 1, sorcerer/wizard 1</t>
  </si>
  <si>
    <t>feathered creature touched</t>
  </si>
  <si>
    <t>The target's feathers thicken and fluff up to ward against winter's chill. The target suffers no harm from being in a cold environment, and can exist comfortably in conditions as low as -50 degrees Fahrenheit without having to make Fortitude saves. The creature's equipment is likewise protected. This spell doesn't provide any protection from cold damage, nor does it protect against other environmental hazards associated with cold weather (such as slipping on ice, blindness from snow, and so on). When you cast this spell, you may have the target's feathers turn white for the duration, granting it a +4 circumstance bonus on Stealth checks to hide in ice and snow.</t>
  </si>
  <si>
    <t>&lt;p&gt;The target's feathers thicken and fluff up to ward against winter's chill. The target suffers no harm from being in a cold environment, and can exist comfortably in conditions as low as -50 degrees Fahrenheit without having to make Fortitude saves. The creature's equipment is likewise protected. This spell doesn't provide any protection from cold damage, nor does it protect against other environmental hazards associated with cold weather (such as slipping on ice, blindness from snow, and so on). When you cast this spell, you may have the target's feathers turn white for the duration, granting it a +4 circumstance bonus on Stealth checks to hide in ice and snow.&lt;/p&gt;</t>
  </si>
  <si>
    <t>&lt;link rel="stylesheet"href="PF.css"&gt;&lt;div class="heading"&gt;&lt;p class="alignleft"&gt;Winter Feathers&lt;/p&gt;&lt;div style="clear: both;"&gt;&lt;/div&gt;&lt;/div&gt;&lt;div&gt;&lt;h5&gt;&lt;b&gt;School &lt;/b&gt;abjuration; &lt;b&gt;Level &lt;/b&gt;cleric 1/oracle 1, druid 1, inquisitor 1, ranger 1, sorcerer/wizard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&lt;/b&gt;feathered creature touched&lt;/h5&gt;&lt;h5&gt;&lt;b&gt;Duration &lt;/b&gt;24 hours&lt;/h5&gt;&lt;h5&gt;&lt;b&gt;Saving Throw &lt;/b&gt;Will negates (harmless); &lt;b&gt;Spell Resistance &lt;/b&gt;yes (harmless)&lt;/h5&gt;&lt;/div&gt;&lt;hr/&gt;&lt;div&gt;&lt;h5&gt;&lt;b&gt;DESCRIPTION&lt;/b&gt;&lt;/h5&gt;&lt;/div&gt;&lt;hr/&gt;&lt;div&gt;&lt;h4&gt;&lt;p&gt;The target's feathers thicken and fluff up to ward against winter's chill. The target suffers no harm from being in a cold environment, and can exist comfortably in conditions as low as -50 degrees Fahrenheit without having to make Fortitude saves. The creature's equipment is likewise protected. This spell doesn't provide any protection from cold damage, nor does it protect against other environmental hazards associated with cold weather (such as slipping on ice, blindness from snow, and so on). When you cast this spell, you may have the target's feathers turn white for the duration, granting it a +4 circumstance bonus on Stealth checks to hide in ice and snow.&lt;/p&gt;&lt;/h4&gt;&lt;/div&gt;</t>
  </si>
  <si>
    <t>Damnation Stride</t>
  </si>
  <si>
    <t>self and creatures within a 10-foot-radius burst (see below)</t>
  </si>
  <si>
    <t>Reflex half, see text</t>
  </si>
  <si>
    <t>This spell functions like dimension door, except you leave behind a burst of fire. Choose one corner of your starting square. A 10-foot-radius burst of flame explodes from that corner the moment you leave, dealing 4d6 points of fire damage (Reflex negates).</t>
  </si>
  <si>
    <t>&lt;p&gt;This spell functions like &lt;i&gt;dimension door&lt;/i&gt;, except you leave behind a burst of fire. Choose one corner of your starting square. A 10-foot-radius burst of flame explodes from that corner the moment you leave, dealing 4d6 points of fire damage (Reflex negates).&lt;/p&gt;</t>
  </si>
  <si>
    <t>&lt;link rel="stylesheet"href="PF.css"&gt;&lt;div class="heading"&gt;&lt;p class="alignleft"&gt;Damnation Stride&lt;/p&gt;&lt;div style="clear: both;"&gt;&lt;/div&gt;&lt;/div&gt;&lt;div&gt;&lt;h5&gt;&lt;b&gt;School &lt;/b&gt;conjuration (teleportation) [fire]; &lt;b&gt;Level &lt;/b&gt;sorcerer/wizard 5, summoner 4, witch 5&lt;/h5&gt;&lt;/div&gt;&lt;hr/&gt;&lt;div&gt;&lt;h5&gt;&lt;b&gt;CASTING&lt;/b&gt;&lt;/h5&gt;&lt;/div&gt;&lt;hr/&gt;&lt;div&gt;&lt;h5&gt;&lt;b&gt;Casting Time &lt;/b&gt;1 standard action&lt;/h5&gt;&lt;h5&gt;&lt;b&gt;Components &lt;/b&gt;V&lt;/h5&gt;&lt;/div&gt;&lt;hr/&gt;&lt;div&gt;&lt;h5&gt;&lt;b&gt;EFFECT&lt;/b&gt;&lt;/h5&gt;&lt;/div&gt;&lt;hr/&gt;&lt;div&gt;&lt;h5&gt;&lt;b&gt;Range &lt;/b&gt;long (400 ft. + 40 ft./level)&lt;/h5&gt;&lt;h5&gt;&lt;b&gt;Targets &lt;/b&gt;self and creatures within a 10-foot-radius burst (see below)&lt;/h5&gt;&lt;h5&gt;&lt;b&gt;Duration &lt;/b&gt;1 minutes/level&lt;/h5&gt;&lt;h5&gt;&lt;b&gt;Saving Throw &lt;/b&gt;Reflex half, see text; &lt;b&gt;Spell Resistance &lt;/b&gt;no&lt;/h5&gt;&lt;/div&gt;&lt;hr/&gt;&lt;div&gt;&lt;h5&gt;&lt;b&gt;DESCRIPTION&lt;/b&gt;&lt;/h5&gt;&lt;/div&gt;&lt;hr/&gt;&lt;div&gt;&lt;h4&gt;&lt;p&gt;This spell functions like &lt;i&gt;dimension door&lt;/i&gt;, except you leave behind a burst of fire. Choose one corner of your starting square. A 10-foot-radius burst of flame explodes from that corner the moment you leave, dealing 4d6 points of fire damage (Reflex negates).&lt;/p&gt;&lt;/h4&gt;&lt;h5&gt;&lt;b&gt;Mythic: &lt;/b&gt;The burst of fire created reeks of sulfur and brimstone and also acts like stinking cloud (with the same duration as that spell and a separate Fortitude save).&lt;/h5&gt;&lt;h5&gt;&lt;b&gt;Augmented (6th)&lt;/b&gt;: If you expend two uses of mythic power, you bring one unwilling adjacent creature with you. You may bring additional creatures, but each must be adjacent to you and each requires you to expend one additional use of mythic power. These creatures must first attempt a saving throw against the burst of flame and stinking cloud, then can attempt a Will saving throw to resist being teleported with you.&lt;/h5&gt;&lt;/div&gt;</t>
  </si>
  <si>
    <t>The burst of fire created reeks of sulfur and brimstone and also acts like stinking cloud (with the same duration as that spell and a separate Fortitude save).</t>
  </si>
  <si>
    <t>Augmented (6th): If you expend two uses of mythic power, you bring one unwilling adjacent creature with you. You may bring additional creatures, but each must be adjacent to you and each requires you to expend one additional use of mythic power. These creatures must first attempt a saving throw against the burst of flame and stinking cloud, then can attempt a Will saving throw to resist being teleported with you.</t>
  </si>
  <si>
    <t>Hellmouth Lash</t>
  </si>
  <si>
    <t>acid, electricity, or fire</t>
  </si>
  <si>
    <t>Upon casting this spell, your tongue transforms into an energy whip weapon that can deal acid, electricity, or fire damage. You choose what type of energy damage the spell deals when you cast it. You attack with your tongue as if it were a whip, except you make touch attacks with it and it can harm creatures with armor or natural armor bonuses. You are considered proficient with this weapon. A successful touch attack with the tongue deals 1d8 points of energy damage per two caster levels (maximum of 5d8 points of damage at 10th level). While the spell is in effect, you cannot speak, cast spells requiring verbal components, or activate items requiring command words. The spell has the acid, electricity, or fire descriptor, depending on what type of energy damage you chose when you cast it.</t>
  </si>
  <si>
    <t>&lt;p&gt;Upon casting this spell, your tongue transforms into an energy whip weapon that can deal acid, electricity, or fire damage. You choose what type of energy damage the spell deals when you cast it. You attack with your tongue as if it were a whip, except you make touch attacks with it and it can harm creatures with armor or natural armor bonuses. You are considered proficient with this weapon. A successful touch attack with the tongue deals 1d8 points of energy damage per two caster levels (maximum of 5d8 points of damage at 10th level). While the spell is in effect, you cannot speak, cast spells requiring verbal components, or activate items requiring command words. The spell has the acid, electricity, or fire descriptor, depending on what type of energy damage you chose when you cast it.&lt;/p&gt;</t>
  </si>
  <si>
    <t>&lt;link rel="stylesheet"href="PF.css"&gt;&lt;div class="heading"&gt;&lt;p class="alignleft"&gt;Hellmouth Lash&lt;/p&gt;&lt;div style="clear: both;"&gt;&lt;/div&gt;&lt;/div&gt;&lt;div&gt;&lt;h5&gt;&lt;b&gt;School &lt;/b&gt;transmutation [acid, electricity, or fire]; &lt;b&gt;Level &lt;/b&gt;sorcerer/wizard 4, witch 4&lt;/h5&gt;&lt;/div&gt;&lt;hr/&gt;&lt;div&gt;&lt;h5&gt;&lt;b&gt;CASTING&lt;/b&gt;&lt;/h5&gt;&lt;/div&gt;&lt;hr/&gt;&lt;div&gt;&lt;h5&gt;&lt;b&gt;Casting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 (D)&lt;/h5&gt;&lt;/div&gt;&lt;hr/&gt;&lt;div&gt;&lt;h5&gt;&lt;b&gt;DESCRIPTION&lt;/b&gt;&lt;/h5&gt;&lt;/div&gt;&lt;hr/&gt;&lt;div&gt;&lt;h4&gt;&lt;p&gt;Upon casting this spell, your tongue transforms into an energy whip weapon that can deal acid, electricity, or fire damage. You choose what type of energy damage the spell deals when you cast it. You attack with your tongue as if it were a whip, except you make touch attacks with it and it can harm creatures with armor or natural armor bonuses. You are considered proficient with this weapon. A successful touch attack with the tongue deals 1d8 points of energy damage per two caster levels (maximum of 5d8 points of damage at 10th level). While the spell is in effect, you cannot speak, cast spells requiring verbal components, or activate items requiring command words. The spell has the acid, electricity, or fire descriptor, depending on what type of energy damage you chose when you cast it.&lt;/p&gt;&lt;/h4&gt;&lt;/div&gt;</t>
  </si>
  <si>
    <t>Marid's Mastery</t>
  </si>
  <si>
    <t>The target gains a +1 bonus on attack and damage rolls if it and its opponent are touching water. If the opponent or the target is touching the ground, the target takes a -4 penalty on attack and damage rolls.</t>
  </si>
  <si>
    <t>&lt;p&gt;The target gains a +1 bonus on attack and damage rolls if it and its opponent are touching water. If the opponent or the target is touching the ground, the target takes a -4 penalty on attack and damage rolls.&lt;/p&gt;</t>
  </si>
  <si>
    <t>&lt;link rel="stylesheet"href="PF.css"&gt;&lt;div class="heading"&gt;&lt;p class="alignleft"&gt;Marid's Mastery&lt;/p&gt;&lt;div style="clear: both;"&gt;&lt;/div&gt;&lt;/div&gt;&lt;div&gt;&lt;h5&gt;&lt;b&gt;School &lt;/b&gt;transmutation [water]; &lt;b&gt;Level &lt;/b&gt;cleric 1/oracle 1, druid 1, ranger 1, sorcerer/wizard 1, witch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minute/level&lt;/h5&gt;&lt;h5&gt;&lt;b&gt;Saving Throw &lt;/b&gt;Will negates (harmless); &lt;b&gt;Spell Resistance &lt;/b&gt;yes (harmless)&lt;/h5&gt;&lt;/div&gt;&lt;hr/&gt;&lt;div&gt;&lt;h5&gt;&lt;b&gt;DESCRIPTION&lt;/b&gt;&lt;/h5&gt;&lt;/div&gt;&lt;hr/&gt;&lt;div&gt;&lt;h4&gt;&lt;p&gt;The target gains a +1 bonus on attack and damage rolls if it and its opponent are touching water. If the opponent or the target is touching the ground, the target takes a -4 penalty on attack and damage rolls.&lt;/p&gt;&lt;/h4&gt;&lt;/div&gt;</t>
  </si>
  <si>
    <t>Nereid's Grace</t>
  </si>
  <si>
    <t>druid 1, witch 1</t>
  </si>
  <si>
    <t>You radiate the unearthly grace of a nereid. If you are not wearing armor (or your armor is not visible, such as when using glamered armor), you gain a deflection bonus to your Armor Class and CMD equal to your Charisma bonus.</t>
  </si>
  <si>
    <t>&lt;p&gt;You radiate the unearthly grace of a nereid. If you are not wearing armor (or your armor is not visible, such as when using &lt;i&gt;glamered&lt;/i&gt; armor), you gain a deflection bonus to your Armor Class and CMD equal to your Charisma bonus.&lt;/p&gt;</t>
  </si>
  <si>
    <t>&lt;link rel="stylesheet"href="PF.css"&gt;&lt;div class="heading"&gt;&lt;p class="alignleft"&gt;Nereid's Grace&lt;/p&gt;&lt;div style="clear: both;"&gt;&lt;/div&gt;&lt;/div&gt;&lt;div&gt;&lt;h5&gt;&lt;b&gt;School &lt;/b&gt;enchantment (charm) [mind-affecting]; &lt;b&gt;Level &lt;/b&gt;druid 1, witch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&lt;/b&gt;you&lt;/h5&gt;&lt;h5&gt;&lt;b&gt;Duration &lt;/b&gt;1 round/level&lt;/h5&gt;&lt;/div&gt;&lt;hr/&gt;&lt;div&gt;&lt;h5&gt;&lt;b&gt;DESCRIPTION&lt;/b&gt;&lt;/h5&gt;&lt;/div&gt;&lt;hr/&gt;&lt;div&gt;&lt;h4&gt;&lt;p&gt;You radiate the unearthly grace of a nereid. If you are not wearing armor (or your armor is not visible, such as when using &lt;i&gt;glamered&lt;/i&gt; armor), you gain a deflection bonus to your Armor Class and CMD equal to your Charisma bonus.&lt;/p&gt;&lt;/h4&gt;&lt;/div&gt;</t>
  </si>
  <si>
    <t>Nixie's Lure</t>
  </si>
  <si>
    <t>bard 4, druid 3, sorcerer/wizard 3, summoner 4, witch 3</t>
  </si>
  <si>
    <t>300 ft.</t>
  </si>
  <si>
    <t>all creatures within a 300-ft.-radius burst centered on you</t>
  </si>
  <si>
    <t>This spell creates an unearthly and infectious song that seductively summons all who hear it. Nixie's lure affects a maximum of 24 Hit Dice of creatures. Creatures in the area who fail their saves are lured by the song and move toward you using the most direct means available. If the path leads them into a dangerous area such as through fire or off a cliff, the creatures each receive a second saving throw to end the effect before moving into peril. Creatures lured by the spell's song can take no actions other than to defend themselves. A victim within 5 feet of you simply stands still and for the duration of the spell remains fascinated.</t>
  </si>
  <si>
    <t>&lt;p&gt;This spell creates an unearthly and infectious song that seductively summons all who hear it. Nixie's lure affects a maximum of 24 Hit Dice of creatures. Creatures in the area who fail their saves are lured by the song and move toward you using the most direct means available. If the path leads them into a dangerous area such as through fire or off a cliff, the creatures each receive a second saving throw to end the effect before moving into peril. Creatures lured by the spell's song can take no actions other than to defend themselves. A victim within 5 feet of you simply stands still and for the duration of the spell remains fascinated.&lt;/p&gt;</t>
  </si>
  <si>
    <t>&lt;link rel="stylesheet"href="PF.css"&gt;&lt;div class="heading"&gt;&lt;p class="alignleft"&gt;Nixie's Lure&lt;/p&gt;&lt;div style="clear: both;"&gt;&lt;/div&gt;&lt;/div&gt;&lt;div&gt;&lt;h5&gt;&lt;b&gt;School &lt;/b&gt;enchantment (charm) [mind-affecting, sonic]; &lt;b&gt;Level &lt;/b&gt;bard 4, druid 3, sorcerer/wizard 3, summoner 4, witch 3&lt;/h5&gt;&lt;/div&gt;&lt;hr/&gt;&lt;div&gt;&lt;h5&gt;&lt;b&gt;CASTING&lt;/b&gt;&lt;/h5&gt;&lt;/div&gt;&lt;hr/&gt;&lt;div&gt;&lt;h5&gt;&lt;b&gt;Casting Time &lt;/b&gt;1 standard action&lt;/h5&gt;&lt;h5&gt;&lt;b&gt;Components &lt;/b&gt;V, S&lt;/h5&gt;&lt;/div&gt;&lt;hr/&gt;&lt;div&gt;&lt;h5&gt;&lt;b&gt;EFFECT&lt;/b&gt;&lt;/h5&gt;&lt;/div&gt;&lt;hr/&gt;&lt;div&gt;&lt;h5&gt;&lt;b&gt;Range &lt;/b&gt;300 ft.&lt;/h5&gt;&lt;h5&gt;&lt;b&gt;Targets &lt;/b&gt;all creatures within a 300-ft.-radius burst centered on you&lt;/h5&gt;&lt;h5&gt;&lt;b&gt;Duration &lt;/b&gt;concentration + 1 round/level (D)&lt;/h5&gt;&lt;h5&gt;&lt;b&gt;Saving Throw &lt;/b&gt;Will negates; &lt;b&gt;Spell Resistance &lt;/b&gt;yes&lt;/h5&gt;&lt;/div&gt;&lt;hr/&gt;&lt;div&gt;&lt;h5&gt;&lt;b&gt;DESCRIPTION&lt;/b&gt;&lt;/h5&gt;&lt;/div&gt;&lt;hr/&gt;&lt;div&gt;&lt;h4&gt;&lt;p&gt;This spell creates an unearthly and infectious song that seductively summons all who hear it. Nixie's lure affects a maximum of 24 Hit Dice of creatures. Creatures in the area who fail their saves are lured by the song and move toward you using the most direct means available. If the path leads them into a dangerous area such as through fire or off a cliff, the creatures each receive a second saving throw to end the effect before moving into peril. Creatures lured by the spell's song can take no actions other than to defend themselves. A victim within 5 feet of you simply stands still and for the duration of the spell remains fascinated.&lt;/p&gt;&lt;/h4&gt;&lt;/div&gt;</t>
  </si>
  <si>
    <t>Undine's Curse</t>
  </si>
  <si>
    <t>The target loses its body's natural ability to breathe automatically. As long as it remains conscious and is able to take physical actions, it keeps breathing and is able to function normally. If it is ever unconscious (including sleeping) or unable to take physical actions, it stops breathing and begins to suffocate. Creatures that do not have to breathe are immune to this spell.</t>
  </si>
  <si>
    <t>&lt;p&gt;The target loses its body's natural ability to breathe automatically. As long as it remains conscious and is able to take physical actions, it keeps breathing and is able to function normally. If it is ever unconscious (including sleeping) or unable to take physical actions, it stops breathing and begins to suffocate. Creatures that do not have to breathe are immune to this spell.&lt;/p&gt;</t>
  </si>
  <si>
    <t>&lt;link rel="stylesheet"href="PF.css"&gt;&lt;div class="heading"&gt;&lt;p class="alignleft"&gt;Undine's Curse&lt;/p&gt;&lt;div style="clear: both;"&gt;&lt;/div&gt;&lt;/div&gt;&lt;div&gt;&lt;h5&gt;&lt;b&gt;School &lt;/b&gt;necromancy [evil]; &lt;b&gt;Level &lt;/b&gt;sorcerer/wizard 1, witch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&lt;/b&gt;1 hour/level&lt;/h5&gt;&lt;h5&gt;&lt;b&gt;Saving Throw &lt;/b&gt;Will negates; &lt;b&gt;Spell Resistance &lt;/b&gt;yes&lt;/h5&gt;&lt;/div&gt;&lt;hr/&gt;&lt;div&gt;&lt;h5&gt;&lt;b&gt;DESCRIPTION&lt;/b&gt;&lt;/h5&gt;&lt;/div&gt;&lt;hr/&gt;&lt;div&gt;&lt;h4&gt;&lt;p&gt;The target loses its body's natural ability to breathe automatically. As long as it remains conscious and is able to take physical actions, it keeps breathing and is able to function normally. If it is ever unconscious (including sleeping) or unable to take physical actions, it stops breathing and begins to suffocate. Creatures that do not have to breathe are immune to this spell.&lt;/p&gt;&lt;/h4&gt;&lt;/div&gt;</t>
  </si>
  <si>
    <t>Sow Thought</t>
  </si>
  <si>
    <t>You plant an idea, concept, or suspicion in the mind of the subject. The target genuinely believes that the idea is his own, but is not required to act upon it. If the idea is contrary to the target's normal thoughts (such as making a paladin think, "I should murder my friends") the target may suspect mind-altering magic is at play. The idea must be fairly clear, enough so that it can be conveyed in one or two sentences. You do not need to share a common language for the spell to succeed, but without a common language you can only sow the most basic rudimentary ideas.</t>
  </si>
  <si>
    <t>&lt;p&gt;You plant an idea, concept, or suspicion in the mind of the subject. The target genuinely believes that the idea is his own, but is not required to act upon it. If the idea is contrary to the target's normal thoughts (such as making a paladin think, "I should murder my friends") the target may suspect mind-altering magic is at play. The idea must be fairly clear, enough so that it can be conveyed in one or two sentences. You do not need to share a common language for the spell to succeed, but without a common language you can only sow the most basic rudimentary ideas.&lt;/p&gt;</t>
  </si>
  <si>
    <t>&lt;link rel="stylesheet"href="PF.css"&gt;&lt;div class="heading"&gt;&lt;p class="alignleft"&gt;Sow Thought&lt;/p&gt;&lt;div style="clear: both;"&gt;&lt;/div&gt;&lt;/div&gt;&lt;div&gt;&lt;h5&gt;&lt;b&gt;School &lt;/b&gt;enchantment (compulsion) [mind-affecting]; &lt;b&gt;Level &lt;/b&gt;bard 1, sorcerer/wizard 1, witch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&lt;/b&gt;permanent&lt;/h5&gt;&lt;h5&gt;&lt;b&gt;Saving Throw &lt;/b&gt;Will negates; &lt;b&gt;Spell Resistance &lt;/b&gt;yes&lt;/h5&gt;&lt;/div&gt;&lt;hr/&gt;&lt;div&gt;&lt;h5&gt;&lt;b&gt;DESCRIPTION&lt;/b&gt;&lt;/h5&gt;&lt;/div&gt;&lt;hr/&gt;&lt;div&gt;&lt;h4&gt;&lt;p&gt;You plant an idea, concept, or suspicion in the mind of the subject. The target genuinely believes that the idea is his own, but is not required to act upon it. If the idea is contrary to the target's normal thoughts (such as making a paladin think, "I should murder my friends") the target may suspect mind-altering magic is at play. The idea must be fairly clear, enough so that it can be conveyed in one or two sentences. You do not need to share a common language for the spell to succeed, but without a common language you can only sow the most basic rudimentary ideas.&lt;/p&gt;&lt;/h4&gt;&lt;/div&gt;</t>
  </si>
  <si>
    <t>Aboleth's Lung</t>
  </si>
  <si>
    <t>cleric 2/oracle 2, druid 2, sorcerer/wizard 2, witch 2</t>
  </si>
  <si>
    <t>V, S, M/DF (piece of seaweed)</t>
  </si>
  <si>
    <t>The targets are able to breathe water, freely. However, they can no longer breathe air. Divide the duration evenly among all the creatures you touch. This spell has no effect on creatures that can already breathe water.</t>
  </si>
  <si>
    <t>&lt;p&gt;The targets are able to breathe water, freely. However, they can no longer breathe air. Divide the duration evenly among all the creatures you touch. This spell has no effect on creatures that can already breathe water.&lt;/p&gt;</t>
  </si>
  <si>
    <t>&lt;link rel="stylesheet"href="PF.css"&gt;&lt;div class="heading"&gt;&lt;p class="alignleft"&gt;Aboleth's Lung&lt;/p&gt;&lt;div style="clear: both;"&gt;&lt;/div&gt;&lt;/div&gt;&lt;div&gt;&lt;h5&gt;&lt;b&gt;School &lt;/b&gt;transmutation; &lt;b&gt;Level &lt;/b&gt;cleric 2/oracle 2, druid 2, sorcerer/wizard 2, witch 2&lt;/h5&gt;&lt;/div&gt;&lt;hr/&gt;&lt;div&gt;&lt;h5&gt;&lt;b&gt;CASTING&lt;/b&gt;&lt;/h5&gt;&lt;/div&gt;&lt;hr/&gt;&lt;div&gt;&lt;h5&gt;&lt;b&gt;Casting Time &lt;/b&gt;1 standard action&lt;/h5&gt;&lt;h5&gt;&lt;b&gt;Components &lt;/b&gt;V, S, M/DF (piece of seaweed)&lt;/h5&gt;&lt;/div&gt;&lt;hr/&gt;&lt;div&gt;&lt;h5&gt;&lt;b&gt;EFFECT&lt;/b&gt;&lt;/h5&gt;&lt;/div&gt;&lt;hr/&gt;&lt;div&gt;&lt;h5&gt;&lt;b&gt;Range &lt;/b&gt;touch&lt;/h5&gt;&lt;h5&gt;&lt;b&gt;Targets &lt;/b&gt;living creatures touched&lt;/h5&gt;&lt;h5&gt;&lt;b&gt;Duration &lt;/b&gt;1 hour/level; see text&lt;/h5&gt;&lt;h5&gt;&lt;b&gt;Saving Throw &lt;/b&gt;Will negates; &lt;b&gt;Spell Resistance &lt;/b&gt;yes&lt;/h5&gt;&lt;/div&gt;&lt;hr/&gt;&lt;div&gt;&lt;h5&gt;&lt;b&gt;DESCRIPTION&lt;/b&gt;&lt;/h5&gt;&lt;/div&gt;&lt;hr/&gt;&lt;div&gt;&lt;h4&gt;&lt;p&gt;The targets are able to breathe water, freely. However, they can no longer breathe air. Divide the duration evenly among all the creatures you touch. This spell has no effect on creatures that can already breathe water.&lt;/p&gt;&lt;/h4&gt;&lt;/div&gt;</t>
  </si>
  <si>
    <t>Fins To Feet</t>
  </si>
  <si>
    <t>You transform the target's fins, flippers, or tail into legs and feet, allowing it to walk on land. The target loses its swim speed but gains a base speed appropriate for a humanoid of its size (speed 30 if a Medium or larger creature, speed 20 if Small). If the creature is immersed in water for 1 round, the transformation reverts, allowing it to swim normally. One round after leaving the water, the transformation occurs again, allowing it to walk. This spell only works on merfolk, tritons, seals, fish, and other creatures whose bodies or limbs are used mainly for swimming and are not suitable for walking. It does not give the target the ability to breathe air.</t>
  </si>
  <si>
    <t>&lt;p&gt;You transform the target's fins, flippers, or tail into legs and feet, allowing it to walk on land. The target loses its swim speed but gains a base speed appropriate for a humanoid of its size (speed 30 if a Medium or larger creature, speed 20 if Small). If the creature is immersed in water for 1 round, the transformation reverts, allowing it to swim normally. One round after leaving the water, the transformation occurs again, allowing it to walk. This spell only works on merfolk, tritons, seals, fish, and other creatures whose bodies or limbs are used mainly for swimming and are not suitable for walking. It does not give the target the ability to breathe air.&lt;/p&gt;</t>
  </si>
  <si>
    <t>&lt;link rel="stylesheet"href="PF.css"&gt;&lt;div class="heading"&gt;&lt;p class="alignleft"&gt;Fins To Feet&lt;/p&gt;&lt;div style="clear: both;"&gt;&lt;/div&gt;&lt;/div&gt;&lt;div&gt;&lt;h5&gt;&lt;b&gt;School &lt;/b&gt;transmutation (polymorph); &lt;b&gt;Level &lt;/b&gt;druid 3, sorcerer/wizard 3, witch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&lt;/b&gt;willing creature touched&lt;/h5&gt;&lt;h5&gt;&lt;b&gt;Duration &lt;/b&gt;1 hour/level (D)&lt;/h5&gt;&lt;h5&gt;&lt;b&gt;Saving Throw &lt;/b&gt;none; &lt;b&gt;Spell Resistance &lt;/b&gt;yes&lt;/h5&gt;&lt;/div&gt;&lt;hr/&gt;&lt;div&gt;&lt;h5&gt;&lt;b&gt;DESCRIPTION&lt;/b&gt;&lt;/h5&gt;&lt;/div&gt;&lt;hr/&gt;&lt;div&gt;&lt;h4&gt;&lt;p&gt;You transform the target's fins, flippers, or tail into legs and feet, allowing it to walk on land. The target loses its swim speed but gains a base speed appropriate for a humanoid of its size (speed 30 if a Medium or larger creature, speed 20 if Small). If the creature is immersed in water for 1 round, the transformation reverts, allowing it to swim normally. One round after leaving the water, the transformation occurs again, allowing it to walk. This spell only works on merfolk, tritons, seals, fish, and other creatures whose bodies or limbs are used mainly for swimming and are not suitable for walking. It does not give the target the ability to breathe air.&lt;/p&gt;&lt;/h4&gt;&lt;/div&gt;</t>
  </si>
  <si>
    <t>Karmic Blessing</t>
  </si>
  <si>
    <t>cleric 1/oracle 1, witch 1</t>
  </si>
  <si>
    <t>The target treats one skill of your choice as a class skill.</t>
  </si>
  <si>
    <t>&lt;p&gt;The target treats one skill of your choice as a class skill.&lt;/p&gt;</t>
  </si>
  <si>
    <t>&lt;link rel="stylesheet"href="PF.css"&gt;&lt;div class="heading"&gt;&lt;p class="alignleft"&gt;Karmic Blessing&lt;/p&gt;&lt;div style="clear: both;"&gt;&lt;/div&gt;&lt;/div&gt;&lt;div&gt;&lt;h5&gt;&lt;b&gt;School &lt;/b&gt;divination [good]; &lt;b&gt;Level &lt;/b&gt;cleric 1/oracle 1, witch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round/level&lt;/h5&gt;&lt;h5&gt;&lt;b&gt;Saving Throw &lt;/b&gt;Will negates (harmless); &lt;b&gt;Spell Resistance &lt;/b&gt;yes (harmless)&lt;/h5&gt;&lt;/div&gt;&lt;hr/&gt;&lt;div&gt;&lt;h5&gt;&lt;b&gt;DESCRIPTION&lt;/b&gt;&lt;/h5&gt;&lt;/div&gt;&lt;hr/&gt;&lt;div&gt;&lt;h4&gt;&lt;p&gt;The target treats one skill of your choice as a class skill.&lt;/p&gt;&lt;/h4&gt;&lt;/div&gt;</t>
  </si>
  <si>
    <t>Strong Wings</t>
  </si>
  <si>
    <t>druid 1, ranger 1, sorcerer/wizard 1, witch 1</t>
  </si>
  <si>
    <t>The target's wings grow more powerful, causing its fly speed to increase by +10 feet and its maneuverability to improve by one category (to a maximum of good). This increase counts as an enhancement bonus. This spell has no effect on wingless creatures or winged creatures that cannot f ly.</t>
  </si>
  <si>
    <t>&lt;p&gt;The target's wings grow more powerful, causing its fly speed to increase by +10 feet and its maneuverability to improve by one category (to a maximum of good). This increase counts as an enhancement bonus. This spell has no effect on wingless creatures or winged creatures that cannot f ly.&lt;/p&gt;</t>
  </si>
  <si>
    <t>&lt;link rel="stylesheet"href="PF.css"&gt;&lt;div class="heading"&gt;&lt;p class="alignleft"&gt;Strong Wings&lt;/p&gt;&lt;div style="clear: both;"&gt;&lt;/div&gt;&lt;/div&gt;&lt;div&gt;&lt;h5&gt;&lt;b&gt;School &lt;/b&gt;transmutation; &lt;b&gt;Level &lt;/b&gt;druid 1, ranger 1, sorcerer/wizard 1, witch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minute/level&lt;/h5&gt;&lt;h5&gt;&lt;b&gt;Saving Throw &lt;/b&gt;Fortitude negates (harmless); &lt;b&gt;Spell Resistance &lt;/b&gt;yes (harmless)&lt;/h5&gt;&lt;/div&gt;&lt;hr/&gt;&lt;div&gt;&lt;h5&gt;&lt;b&gt;DESCRIPTION&lt;/b&gt;&lt;/h5&gt;&lt;/div&gt;&lt;hr/&gt;&lt;div&gt;&lt;h4&gt;&lt;p&gt;The target's wings grow more powerful, causing its fly speed to increase by +10 feet and its maneuverability to improve by one category (to a maximum of good). This increase counts as an enhancement bonus. This spell has no effect on wingless creatures or winged creatures that cannot f ly.&lt;/p&gt;&lt;/h4&gt;&lt;/div&gt;</t>
  </si>
  <si>
    <t>Imbue With Elemental Might</t>
  </si>
  <si>
    <t>cleric 2/oracle 2, magus 2, sorcerer/wizard 2</t>
  </si>
  <si>
    <t>24 hours or until discharged (D)</t>
  </si>
  <si>
    <t>This spell functions like imbue with spell ability, except you transfer the use of your elemental assault ability to the target. The target must have an Intelligence score of at least 5 to use the ability. The imbued elemental assault functions exactly like yours, except the ability's duration is based on the target's level or Hit Dice. Once you cast this spell, you cannot use your elemental assault ability until the duration of the spell is over.</t>
  </si>
  <si>
    <t>&lt;p&gt;This spell functions like &lt;i&gt;imbue with spell ability&lt;/i&gt;, except you transfer the use of your elemental assault ability to the target. The target must have an Intelligence score of at least 5 to use the ability. The imbued elemental assault functions exactly like yours, except the ability's duration is based on the target's level or Hit Dice. Once you cast this spell, you cannot use your elemental assault ability until the duration of the spell is over.&lt;/p&gt;</t>
  </si>
  <si>
    <t>&lt;link rel="stylesheet"href="PF.css"&gt;&lt;div class="heading"&gt;&lt;p class="alignleft"&gt;Imbue With Elemental Might&lt;/p&gt;&lt;div style="clear: both;"&gt;&lt;/div&gt;&lt;/div&gt;&lt;div&gt;&lt;h5&gt;&lt;b&gt;School &lt;/b&gt;evocation [see text]; &lt;b&gt;Level &lt;/b&gt;cleric 2/oracle 2, magus 2, sorcerer/wizard 2&lt;/h5&gt;&lt;/div&gt;&lt;hr/&gt;&lt;div&gt;&lt;h5&gt;&lt;b&gt;CASTING&lt;/b&gt;&lt;/h5&gt;&lt;/div&gt;&lt;hr/&gt;&lt;div&gt;&lt;h5&gt;&lt;b&gt;Casting Time &lt;/b&gt;10 minutes&lt;/h5&gt;&lt;h5&gt;&lt;b&gt;Components &lt;/b&gt;V, S&lt;/h5&gt;&lt;/div&gt;&lt;hr/&gt;&lt;div&gt;&lt;h5&gt;&lt;b&gt;EFFECT&lt;/b&gt;&lt;/h5&gt;&lt;/div&gt;&lt;hr/&gt;&lt;div&gt;&lt;h5&gt;&lt;b&gt;Range &lt;/b&gt;touch&lt;/h5&gt;&lt;h5&gt;&lt;b&gt;Targets &lt;/b&gt;creature touched; see text&lt;/h5&gt;&lt;h5&gt;&lt;b&gt;Duration &lt;/b&gt;24 hours or until discharged (D)&lt;/h5&gt;&lt;h5&gt;&lt;b&gt;Saving Throw &lt;/b&gt;Will negates (harmless); &lt;b&gt;Spell Resistance &lt;/b&gt;yes (harmless)&lt;/h5&gt;&lt;/div&gt;&lt;hr/&gt;&lt;div&gt;&lt;h5&gt;&lt;b&gt;DESCRIPTION&lt;/b&gt;&lt;/h5&gt;&lt;/div&gt;&lt;hr/&gt;&lt;div&gt;&lt;h4&gt;&lt;p&gt;This spell functions like &lt;i&gt;imbue with spell ability&lt;/i&gt;, except you transfer the use of your elemental assault ability to the target. The target must have an Intelligence score of at least 5 to use the ability. The imbued elemental assault functions exactly like yours, except the ability's duration is based on the target's level or Hit Dice. Once you cast this spell, you cannot use your elemental assault ability until the duration of the spell is over.&lt;/p&gt;&lt;/h4&gt;&lt;/div&gt;</t>
  </si>
  <si>
    <t>Earth Glide</t>
  </si>
  <si>
    <t>The target can pass through stone, dirt, or almost any other sort of earth except metal as easily as a fish swims through water, traveling at a speed of 5 feet. If protected against fire damage, it can move through lava. This movement leaves behind no tunnel or hole, nor does it create any ripple or other sign of its presence. It requires as much concentration as walking, so the subject can attack or cast spells normally, but cannot charge or run. Casting move earth on an area containing the target flings the target back 30 feet, stunning it for 1 round (DC 15 Fortitude negates). This spell does not give the target the ability to breathe underground, so when passing through solid material, the creature must hold its breath.</t>
  </si>
  <si>
    <t>&lt;p&gt;The target can pass through stone, dirt, or almost any other sort of earth except metal as easily as a fish swims through water, traveling at a speed of 5 feet. If protected against fire damage, it can move through lava. This movement leaves behind no tunnel or hole, nor does it create any ripple or other sign of its presence. It requires as much concentration as walking, so the subject can attack or cast spells normally, but cannot charge or run. Casting &lt;i&gt;move earth&lt;/i&gt; on an area containing the target flings the target back 30 feet, stunning it for 1 round (DC 15 Fortitude negates). This spell does not give the target the ability to breathe underground, so when passing through solid material, the creature must hold its breath.&lt;/p&gt;</t>
  </si>
  <si>
    <t>&lt;link rel="stylesheet"href="PF.css"&gt;&lt;div class="heading"&gt;&lt;p class="alignleft"&gt;Earth Glide&lt;/p&gt;&lt;div style="clear: both;"&gt;&lt;/div&gt;&lt;/div&gt;&lt;div&gt;&lt;h5&gt;&lt;b&gt;School &lt;/b&gt;transmutation [earth]; &lt;b&gt;Level &lt;/b&gt;alchemist 4, druid 4, sorcerer/wizard 4&lt;/h5&gt;&lt;/div&gt;&lt;hr/&gt;&lt;div&gt;&lt;h5&gt;&lt;b&gt;CASTING&lt;/b&gt;&lt;/h5&gt;&lt;/div&gt;&lt;hr/&gt;&lt;div&gt;&lt;h5&gt;&lt;b&gt;Casting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round/level&lt;/h5&gt;&lt;h5&gt;&lt;b&gt;Saving Throw &lt;/b&gt;Will negates (harmless); &lt;b&gt;Spell Resistance &lt;/b&gt;yes (harmless)&lt;/h5&gt;&lt;/div&gt;&lt;hr/&gt;&lt;div&gt;&lt;h5&gt;&lt;b&gt;DESCRIPTION&lt;/b&gt;&lt;/h5&gt;&lt;/div&gt;&lt;hr/&gt;&lt;div&gt;&lt;h4&gt;&lt;p&gt;The target can pass through stone, dirt, or almost any other sort of earth except metal as easily as a fish swims through water, traveling at a speed of 5 feet. If protected against fire damage, it can move through lava. This movement leaves behind no tunnel or hole, nor does it create any ripple or other sign of its presence. It requires as much concentration as walking, so the subject can attack or cast spells normally, but cannot charge or run. Casting &lt;i&gt;move earth&lt;/i&gt; on an area containing the target flings the target back 30 feet, stunning it for 1 round (DC 15 Fortitude negates). This spell does not give the target the ability to breathe underground, so when passing through solid material, the creature must hold its breath.&lt;/p&gt;&lt;/h4&gt;&lt;/div&gt;</t>
  </si>
  <si>
    <t>Prehensile Pilfer</t>
  </si>
  <si>
    <t>alchemist 3, bard 3, magus 3, sorcerer/wizard 3</t>
  </si>
  <si>
    <t>The target's tail moves and acts more quickly, almost with a mind of its own. When making a full-attack action, the target may use its tail to make a dirty trick or steal combat maneuver as a swift action. For the purpose of this attack, the target's tail is a natural weapon with a reach of 5 feet. This spell has no effect on creatures lacking a prehensile tail. If the target already has an extra attack from haste or a similar effect, this spell only allows the tail to make dirty trick and steal combat maneuvers, but does not grant an extra attack.</t>
  </si>
  <si>
    <t>&lt;p&gt;The target's tail moves and acts more quickly, almost with a mind of its own. When making a full-attack action, the target may use its tail to make a dirty trick or steal combat maneuver as a swift action. For the purpose of this attack, the target's tail is a natural weapon with a reach of 5 feet. This spell has no effect on creatures lacking a prehensile tail. If the target already has an extra attack from &lt;i&gt;haste&lt;/i&gt; or a similar effect, this spell only allows the tail to make dirty trick and steal combat maneuvers, but does not grant an extra attack.&lt;/p&gt;</t>
  </si>
  <si>
    <t>&lt;link rel="stylesheet"href="PF.css"&gt;&lt;div class="heading"&gt;&lt;p class="alignleft"&gt;Prehensile Pilfer&lt;/p&gt;&lt;div style="clear: both;"&gt;&lt;/div&gt;&lt;/div&gt;&lt;div&gt;&lt;h5&gt;&lt;b&gt;School &lt;/b&gt;transmutation; &lt;b&gt;Level &lt;/b&gt;alchemist 3, bard 3, magus 3, sorcerer/wizard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round/level (D)&lt;/h5&gt;&lt;h5&gt;&lt;b&gt;Saving Throw &lt;/b&gt;Fortitude negates (harmless); &lt;b&gt;Spell Resistance &lt;/b&gt;yes (harmless)&lt;/h5&gt;&lt;/div&gt;&lt;hr/&gt;&lt;div&gt;&lt;h5&gt;&lt;b&gt;DESCRIPTION&lt;/b&gt;&lt;/h5&gt;&lt;/div&gt;&lt;hr/&gt;&lt;div&gt;&lt;h4&gt;&lt;p&gt;The target's tail moves and acts more quickly, almost with a mind of its own. When making a full-attack action, the target may use its tail to make a dirty trick or steal combat maneuver as a swift action. For the purpose of this attack, the target's tail is a natural weapon with a reach of 5 feet. This spell has no effect on creatures lacking a prehensile tail. If the target already has an extra attack from &lt;i&gt;haste&lt;/i&gt; or a similar effect, this spell only allows the tail to make dirty trick and steal combat maneuvers, but does not grant an extra attack.&lt;/p&gt;&lt;/h4&gt;&lt;/div&gt;</t>
  </si>
  <si>
    <t>Squeeze</t>
  </si>
  <si>
    <t>The target becomes flexible regardless of its actual size and mass. It can move through areas at least half its size with no penalty for squeezing. It can move through a space at least one-quarter its width using the penalties for squeezing through a space at least half its width.</t>
  </si>
  <si>
    <t>&lt;p&gt;The target becomes flexible regardless of its actual size and mass. It can move through areas at least half its size with no penalty for squeezing. It can move through a space at least one-quarter its width using the penalties for squeezing through a space at least half its width.&lt;/p&gt;</t>
  </si>
  <si>
    <t>&lt;link rel="stylesheet"href="PF.css"&gt;&lt;div class="heading"&gt;&lt;p class="alignleft"&gt;Squeeze&lt;/p&gt;&lt;div style="clear: both;"&gt;&lt;/div&gt;&lt;/div&gt;&lt;div&gt;&lt;h5&gt;&lt;b&gt;School &lt;/b&gt;transmutation (polymorph); &lt;b&gt;Level &lt;/b&gt;alchemist 2, sorcerer/wizard 2, witch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minute/level&lt;/h5&gt;&lt;h5&gt;&lt;b&gt;Saving Throw &lt;/b&gt;Fortitude negates (harmless); &lt;b&gt;Spell Resistance &lt;/b&gt;yes (harmless)&lt;/h5&gt;&lt;/div&gt;&lt;hr/&gt;&lt;div&gt;&lt;h5&gt;&lt;b&gt;DESCRIPTION&lt;/b&gt;&lt;/h5&gt;&lt;/div&gt;&lt;hr/&gt;&lt;div&gt;&lt;h4&gt;&lt;p&gt;The target becomes flexible regardless of its actual size and mass. It can move through areas at least half its size with no penalty for squeezing. It can move through a space at least one-quarter its width using the penalties for squeezing through a space at least half its width.&lt;/p&gt;&lt;/h4&gt;&lt;/div&gt;</t>
  </si>
  <si>
    <t>Shadow Anchor</t>
  </si>
  <si>
    <t>a shadowy shadow tether</t>
  </si>
  <si>
    <t>The target's shadow becomes a flexible tether to its current square. The creature can move up to 5 feet from that square without penalty. Moving farther than 5 feet from the tether point requires the target to make a bull rush combat maneuver check against a CMB of 10 + 1/2 your caster level + your Intelligence modifier (if a witch or wizard) or Charisma modifier (if a bard or sorcerer). The target takes a -1 penalty for every 5 feet of distance between it and its tethered square. Failing this check means the target's move is wasted and it cannot move farther away. If it fails this check by 10 or more, it is pulled 5 feet toward the tether square and is knocked prone. If it beats the check by 10 or more, the spell ends. This spell does not work on creatures that do not cast shadows or reflections. If the target uses a teleportation effect or leaves the current plane, the spell ends.</t>
  </si>
  <si>
    <t>&lt;p&gt;The target's shadow becomes a flexible tether to its current square. The creature can move up to 5 feet from that square without penalty. Moving farther than 5 feet from the tether point requires the target to make a bull rush combat maneuver check against a CMB of 10 + 1/2 your caster level + your Intelligence modifier (if a witch or wizard) or Charisma modifier (if a bard or sorcerer). The target takes a -1 penalty for every 5 feet of distance between it and its tethered square. Failing this check means the target's move is wasted and it cannot move farther away. If it fails this check by 10 or more, it is pulled 5 feet toward the tether square and is knocked prone. If it beats the check by 10 or more, the spell ends. This spell does not work on creatures that do not cast shadows or reflections. If the target uses a teleportation effect or leaves the current plane, the spell ends.&lt;/p&gt;</t>
  </si>
  <si>
    <t>&lt;link rel="stylesheet"href="PF.css"&gt;&lt;div class="heading"&gt;&lt;p class="alignleft"&gt;Shadow Anchor&lt;/p&gt;&lt;div style="clear: both;"&gt;&lt;/div&gt;&lt;/div&gt;&lt;div&gt;&lt;h5&gt;&lt;b&gt;School &lt;/b&gt;illusion (shadow) [shadow]; &lt;b&gt;Level &lt;/b&gt;bard 2, sorcerer/wizard 2, witch 2&lt;/h5&gt;&lt;/div&gt;&lt;hr/&gt;&lt;div&gt;&lt;h5&gt;&lt;b&gt;CASTING&lt;/b&gt;&lt;/h5&gt;&lt;/div&gt;&lt;hr/&gt;&lt;div&gt;&lt;h5&gt;&lt;b&gt;Casting Time &lt;/b&gt;1 standard action&lt;/h5&gt;&lt;h5&gt;&lt;b&gt;Components &lt;/b&gt;S&lt;/h5&gt;&lt;/div&gt;&lt;hr/&gt;&lt;div&gt;&lt;h5&gt;&lt;b&gt;EFFECT&lt;/b&gt;&lt;/h5&gt;&lt;/div&gt;&lt;hr/&gt;&lt;div&gt;&lt;h5&gt;&lt;b&gt;Range &lt;/b&gt;touch&lt;/h5&gt;&lt;h5&gt;&lt;b&gt;Targets &lt;/b&gt;creature touched&lt;/h5&gt;&lt;h5&gt;&lt;b&gt;Effect &lt;/b&gt;a shadowy shadow tether&lt;/h5&gt;&lt;h5&gt;&lt;b&gt;Duration &lt;/b&gt;1 round/level (D); see text&lt;/h5&gt;&lt;h5&gt;&lt;b&gt;Saving Throw &lt;/b&gt;Will negates; &lt;b&gt;Spell Resistance &lt;/b&gt;yes&lt;/h5&gt;&lt;/div&gt;&lt;hr/&gt;&lt;div&gt;&lt;h5&gt;&lt;b&gt;DESCRIPTION&lt;/b&gt;&lt;/h5&gt;&lt;/div&gt;&lt;hr/&gt;&lt;div&gt;&lt;h4&gt;&lt;p&gt;The target's shadow becomes a flexible tether to its current square. The creature can move up to 5 feet from that square without penalty. Moving farther than 5 feet from the tether point requires the target to make a bull rush combat maneuver check against a CMB of 10 + 1/2 your caster level + your Intelligence modifier (if a witch or wizard) or Charisma modifier (if a bard or sorcerer). The target takes a -1 penalty for every 5 feet of distance between it and its tethered square. Failing this check means the target's move is wasted and it cannot move farther away. If it fails this check by 10 or more, it is pulled 5 feet toward the tether square and is knocked prone. If it beats the check by 10 or more, the spell ends. This spell does not work on creatures that do not cast shadows or reflections. If the target uses a teleportation effect or leaves the current plane, the spell ends.&lt;/p&gt;&lt;/h4&gt;&lt;h5&gt;&lt;b&gt;Mythic: &lt;/b&gt;Add your tier to the CMD of the shadow tether. A creature attempting to escape the shadow tether using planar travel or teleportation must succeed at a Will saving throw or be shunted to the Plane of Shadow instead of its intended destination, as if it had cast shadow walk (if the target could not reach the Shadow Plane from its current location using shadow walk, this aspect of the spell has no effect).&lt;/h5&gt;&lt;/div&gt;</t>
  </si>
  <si>
    <t>Add your tier to the CMD of the shadow tether. A creature attempting to escape the shadow tether using planar travel or teleportation must succeed at a Will saving throw or be shunted to the Plane of Shadow instead of its intended destination, as if it had cast shadow walk (if the target could not reach the Shadow Plane from its current location using shadow walk, this aspect of the spell has no effect).</t>
  </si>
  <si>
    <t>False Alibi</t>
  </si>
  <si>
    <t>bard 3, cleric 3/oracle 3, inquisitor 3</t>
  </si>
  <si>
    <t>V, S, M (100 gp of emerald dust)</t>
  </si>
  <si>
    <t>This spell functions similar to modify memory, except you can modify the target's memory only in a specific way. In response to a triggering condition you determine, up to the last 5 minutes of the target's memory are eliminated and replaced with a memory of your choosing (or no memory at all). For example, you could cast this on an assassin, set it to trigger when he completes his kill, and replace his memory of the murder with the memory of him discovering the body and picking up the murder weapon. You can cast this spell multiple times on the same target, even with the same trigger, affecting different memories. A single casting of false alibi affects a creature only until the specified condition has been triggered; once a condition has been triggered and the target's memory altered, that condition no longer triggers this spell unless the victim is subject to another casting of false alibi that specifies the same trigger.</t>
  </si>
  <si>
    <t>&lt;p&gt;This spell functions similar to &lt;i&gt;modify memory&lt;/i&gt;, except you can modify the target's memory only in a specific way. In response to a triggering condition you determine, up to the last 5 minutes of the target's memory are eliminated and replaced with a memory of your choosing (or no memory at all). For example, you could cast this on an assassin, set it to trigger when he completes his kill, and replace his memory of the murder with the memory of him discovering the body and picking up the murder weapon. You can cast this spell multiple times on the same target, even with the same trigger, affecting different memories. A single casting of &lt;i&gt;false alibi&lt;/i&gt; affects a creature only until the specified condition has been triggered; once a condition has been triggered and the target's memory altered, that condition no longer triggers this spell unless the victim is subject to another casting of &lt;i&gt;false alibi&lt;/i&gt; that specifies the same trigger.&lt;/p&gt;</t>
  </si>
  <si>
    <t>AP 59</t>
  </si>
  <si>
    <t>&lt;link rel="stylesheet"href="PF.css"&gt;&lt;div class="heading"&gt;&lt;p class="alignleft"&gt;False Alibi&lt;/p&gt;&lt;div style="clear: both;"&gt;&lt;/div&gt;&lt;/div&gt;&lt;div&gt;&lt;h5&gt;&lt;b&gt;School &lt;/b&gt;enchantment (compulsion) [mind-affecting]; &lt;b&gt;Level &lt;/b&gt;bard 3, cleric 3/oracle 3, inquisitor 3 (Norgorber)&lt;/h5&gt;&lt;/div&gt;&lt;hr/&gt;&lt;div&gt;&lt;h5&gt;&lt;b&gt;CASTING&lt;/b&gt;&lt;/h5&gt;&lt;/div&gt;&lt;hr/&gt;&lt;div&gt;&lt;h5&gt;&lt;b&gt;Casting Time &lt;/b&gt;1 round&lt;/h5&gt;&lt;h5&gt;&lt;b&gt;Components &lt;/b&gt;V, S, M (100 gp of emerald dust)&lt;/h5&gt;&lt;/div&gt;&lt;hr/&gt;&lt;div&gt;&lt;h5&gt;&lt;b&gt;EFFECT&lt;/b&gt;&lt;/h5&gt;&lt;/div&gt;&lt;hr/&gt;&lt;div&gt;&lt;h5&gt;&lt;b&gt;Range &lt;/b&gt;close (25 ft. + 5 ft./2 levels)&lt;/h5&gt;&lt;h5&gt;&lt;b&gt;Targets &lt;/b&gt;one living creature&lt;/h5&gt;&lt;h5&gt;&lt;b&gt;Duration &lt;/b&gt;permanent; see text&lt;/h5&gt;&lt;h5&gt;&lt;b&gt;Saving Throw &lt;/b&gt;Will negates; &lt;b&gt;Spell Resistance &lt;/b&gt;yes&lt;/h5&gt;&lt;/div&gt;&lt;hr/&gt;&lt;div&gt;&lt;h5&gt;&lt;b&gt;DESCRIPTION&lt;/b&gt;&lt;/h5&gt;&lt;/div&gt;&lt;hr/&gt;&lt;div&gt;&lt;h4&gt;&lt;p&gt;This spell functions similar to &lt;i&gt;modify memory&lt;/i&gt;, except you can modify the target's memory only in a specific way. In response to a triggering condition you determine, up to the last 5 minutes of the target's memory are eliminated and replaced with a memory of your choosing (or no memory at all). For example, you could cast this on an assassin, set it to trigger when he completes his kill, and replace his memory of the murder with the memory of him discovering the body and picking up the murder weapon. You can cast this spell multiple times on the same target, even with the same trigger, affecting different memories. A single casting of &lt;i&gt;false alibi&lt;/i&gt; affects a creature only until the specified condition has been triggered; once a condition has been triggered and the target's memory altered, that condition no longer triggers this spell unless the victim is subject to another casting of &lt;i&gt;false alibi&lt;/i&gt; that specifies the same trigger.&lt;/p&gt;&lt;/h4&gt;&lt;/div&gt;</t>
  </si>
  <si>
    <t>Blood Money</t>
  </si>
  <si>
    <t>1 material component</t>
  </si>
  <si>
    <t>You cast blood money just before casting another spell. As part of this spell's casting, you must cut one of your hands, releasing a stream of blood that causes you to take 1d6 points of damage. When you cast another spell in that same round, your blood transforms into one material component of your choice required by that second spell. Even valuable components worth more than 1 gp can be created, but creating such material components requires an additional cost of 1 point of Strength damage, plus a further point of damage for every full 500 gp of the component's value (so a component worth 500-999 gp costs a total of 2 points, 1,000-1,500 costs 3, etc.). You cannot create magic items with blood money. For example, a sorcerer with the spell stoneskin prepared could cast blood money to create the 250 gp worth of diamond dust required by that spell, taking 1d6 points of damage and 1 point of Strength damage in the process. Material components created by blood money transform back into blood at the end of the round if they have not been used as a material component. Spellcasters who do not have blood cannot cast blood money, and those who are immune to Strength damage (such as undead spellcasters) cannot use blood money to create valuable material components.</t>
  </si>
  <si>
    <t>&lt;p&gt;You cast &lt;i&gt;blood money&lt;/i&gt; just before casting another spell. As part of this spell's casting, you must cut one of your hands, releasing a stream of blood that causes you to take 1d6 points of damage. When you cast another spell in that same round, your blood transforms into one material component of your choice required by that second spell. Even valuable components worth more than 1 gp can be created, but creating such material components requires an additional cost of 1 point of Strength damage, plus a further point of damage for every full 500 gp of the component's value (so a component worth 500-999 gp costs a total of 2 points, 1,000-1,500 costs 3, etc.). You cannot create magic items with &lt;i&gt;blood money&lt;/i&gt;. For example, a sorcerer with the spell &lt;i&gt;stoneskin&lt;/i&gt; prepared could cast &lt;i&gt;blood money&lt;/i&gt; to create the 250 gp worth of diamond dust required by that spell, taking 1d6 points of damage and 1 point of Strength damage in the process. Material components created by &lt;i&gt;blood money&lt;/i&gt; transform back into blood at the end of the round if they have not been used as a material component. Spellcasters who do not have blood cannot cast &lt;i&gt;blood money&lt;/i&gt;, and those who are immune to Strength damage (such as undead spellcasters) cannot use &lt;i&gt;blood money&lt;/i&gt; to create valuable material components.&lt;/p&gt;</t>
  </si>
  <si>
    <t>RotRL-AE-Appendix</t>
  </si>
  <si>
    <t>&lt;link rel="stylesheet"href="PF.css"&gt;&lt;div class="heading"&gt;&lt;p class="alignleft"&gt;Blood Money&lt;/p&gt;&lt;div style="clear: both;"&gt;&lt;/div&gt;&lt;/div&gt;&lt;div&gt;&lt;h5&gt;&lt;b&gt;School &lt;/b&gt;transmutation; &lt;b&gt;Level &lt;/b&gt;magus 1, sorcerer/wizard 1, witch 1&lt;/h5&gt;&lt;/div&gt;&lt;hr/&gt;&lt;div&gt;&lt;h5&gt;&lt;b&gt;CASTING&lt;/b&gt;&lt;/h5&gt;&lt;/div&gt;&lt;hr/&gt;&lt;div&gt;&lt;h5&gt;&lt;b&gt;Casting Time &lt;/b&gt;1 swift action&lt;/h5&gt;&lt;h5&gt;&lt;b&gt;Components &lt;/b&gt;V, S&lt;/h5&gt;&lt;/div&gt;&lt;hr/&gt;&lt;div&gt;&lt;h5&gt;&lt;b&gt;EFFECT&lt;/b&gt;&lt;/h5&gt;&lt;/div&gt;&lt;hr/&gt;&lt;div&gt;&lt;h5&gt;&lt;b&gt;Range &lt;/b&gt;0 ft.&lt;/h5&gt;&lt;h5&gt;&lt;b&gt;Effect &lt;/b&gt;1 material component&lt;/h5&gt;&lt;h5&gt;&lt;b&gt;Duration &lt;/b&gt;Instantaneous&lt;/h5&gt;&lt;/div&gt;&lt;hr/&gt;&lt;div&gt;&lt;h5&gt;&lt;b&gt;DESCRIPTION&lt;/b&gt;&lt;/h5&gt;&lt;/div&gt;&lt;hr/&gt;&lt;div&gt;&lt;h4&gt;&lt;p&gt;You cast &lt;i&gt;blood money&lt;/i&gt; just before casting another spell. As part of this spell's casting, you must cut one of your hands, releasing a stream of blood that causes you to take 1d6 points of damage. When you cast another spell in that same round, your blood transforms into one material component of your choice required by that second spell. Even valuable components worth more than 1 gp can be created, but creating such material components requires an additional cost of 1 point of Strength damage, plus a further point of damage for every full 500 gp of the component's value (so a component worth 500-999 gp costs a total of 2 points, 1,000-1,500 costs 3, etc.). You cannot create magic items with &lt;i&gt;blood money&lt;/i&gt;. For example, a sorcerer with the spell &lt;i&gt;stoneskin&lt;/i&gt; prepared could cast &lt;i&gt;blood money&lt;/i&gt; to create the 250 gp worth of diamond dust required by that spell, taking 1d6 points of damage and 1 point of Strength damage in the process. Material components created by &lt;i&gt;blood money&lt;/i&gt; transform back into blood at the end of the round if they have not been used as a material component. Spellcasters who do not have blood cannot cast &lt;i&gt;blood money&lt;/i&gt;, and those who are immune to Strength damage (such as undead spellcasters) cannot use &lt;i&gt;blood money&lt;/i&gt; to create valuable material components.&lt;/p&gt;&lt;/h4&gt;&lt;/div&gt;</t>
  </si>
  <si>
    <t>Covetous Aura</t>
  </si>
  <si>
    <t>25-ft.-radius emanation centered on you</t>
  </si>
  <si>
    <t>Anytime a harmless (so noted by a spell's saving throw description) spell of 3rd level or lower is cast within a covetous aura's area of effect, you may choose to immediately gain the benefit of that spell as if it had also targeted you. The intended target still gains the effect of the spell. You gain the benefits of this duplicated spell only if the caster is in range of the covetous aura. You are considered the caster of the additional spell effect. If the effect allows for multiple targets other than yourself, you cannot use the stolen spell effect to target other creatures-a covetous aura only aids you. Once you choose to gain the benefit of another spell, the covetous aura immediately ends. Rumors hold that this unusual spell was invented thousands of years ago by Runelord Belimarius, who was constantly jealous of other spellcasters' abilities.</t>
  </si>
  <si>
    <t>&lt;p&gt;Anytime a harmless (so noted by a spell's saving throw description) spell of 3rd level or lower is cast within a &lt;i&gt;covetous&lt;/i&gt; aura's area of effect, you may choose to immediately gain the benefit of that spell as if it had also targeted you. The intended target still gains the effect of the spell. You gain the benefits of this duplicated spell only if the caster is in range of the &lt;i&gt;covetous&lt;/i&gt; aura. You are considered the caster of the additional spell effect. If the effect allows for multiple targets other than yourself, you cannot use the stolen spell effect to target other creatures-a &lt;i&gt;covetous&lt;/i&gt; aura only aids you. Once you choose to gain the benefit of another spell, the &lt;i&gt;covetous&lt;/i&gt; aura immediately ends. Rumors hold that this unusual spell was invented thousands of years ago by Runelord Belimarius, who was constantly jealous of other spellcasters' abilities.&lt;/p&gt;</t>
  </si>
  <si>
    <t>&lt;link rel="stylesheet"href="PF.css"&gt;&lt;div class="heading"&gt;&lt;p class="alignleft"&gt;Covetous Aura&lt;/p&gt;&lt;div style="clear: both;"&gt;&lt;/div&gt;&lt;/div&gt;&lt;div&gt;&lt;h5&gt;&lt;b&gt;School &lt;/b&gt;abjuration; &lt;b&gt;Level &lt;/b&gt;bard 5, sorcerer/wizard 5&lt;/h5&gt;&lt;/div&gt;&lt;hr/&gt;&lt;div&gt;&lt;h5&gt;&lt;b&gt;CASTING&lt;/b&gt;&lt;/h5&gt;&lt;/div&gt;&lt;hr/&gt;&lt;div&gt;&lt;h5&gt;&lt;b&gt;Casting Time &lt;/b&gt;1 standard action&lt;/h5&gt;&lt;h5&gt;&lt;b&gt;Components &lt;/b&gt;V, S&lt;/h5&gt;&lt;/div&gt;&lt;hr/&gt;&lt;div&gt;&lt;h5&gt;&lt;b&gt;EFFECT&lt;/b&gt;&lt;/h5&gt;&lt;/div&gt;&lt;hr/&gt;&lt;div&gt;&lt;h5&gt;&lt;b&gt;Range &lt;/b&gt;personal&lt;/h5&gt;&lt;h5&gt;&lt;b&gt;Area &lt;/b&gt;25-ft.-radius emanation centered on you&lt;/h5&gt;&lt;h5&gt;&lt;b&gt;Duration &lt;/b&gt;1 round/level or until discharged&lt;/h5&gt;&lt;h5&gt;&lt;b&gt;Saving Throw &lt;/b&gt;none; &lt;b&gt;Spell Resistance &lt;/b&gt;no&lt;/h5&gt;&lt;/div&gt;&lt;hr/&gt;&lt;div&gt;&lt;h5&gt;&lt;b&gt;DESCRIPTION&lt;/b&gt;&lt;/h5&gt;&lt;/div&gt;&lt;hr/&gt;&lt;div&gt;&lt;h4&gt;&lt;p&gt;Anytime a harmless (so noted by a spell's saving throw description) spell of 3rd level or lower is cast within a &lt;i&gt;covetous&lt;/i&gt; aura's area of effect, you may choose to immediately gain the benefit of that spell as if it had also targeted you. The intended target still gains the effect of the spell. You gain the benefits of this duplicated spell only if the caster is in range of the &lt;i&gt;covetous&lt;/i&gt; aura. You are considered the caster of the additional spell effect. If the effect allows for multiple targets other than yourself, you cannot use the stolen spell effect to target other creatures-a &lt;i&gt;covetous&lt;/i&gt; aura only aids you. Once you choose to gain the benefit of another spell, the &lt;i&gt;covetous&lt;/i&gt; aura immediately ends. Rumors hold that this unusual spell was invented thousands of years ago by Runelord Belimarius, who was constantly jealous of other spellcasters' abilities.&lt;/p&gt;&lt;/h4&gt;&lt;h5&gt;&lt;b&gt;Mythic: &lt;/b&gt;The duration of the covetous aura increases to 1 minute perlevel or until discharged. You may gain the benefits of spells of5th level or lower cast within the aura's area of effect. You cangain the effects of two separate spells, after which the mythiccovetous aura ends.&lt;/h5&gt;&lt;h5&gt;&lt;b&gt;Augmented (6th)&lt;/b&gt;: If you expend two uses of mythicpower, the duration increases to 10 minutes per level or untildischarged. You may gain the benefits of spells of 7th level orlower cast within the aura's area of effect. When you gain thebenefit of a spell, the original spell is immediately targeted witha greater dispel magic spell at your caster level. If the dispelcheck succeeds, the spell ends for any of the original recipientsin the area of your covetous aura.&lt;/h5&gt;&lt;/div&gt;</t>
  </si>
  <si>
    <t>The duration of the covetous aura increases to 1 minute perlevel or until discharged. You may gain the benefits of spells of5th level or lower cast within the aura's area of effect. You cangain the effects of two separate spells, after which the mythiccovetous aura ends.</t>
  </si>
  <si>
    <t>Augmented (6th): If you expend two uses of mythicpower, the duration increases to 10 minutes per level or untildischarged. You may gain the benefits of spells of 7th level orlower cast within the aura's area of effect. When you gain thebenefit of a spell, the original spell is immediately targeted witha greater dispel magic spell at your caster level. If the dispelcheck succeeds, the spell ends for any of the original recipientsin the area of your covetous aura.</t>
  </si>
  <si>
    <t>Deathwine</t>
  </si>
  <si>
    <t>alchemist 2, cleric 2/oracle 2, sorcerer/wizard 3, witch 3</t>
  </si>
  <si>
    <t>1 potion touched/level</t>
  </si>
  <si>
    <t>none (object)</t>
  </si>
  <si>
    <t>no (object)</t>
  </si>
  <si>
    <t>This spell allows you to turn a potion into a temporary pool of necromantic energy. Only a potion created using a conjuration (healing) spell can be affected by this spell. An affected potion turns dark red and reveals a necromantic aura if detect magic is cast on it while it remains under this spell's effects. When you drink a potion affected by this spell, you do not gain the potion's normal effect. Instead, the first necromancy spell you cast within the next minute is cast at a higher caster level. The bonus to caster level is equal to the spell level of the spell used to create the potion that deathwine affects. For example, a 5th-level wizard who drinks deathwine made from a potion of cure serious wounds would cast his next necromancy spell as an 8th-level caster, as cure serious wounds i s a 3 rd-level spell. In addition, any undead creature (or other creature healed by negative energy) that drinks a potion affected by deathwine is healed of 1d8 points of damage. Any potion not imbibed before this spell's duration expires is destroyed at the end of the deathwine's duration.</t>
  </si>
  <si>
    <t>&lt;p&gt;This spell allows you to turn a potion into a temporary pool of necromantic energy. Only a potion created using a conjuration (healing) spell can be affected by this spell. An affected potion turns dark red and reveals a necromantic aura if &lt;i&gt;detect magic&lt;/i&gt; is cast on it while it remains under this spell's effects. When you drink a potion affected by this spell, you do not gain the potion's normal effect. Instead, the first necromancy spell you cast within the next minute is cast at a higher caster level. The bonus to caster level is equal to the spell level of the spell used to create the potion that &lt;i&gt;deathwine&lt;/i&gt; affects. For example, a 5th-level wizard who drinks &lt;i&gt;deathwine&lt;/i&gt; made from a &lt;i&gt;potion of &lt;i&gt;cure serious wounds&lt;/i&gt;&lt;/i&gt; would cast his next necromancy spell as an 8th-level caster, as &lt;i&gt;cure serious wounds&lt;/i&gt; i s a 3 rd-level spell. In addition, any undead creature (or other creature healed by negative energy) that drinks a potion affected by &lt;i&gt;deathwine&lt;/i&gt; is healed of 1d8 points of damage. Any potion not imbibed before this spell's duration expires is destroyed at the end of the &lt;i&gt;deathwine&lt;/i&gt;'s duration.&lt;/p&gt;</t>
  </si>
  <si>
    <t>&lt;link rel="stylesheet"href="PF.css"&gt;&lt;div class="heading"&gt;&lt;p class="alignleft"&gt;Deathwine&lt;/p&gt;&lt;div style="clear: both;"&gt;&lt;/div&gt;&lt;/div&gt;&lt;div&gt;&lt;h5&gt;&lt;b&gt;School &lt;/b&gt;necromancy; &lt;b&gt;Level &lt;/b&gt;alchemist 2, cleric 2/oracle 2, sorcerer/wizard 3, witch 3&lt;/h5&gt;&lt;/div&gt;&lt;hr/&gt;&lt;div&gt;&lt;h5&gt;&lt;b&gt;CASTING&lt;/b&gt;&lt;/h5&gt;&lt;/div&gt;&lt;hr/&gt;&lt;div&gt;&lt;h5&gt;&lt;b&gt;Casting Time &lt;/b&gt;1 minute&lt;/h5&gt;&lt;h5&gt;&lt;b&gt;Components &lt;/b&gt;V, S&lt;/h5&gt;&lt;/div&gt;&lt;hr/&gt;&lt;div&gt;&lt;h5&gt;&lt;b&gt;EFFECT&lt;/b&gt;&lt;/h5&gt;&lt;/div&gt;&lt;hr/&gt;&lt;div&gt;&lt;h5&gt;&lt;b&gt;Range &lt;/b&gt;touch&lt;/h5&gt;&lt;h5&gt;&lt;b&gt;Targets &lt;/b&gt;1 potion touched/level&lt;/h5&gt;&lt;h5&gt;&lt;b&gt;Duration &lt;/b&gt;1 hour/level&lt;/h5&gt;&lt;h5&gt;&lt;b&gt;Saving Throw &lt;/b&gt;none (object); &lt;b&gt;Spell Resistance &lt;/b&gt;no (object)&lt;/h5&gt;&lt;/div&gt;&lt;hr/&gt;&lt;div&gt;&lt;h5&gt;&lt;b&gt;DESCRIPTION&lt;/b&gt;&lt;/h5&gt;&lt;/div&gt;&lt;hr/&gt;&lt;div&gt;&lt;h4&gt;&lt;p&gt;This spell allows you to turn a potion into a temporary pool of necromantic energy. Only a potion created using a conjuration (healing) spell can be affected by this spell. An affected potion turns dark red and reveals a necromantic aura if &lt;i&gt;detect magic&lt;/i&gt; is cast on it while it remains under this spell's effects. When you drink a potion affected by this spell, you do not gain the potion's normal effect. Instead, the first necromancy spell you cast within the next minute is cast at a higher caster level. The bonus to caster level is equal to the spell level of the spell used to create the potion that &lt;i&gt;deathwine&lt;/i&gt; affects. For example, a 5th-level wizard who drinks &lt;i&gt;deathwine&lt;/i&gt; made from a &lt;i&gt;potion of &lt;i&gt;cure serious wounds&lt;/i&gt;&lt;/i&gt; would cast his next necromancy spell as an 8th-level caster, as &lt;i&gt;cure serious wounds&lt;/i&gt; i s a 3 rd-level spell. In addition, any undead creature (or other creature healed by negative energy) that drinks a potion affected by &lt;i&gt;deathwine&lt;/i&gt; is healed of 1d8 points of damage. Any potion not imbibed before this spell's duration expires is destroyed at the end of the &lt;i&gt;deathwine&lt;/i&gt;'s duration.&lt;/p&gt;&lt;/h4&gt;&lt;/div&gt;</t>
  </si>
  <si>
    <t>Sign Of Wrath</t>
  </si>
  <si>
    <t>V, S, F (a gem worth 1,000 gp inscribed with the Thassilonian symbol of wrath)</t>
  </si>
  <si>
    <t>25-ft.-radius burst centered on you</t>
  </si>
  <si>
    <t>A giant, glowing symbol of wrath appears below you, forcibly repulsing all nearby creatures. All creatures within the area of effect take 1d6 points of force damage per caster level (maximum 15d6) and are subjected to a bull rush that attempts to push them directly away from you. The blast's bull rush effect has a CMB bonus equal to your caster level + your Intelligence, Wisdom, or Charisma modifier (whichever is highest). You are unaffected by both the spell's damage and its bull rush effect, and may select up to one creature per 4 caster levels to also be ignored by the spells effects.</t>
  </si>
  <si>
    <t>&lt;p&gt;A giant, glowing symbol of wrath appears below you, forcibly repulsing all nearby creatures. All creatures within the area of effect take 1d6 points of force damage per caster level (maximum 15d6) and are subjected to a bull rush that attempts to push them directly away from you. The blast's bull rush effect has a CMB bonus equal to your caster level + your Intelligence, Wisdom, or Charisma modifier (whichever is highest). You are unaffected by both the spell's damage and its bull rush effect, and may select up to one creature per 4 caster levels to also be ignored by the spells effects.&lt;/p&gt;</t>
  </si>
  <si>
    <t>&lt;link rel="stylesheet"href="PF.css"&gt;&lt;div class="heading"&gt;&lt;p class="alignleft"&gt;Sign Of Wrath&lt;/p&gt;&lt;div style="clear: both;"&gt;&lt;/div&gt;&lt;/div&gt;&lt;div&gt;&lt;h5&gt;&lt;b&gt;School &lt;/b&gt;evocation [force]; &lt;b&gt;Level &lt;/b&gt;cleric 6/oracle 6, sorcerer/wizard 6&lt;/h5&gt;&lt;/div&gt;&lt;hr/&gt;&lt;div&gt;&lt;h5&gt;&lt;b&gt;CASTING&lt;/b&gt;&lt;/h5&gt;&lt;/div&gt;&lt;hr/&gt;&lt;div&gt;&lt;h5&gt;&lt;b&gt;Casting Time &lt;/b&gt;1 standard action&lt;/h5&gt;&lt;h5&gt;&lt;b&gt;Components &lt;/b&gt;V, S, F (a gem worth 1,000 gp inscribed with the Thassilonian symbol of wrath)&lt;/h5&gt;&lt;/div&gt;&lt;hr/&gt;&lt;div&gt;&lt;h5&gt;&lt;b&gt;EFFECT&lt;/b&gt;&lt;/h5&gt;&lt;/div&gt;&lt;hr/&gt;&lt;div&gt;&lt;h5&gt;&lt;b&gt;Range &lt;/b&gt;personal&lt;/h5&gt;&lt;h5&gt;&lt;b&gt;Area &lt;/b&gt;25-ft.-radius burst centered on you&lt;/h5&gt;&lt;h5&gt;&lt;b&gt;Duration &lt;/b&gt;instantaneous&lt;/h5&gt;&lt;h5&gt;&lt;b&gt;Saving Throw &lt;/b&gt;Reflex half; &lt;b&gt;Spell Resistance &lt;/b&gt;yes&lt;/h5&gt;&lt;/div&gt;&lt;hr/&gt;&lt;div&gt;&lt;h5&gt;&lt;b&gt;DESCRIPTION&lt;/b&gt;&lt;/h5&gt;&lt;/div&gt;&lt;hr/&gt;&lt;div&gt;&lt;h4&gt;&lt;p&gt;A giant, glowing symbol of wrath appears below you, forcibly repulsing all nearby creatures. All creatures within the area of effect take 1d6 points of force damage per caster level (maximum 15d6) and are subjected to a bull rush that attempts to push them directly away from you. The blast's bull rush effect has a CMB bonus equal to your caster level + your Intelligence, Wisdom, or Charisma modifier (whichever is highest). You are unaffected by both the spell's damage and its bull rush effect, and may select up to one creature per 4 caster levels to also be ignored by the spells effects.&lt;/p&gt;&lt;/h4&gt;&lt;/div&gt;</t>
  </si>
  <si>
    <t>Swipe</t>
  </si>
  <si>
    <t>one held item</t>
  </si>
  <si>
    <t>instant</t>
  </si>
  <si>
    <t>By flicking a finger in the appropriate direction and proclaiming ownership, you attempt to magically wrest an item from the target's grip and summon it to your hand. To claim an object held by an opponent, you must make a CMB check-this check has a bonus equal to your caster level + your Intelligence, Wisdom, or Charisma modifier (whichever is highest). If you fail this check, the target retains the item and the spell fails. If you succeed, the item teleports into one of your free hands or comes to rest at your feet.</t>
  </si>
  <si>
    <t>&lt;p&gt;By flicking a finger in the appropriate direction and proclaiming ownership, you attempt to magically wrest an item from the target's grip and summon it to your hand. To claim an object held by an opponent, you must make a CMB check-this check has a bonus equal to your caster level + your Intelligence, Wisdom, or Charisma modifier (whichever is highest). If you fail this check, the target retains the item and the spell fails. If you succeed, the item teleports into one of your free hands or comes to rest at your feet.&lt;/p&gt;</t>
  </si>
  <si>
    <t>&lt;link rel="stylesheet"href="PF.css"&gt;&lt;div class="heading"&gt;&lt;p class="alignleft"&gt;Swipe&lt;/p&gt;&lt;div style="clear: both;"&gt;&lt;/div&gt;&lt;/div&gt;&lt;div&gt;&lt;h5&gt;&lt;b&gt;School &lt;/b&gt;conjuration (teleportation); &lt;b&gt;Level &lt;/b&gt;bard 2, sorcerer/wizard 3&lt;/h5&gt;&lt;/div&gt;&lt;hr/&gt;&lt;div&gt;&lt;h5&gt;&lt;b&gt;CASTING&lt;/b&gt;&lt;/h5&gt;&lt;/div&gt;&lt;hr/&gt;&lt;div&gt;&lt;h5&gt;&lt;b&gt;Casting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held item&lt;/h5&gt;&lt;h5&gt;&lt;b&gt;Duration &lt;/b&gt;instant&lt;/h5&gt;&lt;h5&gt;&lt;b&gt;Saving Throw &lt;/b&gt;none; &lt;b&gt;Spell Resistance &lt;/b&gt;no&lt;/h5&gt;&lt;/div&gt;&lt;hr/&gt;&lt;div&gt;&lt;h5&gt;&lt;b&gt;DESCRIPTION&lt;/b&gt;&lt;/h5&gt;&lt;/div&gt;&lt;hr/&gt;&lt;div&gt;&lt;h4&gt;&lt;p&gt;By flicking a finger in the appropriate direction and proclaiming ownership, you attempt to magically wrest an item from the target's grip and summon it to your hand. To claim an object held by an opponent, you must make a CMB check-this check has a bonus equal to your caster level + your Intelligence, Wisdom, or Charisma modifier (whichever is highest). If you fail this check, the target retains the item and the spell fails. If you succeed, the item teleports into one of your free hands or comes to rest at your feet.&lt;/p&gt;&lt;/h4&gt;&lt;/div&gt;</t>
  </si>
  <si>
    <t>Unconscious Agenda</t>
  </si>
  <si>
    <t>bard 6, inquisitor 6, sorcerer/wizard 6, witch 6</t>
  </si>
  <si>
    <t>Close (25 ft. + 5 ft./2 levels)</t>
  </si>
  <si>
    <t>One humanoid</t>
  </si>
  <si>
    <t>One week/level or until discharged (D)</t>
  </si>
  <si>
    <t>This spell plants a subconscious directive in the target's mind that forces him to act as you dictate when specific circumstances arise. The target humanoid can be either conscious or unconscious, but must understand your language. Upon casting this spell, you must state a course of action you wish the target to take. This course of action must be described in 20 words or fewer. You must then state the condition under which you wish the target to take this action, also describing it in 20 or fewer words. Actions or conditions more elaborate than 20 words cause the spell to fail. Unconscious agenda cannot compel a target to kill himself, though it can compel him to perform exceedingly dangerous acts, face impossible odds, or undertake almost any other course of activity. You cannot issue new commands to the target after the spell is cast. If the target fails his save against this spell, he is not compelled to act in any way until the specified trigger circumstances are encountered. He also has no knowledge of the details of the spell affecting him, and has no memory of the last 10 minutes (although he might come to notice the missing time or the presence of the caster). He can function as he wishes until the events you detailed as the condition take place. Upon experiencing the prerequisite condition, the target is forced to perform the course of action you described as per the spell dominate person. (If the compelled action is against the victim's nature, he immediately gains a new saving throw at a +5 bonus against the spell to end its effects.) For the next hour, the target acts as you dictated, doing all he can to fulfill your command. If, at the end of the hour, the target still has not completed your command, the target is released from the enchantment and the spell ends. Once the course of action is completed, the spell ends. The target has full memory of acts performed during this hour. It's difficult to detect an unconscious agenda before the spell is triggered. Casting detect magic on one affected by it only reveals an aura of enchantment if the caster of detect magic has a higher caster level then the caster of unconscious agenda. Even if the spell is detected, it can only be removed by break enchantment, limited wish, remove curse, miracle, or wish. Dispel magic does not affect unconscious agenda.</t>
  </si>
  <si>
    <t>&lt;p&gt;This spell plants a subconscious directive in the target's mind that forces him to act as you dictate when specific circumstances arise. The target humanoid can be either conscious or unconscious, but must understand your language. Upon casting this spell, you must state a course of action you &lt;i&gt;wish&lt;/i&gt; the target to take. This course of action must be described in 20 words or fewer. You must then state the condition under which you &lt;i&gt;wish&lt;/i&gt; the target to take this action, also describing it in 20 or fewer words. Actions or conditions more elaborate than 20 words cause the spell to fail. &lt;i&gt;Unconscious agenda&lt;/i&gt; cannot compel a target to kill himself, though it can compel him to perform exceedingly dangerous acts, face impossible odds, or undertake almost any other course of activity. You cannot issue new commands to the target after the spell is cast. If the target fails his save against this spell, he is not compelled to act in any way until the specified trigger circumstances are encountered. He also has no knowledge of the details of the spell affecting him, and has no memory of the last 10 minutes (although he might come to notice the missing time or the presence of the caster). He can function as he &lt;i&gt;wish&lt;/i&gt;es until the events you detailed as the condition take place. Upon experiencing the prerequisite condition, the target is forced to perform the course of action you described as per the spell &lt;i&gt;dominate person&lt;/i&gt;. (If the compelled action is against the victim's nature, he immediately gains a new saving throw at a +5 bonus against the spell to end its effects.) For the next hour, the target acts as you dictated, doing all he can to fulfill your command. If, at the end of the hour, the target still has not completed your command, the target is released from the enchantment and the spell ends. Once the course of action is completed, the spell ends. The target has full memory of acts performed during this hour. It's difficult to detect an &lt;i&gt;unconscious agenda&lt;/i&gt; before the spell is triggered. Casting &lt;i&gt;detect magic&lt;/i&gt; on one affected by it only reveals an aura of enchantment if the caster of &lt;i&gt;detect magic&lt;/i&gt; has a higher caster level then the caster of &lt;i&gt;unconscious agenda&lt;/i&gt;. Even if the spell is detected, it can only be removed by &lt;i&gt;break enchantment&lt;/i&gt;, &lt;i&gt;limited &lt;i&gt;wish&lt;/i&gt;&lt;/i&gt;, &lt;i&gt;remove curse&lt;/i&gt;, &lt;i&gt;miracle&lt;/i&gt;, or &lt;i&gt;wish&lt;/i&gt;. &lt;i&gt;Dispel magic&lt;/i&gt; does not affect &lt;i&gt;unconscious agenda&lt;/i&gt;.&lt;/p&gt;</t>
  </si>
  <si>
    <t>&lt;link rel="stylesheet"href="PF.css"&gt;&lt;div class="heading"&gt;&lt;p class="alignleft"&gt;Unconscious Agenda&lt;/p&gt;&lt;div style="clear: both;"&gt;&lt;/div&gt;&lt;/div&gt;&lt;div&gt;&lt;h5&gt;&lt;b&gt;School &lt;/b&gt;enchantment (compulsion) [language-dependent, mind-affecting]; &lt;b&gt;Level &lt;/b&gt;bard 6, inquisitor 6, sorcerer/wizard 6, witch 6&lt;/h5&gt;&lt;/div&gt;&lt;hr/&gt;&lt;div&gt;&lt;h5&gt;&lt;b&gt;CASTING&lt;/b&gt;&lt;/h5&gt;&lt;/div&gt;&lt;hr/&gt;&lt;div&gt;&lt;h5&gt;&lt;b&gt;Casting Time &lt;/b&gt;10 minutes&lt;/h5&gt;&lt;h5&gt;&lt;b&gt;Components &lt;/b&gt;V&lt;/h5&gt;&lt;/div&gt;&lt;hr/&gt;&lt;div&gt;&lt;h5&gt;&lt;b&gt;EFFECT&lt;/b&gt;&lt;/h5&gt;&lt;/div&gt;&lt;hr/&gt;&lt;div&gt;&lt;h5&gt;&lt;b&gt;Range &lt;/b&gt;Close (25 ft. + 5 ft./2 levels)&lt;/h5&gt;&lt;h5&gt;&lt;b&gt;Targets &lt;/b&gt;One humanoid&lt;/h5&gt;&lt;h5&gt;&lt;b&gt;Duration &lt;/b&gt;One week/level or until discharged (D)&lt;/h5&gt;&lt;h5&gt;&lt;b&gt;Saving Throw &lt;/b&gt;Will negates; &lt;b&gt;Spell Resistance &lt;/b&gt;yes&lt;/h5&gt;&lt;/div&gt;&lt;hr/&gt;&lt;div&gt;&lt;h5&gt;&lt;b&gt;DESCRIPTION&lt;/b&gt;&lt;/h5&gt;&lt;/div&gt;&lt;hr/&gt;&lt;div&gt;&lt;h4&gt;&lt;p&gt;This spell plants a subconscious directive in the target's mind that forces him to act as you dictate when specific circumstances arise. The target humanoid can be either conscious or unconscious, but must understand your language. Upon casting this spell, you must state a course of action you &lt;i&gt;wish&lt;/i&gt; the target to take. This course of action must be described in 20 words or fewer. You must then state the condition under which you &lt;i&gt;wish&lt;/i&gt; the target to take this action, also describing it in 20 or fewer words. Actions or conditions more elaborate than 20 words cause the spell to fail. &lt;i&gt;Unconscious agenda&lt;/i&gt; cannot compel a target to kill himself, though it can compel him to perform exceedingly dangerous acts, face impossible odds, or undertake almost any other course of activity. You cannot issue new commands to the target after the spell is cast. If the target fails his save against this spell, he is not compelled to act in any way until the specified trigger circumstances are encountered. He also has no knowledge of the details of the spell affecting him, and has no memory of the last 10 minutes (although he might come to notice the missing time or the presence of the caster). He can function as he &lt;i&gt;wish&lt;/i&gt;es until the events you detailed as the condition take place. Upon experiencing the prerequisite condition, the target is forced to perform the course of action you described as per the spell &lt;i&gt;dominate person&lt;/i&gt;. (If the compelled action is against the victim's nature, he immediately gains a new saving throw at a +5 bonus against the spell to end its effects.) For the next hour, the target acts as you dictated, doing all he can to fulfill your command. If, at the end of the hour, the target still has not completed your command, the target is released from the enchantment and the spell ends. Once the course of action is completed, the spell ends. The target has full memory of acts performed during this hour. It's difficult to detect an &lt;i&gt;unconscious agenda&lt;/i&gt; before the spell is triggered. Casting &lt;i&gt;detect magic&lt;/i&gt; on one affected by it only reveals an aura of enchantment if the caster of &lt;i&gt;detect magic&lt;/i&gt; has a higher caster level then the caster of &lt;i&gt;unconscious agenda&lt;/i&gt;. Even if the spell is detected, it can only be removed by &lt;i&gt;break enchantment&lt;/i&gt;, &lt;i&gt;limited &lt;i&gt;wish&lt;/i&gt;&lt;/i&gt;, &lt;i&gt;remove curse&lt;/i&gt;, &lt;i&gt;miracle&lt;/i&gt;, or &lt;i&gt;wish&lt;/i&gt;. &lt;i&gt;Dispel magic&lt;/i&gt; does not affect &lt;i&gt;unconscious agenda&lt;/i&gt;.&lt;/p&gt;&lt;/h4&gt;&lt;/div&gt;</t>
  </si>
  <si>
    <t>Firebelly</t>
  </si>
  <si>
    <t>cleric 1/oracle 1, druid 1, paladin 1</t>
  </si>
  <si>
    <t>A magical fire warms your belly, granting fire resistance 5 and making your gut hot to the touch (but not enough to damage you or anything else). As a standard action, you can breathe a 15-foot cone of flame that deals 1d4 points of fire damage (Reflex half, SR applies). Each time you use this breath weapon, reduce the remaining duration of the spell by 1 minute. The fire resistance of this spell otherwise acts like resist energy, interacting with other spells as that spell does.</t>
  </si>
  <si>
    <t>&lt;p&gt;&lt;i&gt;A magical fire warms your belly&lt;/i&gt;, &lt;i&gt;granting fire resistance 5 and making your gut hot to the touch (but not enough to damage you or anything else)&lt;/i&gt;. &lt;i&gt;As a standard action&lt;/i&gt;, &lt;i&gt;you can breathe a 15-foot cone of flame that deals 1d4 points of fire damage (Reflex half&lt;/i&gt;, &lt;i&gt;S&lt;/i&gt;R applies). &lt;i&gt;Each time you use this breath weapon&lt;/i&gt;, &lt;i&gt;reduce the remaining duration of the spell by 1 minute&lt;/i&gt;. &lt;i&gt;The fire resistance of this spell otherwise acts like resist energy&lt;/i&gt;, interacting with other spells as that spell does.&lt;/p&gt;</t>
  </si>
  <si>
    <t>AP 62</t>
  </si>
  <si>
    <t>&lt;link rel="stylesheet"href="PF.css"&gt;&lt;div class="heading"&gt;&lt;p class="alignleft"&gt;Firebelly&lt;/p&gt;&lt;div style="clear: both;"&gt;&lt;/div&gt;&lt;/div&gt;&lt;div&gt;&lt;h5&gt;&lt;b&gt;School &lt;/b&gt;abjuration; &lt;b&gt;Level &lt;/b&gt;cleric 1/oracle 1, druid 1, paladin 1 (Torag)&lt;/h5&gt;&lt;/div&gt;&lt;hr/&gt;&lt;div&gt;&lt;h5&gt;&lt;b&gt;CASTING&lt;/b&gt;&lt;/h5&gt;&lt;/div&gt;&lt;hr/&gt;&lt;div&gt;&lt;h5&gt;&lt;b&gt;Casting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&lt;/b&gt;you&lt;/h5&gt;&lt;h5&gt;&lt;b&gt;Duration &lt;/b&gt;10 minutes/level&lt;/h5&gt;&lt;h5&gt;&lt;b&gt;Saving Throw &lt;/b&gt;Reflex half, see text; &lt;b&gt;Spell Resistance &lt;/b&gt;yes, see text&lt;/h5&gt;&lt;/div&gt;&lt;hr/&gt;&lt;div&gt;&lt;h5&gt;&lt;b&gt;DESCRIPTION&lt;/b&gt;&lt;/h5&gt;&lt;/div&gt;&lt;hr/&gt;&lt;div&gt;&lt;h4&gt;&lt;p&gt;&lt;i&gt;A magical fire warms your belly&lt;/i&gt;, &lt;i&gt;granting fire resistance 5 and making your gut hot to the touch (but not enough to damage you or anything else)&lt;/i&gt;. &lt;i&gt;As a standard action&lt;/i&gt;, &lt;i&gt;you can breathe a 15-foot cone of flame that deals 1d4 points of fire damage (Reflex half&lt;/i&gt;, &lt;i&gt;S&lt;/i&gt;R applies). &lt;i&gt;Each time you use this breath weapon&lt;/i&gt;, &lt;i&gt;reduce the remaining duration of the spell by 1 minute&lt;/i&gt;. &lt;i&gt;The fire resistance of this spell otherwise acts like resist energy&lt;/i&gt;, interacting with other spells as that spell does.&lt;/p&gt;&lt;/h4&gt;&lt;/div&gt;</t>
  </si>
  <si>
    <t>Ironbloom Sprouts</t>
  </si>
  <si>
    <t>V, S, DF, M (1 gp worth of powdered iron)</t>
  </si>
  <si>
    <t>2d4 fresh mushrooms touched</t>
  </si>
  <si>
    <t>This spell functions like goodberry, except as noted above and that it transforms 2d4 mushrooms into magical ironbloom mushrooms rather than transforming common berries into magical berries. Alternatively, you may create twice as many mushrooms, but each only has the nourishment ability of a goodberry and not the healing properties.</t>
  </si>
  <si>
    <t>&lt;p&gt;This spell functions like &lt;i&gt;goodberry&lt;/i&gt;, except as noted above and that it transforms 2d4 mushrooms into magical ironbloom mushrooms rather than transforming common berries into magical berries. Alternatively, you may create twice as many mushrooms, but each only has the nourishment ability of a &lt;i&gt;goodberry&lt;/i&gt; and not the healing properties.&lt;/p&gt;</t>
  </si>
  <si>
    <t>&lt;link rel="stylesheet"href="PF.css"&gt;&lt;div class="heading"&gt;&lt;p class="alignleft"&gt;Ironbloom Sprouts&lt;/p&gt;&lt;div style="clear: both;"&gt;&lt;/div&gt;&lt;/div&gt;&lt;div&gt;&lt;h5&gt;&lt;b&gt;School &lt;/b&gt;transmutation; &lt;b&gt;Level &lt;/b&gt;cleric 1/oracle 1, druid 1 (Torag)&lt;/h5&gt;&lt;/div&gt;&lt;hr/&gt;&lt;div&gt;&lt;h5&gt;&lt;b&gt;CASTING&lt;/b&gt;&lt;/h5&gt;&lt;/div&gt;&lt;hr/&gt;&lt;div&gt;&lt;h5&gt;&lt;b&gt;Casting Time &lt;/b&gt;1 standard action&lt;/h5&gt;&lt;h5&gt;&lt;b&gt;Components &lt;/b&gt;V, S, DF, M (1 gp worth of powdered iron)&lt;/h5&gt;&lt;/div&gt;&lt;hr/&gt;&lt;div&gt;&lt;h5&gt;&lt;b&gt;EFFECT&lt;/b&gt;&lt;/h5&gt;&lt;/div&gt;&lt;hr/&gt;&lt;div&gt;&lt;h5&gt;&lt;b&gt;Range &lt;/b&gt;touch&lt;/h5&gt;&lt;h5&gt;&lt;b&gt;Targets &lt;/b&gt;2d4 fresh mushrooms touched&lt;/h5&gt;&lt;h5&gt;&lt;b&gt;Duration &lt;/b&gt;1 day/level&lt;/h5&gt;&lt;h5&gt;&lt;b&gt;Saving Throw &lt;/b&gt;none; &lt;b&gt;Spell Resistance &lt;/b&gt;yes&lt;/h5&gt;&lt;/div&gt;&lt;hr/&gt;&lt;div&gt;&lt;h5&gt;&lt;b&gt;DESCRIPTION&lt;/b&gt;&lt;/h5&gt;&lt;/div&gt;&lt;hr/&gt;&lt;div&gt;&lt;h4&gt;&lt;p&gt;This spell functions like &lt;i&gt;goodberry&lt;/i&gt;, except as noted above and that it transforms 2d4 mushrooms into magical ironbloom mushrooms rather than transforming common berries into magical berries. Alternatively, you may create twice as many mushrooms, but each only has the nourishment ability of a &lt;i&gt;goodberry&lt;/i&gt; and not the healing properties.&lt;/p&gt;&lt;/h4&gt;&lt;/div&gt;</t>
  </si>
  <si>
    <t>Bed Of Iron</t>
  </si>
  <si>
    <t>inquisitor 1, magus 1, paladin 1, sorcerer/wizard 1</t>
  </si>
  <si>
    <t>V, S, M (a feather or swatch of soft fabric)</t>
  </si>
  <si>
    <t>This spell makes even the clunkiest armor feel soft as silk to the wearer. The subjects of this spell are able to sleep comfortably in medium or heavy armor without suffering from fatigue the following day.</t>
  </si>
  <si>
    <t>&lt;p&gt;This spell makes even the clunkiest armor feel soft as silk to the wearer. The subjects of this spell are able to sleep comfortably in medium or heavy armor without suffering from fatigue the following day.&lt;/p&gt;</t>
  </si>
  <si>
    <t>Knights Of The Inner Sea</t>
  </si>
  <si>
    <t>&lt;link rel="stylesheet"href="PF.css"&gt;&lt;div class="heading"&gt;&lt;p class="alignleft"&gt;Bed Of Iron&lt;/p&gt;&lt;div style="clear: both;"&gt;&lt;/div&gt;&lt;/div&gt;&lt;div&gt;&lt;h5&gt;&lt;b&gt;School &lt;/b&gt;necromancy; &lt;b&gt;Level &lt;/b&gt;inquisitor 1, magus 1, paladin 1, sorcerer/wizard 1&lt;/h5&gt;&lt;/div&gt;&lt;hr/&gt;&lt;div&gt;&lt;h5&gt;&lt;b&gt;CASTING&lt;/b&gt;&lt;/h5&gt;&lt;/div&gt;&lt;hr/&gt;&lt;div&gt;&lt;h5&gt;&lt;b&gt;Casting Time &lt;/b&gt;1 standard action&lt;/h5&gt;&lt;h5&gt;&lt;b&gt;Components &lt;/b&gt;V, S, M (a feather or swatch of soft fabric)&lt;/h5&gt;&lt;/div&gt;&lt;hr/&gt;&lt;div&gt;&lt;h5&gt;&lt;b&gt;EFFECT&lt;/b&gt;&lt;/h5&gt;&lt;/div&gt;&lt;hr/&gt;&lt;div&gt;&lt;h5&gt;&lt;b&gt;Range &lt;/b&gt;touch&lt;/h5&gt;&lt;h5&gt;&lt;b&gt;Targets &lt;/b&gt;one creature touched/level&lt;/h5&gt;&lt;h5&gt;&lt;b&gt;Duration &lt;/b&gt;8 hours&lt;/h5&gt;&lt;h5&gt;&lt;b&gt;Saving Throw &lt;/b&gt;Fortitude negates (harmless); &lt;b&gt;Spell Resistance &lt;/b&gt;yes (harmless)&lt;/h5&gt;&lt;/div&gt;&lt;hr/&gt;&lt;div&gt;&lt;h5&gt;&lt;b&gt;DESCRIPTION&lt;/b&gt;&lt;/h5&gt;&lt;/div&gt;&lt;hr/&gt;&lt;div&gt;&lt;h4&gt;&lt;p&gt;This spell makes even the clunkiest armor feel soft as silk to the wearer. The subjects of this spell are able to sleep comfortably in medium or heavy armor without suffering from fatigue the following day.&lt;/p&gt;&lt;/h4&gt;&lt;/div&gt;</t>
  </si>
  <si>
    <t>Carry Companion</t>
  </si>
  <si>
    <t>druid 2, paladin 2, ranger 2, sorcerer/wizard 2, witch 2</t>
  </si>
  <si>
    <t>V, S, M (a pinch of sand or limestone dust)</t>
  </si>
  <si>
    <t>one willing creature touched</t>
  </si>
  <si>
    <t>You touch an animal or magical beast that has a helpful attitude toward you, instantly transforming the creature into a miniature figurine of stone, small enough to fit into the palm of your hand. Creatures with an attitude of less than helpful will not tolerate this spell, and it automatically fails to work on them. An intelligent animal or magical beast must be a willing subject in order for this spell to take effect. Any items that the creature wears (such as a harness or saddle) or carries (such as those stowed in saddlebags) are transformed along with the creature. While miniaturized, the creature is under an effect similar to that of a flesh to stone spell: It is mindless and inert, and does not seem alive when viewed with spells like deathwatch. However, you may return the creature to its normal form at any time simply by placing the figurine on the ground, touching it, and uttering a word of command. Otherwise, the creature remains in miniature form unless the spell is broken, such as by dispel magic or stronger magic. Unlike a flesh to stone spell, a creature affected by carry companion is unaffected by stone to flesh. If the miniature figurine is broken or damaged, the creature (if returned to its original state) has similar damage or deformities.</t>
  </si>
  <si>
    <t>&lt;p&gt;You touch an animal or magical beast that has a helpful attitude toward you, instantly transforming the creature into a miniature figurine of stone, small enough to fit into the palm of your hand. Creatures with an attitude of less than helpful will not tolerate this spell, and it automatically fails to work on them. An intelligent animal or magical beast must be a willing subject in order for this spell to take effect. Any items that the creature wears (such as a harness or saddle) or carries (such as those stowed in saddlebags) are transformed along with the creature. While miniaturized, the creature is under an effect similar to that of a &lt;i&gt;flesh to stone&lt;/i&gt; spell: It is mindless and inert, and does not seem alive when viewed with spells like &lt;i&gt;deathwatch&lt;/i&gt;. However, you may return the creature to its normal form at any time simply by placing the figurine on the ground, touching it, and uttering a word of command. Otherwise, the creature remains in miniature form unless the spell is broken, such as by &lt;i&gt;dispel magic&lt;/i&gt; or stronger magic. Unlike a &lt;i&gt;flesh to stone&lt;/i&gt; spell, a creature affected by &lt;i&gt;carry companion&lt;/i&gt; is unaffected by &lt;i&gt;stone to flesh&lt;/i&gt;. If the miniature figurine is broken or damaged, the creature (if returned to its original state) has similar damage or deformities.&lt;/p&gt;</t>
  </si>
  <si>
    <t>&lt;link rel="stylesheet"href="PF.css"&gt;&lt;div class="heading"&gt;&lt;p class="alignleft"&gt;Carry Companion&lt;/p&gt;&lt;div style="clear: both;"&gt;&lt;/div&gt;&lt;/div&gt;&lt;div&gt;&lt;h5&gt;&lt;b&gt;School &lt;/b&gt;transmutation; &lt;b&gt;Level &lt;/b&gt;druid 2, paladin 2, ranger 2, sorcerer/wizard 2, witch 2&lt;/h5&gt;&lt;/div&gt;&lt;hr/&gt;&lt;div&gt;&lt;h5&gt;&lt;b&gt;CASTING&lt;/b&gt;&lt;/h5&gt;&lt;/div&gt;&lt;hr/&gt;&lt;div&gt;&lt;h5&gt;&lt;b&gt;Casting Time &lt;/b&gt;1 standard action&lt;/h5&gt;&lt;h5&gt;&lt;b&gt;Components &lt;/b&gt;V, S, M (a pinch of sand or limestone dust)&lt;/h5&gt;&lt;/div&gt;&lt;hr/&gt;&lt;div&gt;&lt;h5&gt;&lt;b&gt;EFFECT&lt;/b&gt;&lt;/h5&gt;&lt;/div&gt;&lt;hr/&gt;&lt;div&gt;&lt;h5&gt;&lt;b&gt;Range &lt;/b&gt;touch&lt;/h5&gt;&lt;h5&gt;&lt;b&gt;Targets &lt;/b&gt;one willing creature touched&lt;/h5&gt;&lt;h5&gt;&lt;b&gt;Duration &lt;/b&gt;permanent; see text&lt;/h5&gt;&lt;h5&gt;&lt;b&gt;Saving Throw &lt;/b&gt;none; &lt;b&gt;Spell Resistance &lt;/b&gt;yes (harmless)&lt;/h5&gt;&lt;/div&gt;&lt;hr/&gt;&lt;div&gt;&lt;h5&gt;&lt;b&gt;DESCRIPTION&lt;/b&gt;&lt;/h5&gt;&lt;/div&gt;&lt;hr/&gt;&lt;div&gt;&lt;h4&gt;&lt;p&gt;You touch an animal or magical beast that has a helpful attitude toward you, instantly transforming the creature into a miniature figurine of stone, small enough to fit into the palm of your hand. Creatures with an attitude of less than helpful will not tolerate this spell, and it automatically fails to work on them. An intelligent animal or magical beast must be a willing subject in order for this spell to take effect. Any items that the creature wears (such as a harness or saddle) or carries (such as those stowed in saddlebags) are transformed along with the creature. While miniaturized, the creature is under an effect similar to that of a &lt;i&gt;flesh to stone&lt;/i&gt; spell: It is mindless and inert, and does not seem alive when viewed with spells like &lt;i&gt;deathwatch&lt;/i&gt;. However, you may return the creature to its normal form at any time simply by placing the figurine on the ground, touching it, and uttering a word of command. Otherwise, the creature remains in miniature form unless the spell is broken, such as by &lt;i&gt;dispel magic&lt;/i&gt; or stronger magic. Unlike a &lt;i&gt;flesh to stone&lt;/i&gt; spell, a creature affected by &lt;i&gt;carry companion&lt;/i&gt; is unaffected by &lt;i&gt;stone to flesh&lt;/i&gt;. If the miniature figurine is broken or damaged, the creature (if returned to its original state) has similar damage or deformities.&lt;/p&gt;&lt;/h4&gt;&lt;/div&gt;</t>
  </si>
  <si>
    <t>Clarion Call</t>
  </si>
  <si>
    <t>bard 1, cleric 1/oracle 1, magus 1, sorcerer/wizard 1</t>
  </si>
  <si>
    <t>V, S, M (a piece of brass)</t>
  </si>
  <si>
    <t>The subject of this spell gains two benefits. First, the affected creature gains the ability to create a sound like the blast of a mighty horn or trumpet simply by miming the action of sounding one. Second, the subject can speak in a booming voice that carries easily over great distances, lowering the DC of any check to hear what is said by -15. This spell is particularly prized by battlefield commanders and champions who wish to make themselves clearly heard or gain the attention of their allies or foes.</t>
  </si>
  <si>
    <t>&lt;p&gt;The subject of this spell gains two benefits. First, the affected creature gains the ability to create a sound like the blast of a mighty horn or trumpet simply by miming the action of sounding one. Second, the subject can speak in a booming voice that carries easily over great distances, lowering the DC of any check to hear what is said by -15. This spell is particularly prized by battlefield commanders and champions who wish to make themselves clearly heard or gain the attention of their allies or foes.&lt;/p&gt;</t>
  </si>
  <si>
    <t>&lt;link rel="stylesheet"href="PF.css"&gt;&lt;div class="heading"&gt;&lt;p class="alignleft"&gt;Clarion Call&lt;/p&gt;&lt;div style="clear: both;"&gt;&lt;/div&gt;&lt;/div&gt;&lt;div&gt;&lt;h5&gt;&lt;b&gt;School &lt;/b&gt;illusion; &lt;b&gt;Level &lt;/b&gt;bard 1, cleric 1/oracle 1, magus 1, sorcerer/wizard 1&lt;/h5&gt;&lt;/div&gt;&lt;hr/&gt;&lt;div&gt;&lt;h5&gt;&lt;b&gt;CASTING&lt;/b&gt;&lt;/h5&gt;&lt;/div&gt;&lt;hr/&gt;&lt;div&gt;&lt;h5&gt;&lt;b&gt;Casting Time &lt;/b&gt;1 standard action&lt;/h5&gt;&lt;h5&gt;&lt;b&gt;Components &lt;/b&gt;V, S, M (a piece of brass)&lt;/h5&gt;&lt;/div&gt;&lt;hr/&gt;&lt;div&gt;&lt;h5&gt;&lt;b&gt;EFFECT&lt;/b&gt;&lt;/h5&gt;&lt;/div&gt;&lt;hr/&gt;&lt;div&gt;&lt;h5&gt;&lt;b&gt;Range &lt;/b&gt;touch&lt;/h5&gt;&lt;h5&gt;&lt;b&gt;Targets &lt;/b&gt;creature touched&lt;/h5&gt;&lt;h5&gt;&lt;b&gt;Duration &lt;/b&gt;10 minutes/level&lt;/h5&gt;&lt;h5&gt;&lt;b&gt;Saving Throw &lt;/b&gt;Fortitude negates (harmless); &lt;b&gt;Spell Resistance &lt;/b&gt;yes (harmless)&lt;/h5&gt;&lt;/div&gt;&lt;hr/&gt;&lt;div&gt;&lt;h5&gt;&lt;b&gt;DESCRIPTION&lt;/b&gt;&lt;/h5&gt;&lt;/div&gt;&lt;hr/&gt;&lt;div&gt;&lt;h4&gt;&lt;p&gt;The subject of this spell gains two benefits. First, the affected creature gains the ability to create a sound like the blast of a mighty horn or trumpet simply by miming the action of sounding one. Second, the subject can speak in a booming voice that carries easily over great distances, lowering the DC of any check to hear what is said by -15. This spell is particularly prized by battlefield commanders and champions who wish to make themselves clearly heard or gain the attention of their allies or foes.&lt;/p&gt;&lt;/h4&gt;&lt;/div&gt;</t>
  </si>
  <si>
    <t>Emblazon Crest</t>
  </si>
  <si>
    <t>magus 1, paladin 1, sorcerer/wizard 1</t>
  </si>
  <si>
    <t>S, F (an example of the crest or coat of arms)</t>
  </si>
  <si>
    <t>This spell ensures the subject touched is always able to display her proper crest and coat of arms. Any tabard or tunic worn and any shield carried by the subject while this spell is active can be made to display a coat of arms when the spell is cast. For example, even if the subject picks up a different shield, it still displays the subject's crest, regardless of the shield's normal appearance.</t>
  </si>
  <si>
    <t>&lt;p&gt;This spell ensures the subject touched is always able to display her proper crest and coat of arms. Any tabard or tunic worn and any shield carried by the subject while this spell is active can be made to display a coat of arms when the spell is cast. For example, even if the subject picks up a different shield, it still displays the subject's crest, regardless of the shield's normal appearance.&lt;/p&gt;</t>
  </si>
  <si>
    <t>&lt;link rel="stylesheet"href="PF.css"&gt;&lt;div class="heading"&gt;&lt;p class="alignleft"&gt;Emblazon Crest&lt;/p&gt;&lt;div style="clear: both;"&gt;&lt;/div&gt;&lt;/div&gt;&lt;div&gt;&lt;h5&gt;&lt;b&gt;School &lt;/b&gt;transmutation; &lt;b&gt;Level &lt;/b&gt;magus 1, paladin 1, sorcerer/wizard 1&lt;/h5&gt;&lt;/div&gt;&lt;hr/&gt;&lt;div&gt;&lt;h5&gt;&lt;b&gt;CASTING&lt;/b&gt;&lt;/h5&gt;&lt;/div&gt;&lt;hr/&gt;&lt;div&gt;&lt;h5&gt;&lt;b&gt;Casting Time &lt;/b&gt;1 standard action&lt;/h5&gt;&lt;h5&gt;&lt;b&gt;Components &lt;/b&gt;S, F (an example of the crest or coat of arms)&lt;/h5&gt;&lt;/div&gt;&lt;hr/&gt;&lt;div&gt;&lt;h5&gt;&lt;b&gt;EFFECT&lt;/b&gt;&lt;/h5&gt;&lt;/div&gt;&lt;hr/&gt;&lt;div&gt;&lt;h5&gt;&lt;b&gt;Range &lt;/b&gt;touch&lt;/h5&gt;&lt;h5&gt;&lt;b&gt;Targets &lt;/b&gt;creature touched&lt;/h5&gt;&lt;h5&gt;&lt;b&gt;Duration &lt;/b&gt;1 hour/level&lt;/h5&gt;&lt;h5&gt;&lt;b&gt;Saving Throw &lt;/b&gt;Will negates (harmless); &lt;b&gt;Spell Resistance &lt;/b&gt;yes (harmless)&lt;/h5&gt;&lt;/div&gt;&lt;hr/&gt;&lt;div&gt;&lt;h5&gt;&lt;b&gt;DESCRIPTION&lt;/b&gt;&lt;/h5&gt;&lt;/div&gt;&lt;hr/&gt;&lt;div&gt;&lt;h4&gt;&lt;p&gt;This spell ensures the subject touched is always able to display her proper crest and coat of arms. Any tabard or tunic worn and any shield carried by the subject while this spell is active can be made to display a coat of arms when the spell is cast. For example, even if the subject picks up a different shield, it still displays the subject's crest, regardless of the shield's normal appearance.&lt;/p&gt;&lt;/h4&gt;&lt;/div&gt;</t>
  </si>
  <si>
    <t>Keep Watch</t>
  </si>
  <si>
    <t>inquisitor 1, magus 1, paladin 1, ranger 1, sorcerer/wizard 1</t>
  </si>
  <si>
    <t>one creature touched/2 levels</t>
  </si>
  <si>
    <t>8 hours or less; see text</t>
  </si>
  <si>
    <t>This spell enables the subjects to stand watch or keep vigil throughout the night without any ill effects. The subjects suffer no fatigue and gain all the usual benefits of a full night's rest. The subjects gain hit points as though from resting, wizards may prepare their spells as though they had slept for 8 hours, and so on. Effects that rely on actual sleep or dreaming are ineffective, though the subjects are still susceptible to effects that would put them to sleep, such as sleep or deep slumber. Any vigorous activity, including fighting, immediately ends the effect, and the affected creatures must either have the spell cast on them again or sleep for the remaining hours to avoid fatigue and gain the benefits of a full night's rest.</t>
  </si>
  <si>
    <t>&lt;p&gt;This spell enables the subjects to stand watch or keep vigil throughout the night without any ill effects. The subjects suffer no fatigue and gain all the usual benefits of a full night's rest. The subjects gain hit points as though from resting, wizards may prepare their spells as though they had slept for 8 hours, and so on. Effects that rely on actual &lt;i&gt;sleep&lt;/i&gt; or dreaming are ineffective, though the subjects are still susceptible to effects that would put them to &lt;i&gt;sleep&lt;/i&gt;, such as &lt;i&gt;sleep&lt;/i&gt; or &lt;i&gt;deep slumber&lt;/i&gt;. Any vigorous activity, including fighting, immediately ends the effect, and the affected creatures must either have the spell cast on them again or &lt;i&gt;sleep&lt;/i&gt; for the remaining hours to avoid fatigue and gain the benefits of a full night's rest.&lt;/p&gt;</t>
  </si>
  <si>
    <t>&lt;link rel="stylesheet"href="PF.css"&gt;&lt;div class="heading"&gt;&lt;p class="alignleft"&gt;Keep Watch&lt;/p&gt;&lt;div style="clear: both;"&gt;&lt;/div&gt;&lt;/div&gt;&lt;div&gt;&lt;h5&gt;&lt;b&gt;School &lt;/b&gt;enchantment; &lt;b&gt;Level &lt;/b&gt;inquisitor 1, magus 1, paladin 1, ranger 1, sorcerer/wizard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&lt;/b&gt;one creature touched/2 levels&lt;/h5&gt;&lt;h5&gt;&lt;b&gt;Duration &lt;/b&gt;8 hours or less; see text&lt;/h5&gt;&lt;h5&gt;&lt;b&gt;Saving Throw &lt;/b&gt;Will negates (harmless); &lt;b&gt;Spell Resistance &lt;/b&gt;yes (harmless)&lt;/h5&gt;&lt;/div&gt;&lt;hr/&gt;&lt;div&gt;&lt;h5&gt;&lt;b&gt;DESCRIPTION&lt;/b&gt;&lt;/h5&gt;&lt;/div&gt;&lt;hr/&gt;&lt;div&gt;&lt;h4&gt;&lt;p&gt;This spell enables the subjects to stand watch or keep vigil throughout the night without any ill effects. The subjects suffer no fatigue and gain all the usual benefits of a full night's rest. The subjects gain hit points as though from resting, wizards may prepare their spells as though they had slept for 8 hours, and so on. Effects that rely on actual &lt;i&gt;sleep&lt;/i&gt; or dreaming are ineffective, though the subjects are still susceptible to effects that would put them to &lt;i&gt;sleep&lt;/i&gt;, such as &lt;i&gt;sleep&lt;/i&gt; or &lt;i&gt;deep slumber&lt;/i&gt;. Any vigorous activity, including fighting, immediately ends the effect, and the affected creatures must either have the spell cast on them again or &lt;i&gt;sleep&lt;/i&gt; for the remaining hours to avoid fatigue and gain the benefits of a full night's rest.&lt;/p&gt;&lt;/h4&gt;&lt;/div&gt;</t>
  </si>
  <si>
    <t>Serren's Armor Lock</t>
  </si>
  <si>
    <t>magus 2, sorcerer/wizard 3, witch 3</t>
  </si>
  <si>
    <t>V, S, M (a pinch of rust)</t>
  </si>
  <si>
    <t>one armored creature</t>
  </si>
  <si>
    <t>Upon pointing at an armored foe, you cause all of the joints of the target's armor to stiffen as otherworldly chains wrap around the target. On a failed Reflex save, a target in heavy metal armor becomes staggered. A target in light or medium metal armor instead becomes entangled. Targets wearing no armor or nonmetallic armor are unaffected. If the target is wearing heavy metal armor and succeeds at its Reflex save, it becomes entangled instead of staggered; a target in light or medium metal armor that succeeds at its saving throw is unaffected by the spell.</t>
  </si>
  <si>
    <t>&lt;p&gt;Upon pointing at an armored foe, you cause all of the joints of the target's armor to stiffen as otherworldly chains wrap around the target. On a failed Reflex save, a target in heavy metal armor becomes staggered. A target in light or medium metal armor instead becomes entangled. &lt;b&gt;Target&lt;/b&gt;s wearing no armor or nonmetallic armor are unaffected. If the target is wearing heavy metal armor and succeeds at its Reflex save, it becomes entangled instead of staggered; a target in light or medium metal armor that succeeds at its saving throw is unaffected by the spell.&lt;/p&gt;</t>
  </si>
  <si>
    <t>&lt;link rel="stylesheet"href="PF.css"&gt;&lt;div class="heading"&gt;&lt;p class="alignleft"&gt;Serren's Armor Lock&lt;/p&gt;&lt;div style="clear: both;"&gt;&lt;/div&gt;&lt;/div&gt;&lt;div&gt;&lt;h5&gt;&lt;b&gt;School &lt;/b&gt;transmutation; &lt;b&gt;Level &lt;/b&gt;magus 2, sorcerer/wizard 3, witch 3&lt;/h5&gt;&lt;/div&gt;&lt;hr/&gt;&lt;div&gt;&lt;h5&gt;&lt;b&gt;CASTING&lt;/b&gt;&lt;/h5&gt;&lt;/div&gt;&lt;hr/&gt;&lt;div&gt;&lt;h5&gt;&lt;b&gt;Casting Time &lt;/b&gt;1 standard action&lt;/h5&gt;&lt;h5&gt;&lt;b&gt;Components &lt;/b&gt;V, S, M (a pinch of rust)&lt;/h5&gt;&lt;/div&gt;&lt;hr/&gt;&lt;div&gt;&lt;h5&gt;&lt;b&gt;EFFECT&lt;/b&gt;&lt;/h5&gt;&lt;/div&gt;&lt;hr/&gt;&lt;div&gt;&lt;h5&gt;&lt;b&gt;Range &lt;/b&gt;medium (100 ft. + 10 ft./level)&lt;/h5&gt;&lt;h5&gt;&lt;b&gt;Targets &lt;/b&gt;one armored creature&lt;/h5&gt;&lt;h5&gt;&lt;b&gt;Duration &lt;/b&gt;1 round/level (D)&lt;/h5&gt;&lt;h5&gt;&lt;b&gt;Saving Throw &lt;/b&gt;Reflex partial; see text; &lt;b&gt;Spell Resistance &lt;/b&gt;yes&lt;/h5&gt;&lt;/div&gt;&lt;hr/&gt;&lt;div&gt;&lt;h5&gt;&lt;b&gt;DESCRIPTION&lt;/b&gt;&lt;/h5&gt;&lt;/div&gt;&lt;hr/&gt;&lt;div&gt;&lt;h4&gt;&lt;p&gt;Upon pointing at an armored foe, you cause all of the joints of the target's armor to stiffen as otherworldly chains wrap around the target. On a failed Reflex save, a target in heavy metal armor becomes staggered. A target in light or medium metal armor instead becomes entangled. &lt;b&gt;Target&lt;/b&gt;s wearing no armor or nonmetallic armor are unaffected. If the target is wearing heavy metal armor and succeeds at its Reflex save, it becomes entangled instead of staggered; a target in light or medium metal armor that succeeds at its saving throw is unaffected by the spell.&lt;/p&gt;&lt;/h4&gt;&lt;/div&gt;</t>
  </si>
  <si>
    <t>Serren's Swift Girding</t>
  </si>
  <si>
    <t>V, S, M (the armor to be worn)</t>
  </si>
  <si>
    <t>close (25 feet + 5 feet/level)</t>
  </si>
  <si>
    <t>one willing creature/level</t>
  </si>
  <si>
    <t>With a sweep of your hand, you select a number of targets and the same number of suits of armor. The targets of this spell are immediately clad in the armor that you choose. The subjects of the spell must be capable of wearing the chosen armor, cannot be wearing other armor, and must be able to properly fit into the chosen armor. The chosen armor must be empty and cannot be currently worn by another creature (thus you cannot move armor from one wearer to another with this spell). Creatures armored with this spell are considered to have donned the armor properly.</t>
  </si>
  <si>
    <t>&lt;p&gt;With a sweep of your hand, you select a number of targets and the same number of suits of armor. The targets of this spell are immediately clad in the armor that you choose. The subjects of the spell must be capable of wearing the chosen armor, cannot be wearing other armor, and must be able to properly fit into the chosen armor. The chosen armor must be empty and cannot be currently worn by another creature (thus you cannot move armor from one wearer to another with this spell). Creatures armored with this spell are considered to have donned the armor properly.&lt;/p&gt;</t>
  </si>
  <si>
    <t>&lt;link rel="stylesheet"href="PF.css"&gt;&lt;div class="heading"&gt;&lt;p class="alignleft"&gt;Serren's Swift Girding&lt;/p&gt;&lt;div style="clear: both;"&gt;&lt;/div&gt;&lt;/div&gt;&lt;div&gt;&lt;h5&gt;&lt;b&gt;School &lt;/b&gt;transmutation; &lt;b&gt;Level &lt;/b&gt;magus 1, paladin 1, sorcerer/wizard 1&lt;/h5&gt;&lt;/div&gt;&lt;hr/&gt;&lt;div&gt;&lt;h5&gt;&lt;b&gt;CASTING&lt;/b&gt;&lt;/h5&gt;&lt;/div&gt;&lt;hr/&gt;&lt;div&gt;&lt;h5&gt;&lt;b&gt;Casting Time &lt;/b&gt;1 standard action&lt;/h5&gt;&lt;h5&gt;&lt;b&gt;Components &lt;/b&gt;V, S, M (the armor to be worn)&lt;/h5&gt;&lt;/div&gt;&lt;hr/&gt;&lt;div&gt;&lt;h5&gt;&lt;b&gt;EFFECT&lt;/b&gt;&lt;/h5&gt;&lt;/div&gt;&lt;hr/&gt;&lt;div&gt;&lt;h5&gt;&lt;b&gt;Range &lt;/b&gt;close (25 feet + 5 feet/level)&lt;/h5&gt;&lt;h5&gt;&lt;b&gt;Targets &lt;/b&gt;one willing creature/level&lt;/h5&gt;&lt;h5&gt;&lt;b&gt;Duration &lt;/b&gt;instantaneous&lt;/h5&gt;&lt;h5&gt;&lt;b&gt;Saving Throw &lt;/b&gt;none; &lt;b&gt;Spell Resistance &lt;/b&gt;yes (harmless)&lt;/h5&gt;&lt;/div&gt;&lt;hr/&gt;&lt;div&gt;&lt;h5&gt;&lt;b&gt;DESCRIPTION&lt;/b&gt;&lt;/h5&gt;&lt;/div&gt;&lt;hr/&gt;&lt;div&gt;&lt;h4&gt;&lt;p&gt;With a sweep of your hand, you select a number of targets and the same number of suits of armor. The targets of this spell are immediately clad in the armor that you choose. The subjects of the spell must be capable of wearing the chosen armor, cannot be wearing other armor, and must be able to properly fit into the chosen armor. The chosen armor must be empty and cannot be currently worn by another creature (thus you cannot move armor from one wearer to another with this spell). Creatures armored with this spell are considered to have donned the armor properly.&lt;/p&gt;&lt;/h4&gt;&lt;/div&gt;</t>
  </si>
  <si>
    <t>Ward Shield</t>
  </si>
  <si>
    <t>cleric 4/oracle 4, inquisitor 4, magus 4, sorcerer/wizard 4</t>
  </si>
  <si>
    <t>shield touched</t>
  </si>
  <si>
    <t>With a touch, you enchant a shield and enable it to protect its wielder from hostile spells. The shield grants spell resistance 10 + your caster level against spells so long as the shield can be interposed between the wielder and the spell effect. A spell shield does not provide spell resistance against area effect spells such as fireball, but does provide a +5 bonus on Reflex saving throws against such spells.</t>
  </si>
  <si>
    <t>&lt;p&gt;With a touch, you enchant a shield and enable it to protect its wielder from hostile spells. The shield grants spell resistance 10 + your caster level against spells so long as the shield can be interposed between the wielder and the spell effect. A &lt;i&gt;spell shield&lt;/i&gt; does not provide spell resistance against area effect spells such as &lt;i&gt;fireball&lt;/i&gt;, but does provide a +5 bonus on Reflex saving throws against such spells.&lt;/p&gt;</t>
  </si>
  <si>
    <t>&lt;link rel="stylesheet"href="PF.css"&gt;&lt;div class="heading"&gt;&lt;p class="alignleft"&gt;Ward Shield&lt;/p&gt;&lt;div style="clear: both;"&gt;&lt;/div&gt;&lt;/div&gt;&lt;div&gt;&lt;h5&gt;&lt;b&gt;School &lt;/b&gt;abjuration; &lt;b&gt;Level &lt;/b&gt;cleric 4/oracle 4, inquisitor 4, magus 4, sorcerer/wizard 4&lt;/h5&gt;&lt;/div&gt;&lt;hr/&gt;&lt;div&gt;&lt;h5&gt;&lt;b&gt;CASTING&lt;/b&gt;&lt;/h5&gt;&lt;/div&gt;&lt;hr/&gt;&lt;div&gt;&lt;h5&gt;&lt;b&gt;Casting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&lt;/b&gt;shield touched&lt;/h5&gt;&lt;h5&gt;&lt;b&gt;Duration &lt;/b&gt;1 minute/level&lt;/h5&gt;&lt;h5&gt;&lt;b&gt;Saving Throw &lt;/b&gt;Will negates (harmless); &lt;b&gt;Spell Resistance &lt;/b&gt;yes (harmless)&lt;/h5&gt;&lt;/div&gt;&lt;hr/&gt;&lt;div&gt;&lt;h5&gt;&lt;b&gt;DESCRIPTION&lt;/b&gt;&lt;/h5&gt;&lt;/div&gt;&lt;hr/&gt;&lt;div&gt;&lt;h4&gt;&lt;p&gt;With a touch, you enchant a shield and enable it to protect its wielder from hostile spells. The shield grants spell resistance 10 + your caster level against spells so long as the shield can be interposed between the wielder and the spell effect. A &lt;i&gt;spell shield&lt;/i&gt; does not provide spell resistance against area effect spells such as &lt;i&gt;fireball&lt;/i&gt;, but does provide a +5 bonus on Reflex saving throws against such spells.&lt;/p&gt;&lt;/h4&gt;&lt;/div&gt;</t>
  </si>
  <si>
    <t>Curse Item</t>
  </si>
  <si>
    <t>The object becomes flawed and prone to failure. The effects of this spell depend on the nature of the object. Magic Item: The item functions intermittently, gaining either an unreliable curse or a random dependent curse (Pathfinder RPG Core Rulebook 536). Nonmagical Armor or Shield: The item gains the fragile armor quality (Pathfinder RPG Ultimate Equipment 8). Nonmagical Weapon: The item gains the fragile weapon quality (Ultimate Equipment 22). Tool: The item gains the broken condition if a creature rolls a natural 1 while making a skill check with the tool. Other Item: Each day it is used, the item has a 5% chance of gaining the broken condition. This spell does not affect artifacts. The item can be sold or discarded as normal (the bearer is not compelled to keep it). If a cleric of Groetus is using an item that is affected by this spell, he or she may make a DC 20 Will saving throw to override the item's curse for 1 day (using it as if the item were not cursed).</t>
  </si>
  <si>
    <t>&lt;p&gt;The object becomes flawed and prone to failure. The effects of this spell depend on the nature of the object. &lt;i&gt;Magic Item&lt;/i&gt;: The item functions intermittently, gaining either an unreliable curse or a random dependent curse (&lt;i&gt;Pathfinder RPG Core Rulebook&lt;/i&gt; 536). &lt;i&gt;Nonmagical Armor or Shield&lt;/i&gt;: The item gains the fragile armor quality (&lt;i&gt;Pathfinder RPG &lt;i&gt;Ultimate Equipment&lt;/i&gt;&lt;/i&gt; 8). &lt;i&gt;Nonmagical Weapon&lt;/i&gt;: The item gains the fragile weapon quality (&lt;i&gt;Ultimate Equipment&lt;/i&gt; 22). &lt;i&gt;Tool&lt;/i&gt;: The item gains the broken condition if a creature rolls a natural 1 while making a skill check with the tool. &lt;i&gt;Other Item&lt;/i&gt;: Each day it is used, the item has a 5% chance of gaining the broken condition. This spell does not affect artifacts. The item can be sold or discarded as normal (the bearer is not compelled to keep it). If a cleric of Groetus is using an item that is affected by this spell, he or she may make a DC 20 Will saving throw to override the item's curse for 1 day (using it as if the item were not cursed).&lt;/p&gt;</t>
  </si>
  <si>
    <t>AP 64</t>
  </si>
  <si>
    <t>&lt;link rel="stylesheet"href="PF.css"&gt;&lt;div class="heading"&gt;&lt;p class="alignleft"&gt;Curse Item&lt;/p&gt;&lt;div style="clear: both;"&gt;&lt;/div&gt;&lt;/div&gt;&lt;div&gt;&lt;h5&gt;&lt;b&gt;School &lt;/b&gt;necromancy [curse]; &lt;b&gt;Level &lt;/b&gt;cleric 2/oracle 2 (Groetus)&lt;/h5&gt;&lt;/div&gt;&lt;hr/&gt;&lt;div&gt;&lt;h5&gt;&lt;b&gt;CASTING&lt;/b&gt;&lt;/h5&gt;&lt;/div&gt;&lt;hr/&gt;&lt;div&gt;&lt;h5&gt;&lt;b&gt;Casting Time &lt;/b&gt;1 minute&lt;/h5&gt;&lt;h5&gt;&lt;b&gt;Components &lt;/b&gt;V, S, DF&lt;/h5&gt;&lt;/div&gt;&lt;hr/&gt;&lt;div&gt;&lt;h5&gt;&lt;b&gt;EFFECT&lt;/b&gt;&lt;/h5&gt;&lt;/div&gt;&lt;hr/&gt;&lt;div&gt;&lt;h5&gt;&lt;b&gt;Range &lt;/b&gt;touch&lt;/h5&gt;&lt;h5&gt;&lt;b&gt;Targets &lt;/b&gt;object touched&lt;/h5&gt;&lt;h5&gt;&lt;b&gt;Duration &lt;/b&gt;instantaneous&lt;/h5&gt;&lt;h5&gt;&lt;b&gt;Saving Throw &lt;/b&gt;Will negates (object); &lt;b&gt;Spell Resistance &lt;/b&gt;yes (object)&lt;/h5&gt;&lt;/div&gt;&lt;hr/&gt;&lt;div&gt;&lt;h5&gt;&lt;b&gt;DESCRIPTION&lt;/b&gt;&lt;/h5&gt;&lt;/div&gt;&lt;hr/&gt;&lt;div&gt;&lt;h4&gt;&lt;p&gt;The object becomes flawed and prone to failure. The effects of this spell depend on the nature of the object. &lt;i&gt;Magic Item&lt;/i&gt;: The item functions intermittently, gaining either an unreliable curse or a random dependent curse (&lt;i&gt;Pathfinder RPG Core Rulebook&lt;/i&gt; 536). &lt;i&gt;Nonmagical Armor or Shield&lt;/i&gt;: The item gains the fragile armor quality (&lt;i&gt;Pathfinder RPG &lt;i&gt;Ultimate Equipment&lt;/i&gt;&lt;/i&gt; 8). &lt;i&gt;Nonmagical Weapon&lt;/i&gt;: The item gains the fragile weapon quality (&lt;i&gt;Ultimate Equipment&lt;/i&gt; 22). &lt;i&gt;Tool&lt;/i&gt;: The item gains the broken condition if a creature rolls a natural 1 while making a skill check with the tool. &lt;i&gt;Other Item&lt;/i&gt;: Each day it is used, the item has a 5% chance of gaining the broken condition. This spell does not affect artifacts. The item can be sold or discarded as normal (the bearer is not compelled to keep it). If a cleric of Groetus is using an item that is affected by this spell, he or she may make a DC 20 Will saving throw to override the item's curse for 1 day (using it as if the item were not cursed).&lt;/p&gt;&lt;/h4&gt;&lt;/div&gt;</t>
  </si>
  <si>
    <t>Groetus</t>
  </si>
  <si>
    <t>Lissalan Snake Sigil</t>
  </si>
  <si>
    <t>permanent until discharged; 1 day/level; see text</t>
  </si>
  <si>
    <t>There are seven variants of this spell, one for each of the Thassilonian schools of magic. Each functions like sepia snake sigil (and counts as that spell for the purpose of combining other spells that hide or garble text), except instead of trapping the subject, the triggered sigil's effect depends on this spell's school. This effect lasts for 1 day/level. This is a curse effect that can be removed via remove curse. Abjuration: All beneficial magical effects on the target last half as long as normal. Conjuration: The target is nauseated. This is a poison effect. Enchantment: The target takes a 1d6 penalty to Intelligence, Wisdom, and Charisma. This is a compulsion effect. Evocation: The target gains vulnerability to an energy type, chosen randomly from the following: acid, cold, electricity, or fire. This is an acid, cold, electricity, or fire effect. Illusion: The target's vision is blurred, giving it a -4 penalty on Perception checks relating to vision, and the target treats all other creatures as having displacement. This is a glamer effect. Necromancy: The target is exhausted. This condition cannot be removed with rest. Transmutation: Target is affected by slow.</t>
  </si>
  <si>
    <t>&lt;p&gt;There are seven variants of this spell, one for each of the Thassilonian schools of magic. Each functions like &lt;i&gt;sepia snake sigil&lt;/i&gt; (and counts as that spell for the purpose of combining other spells that hide or garble text), except instead of trapping the subject, the triggered sigil's effect depends on this spell's school. This effect lasts for 1 day/level. This is a curse effect that can be removed via &lt;i&gt;remove curse&lt;/i&gt;. &lt;i&gt;Abjuration&lt;/i&gt;: All beneficial magical effects on the target last half as long as normal. &lt;i&gt;Conjuration&lt;/i&gt;: The target is nauseated. This is a poison effect. &lt;i&gt;Enchantment&lt;/i&gt;: The target takes a 1d6 penalty to Intelligence, Wisdom, and Charisma. This is a compulsion effect. &lt;i&gt;Evocation&lt;/i&gt;: The target gains vulnerability to an energy type, chosen randomly from the following: acid, cold, electricity, or fire. This is an acid, cold, electricity, or fire effect. &lt;i&gt;Illusion&lt;/i&gt;: The target's vision is blurred, giving it a -4 penalty on Perception checks relating to vision, and the target treats all other creatures as having &lt;i&gt;displacement&lt;/i&gt;. This is a glamer effect. &lt;i&gt;Necromancy&lt;/i&gt;: The target is exhausted. This condition cannot be removed with rest. &lt;i&gt;Transmutation&lt;/i&gt;: Target is affected by &lt;i&gt;slow&lt;/i&gt;.&lt;/p&gt;</t>
  </si>
  <si>
    <t>AP 65</t>
  </si>
  <si>
    <t>&lt;link rel="stylesheet"href="PF.css"&gt;&lt;div class="heading"&gt;&lt;p class="alignleft"&gt;Lissalan Snake Sigil&lt;/p&gt;&lt;div style="clear: both;"&gt;&lt;/div&gt;&lt;/div&gt;&lt;div&gt;&lt;h5&gt;&lt;b&gt;School &lt;/b&gt;see text; &lt;b&gt;Level &lt;/b&gt;cleric 3/oracle 3, sorcerer/wizard 3 (Lissala)&lt;/h5&gt;&lt;/div&gt;&lt;hr/&gt;&lt;div&gt;&lt;h5&gt;&lt;b&gt;CASTING&lt;/b&gt;&lt;/h5&gt;&lt;/div&gt;&lt;hr/&gt;&lt;div&gt;&lt;h5&gt;&lt;b&gt;Casting Time &lt;/b&gt;10 minutes&lt;/h5&gt;&lt;h5&gt;&lt;b&gt;Components &lt;/b&gt;V, S, M (powdered amber worth 500 gp and a snake scale)&lt;/h5&gt;&lt;/div&gt;&lt;hr/&gt;&lt;div&gt;&lt;h5&gt;&lt;b&gt;EFFECT&lt;/b&gt;&lt;/h5&gt;&lt;/div&gt;&lt;hr/&gt;&lt;div&gt;&lt;h5&gt;&lt;b&gt;Range &lt;/b&gt;touch&lt;/h5&gt;&lt;h5&gt;&lt;b&gt;Targets &lt;/b&gt;one touched book or written work&lt;/h5&gt;&lt;h5&gt;&lt;b&gt;Duration &lt;/b&gt;permanent until discharged; 1 day/level; see text&lt;/h5&gt;&lt;h5&gt;&lt;b&gt;Saving Throw &lt;/b&gt;Reflex negates; &lt;b&gt;Spell Resistance &lt;/b&gt;no&lt;/h5&gt;&lt;/div&gt;&lt;hr/&gt;&lt;div&gt;&lt;h5&gt;&lt;b&gt;DESCRIPTION&lt;/b&gt;&lt;/h5&gt;&lt;/div&gt;&lt;hr/&gt;&lt;div&gt;&lt;h4&gt;&lt;p&gt;There are seven variants of this spell, one for each of the Thassilonian schools of magic. Each functions like &lt;i&gt;sepia snake sigil&lt;/i&gt; (and counts as that spell for the purpose of combining other spells that hide or garble text), except instead of trapping the subject, the triggered sigil's effect depends on this spell's school. This effect lasts for 1 day/level. This is a curse effect that can be removed via &lt;i&gt;remove curse&lt;/i&gt;. &lt;i&gt;Abjuration&lt;/i&gt;: All beneficial magical effects on the target last half as long as normal. &lt;i&gt;Conjuration&lt;/i&gt;: The target is nauseated. This is a poison effect. &lt;i&gt;Enchantment&lt;/i&gt;: The target takes a 1d6 penalty to Intelligence, Wisdom, and Charisma. This is a compulsion effect. &lt;i&gt;Evocation&lt;/i&gt;: The target gains vulnerability to an energy type, chosen randomly from the following: acid, cold, electricity, or fire. This is an acid, cold, electricity, or fire effect. &lt;i&gt;Illusion&lt;/i&gt;: The target's vision is blurred, giving it a -4 penalty on Perception checks relating to vision, and the target treats all other creatures as having &lt;i&gt;displacement&lt;/i&gt;. This is a glamer effect. &lt;i&gt;Necromancy&lt;/i&gt;: The target is exhausted. This condition cannot be removed with rest. &lt;i&gt;Transmutation&lt;/i&gt;: Target is affected by &lt;i&gt;slow&lt;/i&gt;.&lt;/p&gt;&lt;/h4&gt;&lt;/div&gt;</t>
  </si>
  <si>
    <t>Lissala</t>
  </si>
  <si>
    <t>Display Aversion</t>
  </si>
  <si>
    <t>bard 2, cleric 2/oracle 2, inquisitor 2, sorcerer/wizard 3, witch 2</t>
  </si>
  <si>
    <t>V, S, M (a drop of holy water)</t>
  </si>
  <si>
    <t>concentration + 1d4 rounds</t>
  </si>
  <si>
    <t>This spell functions like minor image, except it always creates an animated illusion of you presenting to a vampire a material, object, or sound that it is averse to, such as garlic, a holy symbol, or bells ringing. You specify what aversion the illusion depicts when you cast the spell. The vampire reacts to the illusion as if it were real; it can overcome the effect by succeeding at a disbelief save or a normal Will save against the illusion's DC (instead of the normal DC 25 to overcome its revulsion). The illusion is only quasi-real and cannot otherwise affect creatures.</t>
  </si>
  <si>
    <t>&lt;p&gt;This spell functions like &lt;i&gt;minor image&lt;/i&gt;, except it always creates an animated illusion of you presenting to a vampire a material, object, or sound that it is averse to, such as garlic, a holy symbol, or bells ringing. You specify what aversion the illusion depicts when you cast the spell. The vampire reacts to the illusion as if it were real; it can overcome the effect by succeeding at a disbelief save or a normal Will save against the illusion's DC (instead of the normal DC 25 to overcome its revulsion). The illusion is only quasi-real and cannot otherwise affect creatures.&lt;/p&gt;</t>
  </si>
  <si>
    <t>Blood Of The Night</t>
  </si>
  <si>
    <t>&lt;link rel="stylesheet"href="PF.css"&gt;&lt;div class="heading"&gt;&lt;p class="alignleft"&gt;Display Aversion&lt;/p&gt;&lt;div style="clear: both;"&gt;&lt;/div&gt;&lt;/div&gt;&lt;div&gt;&lt;h5&gt;&lt;b&gt;School &lt;/b&gt;illusion (shadow); &lt;b&gt;Level &lt;/b&gt;bard 2, cleric 2/oracle 2, inquisitor 2, sorcerer/wizard 3, witch 2&lt;/h5&gt;&lt;/div&gt;&lt;hr/&gt;&lt;div&gt;&lt;h5&gt;&lt;b&gt;CASTING&lt;/b&gt;&lt;/h5&gt;&lt;/div&gt;&lt;hr/&gt;&lt;div&gt;&lt;h5&gt;&lt;b&gt;Casting Time &lt;/b&gt;1 standard action&lt;/h5&gt;&lt;h5&gt;&lt;b&gt;Components &lt;/b&gt;V, S, M (a drop of holy water)&lt;/h5&gt;&lt;/div&gt;&lt;hr/&gt;&lt;div&gt;&lt;h5&gt;&lt;b&gt;EFFECT&lt;/b&gt;&lt;/h5&gt;&lt;/div&gt;&lt;hr/&gt;&lt;div&gt;&lt;h5&gt;&lt;b&gt;Range &lt;/b&gt;personal&lt;/h5&gt;&lt;h5&gt;&lt;b&gt;Targets &lt;/b&gt;you&lt;/h5&gt;&lt;h5&gt;&lt;b&gt;Duration &lt;/b&gt;concentration + 1d4 rounds&lt;/h5&gt;&lt;/div&gt;&lt;hr/&gt;&lt;div&gt;&lt;h5&gt;&lt;b&gt;DESCRIPTION&lt;/b&gt;&lt;/h5&gt;&lt;/div&gt;&lt;hr/&gt;&lt;div&gt;&lt;h4&gt;&lt;p&gt;This spell functions like &lt;i&gt;minor image&lt;/i&gt;, except it always creates an animated illusion of you presenting to a vampire a material, object, or sound that it is averse to, such as garlic, a holy symbol, or bells ringing. You specify what aversion the illusion depicts when you cast the spell. The vampire reacts to the illusion as if it were real; it can overcome the effect by succeeding at a disbelief save or a normal Will save against the illusion's DC (instead of the normal DC 25 to overcome its revulsion). The illusion is only quasi-real and cannot otherwise affect creatures.&lt;/p&gt;&lt;/h4&gt;&lt;/div&gt;</t>
  </si>
  <si>
    <t>Domination Link</t>
  </si>
  <si>
    <t>concentration, up to 1 min./level (D)</t>
  </si>
  <si>
    <t>This spell functions like detect thoughts, with the additional ability to find echoes of the thoughts of a creature mentally controlling the target. For example, if the target has been dominated by a vampire, you can use evidence left in the target's mind to learn about that vampire. Each minute you concentrate on the spell, you can learn your choice of one of the following pieces of information. Direction: The controller's general direction and distance. Emotion: The controller's emotional state (gloating, sated, frightened, angry, and so on). Image: A powerful iconic image relevant to the controller or its connection to the target, such as a symbol on a door or a name on a gravestone. Location: The controller's general location, such as "in a large city" or "on a ship." Name: The name by which the target knows its controller (if any). All of this information is based on the last time the influencing creature linked itself to the target, either to issue a command or to receive sensory input from the target. For example, if at nightfall a vampire commanded a dominated victim to walk to a cemetery, this spell can reveal the vampire's general location at that time, though it may have moved since then.</t>
  </si>
  <si>
    <t>&lt;p&gt;This spell functions like &lt;i&gt;detect thoughts&lt;/i&gt;, with the additional ability to find echoes of the thoughts of a creature mentally controlling the target. For example, if the target has been dominated by a vampire, you can use evidence left in the target's mind to learn about that vampire. Each minute you concentrate on the spell, you can learn your choice of one of the following pieces of information. &lt;i&gt;Direction&lt;/i&gt;: The controller's general direction and distance. &lt;i&gt;Emotion&lt;/i&gt;: The controller's emotional state (gloating, sated, frightened, angry, and so on). &lt;i&gt;Image&lt;/i&gt;: A powerful iconic image relevant to the controller or its connection to the target, such as a symbol on a door or a name on a gravestone. &lt;i&gt;Location&lt;/i&gt;: The controller's general location, such as "in a large city" or "on a ship." &lt;i&gt;Name&lt;/i&gt;: The name by which the target knows its controller (if any). All of this information is based on the last time the influencing creature linked itself to the target, either to issue a command or to receive sensory input from the target. For example, if at nightfall a vampire commanded a dominated victim to walk to a cemetery, this spell can reveal the vampire's general location at that time, though it may have moved since then.&lt;/p&gt;</t>
  </si>
  <si>
    <t>&lt;link rel="stylesheet"href="PF.css"&gt;&lt;div class="heading"&gt;&lt;p class="alignleft"&gt;Domination Link&lt;/p&gt;&lt;div style="clear: both;"&gt;&lt;/div&gt;&lt;/div&gt;&lt;div&gt;&lt;h5&gt;&lt;b&gt;School &lt;/b&gt;divination [mind-affecting]; &lt;b&gt;Level &lt;/b&gt;bard 3, inquisitor 3, sorcerer/wizard 3, witch 3&lt;/h5&gt;&lt;/div&gt;&lt;hr/&gt;&lt;div&gt;&lt;h5&gt;&lt;b&gt;CASTING&lt;/b&gt;&lt;/h5&gt;&lt;/div&gt;&lt;hr/&gt;&lt;div&gt;&lt;h5&gt;&lt;b&gt;Casting Time &lt;/b&gt;1 standard action&lt;/h5&gt;&lt;h5&gt;&lt;b&gt;Components &lt;/b&gt;V, S, F/DF (a copper piece)&lt;/h5&gt;&lt;/div&gt;&lt;hr/&gt;&lt;div&gt;&lt;h5&gt;&lt;b&gt;EFFECT&lt;/b&gt;&lt;/h5&gt;&lt;/div&gt;&lt;hr/&gt;&lt;div&gt;&lt;h5&gt;&lt;b&gt;Range &lt;/b&gt;60 ft.&lt;/h5&gt;&lt;h5&gt;&lt;b&gt;Area &lt;/b&gt;cone-shaped emanation&lt;/h5&gt;&lt;h5&gt;&lt;b&gt;Duration &lt;/b&gt;concentration, up to 1 min./level (D)&lt;/h5&gt;&lt;h5&gt;&lt;b&gt;Saving Throw &lt;/b&gt;Will negates; see text; &lt;b&gt;Spell Resistance &lt;/b&gt;no&lt;/h5&gt;&lt;/div&gt;&lt;hr/&gt;&lt;div&gt;&lt;h5&gt;&lt;b&gt;DESCRIPTION&lt;/b&gt;&lt;/h5&gt;&lt;/div&gt;&lt;hr/&gt;&lt;div&gt;&lt;h4&gt;&lt;p&gt;This spell functions like &lt;i&gt;detect thoughts&lt;/i&gt;, with the additional ability to find echoes of the thoughts of a creature mentally controlling the target. For example, if the target has been dominated by a vampire, you can use evidence left in the target's mind to learn about that vampire. Each minute you concentrate on the spell, you can learn your choice of one of the following pieces of information. &lt;i&gt;Direction&lt;/i&gt;: The controller's general direction and distance. &lt;i&gt;Emotion&lt;/i&gt;: The controller's emotional state (gloating, sated, frightened, angry, and so on). &lt;i&gt;Image&lt;/i&gt;: A powerful iconic image relevant to the controller or its connection to the target, such as a symbol on a door or a name on a gravestone. &lt;i&gt;Location&lt;/i&gt;: The controller's general location, such as "in a large city" or "on a ship." &lt;i&gt;Name&lt;/i&gt;: The name by which the target knows its controller (if any). All of this information is based on the last time the influencing creature linked itself to the target, either to issue a command or to receive sensory input from the target. For example, if at nightfall a vampire commanded a dominated victim to walk to a cemetery, this spell can reveal the vampire's general location at that time, though it may have moved since then.&lt;/p&gt;&lt;/h4&gt;&lt;/div&gt;</t>
  </si>
  <si>
    <t>Project Weakness</t>
  </si>
  <si>
    <t>curse, evil</t>
  </si>
  <si>
    <t>cleric 3/oracle 3, sorcerer/wizard 4, witch 3</t>
  </si>
  <si>
    <t>You curse the target with the weaknesses of your kind of vampirism. The creature reacts to garlic, mirrors, ringing bells, sunlight, and so on as if it were a vampire of the same type as you. This cannot kill the target; anything that would kill it (such as a lengthy exposure to sunlight if you are a moroi vampire) renders it helpless until the curse or the harmful effect is removed. The target gains none of the benefits of being a vampire (such as fast healing or requiring special ways to be permanently killed), only the penalties.</t>
  </si>
  <si>
    <t>&lt;p&gt;You curse the target with the weaknesses of your kind of vampirism. The creature reacts to garlic, mirrors, ringing bells, sunlight, and so on as if it were a vampire of the same type as you. This cannot kill the target; anything that would kill it (such as a lengthy exposure to sunlight if you are a moroi vampire) renders it helpless until the curse or the harmful effect is removed. The target gains none of the benefits of being a vampire (such as fast healing or requiring special ways to be permanently killed), only the penalties.&lt;/p&gt;</t>
  </si>
  <si>
    <t>&lt;link rel="stylesheet"href="PF.css"&gt;&lt;div class="heading"&gt;&lt;p class="alignleft"&gt;Project Weakness&lt;/p&gt;&lt;div style="clear: both;"&gt;&lt;/div&gt;&lt;/div&gt;&lt;div&gt;&lt;h5&gt;&lt;b&gt;School &lt;/b&gt;necromancy [curse, evil]; &lt;b&gt;Level &lt;/b&gt;cleric 3/oracle 3, sorcerer/wizard 4, witch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&lt;/b&gt;living creature touched&lt;/h5&gt;&lt;h5&gt;&lt;b&gt;Duration &lt;/b&gt;permanent&lt;/h5&gt;&lt;h5&gt;&lt;b&gt;Saving Throw &lt;/b&gt;Will negates; &lt;b&gt;Spell Resistance &lt;/b&gt;yes&lt;/h5&gt;&lt;/div&gt;&lt;hr/&gt;&lt;div&gt;&lt;h5&gt;&lt;b&gt;DESCRIPTION&lt;/b&gt;&lt;/h5&gt;&lt;/div&gt;&lt;hr/&gt;&lt;div&gt;&lt;h4&gt;&lt;p&gt;You curse the target with the weaknesses of your kind of vampirism. The creature reacts to garlic, mirrors, ringing bells, sunlight, and so on as if it were a vampire of the same type as you. This cannot kill the target; anything that would kill it (such as a lengthy exposure to sunlight if you are a moroi vampire) renders it helpless until the curse or the harmful effect is removed. The target gains none of the benefits of being a vampire (such as fast healing or requiring special ways to be permanently killed), only the penalties.&lt;/p&gt;&lt;/h4&gt;&lt;/div&gt;</t>
  </si>
  <si>
    <t>Steal Years</t>
  </si>
  <si>
    <t>cleric 3/oracle 3, druid 3, sorcerer/wizard 3, witch 3</t>
  </si>
  <si>
    <t>V, S, M (a handful of ash)</t>
  </si>
  <si>
    <t>You temporarily drain youth and vitality from the target and channel it into yourself. If the target fails its Fortitude save, it physically ages 1d4 years per two caster levels (maximum 5d4), and you decrease your age by the same number of years. If this changes the age category of you or the target, only adjust physical ability scores. This effect cannot bring your age to lower than the minimum age of adulthood for your race (see page 169 of the Core Rulebook). This stolen youth does not actually change your age or prolong your life; you will still die at your allotted time, no matter how youthful you appear. Likewise, the spell does not add to the target's true age, and cannot make the target die of old age. When the spell ends, the sudden weight of aging makes you fatigued for 1d4 hours.</t>
  </si>
  <si>
    <t>&lt;p&gt;You temporarily drain youth and vitality from the target and channel it into yourself. If the target fails its Fortitude save, it physically ages 1d4 years per two caster levels (maximum 5d4), and you decrease your age by the same number of years. If this changes the age category of you or the target, only adjust physical ability scores. This effect cannot bring your age to lower than the minimum age of adulthood for your race (see page 169 of the &lt;i&gt;Core&lt;/i&gt; Rulebook). This stolen youth does not actually change your age or prolong your life; you will still die at your allotted time, no matter how youthful you appear. Likewise, the spell does not add to the target's true age, and cannot make the target die of old age. When the spell ends, the sudden weight of aging makes you fatigued for 1d4 hours.&lt;/p&gt;</t>
  </si>
  <si>
    <t>&lt;link rel="stylesheet"href="PF.css"&gt;&lt;div class="heading"&gt;&lt;p class="alignleft"&gt;Steal Years&lt;/p&gt;&lt;div style="clear: both;"&gt;&lt;/div&gt;&lt;/div&gt;&lt;div&gt;&lt;h5&gt;&lt;b&gt;School &lt;/b&gt;transmutation; &lt;b&gt;Level &lt;/b&gt;cleric 3/oracle 3, druid 3, sorcerer/wizard 3, witch 3&lt;/h5&gt;&lt;/div&gt;&lt;hr/&gt;&lt;div&gt;&lt;h5&gt;&lt;b&gt;CASTING&lt;/b&gt;&lt;/h5&gt;&lt;/div&gt;&lt;hr/&gt;&lt;div&gt;&lt;h5&gt;&lt;b&gt;Casting Time &lt;/b&gt;1 standard action&lt;/h5&gt;&lt;h5&gt;&lt;b&gt;Components &lt;/b&gt;V, S, M (a handful of ash)&lt;/h5&gt;&lt;/div&gt;&lt;hr/&gt;&lt;div&gt;&lt;h5&gt;&lt;b&gt;EFFECT&lt;/b&gt;&lt;/h5&gt;&lt;/div&gt;&lt;hr/&gt;&lt;div&gt;&lt;h5&gt;&lt;b&gt;Range &lt;/b&gt;touch&lt;/h5&gt;&lt;h5&gt;&lt;b&gt;Targets &lt;/b&gt;creature touched&lt;/h5&gt;&lt;h5&gt;&lt;b&gt;Duration &lt;/b&gt;24 hours&lt;/h5&gt;&lt;h5&gt;&lt;b&gt;Saving Throw &lt;/b&gt;Fortitude negates; &lt;b&gt;Spell Resistance &lt;/b&gt;yes&lt;/h5&gt;&lt;/div&gt;&lt;hr/&gt;&lt;div&gt;&lt;h5&gt;&lt;b&gt;DESCRIPTION&lt;/b&gt;&lt;/h5&gt;&lt;/div&gt;&lt;hr/&gt;&lt;div&gt;&lt;h4&gt;&lt;p&gt;You temporarily drain youth and vitality from the target and channel it into yourself. If the target fails its Fortitude save, it physically ages 1d4 years per two caster levels (maximum 5d4), and you decrease your age by the same number of years. If this changes the age category of you or the target, only adjust physical ability scores. This effect cannot bring your age to lower than the minimum age of adulthood for your race (see page 169 of the &lt;i&gt;Core&lt;/i&gt; Rulebook). This stolen youth does not actually change your age or prolong your life; you will still die at your allotted time, no matter how youthful you appear. Likewise, the spell does not add to the target's true age, and cannot make the target die of old age. When the spell ends, the sudden weight of aging makes you fatigued for 1d4 hours.&lt;/p&gt;&lt;/h4&gt;&lt;/div&gt;</t>
  </si>
  <si>
    <t>Steal Years, Greater</t>
  </si>
  <si>
    <t>cleric 5/oracle 5, druid 5, sorcerer/wizard 5, witch 5</t>
  </si>
  <si>
    <t>This spell functions like steal years, except you drain 1d6 years per two caster levels (maximum 10d6).</t>
  </si>
  <si>
    <t>&lt;p&gt;This spell functions like &lt;i&gt;steal years&lt;/i&gt;, except you drain 1d6 years per two caster levels (maximum 10d6).&lt;/p&gt;</t>
  </si>
  <si>
    <t>&lt;link rel="stylesheet"href="PF.css"&gt;&lt;div class="heading"&gt;&lt;p class="alignleft"&gt;Steal Years, Greater&lt;/p&gt;&lt;div style="clear: both;"&gt;&lt;/div&gt;&lt;/div&gt;&lt;div&gt;&lt;h5&gt;&lt;b&gt;School &lt;/b&gt;transmutation; &lt;b&gt;Level &lt;/b&gt;cleric 5/oracle 5, druid 5, sorcerer/wizard 5, witch 5&lt;/h5&gt;&lt;/div&gt;&lt;hr/&gt;&lt;div&gt;&lt;h5&gt;&lt;b&gt;CASTING&lt;/b&gt;&lt;/h5&gt;&lt;/div&gt;&lt;hr/&gt;&lt;div&gt;&lt;h5&gt;&lt;b&gt;Casting Time &lt;/b&gt;1 standard action&lt;/h5&gt;&lt;h5&gt;&lt;b&gt;Components &lt;/b&gt;V, S, M (a handful of ash)&lt;/h5&gt;&lt;/div&gt;&lt;hr/&gt;&lt;div&gt;&lt;h5&gt;&lt;b&gt;EFFECT&lt;/b&gt;&lt;/h5&gt;&lt;/div&gt;&lt;hr/&gt;&lt;div&gt;&lt;h5&gt;&lt;b&gt;Range &lt;/b&gt;touch&lt;/h5&gt;&lt;h5&gt;&lt;b&gt;Targets &lt;/b&gt;creature touched&lt;/h5&gt;&lt;h5&gt;&lt;b&gt;Duration &lt;/b&gt;1 day/level&lt;/h5&gt;&lt;h5&gt;&lt;b&gt;Saving Throw &lt;/b&gt;Fortitude negates; &lt;b&gt;Spell Resistance &lt;/b&gt;yes&lt;/h5&gt;&lt;/div&gt;&lt;hr/&gt;&lt;div&gt;&lt;h5&gt;&lt;b&gt;DESCRIPTION&lt;/b&gt;&lt;/h5&gt;&lt;/div&gt;&lt;hr/&gt;&lt;div&gt;&lt;h4&gt;&lt;p&gt;This spell functions like &lt;i&gt;steal years&lt;/i&gt;, except you drain 1d6 years per two caster levels (maximum 10d6).&lt;/p&gt;&lt;/h4&gt;&lt;/div&gt;</t>
  </si>
  <si>
    <t>Transmute Wine To Blood</t>
  </si>
  <si>
    <t>V, S, M (drop of animal blood)</t>
  </si>
  <si>
    <t>bottle of wine worth at least 10 gp</t>
  </si>
  <si>
    <t>You transform one bottle of fine wine into 1 pint of animal blood, sufficient for a creature with the blood drain ability to feed upon as if it came from a Medium animal with 1 Hit Die. If you are using the optional hunger rules (see page 22), this blood satiates an undead creature's hunger, negating any withdrawal effects, but does not grant the creature a feeding bonus. The blood coagulates and spoils at the normal rate.</t>
  </si>
  <si>
    <t>&lt;p&gt;You transform one bottle of fine wine into 1 pint of animal blood, sufficient for a creature with the blood drain ability to feed upon as if it came from a Medium animal with 1 Hit Die. If you are using the optional hunger rules (see page 22), this blood satiates an undead creature's hunger, negating any withdrawal effects, but does not grant the creature a feeding bonus. The blood coagulates and spoils at the normal rate.&lt;/p&gt;</t>
  </si>
  <si>
    <t>&lt;link rel="stylesheet"href="PF.css"&gt;&lt;div class="heading"&gt;&lt;p class="alignleft"&gt;Transmute Wine To Blood&lt;/p&gt;&lt;div style="clear: both;"&gt;&lt;/div&gt;&lt;/div&gt;&lt;div&gt;&lt;h5&gt;&lt;b&gt;School &lt;/b&gt;transmutation; &lt;b&gt;Level &lt;/b&gt;cleric 2/oracle 2, sorcerer/wizard 2, witch 2&lt;/h5&gt;&lt;/div&gt;&lt;hr/&gt;&lt;div&gt;&lt;h5&gt;&lt;b&gt;CASTING&lt;/b&gt;&lt;/h5&gt;&lt;/div&gt;&lt;hr/&gt;&lt;div&gt;&lt;h5&gt;&lt;b&gt;Casting Time &lt;/b&gt;1 standard action&lt;/h5&gt;&lt;h5&gt;&lt;b&gt;Components &lt;/b&gt;V, S, M (drop of animal blood)&lt;/h5&gt;&lt;/div&gt;&lt;hr/&gt;&lt;div&gt;&lt;h5&gt;&lt;b&gt;EFFECT&lt;/b&gt;&lt;/h5&gt;&lt;/div&gt;&lt;hr/&gt;&lt;div&gt;&lt;h5&gt;&lt;b&gt;Range &lt;/b&gt;touch&lt;/h5&gt;&lt;h5&gt;&lt;b&gt;Targets &lt;/b&gt;bottle of wine worth at least 10 gp&lt;/h5&gt;&lt;h5&gt;&lt;b&gt;Duration &lt;/b&gt;instantaneous&lt;/h5&gt;&lt;h5&gt;&lt;b&gt;Saving Throw &lt;/b&gt;Fortitude negates (object); &lt;b&gt;Spell Resistance &lt;/b&gt;yes (object)&lt;/h5&gt;&lt;/div&gt;&lt;hr/&gt;&lt;div&gt;&lt;h5&gt;&lt;b&gt;DESCRIPTION&lt;/b&gt;&lt;/h5&gt;&lt;/div&gt;&lt;hr/&gt;&lt;div&gt;&lt;h4&gt;&lt;p&gt;You transform one bottle of fine wine into 1 pint of animal blood, sufficient for a creature with the blood drain ability to feed upon as if it came from a Medium animal with 1 Hit Die. If you are using the optional hunger rules (see page 22), this blood satiates an undead creature's hunger, negating any withdrawal effects, but does not grant the creature a feeding bonus. The blood coagulates and spoils at the normal rate.&lt;/p&gt;&lt;/h4&gt;&lt;/div&gt;</t>
  </si>
  <si>
    <t>Frost Mammoth</t>
  </si>
  <si>
    <t>cleric 7/oracle 7, druid 7, sorcerer/wizard 7, summoner 6</t>
  </si>
  <si>
    <t>V, S, M (a fragment of mammoth tusk)</t>
  </si>
  <si>
    <t>one frost mammoth</t>
  </si>
  <si>
    <t>A blast of snow suddenly fills an area with a space of 15 feet-this snow immediately forms the shape of a woolly mammoth that seems to be made of snow, with tusks of solid ice. The mammoth has statistics identical to those of a mastodon (Pathfinder RPG Bestiary 128), save that it also has the cold subtype (and thus gains immunity to cold and vulnerability to fire). The frost mammoth obeys your telepathic commands. It allows you or anyone you designate to ride it, and is treated as if combat trained. At 17th level, a frost mammoth you conjure deals an additional 1d6 points of cold damage with each physical attack.</t>
  </si>
  <si>
    <t>&lt;p&gt;A blast of snow suddenly fills an area with a space of 15 feet-this snow immediately forms the shape of a woolly mammoth that seems to be made of snow, with tusks of solid ice. The mammoth has statistics identical to those of a mastodon (&lt;i&gt;Pathfinder RPG Bestiary&lt;/i&gt; 128), save that it also has the cold subtype (and thus gains immunity to cold and vulnerability to fire). The frost mammoth obeys your telepathic commands. It allows you or anyone you designate to ride it, and is treated as if combat trained. At 17th level, a frost mammoth you conjure deals an additional 1d6 points of cold damage with each physical attack.&lt;/p&gt;</t>
  </si>
  <si>
    <t>People Of The North</t>
  </si>
  <si>
    <t>&lt;link rel="stylesheet"href="PF.css"&gt;&lt;div class="heading"&gt;&lt;p class="alignleft"&gt;Frost Mammoth&lt;/p&gt;&lt;div style="clear: both;"&gt;&lt;/div&gt;&lt;/div&gt;&lt;div&gt;&lt;h5&gt;&lt;b&gt;School &lt;/b&gt;conjuration (creation) [cold]; &lt;b&gt;Level &lt;/b&gt;cleric 7/oracle 7, druid 7, sorcerer/wizard 7, summoner 6&lt;/h5&gt;&lt;/div&gt;&lt;hr/&gt;&lt;div&gt;&lt;h5&gt;&lt;b&gt;CASTING&lt;/b&gt;&lt;/h5&gt;&lt;/div&gt;&lt;hr/&gt;&lt;div&gt;&lt;h5&gt;&lt;b&gt;Casting Time &lt;/b&gt;1 round&lt;/h5&gt;&lt;h5&gt;&lt;b&gt;Components &lt;/b&gt;V, S, M (a fragment of mammoth tusk)&lt;/h5&gt;&lt;/div&gt;&lt;hr/&gt;&lt;div&gt;&lt;h5&gt;&lt;b&gt;EFFECT&lt;/b&gt;&lt;/h5&gt;&lt;/div&gt;&lt;hr/&gt;&lt;div&gt;&lt;h5&gt;&lt;b&gt;Range &lt;/b&gt;close (25 ft. + 5 ft./2 levels)&lt;/h5&gt;&lt;h5&gt;&lt;b&gt;Effect &lt;/b&gt;one frost mammoth&lt;/h5&gt;&lt;h5&gt;&lt;b&gt;Duration &lt;/b&gt;1 round/level (D)&lt;/h5&gt;&lt;h5&gt;&lt;b&gt;Saving Throw &lt;/b&gt;none; &lt;b&gt;Spell Resistance &lt;/b&gt;no&lt;/h5&gt;&lt;/div&gt;&lt;hr/&gt;&lt;div&gt;&lt;h5&gt;&lt;b&gt;DESCRIPTION&lt;/b&gt;&lt;/h5&gt;&lt;/div&gt;&lt;hr/&gt;&lt;div&gt;&lt;h4&gt;&lt;p&gt;A blast of snow suddenly fills an area with a space of 15 feet-this snow immediately forms the shape of a woolly mammoth that seems to be made of snow, with tusks of solid ice. The mammoth has statistics identical to those of a mastodon (&lt;i&gt;Pathfinder RPG Bestiary&lt;/i&gt; 128), save that it also has the cold subtype (and thus gains immunity to cold and vulnerability to fire). The frost mammoth obeys your telepathic commands. It allows you or anyone you designate to ride it, and is treated as if combat trained. At 17th level, a frost mammoth you conjure deals an additional 1d6 points of cold damage with each physical attack.&lt;/p&gt;&lt;/h4&gt;&lt;/div&gt;</t>
  </si>
  <si>
    <t>Winter's Grasp</t>
  </si>
  <si>
    <t>V, S, M/DF (ground glass)</t>
  </si>
  <si>
    <t>Ice encrusts the ground, radiating supernatural cold and making it difficult for creatures to maintain their balance. This icy ground is treated as normal ice, forcing creatures to spend 2 squares of movement to enter an icy square and increasing the DC of Acrobatics checks attempted in the area by 5. A creature that begins its turn in the affected area takes 1d6 points of cold damage, and takes a -2 penalty on saving throws against all spells with the cold descriptor for 1 round.</t>
  </si>
  <si>
    <t>&lt;p&gt;Ice encrusts the ground, radiating supernatural cold and making it difficult for creatures to maintain their balance. This icy ground is treated as normal ice, forcing creatures to spend 2 squares of movement to enter an icy square and increasing the DC of Acrobatics checks attempted in the area by 5. A creature that begins its turn in the affected area takes 1d6 points of cold damage, and takes a -2 penalty on saving throws against all spells with the cold descriptor for 1 round.&lt;/p&gt;</t>
  </si>
  <si>
    <t>&lt;link rel="stylesheet"href="PF.css"&gt;&lt;div class="heading"&gt;&lt;p class="alignleft"&gt;Winter's Grasp&lt;/p&gt;&lt;div style="clear: both;"&gt;&lt;/div&gt;&lt;/div&gt;&lt;div&gt;&lt;h5&gt;&lt;b&gt;School &lt;/b&gt;conjuration (creation) [cold]; &lt;b&gt;Level &lt;/b&gt;druid 2, witch 2&lt;/h5&gt;&lt;/div&gt;&lt;hr/&gt;&lt;div&gt;&lt;h5&gt;&lt;b&gt;CASTING&lt;/b&gt;&lt;/h5&gt;&lt;/div&gt;&lt;hr/&gt;&lt;div&gt;&lt;h5&gt;&lt;b&gt;Casting Time &lt;/b&gt;1 standard action&lt;/h5&gt;&lt;h5&gt;&lt;b&gt;Components &lt;/b&gt;V, S, M/DF (ground glass)&lt;/h5&gt;&lt;/div&gt;&lt;hr/&gt;&lt;div&gt;&lt;h5&gt;&lt;b&gt;EFFECT&lt;/b&gt;&lt;/h5&gt;&lt;/div&gt;&lt;hr/&gt;&lt;div&gt;&lt;h5&gt;&lt;b&gt;Range &lt;/b&gt;medium (100 ft. + 10 ft./level)&lt;/h5&gt;&lt;h5&gt;&lt;b&gt;Area &lt;/b&gt;20-ft.-radius spread&lt;/h5&gt;&lt;h5&gt;&lt;b&gt;Duration &lt;/b&gt;1 round/level&lt;/h5&gt;&lt;h5&gt;&lt;b&gt;Saving Throw &lt;/b&gt;none; &lt;b&gt;Spell Resistance &lt;/b&gt;no&lt;/h5&gt;&lt;/div&gt;&lt;hr/&gt;&lt;div&gt;&lt;h5&gt;&lt;b&gt;DESCRIPTION&lt;/b&gt;&lt;/h5&gt;&lt;/div&gt;&lt;hr/&gt;&lt;div&gt;&lt;h4&gt;&lt;p&gt;Ice encrusts the ground, radiating supernatural cold and making it difficult for creatures to maintain their balance. This icy ground is treated as normal ice, forcing creatures to spend 2 squares of movement to enter an icy square and increasing the DC of Acrobatics checks attempted in the area by 5. A creature that begins its turn in the affected area takes 1d6 points of cold damage, and takes a -2 penalty on saving throws against all spells with the cold descriptor for 1 round.&lt;/p&gt;&lt;/h4&gt;&lt;/div&gt;</t>
  </si>
  <si>
    <t>Irriseni Mirror Sight</t>
  </si>
  <si>
    <t>V, S, F (a mirror)</t>
  </si>
  <si>
    <t>This spell lets you look into a mirror near you and see an image that is reflected in another specific mirror (chosen by you) or an individual reflected in any other mirror. This works like a scrying spell, except you can only view creatures on the same plane as you. Each time you cast the spell, you can choose to see one of three types of reflections in your mirror. Known Mirror: The current reflection in another mirror with which you are familiar. Known Person: The current reflection of a person you know well, assuming that person is near a mirror. Known Place: The current reflection of a place you know well, assuming the location is being reflected in a mirror. You receive only visual information through this ability. You can choose to transmit information both ways so that a person reflected in the remote mirror can view whatever appears in the mirror you are using. For example, Urion Petresky knows that Queen Elvanna keeps a mirror in a hall near her throne room. He can look through his own handheld mirror and see into this hall, even if the queen is not there. Alternatively, he can attempt to find the queen (wherever she is) by looking into his mirror; if, at that moment, the queen is near any mirror at all, he can see her. He may instead cast the spell and try to see into her throne room, hoping that someone has brought a mirror there. If any of these conditions fails, Urion sees nothing but his own reflection. This spell works with intentionally fabricated mirrors only; it is not effective with other reflective surfaces, such as still pools or polished metal shields. Effects that block scrying block this spell.</t>
  </si>
  <si>
    <t>&lt;p&gt;This spell lets you look into a mirror near you and see an image that is reflected in another specific mirror (chosen by you) or an individual reflected in any other mirror. This works like a &lt;i&gt;scrying&lt;/i&gt; spell, except you can only view creatures on the same plane as you. Each time you cast the spell, you can choose to see one of three types of reflections in your mirror. &lt;i&gt;Known Mirror&lt;/i&gt;: The current reflection in another mirror with which you are familiar. &lt;i&gt;Known Person&lt;/i&gt;: The current reflection of a person you know well, assuming that person is near a mirror. &lt;i&gt;Known Place&lt;/i&gt;: The current reflection of a place you know well, assuming the location is being reflected in a mirror. You receive only visual information through this ability. You can choose to transmit information both ways so that a person reflected in the remote mirror can view whatever appears in the mirror you are using. For example, Urion Petresky knows that Queen Elvanna keeps a mirror in a hall near her throne room. He can look through his own handheld mirror and see into this hall, even if the queen is not there. Alternatively, he can attempt to find the queen (wherever she is) by looking into his mirror; if, at that moment, the queen is near any mirror at all, he can see her. He may instead cast the spell and try to see into her throne room, hoping that someone has brought a mirror there. If any of these conditions fails, Urion sees nothing but his own reflection. This spell works with intentionally fabricated mirrors only; it is not effective with other reflective surfaces, such as still pools or polished metal shields. &lt;b&gt;Effect&lt;/b&gt;s that block &lt;i&gt;scrying&lt;/i&gt; block this spell.&lt;/p&gt;</t>
  </si>
  <si>
    <t>AP 67</t>
  </si>
  <si>
    <t>&lt;link rel="stylesheet"href="PF.css"&gt;&lt;div class="heading"&gt;&lt;p class="alignleft"&gt;Irriseni Mirror Sight&lt;/p&gt;&lt;div style="clear: both;"&gt;&lt;/div&gt;&lt;/div&gt;&lt;div&gt;&lt;h5&gt;&lt;b&gt;School &lt;/b&gt;divination (scrying); &lt;b&gt;Level &lt;/b&gt;sorcerer/wizard 3, witch 3&lt;/h5&gt;&lt;/div&gt;&lt;hr/&gt;&lt;div&gt;&lt;h5&gt;&lt;b&gt;CASTING&lt;/b&gt;&lt;/h5&gt;&lt;/div&gt;&lt;hr/&gt;&lt;div&gt;&lt;h5&gt;&lt;b&gt;Casting Time &lt;/b&gt;10 minutes&lt;/h5&gt;&lt;h5&gt;&lt;b&gt;Components &lt;/b&gt;V, S, F (a mirror)&lt;/h5&gt;&lt;/div&gt;&lt;hr/&gt;&lt;div&gt;&lt;h5&gt;&lt;b&gt;EFFECT&lt;/b&gt;&lt;/h5&gt;&lt;/div&gt;&lt;hr/&gt;&lt;div&gt;&lt;h5&gt;&lt;b&gt;Range &lt;/b&gt;see text&lt;/h5&gt;&lt;h5&gt;&lt;b&gt;Effect &lt;/b&gt;magical sensor&lt;/h5&gt;&lt;h5&gt;&lt;b&gt;Duration &lt;/b&gt;1 minute/level&lt;/h5&gt;&lt;h5&gt;&lt;b&gt;Saving Throw &lt;/b&gt;none; &lt;b&gt;Spell Resistance &lt;/b&gt;no&lt;/h5&gt;&lt;/div&gt;&lt;hr/&gt;&lt;div&gt;&lt;h5&gt;&lt;b&gt;DESCRIPTION&lt;/b&gt;&lt;/h5&gt;&lt;/div&gt;&lt;hr/&gt;&lt;div&gt;&lt;h4&gt;&lt;p&gt;This spell lets you look into a mirror near you and see an image that is reflected in another specific mirror (chosen by you) or an individual reflected in any other mirror. This works like a &lt;i&gt;scrying&lt;/i&gt; spell, except you can only view creatures on the same plane as you. Each time you cast the spell, you can choose to see one of three types of reflections in your mirror. &lt;i&gt;Known Mirror&lt;/i&gt;: The current reflection in another mirror with which you are familiar. &lt;i&gt;Known Person&lt;/i&gt;: The current reflection of a person you know well, assuming that person is near a mirror. &lt;i&gt;Known Place&lt;/i&gt;: The current reflection of a place you know well, assuming the location is being reflected in a mirror. You receive only visual information through this ability. You can choose to transmit information both ways so that a person reflected in the remote mirror can view whatever appears in the mirror you are using. For example, Urion Petresky knows that Queen Elvanna keeps a mirror in a hall near her throne room. He can look through his own handheld mirror and see into this hall, even if the queen is not there. Alternatively, he can attempt to find the queen (wherever she is) by looking into his mirror; if, at that moment, the queen is near any mirror at all, he can see her. He may instead cast the spell and try to see into her throne room, hoping that someone has brought a mirror there. If any of these conditions fails, Urion sees nothing but his own reflection. This spell works with intentionally fabricated mirrors only; it is not effective with other reflective surfaces, such as still pools or polished metal shields. Effects that block &lt;i&gt;scrying&lt;/i&gt; block this spell.&lt;/p&gt;&lt;/h4&gt;&lt;/div&gt;</t>
  </si>
  <si>
    <t>Bleed For Your Master</t>
  </si>
  <si>
    <t>antipaladin 2, druid 3, ranger 3, sorcerer/wizard 3, witch 3</t>
  </si>
  <si>
    <t>your animal companion, familiar, or fiendish servant</t>
  </si>
  <si>
    <t>When you would be hit by an attack that requires an attack roll, you may cast this spell to compel the target to throw itself in front of the blow, taking damage from the attack instead of you. After taking damage, the target is shaken for 1 minute. If you target your animal companion, familiar, or fiendish servant with this spell while it is already shaken, it becomes frightened after intercepting the attack. If the attack involves multiple attack rolls from a single effect (e.g., scorching ray), the target intercepts all attacks. If the attack involves multiple attack rolls from natural attacks or iterative attacks, it intercepts only one attack. If the spell affects an area, the target instead grants you cover against the effect (+2 bonus on Reflex saves) if it is your size or smaller, or improved cover (+4 on Reflex saves and improved evasion against the effect) if it is larger than you. The target automatically fails its Reflex save against the effect, but may still benefit from effects such as improved evasion. This spell has no effect on attacks that do not require an attack roll or affect an area. Your animal companion, familiar, or fiendish servant must be adjacent to you at the time of casting or this spell has no effect.</t>
  </si>
  <si>
    <t>&lt;p&gt;When you would be hit by an attack that requires an attack roll, you may cast this spell to compel the target to throw itself in front of the blow, taking damage from the attack instead of you. After taking damage, the target is shaken for 1 minute. If you target your animal companion, familiar, or fiendish servant with this spell while it is already shaken, it becomes frightened after intercepting the attack. If the attack involves multiple attack rolls from a single effect (e.g., &lt;i&gt;scorching&lt;/i&gt; ray), the target intercepts all attacks. If the attack involves multiple attack rolls from natural attacks or iterative attacks, it intercepts only one attack. If the spell affects an area, the target instead grants you cover against the effect (+2 bonus on Reflex saves) if it is your size or smaller, or improved cover (+4 on Reflex saves and improved evasion against the effect) if it is larger than you. The target automatically fails its Reflex save against the effect, but may still benefit from effects such as improved evasion. This spell has no effect on attacks that do not require an attack roll or affect an area. Your animal companion, familiar, or fiendish servant must be adjacent to you at the time of casting or this spell has no effect.&lt;/p&gt;</t>
  </si>
  <si>
    <t>Animal Archive</t>
  </si>
  <si>
    <t>&lt;link rel="stylesheet"href="PF.css"&gt;&lt;div class="heading"&gt;&lt;p class="alignleft"&gt;Bleed For Your Master&lt;/p&gt;&lt;div style="clear: both;"&gt;&lt;/div&gt;&lt;/div&gt;&lt;div&gt;&lt;h5&gt;&lt;b&gt;School &lt;/b&gt;enchantment (compulsion); &lt;b&gt;Level &lt;/b&gt;antipaladin 2, druid 3, ranger 3, sorcerer/wizard 3, witch 3&lt;/h5&gt;&lt;/div&gt;&lt;hr/&gt;&lt;div&gt;&lt;h5&gt;&lt;b&gt;CASTING&lt;/b&gt;&lt;/h5&gt;&lt;/div&gt;&lt;hr/&gt;&lt;div&gt;&lt;h5&gt;&lt;b&gt;Casting Time &lt;/b&gt;1 immediate action&lt;/h5&gt;&lt;h5&gt;&lt;b&gt;Components &lt;/b&gt;V, S&lt;/h5&gt;&lt;/div&gt;&lt;hr/&gt;&lt;div&gt;&lt;h5&gt;&lt;b&gt;EFFECT&lt;/b&gt;&lt;/h5&gt;&lt;/div&gt;&lt;hr/&gt;&lt;div&gt;&lt;h5&gt;&lt;b&gt;Range &lt;/b&gt;touch&lt;/h5&gt;&lt;h5&gt;&lt;b&gt;Targets &lt;/b&gt;your animal companion, familiar, or fiendish servant&lt;/h5&gt;&lt;h5&gt;&lt;b&gt;Duration &lt;/b&gt;instantaneous&lt;/h5&gt;&lt;h5&gt;&lt;b&gt;Saving Throw &lt;/b&gt;none; &lt;b&gt;Spell Resistance &lt;/b&gt;no&lt;/h5&gt;&lt;/div&gt;&lt;hr/&gt;&lt;div&gt;&lt;h5&gt;&lt;b&gt;DESCRIPTION&lt;/b&gt;&lt;/h5&gt;&lt;/div&gt;&lt;hr/&gt;&lt;div&gt;&lt;h4&gt;&lt;p&gt;When you would be hit by an attack that requires an attack roll, you may cast this spell to compel the target to throw itself in front of the blow, taking damage from the attack instead of you. After taking damage, the target is shaken for 1 minute. If you target your animal companion, familiar, or fiendish servant with this spell while it is already shaken, it becomes frightened after intercepting the attack. If the attack involves multiple attack rolls from a single effect (e.g., &lt;i&gt;scorching&lt;/i&gt; ray), the target intercepts all attacks. If the attack involves multiple attack rolls from natural attacks or iterative attacks, it intercepts only one attack. If the spell affects an area, the target instead grants you cover against the effect (+2 bonus on Reflex saves) if it is your size or smaller, or improved cover (+4 on Reflex saves and improved evasion against the effect) if it is larger than you. The target automatically fails its Reflex save against the effect, but may still benefit from effects such as improved evasion. This spell has no effect on attacks that do not require an attack roll or affect an area. Your animal companion, familiar, or fiendish servant must be adjacent to you at the time of casting or this spell has no effect.&lt;/p&gt;&lt;/h4&gt;&lt;/div&gt;</t>
  </si>
  <si>
    <t>Die For Your Master</t>
  </si>
  <si>
    <t>antipaladin 4, druid 5, sorcerer/wizard 5, witch 5</t>
  </si>
  <si>
    <t>This spell functions as bleed for your master, but it allows your companion or familiar to intercept any attack that targets you, including those that do not require attack rolls (e.g., chain lightning, hold monster, and magic missile). Your companion or familiar cannot intercept effects that do not affect creatures of its type (e.g., dominate person).</t>
  </si>
  <si>
    <t>&lt;p&gt;This spell functions as &lt;i&gt;bleed for your master&lt;/i&gt;, but it allows your companion or familiar to intercept any attack that targets you, including those that do not require attack rolls (e.g., &lt;i&gt;chain lightning&lt;/i&gt;, &lt;i&gt;hold monster&lt;/i&gt;, and &lt;i&gt;magic&lt;/i&gt; missile). Your companion or familiar cannot intercept effects that do not affect creatures of its type (e.g., &lt;i&gt;dominate&lt;/i&gt; person).&lt;/p&gt;</t>
  </si>
  <si>
    <t>&lt;link rel="stylesheet"href="PF.css"&gt;&lt;div class="heading"&gt;&lt;p class="alignleft"&gt;Die For Your Master&lt;/p&gt;&lt;div style="clear: both;"&gt;&lt;/div&gt;&lt;/div&gt;&lt;div&gt;&lt;h5&gt;&lt;b&gt;School &lt;/b&gt;enchantment (compulsion); &lt;b&gt;Level &lt;/b&gt;antipaladin 4, druid 5, sorcerer/wizard 5, witch 5&lt;/h5&gt;&lt;/div&gt;&lt;hr/&gt;&lt;div&gt;&lt;h5&gt;&lt;b&gt;CASTING&lt;/b&gt;&lt;/h5&gt;&lt;/div&gt;&lt;hr/&gt;&lt;div&gt;&lt;h5&gt;&lt;b&gt;Casting Time &lt;/b&gt;1 immediate action&lt;/h5&gt;&lt;h5&gt;&lt;b&gt;Components &lt;/b&gt;V, S&lt;/h5&gt;&lt;/div&gt;&lt;hr/&gt;&lt;div&gt;&lt;h5&gt;&lt;b&gt;EFFECT&lt;/b&gt;&lt;/h5&gt;&lt;/div&gt;&lt;hr/&gt;&lt;div&gt;&lt;h5&gt;&lt;b&gt;Range &lt;/b&gt;touch&lt;/h5&gt;&lt;h5&gt;&lt;b&gt;Targets &lt;/b&gt;your animal companion, familiar, or fiendish servant&lt;/h5&gt;&lt;h5&gt;&lt;b&gt;Duration &lt;/b&gt;instantaneous&lt;/h5&gt;&lt;h5&gt;&lt;b&gt;Saving Throw &lt;/b&gt;none; &lt;b&gt;Spell Resistance &lt;/b&gt;no&lt;/h5&gt;&lt;/div&gt;&lt;hr/&gt;&lt;div&gt;&lt;h5&gt;&lt;b&gt;DESCRIPTION&lt;/b&gt;&lt;/h5&gt;&lt;/div&gt;&lt;hr/&gt;&lt;div&gt;&lt;h4&gt;&lt;p&gt;This spell functions as &lt;i&gt;bleed for your master&lt;/i&gt;, but it allows your companion or familiar to intercept any attack that targets you, including those that do not require attack rolls (e.g., &lt;i&gt;chain lightning&lt;/i&gt;, &lt;i&gt;hold monster&lt;/i&gt;, and &lt;i&gt;magic&lt;/i&gt; missile). Your companion or familiar cannot intercept effects that do not affect creatures of its type (e.g., &lt;i&gt;dominate&lt;/i&gt; person).&lt;/p&gt;&lt;/h4&gt;&lt;/div&gt;</t>
  </si>
  <si>
    <t>Familiar Figment</t>
  </si>
  <si>
    <t>You create an illusory duplicate of your familiar that moves erratically around your familiar's space, frequently moving through the familiar's body with a blurring effect that makes it indistinguishable from the real creature. Attacks against the familiar have a 50% miss chance; attacks that miss instead target the familiar figment, which reacts as if damaged as appropriate to the attack but unlike a mirror image is not destroyed when struck. This spell does not grant your familiar concealment or prevent it from being targeted by spell effects that do not require an attack roll. In addition, as a swift action, your familiar can direct the familiar figment to attempt a melee touch attack, using your base attack bonus and the familiar's Dexterity modifier. If this attack hits, your familiar (but not other creatures) treats that target as flanked until the end of its turn.</t>
  </si>
  <si>
    <t>&lt;p&gt;You create an illusory duplicate of your familiar that moves erratically around your familiar's space, frequently moving through the familiar's body with a blurring effect that makes it indistinguishable from the real creature. Attacks against the familiar have a 50% miss chance; attacks that miss instead target the familiar figment, which reacts as if damaged as appropriate to the attack but unlike a &lt;i&gt;mirror image&lt;/i&gt; is not destroyed when struck. This spell does not grant your familiar concealment or prevent it from being targeted by spell effects that do not require an attack roll. In addition, as a swift action, your familiar can direct the familiar figment to attempt a melee touch attack, using your base attack bonus and the familiar's Dexterity modifier. If this attack hits, your familiar (but not other creatures) treats that target as flanked until the end of its turn.&lt;/p&gt;</t>
  </si>
  <si>
    <t>&lt;link rel="stylesheet"href="PF.css"&gt;&lt;div class="heading"&gt;&lt;p class="alignleft"&gt;Familiar Figment&lt;/p&gt;&lt;div style="clear: both;"&gt;&lt;/div&gt;&lt;/div&gt;&lt;div&gt;&lt;h5&gt;&lt;b&gt;School &lt;/b&gt;illusion (figment); &lt;b&gt;Level &lt;/b&gt;sorcerer/wizard 2, witch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&lt;/b&gt;your familiar&lt;/h5&gt;&lt;h5&gt;&lt;b&gt;Duration &lt;/b&gt;1 round/level (D)&lt;/h5&gt;&lt;h5&gt;&lt;b&gt;Saving Throw &lt;/b&gt;none; &lt;b&gt;Spell Resistance &lt;/b&gt;no&lt;/h5&gt;&lt;/div&gt;&lt;hr/&gt;&lt;div&gt;&lt;h5&gt;&lt;b&gt;DESCRIPTION&lt;/b&gt;&lt;/h5&gt;&lt;/div&gt;&lt;hr/&gt;&lt;div&gt;&lt;h4&gt;&lt;p&gt;You create an illusory duplicate of your familiar that moves erratically around your familiar's space, frequently moving through the familiar's body with a blurring effect that makes it indistinguishable from the real creature. Attacks against the familiar have a 50% miss chance; attacks that miss instead target the familiar figment, which reacts as if damaged as appropriate to the attack but unlike a &lt;i&gt;mirror image&lt;/i&gt; is not destroyed when struck. This spell does not grant your familiar concealment or prevent it from being targeted by spell effects that do not require an attack roll. In addition, as a swift action, your familiar can direct the familiar figment to attempt a melee touch attack, using your base attack bonus and the familiar's Dexterity modifier. If this attack hits, your familiar (but not other creatures) treats that target as flanked until the end of its turn.&lt;/p&gt;&lt;/h4&gt;&lt;/div&gt;</t>
  </si>
  <si>
    <t>Hunter's Friend</t>
  </si>
  <si>
    <t>Your animal companion works in perfect harmony with your mastery of nature. You share one of the following class abilities with your companion for every 4 caster levels you possess: camouflage, favored enemy, favored terrain, hide in plain sight, resist nature's lure, swift tracker, trackless step, venom immunity, and woodland stride. You must have the ability in question to share it with your companion, and it functions for your companion just as it functions for you, save that each favored enemy or favored terrain you share counts as a separate class ability for the purpose of this spell. At the GM's discretion, you may instead share an ability granted by an archetype that substitutes for one of the above abilities, such as the arctic endurance, arctic native, icewalking, and snowcaster abilities of an arctic druidAPG.</t>
  </si>
  <si>
    <t>&lt;p&gt;Your animal companion works in perfect harmony with your mastery of nature. You share one of the following class abilities with your companion for every 4 caster levels you possess: camouflage, favored enemy, favored terrain, hide in plain sight, resist nature's lure, swift tracker, trackless step, venom immunity, and woodland stride. You must have the ability in question to share it with your companion, and it functions for your companion just as it functions for you, save that each favored enemy or favored terrain you share counts as a separate class ability for the purpose of this spell. At the GM's discretion, you may instead share an ability granted by an archetype that substitutes for one of the above abilities, such as the arctic endurance, arctic native, icewalking, and snowcaster abilities of an arctic druidAPG.&lt;/p&gt;</t>
  </si>
  <si>
    <t>&lt;link rel="stylesheet"href="PF.css"&gt;&lt;div class="heading"&gt;&lt;p class="alignleft"&gt;Hunter's Friend&lt;/p&gt;&lt;div style="clear: both;"&gt;&lt;/div&gt;&lt;/div&gt;&lt;div&gt;&lt;h5&gt;&lt;b&gt;School &lt;/b&gt;transmutation; &lt;b&gt;Level &lt;/b&gt;druid 3, ranger 2&lt;/h5&gt;&lt;/div&gt;&lt;hr/&gt;&lt;div&gt;&lt;h5&gt;&lt;b&gt;CASTING&lt;/b&gt;&lt;/h5&gt;&lt;/div&gt;&lt;hr/&gt;&lt;div&gt;&lt;h5&gt;&lt;b&gt;Casting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&lt;/b&gt;your animal companion&lt;/h5&gt;&lt;h5&gt;&lt;b&gt;Duration &lt;/b&gt;1 hour/level (D)&lt;/h5&gt;&lt;h5&gt;&lt;b&gt;Saving Throw &lt;/b&gt;Will negates (harmless); &lt;b&gt;Spell Resistance &lt;/b&gt;no&lt;/h5&gt;&lt;/div&gt;&lt;hr/&gt;&lt;div&gt;&lt;h5&gt;&lt;b&gt;DESCRIPTION&lt;/b&gt;&lt;/h5&gt;&lt;/div&gt;&lt;hr/&gt;&lt;div&gt;&lt;h4&gt;&lt;p&gt;Your animal companion works in perfect harmony with your mastery of nature. You share one of the following class abilities with your companion for every 4 caster levels you possess: camouflage, favored enemy, favored terrain, hide in plain sight, resist nature's lure, swift tracker, trackless step, venom immunity, and woodland stride. You must have the ability in question to share it with your companion, and it functions for your companion just as it functions for you, save that each favored enemy or favored terrain you share counts as a separate class ability for the purpose of this spell. At the GM's discretion, you may instead share an ability granted by an archetype that substitutes for one of the above abilities, such as the arctic endurance, arctic native, icewalking, and snowcaster abilities of an arctic druidAPG.&lt;/p&gt;&lt;/h4&gt;&lt;/div&gt;</t>
  </si>
  <si>
    <t>Scamper</t>
  </si>
  <si>
    <t>Your animal companion moves with astonishing agility and speed until the end of its turn. It can move at full speed while using Acrobatics, and it gains a competence bonus equal to twice your caster level (maximum +20 at 10th level) on Acrobatics checks made to avoid attacks of opportunity or move through a square occupied by an enemy.</t>
  </si>
  <si>
    <t>&lt;p&gt;Your animal companion moves with astonishing agility and speed until the end of its turn. It can move at full speed while using Acrobatics, and it gains a competence bonus equal to twice your caster level (maximum +20 at 10th level) on Acrobatics checks made to avoid attacks of opportunity or move through a square occupied by an enemy.&lt;/p&gt;</t>
  </si>
  <si>
    <t>&lt;link rel="stylesheet"href="PF.css"&gt;&lt;div class="heading"&gt;&lt;p class="alignleft"&gt;Scamper&lt;/p&gt;&lt;div style="clear: both;"&gt;&lt;/div&gt;&lt;/div&gt;&lt;div&gt;&lt;h5&gt;&lt;b&gt;School &lt;/b&gt;transmutation; &lt;b&gt;Level &lt;/b&gt;druid 2, ranger 2&lt;/h5&gt;&lt;/div&gt;&lt;hr/&gt;&lt;div&gt;&lt;h5&gt;&lt;b&gt;CASTING&lt;/b&gt;&lt;/h5&gt;&lt;/div&gt;&lt;hr/&gt;&lt;div&gt;&lt;h5&gt;&lt;b&gt;Casting Time &lt;/b&gt;1 swift action&lt;/h5&gt;&lt;h5&gt;&lt;b&gt;Components &lt;/b&gt;V, S&lt;/h5&gt;&lt;/div&gt;&lt;hr/&gt;&lt;div&gt;&lt;h5&gt;&lt;b&gt;EFFECT&lt;/b&gt;&lt;/h5&gt;&lt;/div&gt;&lt;hr/&gt;&lt;div&gt;&lt;h5&gt;&lt;b&gt;Range &lt;/b&gt;close (25 ft. + 5 ft./2 levels)&lt;/h5&gt;&lt;h5&gt;&lt;b&gt;Targets &lt;/b&gt;your animal companion&lt;/h5&gt;&lt;h5&gt;&lt;b&gt;Duration &lt;/b&gt;1 round&lt;/h5&gt;&lt;h5&gt;&lt;b&gt;Saving Throw &lt;/b&gt;none; &lt;b&gt;Spell Resistance &lt;/b&gt;no&lt;/h5&gt;&lt;/div&gt;&lt;hr/&gt;&lt;div&gt;&lt;h5&gt;&lt;b&gt;DESCRIPTION&lt;/b&gt;&lt;/h5&gt;&lt;/div&gt;&lt;hr/&gt;&lt;div&gt;&lt;h4&gt;&lt;p&gt;Your animal companion moves with astonishing agility and speed until the end of its turn. It can move at full speed while using Acrobatics, and it gains a competence bonus equal to twice your caster level (maximum +20 at 10th level) on Acrobatics checks made to avoid attacks of opportunity or move through a square occupied by an enemy.&lt;/p&gt;&lt;/h4&gt;&lt;/div&gt;</t>
  </si>
  <si>
    <t>Sea Steed</t>
  </si>
  <si>
    <t>druid 2, paladin 2, ranger 2</t>
  </si>
  <si>
    <t>your mount</t>
  </si>
  <si>
    <t>Your animal companion or mount adapts to life in the water, gaining scales that cover its body and fins in place of feet. Your mount gains the aquatic subtype, the amphibious quality, and a swim speed equal to its normal speed, though its land speed is reduced to 10 feet (if its land speed is normally greater than 10 feet-otherwise, its land speed is unaffected) while this spell is in effect.</t>
  </si>
  <si>
    <t>&lt;p&gt;Your animal companion or mount adapts to life in the water, gaining scales that cover its body and fins in place of feet. Your mount gains the aquatic subtype, the amphibious quality, and a swim speed equal to its normal speed, though its land speed is reduced to 10 feet (if its land speed is normally greater than 10 feet-otherwise, its land speed is unaffected) while this spell is in effect.&lt;/p&gt;</t>
  </si>
  <si>
    <t>&lt;link rel="stylesheet"href="PF.css"&gt;&lt;div class="heading"&gt;&lt;p class="alignleft"&gt;Sea Steed&lt;/p&gt;&lt;div style="clear: both;"&gt;&lt;/div&gt;&lt;/div&gt;&lt;div&gt;&lt;h5&gt;&lt;b&gt;School &lt;/b&gt;transmutation (polymorph); &lt;b&gt;Level &lt;/b&gt;druid 2, paladin 2, ranger 2&lt;/h5&gt;&lt;/div&gt;&lt;hr/&gt;&lt;div&gt;&lt;h5&gt;&lt;b&gt;CASTING&lt;/b&gt;&lt;/h5&gt;&lt;/div&gt;&lt;hr/&gt;&lt;div&gt;&lt;h5&gt;&lt;b&gt;Casting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&lt;/b&gt;your mount&lt;/h5&gt;&lt;h5&gt;&lt;b&gt;Duration &lt;/b&gt;10 minutes/level (D)&lt;/h5&gt;&lt;h5&gt;&lt;b&gt;Saving Throw &lt;/b&gt;Will negates (harmless); &lt;b&gt;Spell Resistance &lt;/b&gt;no&lt;/h5&gt;&lt;/div&gt;&lt;hr/&gt;&lt;div&gt;&lt;h5&gt;&lt;b&gt;DESCRIPTION&lt;/b&gt;&lt;/h5&gt;&lt;/div&gt;&lt;hr/&gt;&lt;div&gt;&lt;h4&gt;&lt;p&gt;Your animal companion or mount adapts to life in the water, gaining scales that cover its body and fins in place of feet. Your mount gains the aquatic subtype, the amphibious quality, and a swim speed equal to its normal speed, though its land speed is reduced to 10 feet (if its land speed is normally greater than 10 feet-otherwise, its land speed is unaffected) while this spell is in effect.&lt;/p&gt;&lt;/h4&gt;&lt;/div&gt;</t>
  </si>
  <si>
    <t>Sea Stallion</t>
  </si>
  <si>
    <t>druid 4, paladin 4, ranger 4</t>
  </si>
  <si>
    <t>This spell functions as sea steed, but as long as you are mounted on the affected creature, you also gain the amphibious quality and your melee attacks function as if you were using freedom of movement. If you are dismounted, you retain the amphibious quality for 1 minute; if you remount before this time, the spell continues. If not, your mount retains the effects but you do not. If your mount is dropped to 0 or fewer hit points, the spell ends for both of you.</t>
  </si>
  <si>
    <t>&lt;p&gt;This spell functions as &lt;i&gt;sea steed&lt;/i&gt;, but as long as you are mounted on the affected creature, you also gain the amphibious quality and your melee attacks function as if you were using &lt;i&gt;freedom of movement&lt;/i&gt;. If you are dismounted, you retain the amphibious quality for 1 minute; if you remount before this time, the spell continues. If not, your mount retains the effects but you do not. If your mount is dropped to 0 or fewer hit points, the spell ends for both of you.&lt;/p&gt;</t>
  </si>
  <si>
    <t>&lt;link rel="stylesheet"href="PF.css"&gt;&lt;div class="heading"&gt;&lt;p class="alignleft"&gt;Sea Stallion&lt;/p&gt;&lt;div style="clear: both;"&gt;&lt;/div&gt;&lt;/div&gt;&lt;div&gt;&lt;h5&gt;&lt;b&gt;School &lt;/b&gt;transmutation; &lt;b&gt;Level &lt;/b&gt;druid 4, paladin 4, ranger 4&lt;/h5&gt;&lt;/div&gt;&lt;hr/&gt;&lt;div&gt;&lt;h5&gt;&lt;b&gt;CASTING&lt;/b&gt;&lt;/h5&gt;&lt;/div&gt;&lt;hr/&gt;&lt;div&gt;&lt;h5&gt;&lt;b&gt;Casting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&lt;/b&gt;your mount&lt;/h5&gt;&lt;h5&gt;&lt;b&gt;Duration &lt;/b&gt;10 minutes/level (D)&lt;/h5&gt;&lt;h5&gt;&lt;b&gt;Saving Throw &lt;/b&gt;Will negates (harmless); &lt;b&gt;Spell Resistance &lt;/b&gt;no&lt;/h5&gt;&lt;/div&gt;&lt;hr/&gt;&lt;div&gt;&lt;h5&gt;&lt;b&gt;DESCRIPTION&lt;/b&gt;&lt;/h5&gt;&lt;/div&gt;&lt;hr/&gt;&lt;div&gt;&lt;h4&gt;&lt;p&gt;This spell functions as &lt;i&gt;sea steed&lt;/i&gt;, but as long as you are mounted on the affected creature, you also gain the amphibious quality and your melee attacks function as if you were using &lt;i&gt;freedom of movement&lt;/i&gt;. If you are dismounted, you retain the amphibious quality for 1 minute; if you remount before this time, the spell continues. If not, your mount retains the effects but you do not. If your mount is dropped to 0 or fewer hit points, the spell ends for both of you.&lt;/p&gt;&lt;/h4&gt;&lt;/div&gt;</t>
  </si>
  <si>
    <t>Share Shape</t>
  </si>
  <si>
    <t>ranger 3, sorcerer/wizard 4, witch 4</t>
  </si>
  <si>
    <t>This spell functions as beast shape II, but you may only assume the form of an animal of a type identical to your animal companion or familiar. If your familiar or companion is not an animal, this spell has no effect.</t>
  </si>
  <si>
    <t>&lt;p&gt;This spell functions as &lt;i&gt;beast shape II&lt;/i&gt;, but you may only assume the form of an animal of a type identical to your animal companion or familiar. If your familiar or companion is not an animal, this spell has no effect.&lt;/p&gt;</t>
  </si>
  <si>
    <t>&lt;link rel="stylesheet"href="PF.css"&gt;&lt;div class="heading"&gt;&lt;p class="alignleft"&gt;Share Shape&lt;/p&gt;&lt;div style="clear: both;"&gt;&lt;/div&gt;&lt;/div&gt;&lt;div&gt;&lt;h5&gt;&lt;b&gt;School &lt;/b&gt;transmutation (polymorph); &lt;b&gt;Level &lt;/b&gt;ranger 3, sorcerer/wizard 4, witch 4&lt;/h5&gt;&lt;/div&gt;&lt;hr/&gt;&lt;div&gt;&lt;h5&gt;&lt;b&gt;CASTING&lt;/b&gt;&lt;/h5&gt;&lt;/div&gt;&lt;hr/&gt;&lt;div&gt;&lt;h5&gt;&lt;b&gt;Casting Time &lt;/b&gt;1 standard action&lt;/h5&gt;&lt;h5&gt;&lt;b&gt;Components &lt;/b&gt;V, S, M (a piece of the creature whose form you plan to assume)&lt;/h5&gt;&lt;/div&gt;&lt;hr/&gt;&lt;div&gt;&lt;h5&gt;&lt;b&gt;EFFECT&lt;/b&gt;&lt;/h5&gt;&lt;/div&gt;&lt;hr/&gt;&lt;div&gt;&lt;h5&gt;&lt;b&gt;Range &lt;/b&gt;personal&lt;/h5&gt;&lt;h5&gt;&lt;b&gt;Duration &lt;/b&gt;1 hour/level (D)&lt;/h5&gt;&lt;/div&gt;&lt;hr/&gt;&lt;div&gt;&lt;h5&gt;&lt;b&gt;DESCRIPTION&lt;/b&gt;&lt;/h5&gt;&lt;/div&gt;&lt;hr/&gt;&lt;div&gt;&lt;h4&gt;&lt;p&gt;This spell functions as &lt;i&gt;beast shape II&lt;/i&gt;, but you may only assume the form of an animal of a type identical to your animal companion or familiar. If your familiar or companion is not an animal, this spell has no effect.&lt;/p&gt;&lt;/h4&gt;&lt;/div&gt;</t>
  </si>
  <si>
    <t>Shield Companion</t>
  </si>
  <si>
    <t>antipaladin 1, druid 1, paladin 1, ranger 1, sorcerer/wizard 1, witch 1</t>
  </si>
  <si>
    <t>This spell functions as shield other but affects only the caster's animal companion or familiar. Spellcasters from classes that do not normally gain an animal companion, familiar, or fiendish servant but who gain one through an alternate class feature, archetype, or prestige class can prepare and cast this spell as a 1st-level spell if they are capable of casting spells.</t>
  </si>
  <si>
    <t>&lt;p&gt;This spell functions as &lt;i&gt;shield other&lt;/i&gt; but affects only the caster's animal companion or familiar. Spellcasters from classes that do not normally gain an animal companion, familiar, or fiendish servant but who gain one through an alternate class feature, archetype, or prestige class can prepare and cast this spell as a 1st-level spell if they are capable of casting spells.&lt;/p&gt;</t>
  </si>
  <si>
    <t>&lt;link rel="stylesheet"href="PF.css"&gt;&lt;div class="heading"&gt;&lt;p class="alignleft"&gt;Shield Companion&lt;/p&gt;&lt;div style="clear: both;"&gt;&lt;/div&gt;&lt;/div&gt;&lt;div&gt;&lt;h5&gt;&lt;b&gt;School &lt;/b&gt;abjuration; &lt;b&gt;Level &lt;/b&gt;antipaladin 1, druid 1, paladin 1, ranger 1, sorcerer/wizard 1, witch 1&lt;/h5&gt;&lt;/div&gt;&lt;hr/&gt;&lt;div&gt;&lt;h5&gt;&lt;b&gt;CASTING&lt;/b&gt;&lt;/h5&gt;&lt;/div&gt;&lt;hr/&gt;&lt;div&gt;&lt;h5&gt;&lt;b&gt;Casting Time &lt;/b&gt;1 standard action&lt;/h5&gt;&lt;h5&gt;&lt;b&gt;Components &lt;/b&gt;V, S, F (a pair of platinum rings worth 50 gp worn by both you and the target)&lt;/h5&gt;&lt;/div&gt;&lt;hr/&gt;&lt;div&gt;&lt;h5&gt;&lt;b&gt;EFFECT&lt;/b&gt;&lt;/h5&gt;&lt;/div&gt;&lt;hr/&gt;&lt;div&gt;&lt;h5&gt;&lt;b&gt;Range &lt;/b&gt;close (25 ft. + 5 ft./2 levels)&lt;/h5&gt;&lt;h5&gt;&lt;b&gt;Targets &lt;/b&gt;your animal companion, familiar, or fiendish servant&lt;/h5&gt;&lt;h5&gt;&lt;b&gt;Duration &lt;/b&gt;1 hour/level (D)&lt;/h5&gt;&lt;h5&gt;&lt;b&gt;Saving Throw &lt;/b&gt;Will negates (harmless); &lt;b&gt;Spell Resistance &lt;/b&gt;yes (harmless)&lt;/h5&gt;&lt;/div&gt;&lt;hr/&gt;&lt;div&gt;&lt;h5&gt;&lt;b&gt;DESCRIPTION&lt;/b&gt;&lt;/h5&gt;&lt;/div&gt;&lt;hr/&gt;&lt;div&gt;&lt;h4&gt;&lt;p&gt;This spell functions as &lt;i&gt;shield other&lt;/i&gt; but affects only the caster's animal companion or familiar. Spellcasters from classes that do not normally gain an animal companion, familiar, or fiendish servant but who gain one through an alternate class feature, archetype, or prestige class can prepare and cast this spell as a 1st-level spell if they are capable of casting spells.&lt;/p&gt;&lt;/h4&gt;&lt;/div&gt;</t>
  </si>
  <si>
    <t>Sky Steed</t>
  </si>
  <si>
    <t>Your mount sprouts angelic wings and gains a fly speed equal to its land speed with average maneuverability and a bonus on Fly checks equal to your caster level.</t>
  </si>
  <si>
    <t>&lt;p&gt;Your mount sprouts angelic wings and gains a fly speed equal to its land speed with average maneuverability and a bonus on Fly checks equal to your caster level.&lt;/p&gt;</t>
  </si>
  <si>
    <t>&lt;link rel="stylesheet"href="PF.css"&gt;&lt;div class="heading"&gt;&lt;p class="alignleft"&gt;Sky Steed&lt;/p&gt;&lt;div style="clear: both;"&gt;&lt;/div&gt;&lt;/div&gt;&lt;div&gt;&lt;h5&gt;&lt;b&gt;School &lt;/b&gt;transmutation; &lt;b&gt;Level &lt;/b&gt;paladin 3&lt;/h5&gt;&lt;/div&gt;&lt;hr/&gt;&lt;div&gt;&lt;h5&gt;&lt;b&gt;CASTING&lt;/b&gt;&lt;/h5&gt;&lt;/div&gt;&lt;hr/&gt;&lt;div&gt;&lt;h5&gt;&lt;b&gt;Casting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&lt;/b&gt;your mount&lt;/h5&gt;&lt;h5&gt;&lt;b&gt;Duration &lt;/b&gt;1 minute/level (D)&lt;/h5&gt;&lt;h5&gt;&lt;b&gt;Saving Throw &lt;/b&gt;Will negates (harmless); &lt;b&gt;Spell Resistance &lt;/b&gt;no&lt;/h5&gt;&lt;/div&gt;&lt;hr/&gt;&lt;div&gt;&lt;h5&gt;&lt;b&gt;DESCRIPTION&lt;/b&gt;&lt;/h5&gt;&lt;/div&gt;&lt;hr/&gt;&lt;div&gt;&lt;h4&gt;&lt;p&gt;Your mount sprouts angelic wings and gains a fly speed equal to its land speed with average maneuverability and a bonus on Fly checks equal to your caster level.&lt;/p&gt;&lt;/h4&gt;&lt;/div&gt;</t>
  </si>
  <si>
    <t>Flurry Of Snowballs</t>
  </si>
  <si>
    <t>You send a flurry of snowballs hurtling at your foes. Any creature in the area takes 4d6 points of cold damage from being pelted with the icy spheres.</t>
  </si>
  <si>
    <t>&lt;p&gt;You send a flurry of snowballs hurtling at your foes. Any creature in the area takes 4d6 points of cold damage from being pelted with the icy spheres.&lt;/p&gt;</t>
  </si>
  <si>
    <t>&lt;link rel="stylesheet"href="PF.css"&gt;&lt;div class="heading"&gt;&lt;p class="alignleft"&gt;Flurry Of Snowballs&lt;/p&gt;&lt;div style="clear: both;"&gt;&lt;/div&gt;&lt;/div&gt;&lt;div&gt;&lt;h5&gt;&lt;b&gt;School &lt;/b&gt;evocation [cold, water]; &lt;b&gt;Level &lt;/b&gt;druid 2, magus 2, sorcerer/wizard 2, witch 2&lt;/h5&gt;&lt;/div&gt;&lt;hr/&gt;&lt;div&gt;&lt;h5&gt;&lt;b&gt;CASTING&lt;/b&gt;&lt;/h5&gt;&lt;/div&gt;&lt;hr/&gt;&lt;div&gt;&lt;h5&gt;&lt;b&gt;Casting Time &lt;/b&gt;1 standard action&lt;/h5&gt;&lt;h5&gt;&lt;b&gt;Components &lt;/b&gt;V, S&lt;/h5&gt;&lt;/div&gt;&lt;hr/&gt;&lt;div&gt;&lt;h5&gt;&lt;b&gt;EFFECT&lt;/b&gt;&lt;/h5&gt;&lt;/div&gt;&lt;hr/&gt;&lt;div&gt;&lt;h5&gt;&lt;b&gt;Range &lt;/b&gt;30 ft.&lt;/h5&gt;&lt;h5&gt;&lt;b&gt;Area &lt;/b&gt;cone-shaped burst&lt;/h5&gt;&lt;h5&gt;&lt;b&gt;Duration &lt;/b&gt;instantaneous&lt;/h5&gt;&lt;h5&gt;&lt;b&gt;Saving Throw &lt;/b&gt;Reflex half; &lt;b&gt;Spell Resistance &lt;/b&gt;no&lt;/h5&gt;&lt;/div&gt;&lt;hr/&gt;&lt;div&gt;&lt;h5&gt;&lt;b&gt;DESCRIPTION&lt;/b&gt;&lt;/h5&gt;&lt;/div&gt;&lt;hr/&gt;&lt;div&gt;&lt;h4&gt;&lt;p&gt;You send a flurry of snowballs hurtling at your foes. Any creature in the area takes 4d6 points of cold damage from being pelted with the icy spheres.&lt;/p&gt;&lt;/h4&gt;&lt;/div&gt;</t>
  </si>
  <si>
    <t>Snowball</t>
  </si>
  <si>
    <t>druid 1, magus 1, sorcerer/wizard 1, summoner 1, witch 1</t>
  </si>
  <si>
    <t>one ball of ice and snow</t>
  </si>
  <si>
    <t>You conjure a ball of packed ice and snow that you can throw at a single target as a ranged touch attack. On a successful hit, the snowball deals 1d6 points of cold damage per caster level (maximum 5d6), and the target must make a successful Fortitude saving throw or be staggered for 1 round.</t>
  </si>
  <si>
    <t>&lt;p&gt;You conjure a ball of packed ice and snow that you can throw at a single target as a ranged touch attack. On a successful hit, the snowball deals 1d6 points of cold damage per caster level (maximum 5d6), and the target must make a successful Fortitude saving throw or be staggered for 1 round.&lt;/p&gt;</t>
  </si>
  <si>
    <t>&lt;link rel="stylesheet"href="PF.css"&gt;&lt;div class="heading"&gt;&lt;p class="alignleft"&gt;Snowball&lt;/p&gt;&lt;div style="clear: both;"&gt;&lt;/div&gt;&lt;/div&gt;&lt;div&gt;&lt;h5&gt;&lt;b&gt;School &lt;/b&gt;conjuration (creation) [cold, water]; &lt;b&gt;Level &lt;/b&gt;druid 1, magus 1, sorcerer/wizard 1, summoner 1, witch 1&lt;/h5&gt;&lt;/div&gt;&lt;hr/&gt;&lt;div&gt;&lt;h5&gt;&lt;b&gt;CASTING&lt;/b&gt;&lt;/h5&gt;&lt;/div&gt;&lt;hr/&gt;&lt;div&gt;&lt;h5&gt;&lt;b&gt;Casting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levels)&lt;/h5&gt;&lt;h5&gt;&lt;b&gt;Effect &lt;/b&gt;one ball of ice and snow&lt;/h5&gt;&lt;h5&gt;&lt;b&gt;Duration &lt;/b&gt;instantaneous&lt;/h5&gt;&lt;h5&gt;&lt;b&gt;Saving Throw &lt;/b&gt;Fortitude partial (see text); &lt;b&gt;Spell Resistance &lt;/b&gt;no&lt;/h5&gt;&lt;/div&gt;&lt;hr/&gt;&lt;div&gt;&lt;h5&gt;&lt;b&gt;DESCRIPTION&lt;/b&gt;&lt;/h5&gt;&lt;/div&gt;&lt;hr/&gt;&lt;div&gt;&lt;h4&gt;&lt;p&gt;You conjure a ball of packed ice and snow that you can throw at a single target as a ranged touch attack. On a successful hit, the snowball deals 1d6 points of cold damage per caster level (maximum 5d6), and the target must make a successful Fortitude saving throw or be staggered for 1 round.&lt;/p&gt;&lt;/h4&gt;&lt;/div&gt;</t>
  </si>
  <si>
    <t>Ice Spears</t>
  </si>
  <si>
    <t>V, S, M (a small stalagmite-shaped crystal)</t>
  </si>
  <si>
    <t>1 ice spear/4 levels</t>
  </si>
  <si>
    <t>Reflex half and see below</t>
  </si>
  <si>
    <t>Favored by the spellcasters of Irrisen, this potent spell can disrupt spellcasters, topple enemies, and break even seemingly unstoppable charges. One or more giant spears of ice lance up out of the ground. Each stalagmite-like icicle affects a 5-foot square and tapers to a height of 10 feet. You may cause a number of ice spears equal to one spear for every 4 caster levels you possess to burst from the ground. A creature that occupies a square from which a spear extends (or that is within 10 feet of the ground below) takes 2d6 points of piercing damage and 2d6 points of cold damage per square-creatures that take up more than 1 square can be hit by multiple spears if your caster level is high enough. The explosive growth can also trip foes. When the spears erupt from the ground, they attempt a combat maneuver check to trip any targets that take damage from the spears, with a total bonus equal to your caster level plus your Intelligence, Wisdom, or Charisma modifier, whichever is highest. Each additional ice spear beyond the first that strikes a single foe grants a +10 bonus on this combat maneuver check. If the check is successful, the ice spears knock the foe prone. A successful Reflex save halves the damage and prevents the trip attempt. If you cast this spell upon an area covered with ice or snow, such as a glacier, frozen lake, or snow-covered field, the spears strike with additional force. Saves against the effect take a -2 penalty, and the spell effect gains a +4 bonus on the combat maneuver check to trip foes. Ice spears created by this spell remain after they do their damage. They melt as normal depending on the surrounding environment. They no longer damage foes in their square, but can provide cover. An ice spear has hardness 5 and 30 hit points.</t>
  </si>
  <si>
    <t>&lt;p&gt;Favored by the spellcasters of Irrisen, this potent spell can disrupt spellcasters, topple enemies, and break even seemingly unstoppable charges. One or more giant spears of ice lance up out of the ground. Each stalagmite-like icicle affects a 5-foot square and tapers to a height of 10 feet. You may cause a number of &lt;i&gt;&lt;i&gt;ice spear&lt;/i&gt;s&lt;/i&gt; equal to one spear for every 4 caster levels you possess to burst from the ground. A creature that occupies a square from which a spear extends (or that is within 10 feet of the ground below) takes 2d6 points of piercing damage and 2d6 points of cold damage per square-creatures that take up more than 1 square can be hit by multiple spears if your caster level is high enough. The explosive growth can also trip foes. When the spears erupt from the ground, they attempt a combat maneuver check to trip any targets that take damage from the spears, with a total bonus equal to your caster level plus your Intelligence, Wisdom, or Charisma modifier, whichever is highest. Each additional &lt;i&gt;ice spear&lt;/i&gt; beyond the first that strikes a single foe grants a +10 bonus on this combat maneuver check. If the check is successful, the &lt;i&gt;&lt;i&gt;ice spear&lt;/i&gt;s&lt;/i&gt; knock the foe prone. A successful Reflex save halves the damage and prevents the trip attempt. If you cast this spell upon an area covered with ice or snow, such as a glacier, frozen lake, or snow-covered field, the spears strike with additional force. Saves against the effect take a -2 penalty, and the spell effect gains a +4 bonus on the combat maneuver check to trip foes. &lt;i&gt;Ice spears&lt;/i&gt; created by this spell remain after they do their damage. They melt as normal depending on the surrounding environment. They no longer damage foes in their square, but can provide cover. An &lt;i&gt;ice spear&lt;/i&gt; has hardness 5 and 30 hit points.&lt;/p&gt;</t>
  </si>
  <si>
    <t>&lt;link rel="stylesheet"href="PF.css"&gt;&lt;div class="heading"&gt;&lt;p class="alignleft"&gt;Ice Spears&lt;/p&gt;&lt;div style="clear: both;"&gt;&lt;/div&gt;&lt;/div&gt;&lt;div&gt;&lt;h5&gt;&lt;b&gt;School &lt;/b&gt;conjuration [cold]; &lt;b&gt;Level &lt;/b&gt;druid 3, sorcerer/wizard 3, witch 3&lt;/h5&gt;&lt;/div&gt;&lt;hr/&gt;&lt;div&gt;&lt;h5&gt;&lt;b&gt;CASTING&lt;/b&gt;&lt;/h5&gt;&lt;/div&gt;&lt;hr/&gt;&lt;div&gt;&lt;h5&gt;&lt;b&gt;Casting Time &lt;/b&gt;1 standard action&lt;/h5&gt;&lt;h5&gt;&lt;b&gt;Components &lt;/b&gt;V, S, M (a small stalagmite-shaped crystal)&lt;/h5&gt;&lt;/div&gt;&lt;hr/&gt;&lt;div&gt;&lt;h5&gt;&lt;b&gt;EFFECT&lt;/b&gt;&lt;/h5&gt;&lt;/div&gt;&lt;hr/&gt;&lt;div&gt;&lt;h5&gt;&lt;b&gt;Range &lt;/b&gt;close (25 ft. + 5 ft./2 levels)&lt;/h5&gt;&lt;h5&gt;&lt;b&gt;Effect &lt;/b&gt;1 ice spear/4 levels&lt;/h5&gt;&lt;h5&gt;&lt;b&gt;Duration &lt;/b&gt;instantaneous&lt;/h5&gt;&lt;h5&gt;&lt;b&gt;Saving Throw &lt;/b&gt;Reflex half and see below; &lt;b&gt;Spell Resistance &lt;/b&gt;no&lt;/h5&gt;&lt;/div&gt;&lt;hr/&gt;&lt;div&gt;&lt;h5&gt;&lt;b&gt;DESCRIPTION&lt;/b&gt;&lt;/h5&gt;&lt;/div&gt;&lt;hr/&gt;&lt;div&gt;&lt;h4&gt;&lt;p&gt;Favored by the spellcasters of Irrisen, this potent spell can disrupt spellcasters, topple enemies, and break even seemingly unstoppable charges. One or more giant spears of ice lance up out of the ground. Each stalagmite-like icicle affects a 5-foot square and tapers to a height of 10 feet. You may cause a number of &lt;i&gt;&lt;i&gt;ice spear&lt;/i&gt;s&lt;/i&gt; equal to one spear for every 4 caster levels you possess to burst from the ground. A creature that occupies a square from which a spear extends (or that is within 10 feet of the ground below) takes 2d6 points of piercing damage and 2d6 points of cold damage per square-creatures that take up more than 1 square can be hit by multiple spears if your caster level is high enough. The explosive growth can also trip foes. When the spears erupt from the ground, they attempt a combat maneuver check to trip any targets that take damage from the spears, with a total bonus equal to your caster level plus your Intelligence, Wisdom, or Charisma modifier, whichever is highest. Each additional &lt;i&gt;ice spear&lt;/i&gt; beyond the first that strikes a single foe grants a +10 bonus on this combat maneuver check. If the check is successful, the &lt;i&gt;&lt;i&gt;ice spear&lt;/i&gt;s&lt;/i&gt; knock the foe prone. A successful Reflex save halves the damage and prevents the trip attempt. If you cast this spell upon an area covered with ice or snow, such as a glacier, frozen lake, or snow-covered field, the spears strike with additional force. Saves against the effect take a -2 penalty, and the spell effect gains a +4 bonus on the combat maneuver check to trip foes. &lt;i&gt;Ice spears&lt;/i&gt; created by this spell remain after they do their damage. They melt as normal depending on the surrounding environment. They no longer damage foes in their square, but can provide cover. An &lt;i&gt;ice spear&lt;/i&gt; has hardness 5 and 30 hit points.&lt;/p&gt;&lt;/h4&gt;&lt;/div&gt;</t>
  </si>
  <si>
    <t>Martyr's Last Blessing</t>
  </si>
  <si>
    <t>cleric 3/oracle 3, ranger 3</t>
  </si>
  <si>
    <t>personal (see text)</t>
  </si>
  <si>
    <t>you and one ally/level, no two of which can be more than 30 ft. apart (see text)</t>
  </si>
  <si>
    <t>1 hour/level or instantaneous (see text)</t>
  </si>
  <si>
    <t>Will half (harmless, see text)</t>
  </si>
  <si>
    <t>You charge your body with healing energy, which erupts from you if you are dying or are killed before 1 hour per level has passed. If you're brought below 0 hit points or killed (including by effects that kill without dealing damage, such as phantasmal killer and power word kill), the eruption of healing energy acts as mass cure light wounds on allies (other than you). Allies with the fewest Hit Dice are affected first. Among allies with equal HD, those closest to you are affected first. If the duration ends, the stored healing energy dissipates with no effect.</t>
  </si>
  <si>
    <t>&lt;p&gt;You charge your body with healing energy, which erupts from you if you are dying or are killed before 1 hour per level has passed. If you're brought below 0 hit points or killed (including by effects that kill without dealing damage, such as &lt;i&gt;phantasmal killer&lt;/i&gt; and &lt;i&gt;power word&lt;/i&gt; kill), the eruption of healing energy acts as &lt;i&gt;mass cure light wounds&lt;/i&gt; on allies (other than you). Allies with the fewest Hit Dice are affected first. Among allies with equal HD, those closest to you are affected first. If the duration ends, the stored healing energy dissipates with no effect.&lt;/p&gt;</t>
  </si>
  <si>
    <t>AP 68</t>
  </si>
  <si>
    <t>&lt;link rel="stylesheet"href="PF.css"&gt;&lt;div class="heading"&gt;&lt;p class="alignleft"&gt;Martyr's Last Blessing&lt;/p&gt;&lt;div style="clear: both;"&gt;&lt;/div&gt;&lt;/div&gt;&lt;div&gt;&lt;h5&gt;&lt;b&gt;School &lt;/b&gt;conjuration (healing); &lt;b&gt;Level &lt;/b&gt;cleric 3/oracle 3, ranger 3 (Milani)&lt;/h5&gt;&lt;/div&gt;&lt;hr/&gt;&lt;div&gt;&lt;h5&gt;&lt;b&gt;CASTING&lt;/b&gt;&lt;/h5&gt;&lt;/div&gt;&lt;hr/&gt;&lt;div&gt;&lt;h5&gt;&lt;b&gt;Casting Time &lt;/b&gt;1 minute&lt;/h5&gt;&lt;h5&gt;&lt;b&gt;Components &lt;/b&gt;V, S, DF&lt;/h5&gt;&lt;/div&gt;&lt;hr/&gt;&lt;div&gt;&lt;h5&gt;&lt;b&gt;EFFECT&lt;/b&gt;&lt;/h5&gt;&lt;/div&gt;&lt;hr/&gt;&lt;div&gt;&lt;h5&gt;&lt;b&gt;Range &lt;/b&gt;personal (see text)&lt;/h5&gt;&lt;h5&gt;&lt;b&gt;Targets &lt;/b&gt;you and one ally/level, no two of which can be more than 30 ft. apart (see text)&lt;/h5&gt;&lt;h5&gt;&lt;b&gt;Duration &lt;/b&gt;1 hour/level or instantaneous (see text)&lt;/h5&gt;&lt;h5&gt;&lt;b&gt;Saving Throw &lt;/b&gt;Will half (harmless, see text); &lt;b&gt;Spell Resistance &lt;/b&gt;yes (harmless)&lt;/h5&gt;&lt;/div&gt;&lt;hr/&gt;&lt;div&gt;&lt;h5&gt;&lt;b&gt;DESCRIPTION&lt;/b&gt;&lt;/h5&gt;&lt;/div&gt;&lt;hr/&gt;&lt;div&gt;&lt;h4&gt;&lt;p&gt;You charge your body with healing energy, which erupts from you if you are dying or are killed before 1 hour per level has passed. If you're brought below 0 hit points or killed (including by effects that kill without dealing damage, such as &lt;i&gt;phantasmal killer&lt;/i&gt; and &lt;i&gt;power word&lt;/i&gt; kill), the eruption of healing energy acts as &lt;i&gt;mass cure light wounds&lt;/i&gt; on allies (other than you). Allies with the fewest Hit Dice are affected first. Among allies with equal HD, those closest to you are affected first. If the duration ends, the stored healing energy dissipates with no effect.&lt;/p&gt;&lt;/h4&gt;&lt;/div&gt;</t>
  </si>
  <si>
    <t>Milani</t>
  </si>
  <si>
    <t>Peasant Armaments</t>
  </si>
  <si>
    <t>cleric 1/oracle 1, inquisitor 1, ranger 1, sorcerer/wizard 1</t>
  </si>
  <si>
    <t>1 improvised weapon/level</t>
  </si>
  <si>
    <t>You transform one or more improvised weapons into equivalent simple or martial weapons. The bearer of such a weapon can wield it with proficiency (no penalty for using an improvised weapon or not having the required proficiency). This does not alter the weapon's shape or appearance in any way. For example, if cast on a chair leg, butter knife, and pitchfork, the weapons function as a club, dagger, and trident, respectively, and anyone who wields them does so without a nonproficiency penalty, but the weapons look no different than they were before the spell. The spell has no effect on items that are not improvised weapons. For example, if cast on a short sword, it does not grant proficiency to anyone wielding it.</t>
  </si>
  <si>
    <t>&lt;p&gt;You transform one or more improvised weapons into equivalent simple or martial weapons. The bearer of such a weapon can wield it with proficiency (no penalty for using an improvised weapon or not having the required proficiency). This does not alter the weapon's shape or appearance in any way. For example, if cast on a chair leg, butter knife, and pitchfork, the weapons function as a club, dagger, and trident, respectively, and anyone who wields them does so without a nonproficiency penalty, but the weapons look no different than they were before the spell. The spell has no effect on items that are not improvised weapons. For example, if cast on a short sword, it does not grant proficiency to anyone wielding it.&lt;/p&gt;</t>
  </si>
  <si>
    <t>&lt;link rel="stylesheet"href="PF.css"&gt;&lt;div class="heading"&gt;&lt;p class="alignleft"&gt;Peasant Armaments&lt;/p&gt;&lt;div style="clear: both;"&gt;&lt;/div&gt;&lt;/div&gt;&lt;div&gt;&lt;h5&gt;&lt;b&gt;School &lt;/b&gt;transmutation; &lt;b&gt;Level &lt;/b&gt;cleric 1/oracle 1, inquisitor 1, ranger 1, sorcerer/wizard 1 (Milani)&lt;/h5&gt;&lt;/div&gt;&lt;hr/&gt;&lt;div&gt;&lt;h5&gt;&lt;b&gt;CASTING&lt;/b&gt;&lt;/h5&gt;&lt;/div&gt;&lt;hr/&gt;&lt;div&gt;&lt;h5&gt;&lt;b&gt;Casting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&lt;/b&gt;1 improvised weapon/level&lt;/h5&gt;&lt;h5&gt;&lt;b&gt;Duration &lt;/b&gt;1 minute/level (D)&lt;/h5&gt;&lt;h5&gt;&lt;b&gt;Saving Throw &lt;/b&gt;Will negates (harmless, object); &lt;b&gt;Spell Resistance &lt;/b&gt;yes (harmless, object)&lt;/h5&gt;&lt;/div&gt;&lt;hr/&gt;&lt;div&gt;&lt;h5&gt;&lt;b&gt;DESCRIPTION&lt;/b&gt;&lt;/h5&gt;&lt;/div&gt;&lt;hr/&gt;&lt;div&gt;&lt;h4&gt;&lt;p&gt;You transform one or more improvised weapons into equivalent simple or martial weapons. The bearer of such a weapon can wield it with proficiency (no penalty for using an improvised weapon or not having the required proficiency). This does not alter the weapon's shape or appearance in any way. For example, if cast on a chair leg, butter knife, and pitchfork, the weapons function as a club, dagger, and trident, respectively, and anyone who wields them does so without a nonproficiency penalty, but the weapons look no different than they were before the spell. The spell has no effect on items that are not improvised weapons. For example, if cast on a short sword, it does not grant proficiency to anyone wielding it.&lt;/p&gt;&lt;/h4&gt;&lt;/div&gt;</t>
  </si>
  <si>
    <t>Conjure Deadfall</t>
  </si>
  <si>
    <t>magus 5, sorcerer/wizard 4</t>
  </si>
  <si>
    <t>V, S, M (fistful of mithral tacks)</t>
  </si>
  <si>
    <t>one spiked, falling block</t>
  </si>
  <si>
    <t>Reflex negates (see text)</t>
  </si>
  <si>
    <t>You conjure a large metal cube covered in sharp spikes. If you conjure the block so that it appears in midair, it immediately plummets downward onto all creatures below it. When you cast this spell, you select the size of the square area you wish it to affect. If you choose to create a deadfall over a single 5-foot square, the block deals 1d6 points of bludgeoning damage per caster level (maximum 15d6) to each creature in the area. A deadfall over a 10-foot square deals 1d6 points of bludgeoning damage per 2 caster levels (maximum 7d6), a deadfall over a 15- foot square deals 1d6 points of bludgeoning damage per 3 caster levels (maximum 5d6), and so on, to a maximum size of a 25- foot square. Only creatures that are on the outer edge of the area affected by a conjure deadfall spell can attempt Reflex saves to avoid the effect; creatures whose space does not touch the edge of the deadfall do not receive a save. In order to deal damage, the conjured deadfall must start at least 10 feet above the tallest creature in the area to be affected. A conjured deadfall is as tall as it is wide, and the spell fails if you attempt to conjure a deadfall in an area already occupied by a creature or object (including the ceiling). Regardless, a deadfall conjured by this spell disappears as soon as it deals damage or strikes the ground.</t>
  </si>
  <si>
    <t>&lt;p&gt;You conjure a large metal cube covered in sharp spikes. If you conjure the block so that it appears in midair, it immediately plummets downward onto all creatures below it. When you cast this spell, you select the size of the square area you wish it to affect. If you choose to create a deadfall over a single 5-foot square, the block deals 1d6 points of bludgeoning damage per caster level (maximum 15d6) to each creature in the area. A deadfall over a 10-foot square deals 1d6 points of bludgeoning damage per 2 caster levels (maximum 7d6), a deadfall over a 15- foot square deals 1d6 points of bludgeoning damage per 3 caster levels (maximum 5d6), and so on, to a maximum size of a 25- foot square. Only creatures that are on the outer edge of the area affected by a &lt;i&gt;conjure deadfall&lt;/i&gt; spell can attempt Reflex saves to avoid the effect; creatures whose space does not touch the edge of the deadfall do not receive a save. In order to deal damage, the conjured deadfall must start at least 10 feet above the tallest creature in the area to be affected. A conjured deadfall is as tall as it is wide, and the spell fails if you attempt to conjure a deadfall in an area already occupied by a creature or object (including the ceiling). Regardless, a deadfall conjured by this spell disappears as soon as it deals damage or strikes the ground.&lt;/p&gt;</t>
  </si>
  <si>
    <t>Dungeoneers Handbook</t>
  </si>
  <si>
    <t>&lt;link rel="stylesheet"href="PF.css"&gt;&lt;div class="heading"&gt;&lt;p class="alignleft"&gt;Conjure Deadfall&lt;/p&gt;&lt;div style="clear: both;"&gt;&lt;/div&gt;&lt;/div&gt;&lt;div&gt;&lt;h5&gt;&lt;b&gt;School &lt;/b&gt;conjuration (creation); &lt;b&gt;Level &lt;/b&gt;magus 5, sorcerer/wizard 4&lt;/h5&gt;&lt;/div&gt;&lt;hr/&gt;&lt;div&gt;&lt;h5&gt;&lt;b&gt;CASTING&lt;/b&gt;&lt;/h5&gt;&lt;/div&gt;&lt;hr/&gt;&lt;div&gt;&lt;h5&gt;&lt;b&gt;Casting Time &lt;/b&gt;1 standard action&lt;/h5&gt;&lt;h5&gt;&lt;b&gt;Components &lt;/b&gt;V, S, M (fistful of mithral tacks)&lt;/h5&gt;&lt;/div&gt;&lt;hr/&gt;&lt;div&gt;&lt;h5&gt;&lt;b&gt;EFFECT&lt;/b&gt;&lt;/h5&gt;&lt;/div&gt;&lt;hr/&gt;&lt;div&gt;&lt;h5&gt;&lt;b&gt;Range &lt;/b&gt;medium (100 ft. + 10 ft./level)&lt;/h5&gt;&lt;h5&gt;&lt;b&gt;Area &lt;/b&gt;see text&lt;/h5&gt;&lt;h5&gt;&lt;b&gt;Effect &lt;/b&gt;one spiked, falling block&lt;/h5&gt;&lt;h5&gt;&lt;b&gt;Duration &lt;/b&gt;instantaneous&lt;/h5&gt;&lt;h5&gt;&lt;b&gt;Saving Throw &lt;/b&gt;Reflex negates (see text); &lt;b&gt;Spell Resistance &lt;/b&gt;yes&lt;/h5&gt;&lt;/div&gt;&lt;hr/&gt;&lt;div&gt;&lt;h5&gt;&lt;b&gt;DESCRIPTION&lt;/b&gt;&lt;/h5&gt;&lt;/div&gt;&lt;hr/&gt;&lt;div&gt;&lt;h4&gt;&lt;p&gt;You conjure a large metal cube covered in sharp spikes. If you conjure the block so that it appears in midair, it immediately plummets downward onto all creatures below it. When you cast this spell, you select the size of the square area you wish it to affect. If you choose to create a deadfall over a single 5-foot square, the block deals 1d6 points of bludgeoning damage per caster level (maximum 15d6) to each creature in the area. A deadfall over a 10-foot square deals 1d6 points of bludgeoning damage per 2 caster levels (maximum 7d6), a deadfall over a 15- foot square deals 1d6 points of bludgeoning damage per 3 caster levels (maximum 5d6), and so on, to a maximum size of a 25- foot square. Only creatures that are on the outer edge of the area affected by a &lt;i&gt;conjure deadfall&lt;/i&gt; spell can attempt Reflex saves to avoid the effect; creatures whose space does not touch the edge of the deadfall do not receive a save. In order to deal damage, the conjured deadfall must start at least 10 feet above the tallest creature in the area to be affected. A conjured deadfall is as tall as it is wide, and the spell fails if you attempt to conjure a deadfall in an area already occupied by a creature or object (including the ceiling). Regardless, a deadfall conjured by this spell disappears as soon as it deals damage or strikes the ground.&lt;/p&gt;&lt;/h4&gt;&lt;/div&gt;</t>
  </si>
  <si>
    <t>Create Holds</t>
  </si>
  <si>
    <t>druid 4, ranger 3, sorcerer/wizard 4</t>
  </si>
  <si>
    <t>V, S, M (handful of pebbles)</t>
  </si>
  <si>
    <t>path of handholds</t>
  </si>
  <si>
    <t>You create a path of handholds on earthen, plaster, stone, or wooden walls (not on walls made of metal or other, harder materials). The handholds are created in pairs and are approximately 3 feet apart, located in a specific path indicated by your gestures while casting the spell. The handholds' path can span up to 30 feet out from you plus an additional 10 feet per 3 caster levels (maximum 90 feet at 18th level). The handholds protrude approximately 6 inches from the wall, measure 10 inches lengthwise, and are perfectly suited for gripping with fingers or claws. At the end of the spell's duration, any creature being supported by the handholds immediately begins to fall.</t>
  </si>
  <si>
    <t>&lt;p&gt;You create a path of handholds on earthen, plaster, stone, or wooden walls (not on walls made of metal or other, harder materials). The handholds are created in pairs and are approximately 3 feet apart, located in a specific path indicated by your gestures while casting the spell. The handholds' path can span up to 30 feet out from you plus an additional 10 feet per 3 caster levels (maximum 90 feet at 18th level). The handholds protrude approximately 6 inches from the wall, measure 10 inches lengthwise, and are perfectly suited for gripping with fingers or claws. At the end of the spell's duration, any creature being supported by the handholds immediately begins to fall.&lt;/p&gt;</t>
  </si>
  <si>
    <t>&lt;link rel="stylesheet"href="PF.css"&gt;&lt;div class="heading"&gt;&lt;p class="alignleft"&gt;Create Holds&lt;/p&gt;&lt;div style="clear: both;"&gt;&lt;/div&gt;&lt;/div&gt;&lt;div&gt;&lt;h5&gt;&lt;b&gt;School &lt;/b&gt;transmutation; &lt;b&gt;Level &lt;/b&gt;druid 4, ranger 3, sorcerer/wizard 4&lt;/h5&gt;&lt;/div&gt;&lt;hr/&gt;&lt;div&gt;&lt;h5&gt;&lt;b&gt;CASTING&lt;/b&gt;&lt;/h5&gt;&lt;/div&gt;&lt;hr/&gt;&lt;div&gt;&lt;h5&gt;&lt;b&gt;Casting Time &lt;/b&gt;1 standard action&lt;/h5&gt;&lt;h5&gt;&lt;b&gt;Components &lt;/b&gt;V, S, M (handful of pebbles)&lt;/h5&gt;&lt;/div&gt;&lt;hr/&gt;&lt;div&gt;&lt;h5&gt;&lt;b&gt;EFFECT&lt;/b&gt;&lt;/h5&gt;&lt;/div&gt;&lt;hr/&gt;&lt;div&gt;&lt;h5&gt;&lt;b&gt;Range &lt;/b&gt;medium (100 ft. + 10 ft./level)&lt;/h5&gt;&lt;h5&gt;&lt;b&gt;Effect &lt;/b&gt;path of handholds&lt;/h5&gt;&lt;h5&gt;&lt;b&gt;Duration &lt;/b&gt;1 hour/level (D)&lt;/h5&gt;&lt;h5&gt;&lt;b&gt;Saving Throw &lt;/b&gt;none; &lt;b&gt;Spell Resistance &lt;/b&gt;no&lt;/h5&gt;&lt;/div&gt;&lt;hr/&gt;&lt;div&gt;&lt;h5&gt;&lt;b&gt;DESCRIPTION&lt;/b&gt;&lt;/h5&gt;&lt;/div&gt;&lt;hr/&gt;&lt;div&gt;&lt;h4&gt;&lt;p&gt;You create a path of handholds on earthen, plaster, stone, or wooden walls (not on walls made of metal or other, harder materials). The handholds are created in pairs and are approximately 3 feet apart, located in a specific path indicated by your gestures while casting the spell. The handholds' path can span up to 30 feet out from you plus an additional 10 feet per 3 caster levels (maximum 90 feet at 18th level). The handholds protrude approximately 6 inches from the wall, measure 10 inches lengthwise, and are perfectly suited for gripping with fingers or claws. At the end of the spell's duration, any creature being supported by the handholds immediately begins to fall.&lt;/p&gt;&lt;/h4&gt;&lt;/div&gt;</t>
  </si>
  <si>
    <t>Determine Depth</t>
  </si>
  <si>
    <t>bard 2, druid 2, sorcerer/wizard 2</t>
  </si>
  <si>
    <t>solid surface touched</t>
  </si>
  <si>
    <t>concentration, up to 1 round/level (D)</t>
  </si>
  <si>
    <t>With a touch, you can determine the exact thickness of a wall, ceiling, or other solid barrier, measuring from the point you are touching to the direct opposite side of the barrier in a straight line. You can only detect depths or widths of up to 10 feet per caster level (maximum 200 feet at 20th level); amounts in excess of this limit are detected as being the maximum you are able to detect. So, for example, a 5th-level wizard using this spell on a 60-foot-thick wall would detect that the wall is 50 feet thick. Determine depth can be used on earthen, plaster, stone, or wooden surfaces, but not on walls made of metal or other, harder materials. This spell is useful to casters who want to get an idea of their surroundings, and as a preliminary measure to casting spells such as passwall or dimension door.</t>
  </si>
  <si>
    <t>&lt;p&gt;With a touch, you can determine the exact thickness of a wall, ceiling, or other solid barrier, measuring from the point you are touching to the direct opposite side of the barrier in a straight line. You can only detect depths or widths of up to 10 feet per caster level (maximum 200 feet at 20th level); amounts in excess of this limit are detected as being the maximum you are able to detect. So, for example, a 5th-level wizard using this spell on a 60-foot-thick wall would detect that the wall is 50 feet thick. &lt;i&gt;&lt;b&gt;Determine&lt;/b&gt; depth&lt;/i&gt; can be used on earthen, plaster, stone, or wooden surfaces, but not on walls made of metal or other, harder materials. This spell is useful to casters who want to get an idea of their surroundings, and as a preliminary measure to casting spells such as &lt;i&gt;passwall&lt;/i&gt; or &lt;i&gt;dimension door&lt;/i&gt;.&lt;/p&gt;</t>
  </si>
  <si>
    <t>&lt;link rel="stylesheet"href="PF.css"&gt;&lt;div class="heading"&gt;&lt;p class="alignleft"&gt;Determine Depth&lt;/p&gt;&lt;div style="clear: both;"&gt;&lt;/div&gt;&lt;/div&gt;&lt;div&gt;&lt;h5&gt;&lt;b&gt;School &lt;/b&gt;divination; &lt;b&gt;Level &lt;/b&gt;bard 2, druid 2, sorcerer/wizard 2&lt;/h5&gt;&lt;/div&gt;&lt;hr/&gt;&lt;div&gt;&lt;h5&gt;&lt;b&gt;CASTING&lt;/b&gt;&lt;/h5&gt;&lt;/div&gt;&lt;hr/&gt;&lt;div&gt;&lt;h5&gt;&lt;b&gt;Casting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&lt;/b&gt;solid surface touched&lt;/h5&gt;&lt;h5&gt;&lt;b&gt;Duration &lt;/b&gt;concentration, up to 1 round/level (D)&lt;/h5&gt;&lt;h5&gt;&lt;b&gt;Saving Throw &lt;/b&gt;none; &lt;b&gt;Spell Resistance &lt;/b&gt;no&lt;/h5&gt;&lt;/div&gt;&lt;hr/&gt;&lt;div&gt;&lt;h5&gt;&lt;b&gt;DESCRIPTION&lt;/b&gt;&lt;/h5&gt;&lt;/div&gt;&lt;hr/&gt;&lt;div&gt;&lt;h4&gt;&lt;p&gt;With a touch, you can determine the exact thickness of a wall, ceiling, or other solid barrier, measuring from the point you are touching to the direct opposite side of the barrier in a straight line. You can only detect depths or widths of up to 10 feet per caster level (maximum 200 feet at 20th level); amounts in excess of this limit are detected as being the maximum you are able to detect. So, for example, a 5th-level wizard using this spell on a 60-foot-thick wall would detect that the wall is 50 feet thick. &lt;i&gt;&lt;b&gt;Determine&lt;/b&gt; depth&lt;/i&gt; can be used on earthen, plaster, stone, or wooden surfaces, but not on walls made of metal or other, harder materials. This spell is useful to casters who want to get an idea of their surroundings, and as a preliminary measure to casting spells such as &lt;i&gt;passwall&lt;/i&gt; or &lt;i&gt;dimension door&lt;/i&gt;.&lt;/p&gt;&lt;/h4&gt;&lt;/div&gt;</t>
  </si>
  <si>
    <t>Discern Value</t>
  </si>
  <si>
    <t>V, S, F (platinum monocle worth 100 gp)</t>
  </si>
  <si>
    <t>concentration, up to 1 minute/level (D)</t>
  </si>
  <si>
    <t>You can quickly analyze the monetary value of objects and identify which are most valuable to an average trader. You must specify a minimum value to detect when you cast this spell (such as 1 gp, 100 gp, or 1,000 gp). The amount of information revealed depends on how long you study a particular area or subject. 1st Round: Presence or absence of objects worth at least the specified amount. 2nd Round: The most valuable object in range glows brighter than all of the others. If an aura is outside your line of sight, then you discern its direction but not its exact location. 3rd Round: Objects whose values are within 10% of the most valuable item in range glow slightly. The spell's effect does not indicate whether an item has magical properties and does not detect artifacts or items that are priceless.</t>
  </si>
  <si>
    <t>&lt;p&gt;You can quickly analyze the monetary value of objects and identify which are most valuable to an average trader. You must specify a minimum value to detect when you cast this spell (such as 1 gp, 100 gp, or 1,000 gp). The amount of information revealed depends on how long you study a particular area or subject. &lt;i&gt;1st Round&lt;/i&gt;: Presence or absence of objects worth at least the specified amount. &lt;i&gt;2nd Round&lt;/i&gt;: The most valuable object in range glows brighter than all of the others. If an aura is outside your line of sight, then you discern its direction but not its exact location. &lt;i&gt;3rd Round&lt;/i&gt;: Objects whose values are within 10% of the most valuable item in range glow slightly. The spell's effect does not indicate whether an item has magical properties and does not detect artifacts or items that are priceless.&lt;/p&gt;</t>
  </si>
  <si>
    <t>&lt;link rel="stylesheet"href="PF.css"&gt;&lt;div class="heading"&gt;&lt;p class="alignleft"&gt;Discern Value&lt;/p&gt;&lt;div style="clear: both;"&gt;&lt;/div&gt;&lt;/div&gt;&lt;div&gt;&lt;h5&gt;&lt;b&gt;School &lt;/b&gt;divination; &lt;b&gt;Level &lt;/b&gt;bard 3, sorcerer/wizard 3&lt;/h5&gt;&lt;/div&gt;&lt;hr/&gt;&lt;div&gt;&lt;h5&gt;&lt;b&gt;CASTING&lt;/b&gt;&lt;/h5&gt;&lt;/div&gt;&lt;hr/&gt;&lt;div&gt;&lt;h5&gt;&lt;b&gt;Casting Time &lt;/b&gt;1 standard action&lt;/h5&gt;&lt;h5&gt;&lt;b&gt;Components &lt;/b&gt;V, S, F (platinum monocle worth 100 gp)&lt;/h5&gt;&lt;/div&gt;&lt;hr/&gt;&lt;div&gt;&lt;h5&gt;&lt;b&gt;EFFECT&lt;/b&gt;&lt;/h5&gt;&lt;/div&gt;&lt;hr/&gt;&lt;div&gt;&lt;h5&gt;&lt;b&gt;Range &lt;/b&gt;60 ft.&lt;/h5&gt;&lt;h5&gt;&lt;b&gt;Area &lt;/b&gt;cone-shaped emanation&lt;/h5&gt;&lt;h5&gt;&lt;b&gt;Duration &lt;/b&gt;concentration, up to 1 minute/level (D)&lt;/h5&gt;&lt;h5&gt;&lt;b&gt;Saving Throw &lt;/b&gt;none; &lt;b&gt;Spell Resistance &lt;/b&gt;no&lt;/h5&gt;&lt;/div&gt;&lt;hr/&gt;&lt;div&gt;&lt;h5&gt;&lt;b&gt;DESCRIPTION&lt;/b&gt;&lt;/h5&gt;&lt;/div&gt;&lt;hr/&gt;&lt;div&gt;&lt;h4&gt;&lt;p&gt;You can quickly analyze the monetary value of objects and identify which are most valuable to an average trader. You must specify a minimum value to detect when you cast this spell (such as 1 gp, 100 gp, or 1,000 gp). The amount of information revealed depends on how long you study a particular area or subject. &lt;i&gt;1st Round&lt;/i&gt;: Presence or absence of objects worth at least the specified amount. &lt;i&gt;2nd Round&lt;/i&gt;: The most valuable object in range glows brighter than all of the others. If an aura is outside your line of sight, then you discern its direction but not its exact location. &lt;i&gt;3rd Round&lt;/i&gt;: Objects whose values are within 10% of the most valuable item in range glow slightly. The spell's effect does not indicate whether an item has magical properties and does not detect artifacts or items that are priceless.&lt;/p&gt;&lt;/h4&gt;&lt;/div&gt;</t>
  </si>
  <si>
    <t>Nature's Ravages</t>
  </si>
  <si>
    <t>cleric 4/oracle 4, witch 3</t>
  </si>
  <si>
    <t>1 minute/HD of target</t>
  </si>
  <si>
    <t>V, S, M/DF (dried maggots)</t>
  </si>
  <si>
    <t>corpse of creature whose total number of HD does not exceed your caster level</t>
  </si>
  <si>
    <t>You greatly speed up the decomposition process of a nearby corpse and warp the fibers of time that permeate it, aging the corpse an additional amount of time equal to up to 1 day per 2 caster levels (maximum 10 days at 20th level). This spell prompts all the natural effects of the intended decomposition period, including crumbled clothing, rotted or liquefied flesh, maggot infestations, and the infiltration of any surrounding vegetation. In addition to hindering mundane autopsies and investigations, this spell may effectively prohibit the use of raise dead on the target, though more powerful magic such as resurrection or true resurrection may still work.</t>
  </si>
  <si>
    <t>&lt;p&gt;You greatly speed up the decomposition process of a nearby corpse and warp the fibers of time that permeate it, aging the corpse an additional amount of time equal to up to 1 day per 2 caster levels (maximum 10 days at 20th level). This spell prompts all the natural effects of the intended decomposition period, including crumbled clothing, rotted or liquefied flesh, maggot infestations, and the infiltration of any surrounding vegetation. In addition to hindering mundane autopsies and investigations, this spell may effectively prohibit the use of &lt;i&gt;raise dead&lt;/i&gt; on the target, though more powerful magic such as &lt;i&gt;resurrection&lt;/i&gt; or true &lt;i&gt;resurrection&lt;/i&gt; may still work.&lt;/p&gt;</t>
  </si>
  <si>
    <t>&lt;link rel="stylesheet"href="PF.css"&gt;&lt;div class="heading"&gt;&lt;p class="alignleft"&gt;Nature's Ravages&lt;/p&gt;&lt;div style="clear: both;"&gt;&lt;/div&gt;&lt;/div&gt;&lt;div&gt;&lt;h5&gt;&lt;b&gt;School &lt;/b&gt;necromancy; &lt;b&gt;Level &lt;/b&gt;cleric 4/oracle 4, witch 3&lt;/h5&gt;&lt;/div&gt;&lt;hr/&gt;&lt;div&gt;&lt;h5&gt;&lt;b&gt;CASTING&lt;/b&gt;&lt;/h5&gt;&lt;/div&gt;&lt;hr/&gt;&lt;div&gt;&lt;h5&gt;&lt;b&gt;Casting Time &lt;/b&gt;1 minute/HD of target&lt;/h5&gt;&lt;h5&gt;&lt;b&gt;Components &lt;/b&gt;V, S, M/DF (dried maggots)&lt;/h5&gt;&lt;/div&gt;&lt;hr/&gt;&lt;div&gt;&lt;h5&gt;&lt;b&gt;EFFECT&lt;/b&gt;&lt;/h5&gt;&lt;/div&gt;&lt;hr/&gt;&lt;div&gt;&lt;h5&gt;&lt;b&gt;Range &lt;/b&gt;close (25 ft. + 5 ft./level)&lt;/h5&gt;&lt;h5&gt;&lt;b&gt;Targets &lt;/b&gt;corpse of creature whose total number of HD does not exceed your caster level&lt;/h5&gt;&lt;h5&gt;&lt;b&gt;Duration &lt;/b&gt;instantaneous&lt;/h5&gt;&lt;h5&gt;&lt;b&gt;Saving Throw &lt;/b&gt;none; &lt;b&gt;Spell Resistance &lt;/b&gt;no&lt;/h5&gt;&lt;/div&gt;&lt;hr/&gt;&lt;div&gt;&lt;h5&gt;&lt;b&gt;DESCRIPTION&lt;/b&gt;&lt;/h5&gt;&lt;/div&gt;&lt;hr/&gt;&lt;div&gt;&lt;h4&gt;&lt;p&gt;You greatly speed up the decomposition process of a nearby corpse and warp the fibers of time that permeate it, aging the corpse an additional amount of time equal to up to 1 day per 2 caster levels (maximum 10 days at 20th level). This spell prompts all the natural effects of the intended decomposition period, including crumbled clothing, rotted or liquefied flesh, maggot infestations, and the infiltration of any surrounding vegetation. In addition to hindering mundane autopsies and investigations, this spell may effectively prohibit the use of &lt;i&gt;raise dead&lt;/i&gt; on the target, though more powerful magic such as &lt;i&gt;resurrection&lt;/i&gt; or true &lt;i&gt;resurrection&lt;/i&gt; may still work.&lt;/p&gt;&lt;/h4&gt;&lt;/div&gt;</t>
  </si>
  <si>
    <t>Nature's Ravages, Greater</t>
  </si>
  <si>
    <t>cleric 8/oracle 8, witch 7</t>
  </si>
  <si>
    <t>10 minute/HD of target</t>
  </si>
  <si>
    <t>This spell functions like nature's ravages, except the target corpse ages a number of years equal to up to 1 year per caster level (maximum 20 years at 20th level).</t>
  </si>
  <si>
    <t>&lt;p&gt;This spell functions like nature's ravages, except the target corpse ages a number of years equal to up to 1 year per caster level (maximum 20 years at 20th level).&lt;/p&gt;</t>
  </si>
  <si>
    <t>&lt;link rel="stylesheet"href="PF.css"&gt;&lt;div class="heading"&gt;&lt;p class="alignleft"&gt;Nature's Ravages, Greater&lt;/p&gt;&lt;div style="clear: both;"&gt;&lt;/div&gt;&lt;/div&gt;&lt;div&gt;&lt;h5&gt;&lt;b&gt;School &lt;/b&gt;necromancy; &lt;b&gt;Level &lt;/b&gt;cleric 8/oracle 8, witch 7&lt;/h5&gt;&lt;/div&gt;&lt;hr/&gt;&lt;div&gt;&lt;h5&gt;&lt;b&gt;CASTING&lt;/b&gt;&lt;/h5&gt;&lt;/div&gt;&lt;hr/&gt;&lt;div&gt;&lt;h5&gt;&lt;b&gt;Casting Time &lt;/b&gt;10 minute/HD of target&lt;/h5&gt;&lt;h5&gt;&lt;b&gt;Components &lt;/b&gt;V, S, M/DF (dried maggots)&lt;/h5&gt;&lt;/div&gt;&lt;hr/&gt;&lt;div&gt;&lt;h5&gt;&lt;b&gt;EFFECT&lt;/b&gt;&lt;/h5&gt;&lt;/div&gt;&lt;hr/&gt;&lt;div&gt;&lt;h5&gt;&lt;b&gt;Range &lt;/b&gt;close (25 ft. + 5 ft./level)&lt;/h5&gt;&lt;h5&gt;&lt;b&gt;Targets &lt;/b&gt;corpse of creature whose total number of HD does not exceed your caster level&lt;/h5&gt;&lt;h5&gt;&lt;b&gt;Duration &lt;/b&gt;instantaneous&lt;/h5&gt;&lt;h5&gt;&lt;b&gt;Saving Throw &lt;/b&gt;none; &lt;b&gt;Spell Resistance &lt;/b&gt;no&lt;/h5&gt;&lt;/div&gt;&lt;hr/&gt;&lt;div&gt;&lt;h5&gt;&lt;b&gt;DESCRIPTION&lt;/b&gt;&lt;/h5&gt;&lt;/div&gt;&lt;hr/&gt;&lt;div&gt;&lt;h4&gt;&lt;p&gt;This spell functions like nature's ravages, except the target corpse ages a number of years equal to up to 1 year per caster level (maximum 20 years at 20th level).&lt;/p&gt;&lt;/h4&gt;&lt;/div&gt;</t>
  </si>
  <si>
    <t>Corpse Hammer</t>
  </si>
  <si>
    <t>When you cast this spell, you draw the remains of nearby destroyed undead together and fuse them into a mass of flesh and bone you can then hurl at any foes within range. Three corpses within range of the spell are required for the spell to function. The hammer can be directed to attack one foe within range per round as a move action. It uses your caster level as its base attack bonus, modified by your Intelligence, Wisdom, or Charisma modifier (whichever one is highest). On a hit, the corpse hammer deals 1d6 points of damage per three caster levels (to a maximum of 6d6 points of damage). Corpse hammer also has secondary effects based on the nature of the three bodies you use to create it. If the majority used to create it (at least two) were skeletal, the jagged bits of bone cause the hammer to deal slashing damage and increase its critical threat range to 19-20. On the other hand, if the majority were fleshy (at least two), the increased mass causes the spell to deal bludgeoning damage and increase its critical hit damage to x3. Undead that have been destroyed by positive energy or a similar effect that does not leave a corpse, like a disintegrate spell, cannot be used to form a corpse hammer.</t>
  </si>
  <si>
    <t>&lt;p&gt;When you cast this spell, you draw the remains of nearby destroyed undead together and fuse them into a mass of flesh and bone you can then hurl at any foes within range.&lt;/p&gt;&lt;p&gt; Three corpses within range of the spell are required for the spell to function. The hammer can be directed to attack one foe within range per round as a move action. It uses your caster level as its base attack bonus, modified by your Intelligence, Wisdom, or Charisma modifier (whichever one is highest). On a hit, the &lt;i&gt;corpse hammer&lt;/i&gt; deals 1d6 points of damage per three caster levels (to a maximum of 6d6 points of damage).&lt;/p&gt;&lt;p&gt; Corpse hammer also has secondary effects based on the nature of the three bodies you use to create it. If the majority used to create it (at least two) were skeletal, the jagged bits of bone cause the hammer to deal slashing damage and increase its critical threat range to 19-20. On the other hand, if the majority were fleshy (at least two), the increased mass causes the spell to deal bludgeoning damage and increase its critical hit damage to x3.&lt;/p&gt;&lt;p&gt; Undead that have been destroyed by positive energy or a similar effect that does not leave a corpse, like a &lt;i&gt;disintegrate&lt;/i&gt; spell, cannot be used to form a &lt;i&gt;corpse hammer&lt;/i&gt;.&lt;/p&gt;</t>
  </si>
  <si>
    <t>&lt;link rel="stylesheet"href="PF.css"&gt;&lt;div class="heading"&gt;&lt;p class="alignleft"&gt;Corpse Hammer&lt;/p&gt;&lt;div style="clear: both;"&gt;&lt;/div&gt;&lt;/div&gt;&lt;div&gt;&lt;h5&gt;&lt;b&gt;School &lt;/b&gt;necromancy; &lt;b&gt;Level &lt;/b&gt;sorcerer/wizard 4, witch 4&lt;/h5&gt;&lt;/div&gt;&lt;hr/&gt;&lt;div&gt;&lt;h5&gt;&lt;b&gt;CASTING&lt;/b&gt;&lt;/h5&gt;&lt;/div&gt;&lt;hr/&gt;&lt;div&gt;&lt;h5&gt;&lt;b&gt;Casting Time &lt;/b&gt;1 standard action&lt;/h5&gt;&lt;h5&gt;&lt;b&gt;Components &lt;/b&gt;V, S, M (a leather glove coated in dried embalming herbs)&lt;/h5&gt;&lt;/div&gt;&lt;hr/&gt;&lt;div&gt;&lt;h5&gt;&lt;b&gt;EFFECT&lt;/b&gt;&lt;/h5&gt;&lt;/div&gt;&lt;hr/&gt;&lt;div&gt;&lt;h5&gt;&lt;b&gt;Range &lt;/b&gt;close (25 ft. + 5 ft./2 levels)&lt;/h5&gt;&lt;h5&gt;&lt;b&gt;Effect &lt;/b&gt;sphere of undead remains composed of 3 or more destroyed undead&lt;/h5&gt;&lt;h5&gt;&lt;b&gt;Duration &lt;/b&gt;1 round/level&lt;/h5&gt;&lt;h5&gt;&lt;b&gt;Saving Throw &lt;/b&gt;none; &lt;b&gt;Spell Resistance &lt;/b&gt;yes&lt;/h5&gt;&lt;/div&gt;&lt;hr/&gt;&lt;div&gt;&lt;h5&gt;&lt;b&gt;DESCRIPTION&lt;/b&gt;&lt;/h5&gt;&lt;/div&gt;&lt;hr/&gt;&lt;div&gt;&lt;h4&gt;&lt;p&gt;When you cast this spell, you draw the remains of nearby destroyed undead together and fuse them into a mass of flesh and bone you can then hurl at any foes within range.&lt;/p&gt;&lt;p&gt; Three corpses within range of the spell are required for the spell to function. The hammer can be directed to attack one foe within range per round as a move action. It uses your caster level as its base attack bonus, modified by your Intelligence, Wisdom, or Charisma modifier (whichever one is highest). On a hit, the &lt;i&gt;corpse hammer&lt;/i&gt; deals 1d6 points of damage per three caster levels (to a maximum of 6d6 points of damage).&lt;/p&gt;&lt;p&gt; Corpse hammer also has secondary effects based on the nature of the three bodies you use to create it. If the majority used to create it (at least two) were skeletal, the jagged bits of bone cause the hammer to deal slashing damage and increase its critical threat range to 19-20. On the other hand, if the majority were fleshy (at least two), the increased mass causes the spell to deal bludgeoning damage and increase its critical hit damage to x3.&lt;/p&gt;&lt;p&gt; Undead that have been destroyed by positive energy or a similar effect that does not leave a corpse, like a &lt;i&gt;disintegrate&lt;/i&gt; spell, cannot be used to form a &lt;i&gt;corpse hammer&lt;/i&gt;.&lt;/p&gt;&lt;/h4&gt;&lt;/div&gt;</t>
  </si>
  <si>
    <t>Oath Of Justice</t>
  </si>
  <si>
    <t>cleric/oracle 3, paladin 2</t>
  </si>
  <si>
    <t>two creatures touched</t>
  </si>
  <si>
    <t>permanent (see text)</t>
  </si>
  <si>
    <t>This spell seals a solemn vow between two creatures. When this spell is cast, the targets must clasp hands and swear their oath in Kols's name. The spell functions like mark of justice, except as noted above and rather than being cursed, the oath-breaker gains a mark on the face indicating to all dwarves who see it that the target has broken a sacred oath, which gives the oath-breaker a -4 penalty to influence dwarves. The mark can be removed as described in the mark of justicespell, or the other target can forgive the oath- breaker, which causes the mark to vanish.</t>
  </si>
  <si>
    <t>&lt;p&gt;This spell seals a solemn vow between two creatures. When this spell is cast, the targets must clasp hands and swear their oath in Kols's name. The spell functions like &lt;i&gt;&lt;i&gt;mark of&lt;/i&gt; justice&lt;/i&gt;, except as noted above and rather than being cursed, the oath-breaker gains a mark on the face indicating to all dwarves who see it that the target has broken a sacred oath, which gives the oath-breaker a -4 penalty to influence dwarves. The mark can be removed as described in the &lt;i&gt;&lt;i&gt;mark of&lt;/i&gt; justice&lt;/i&gt;spell, or the other target can forgive the oath- breaker, which causes the mark to vanish.&lt;/p&gt;</t>
  </si>
  <si>
    <t>&lt;link rel="stylesheet"href="PF.css"&gt;&lt;div class="heading"&gt;&lt;p class="alignleft"&gt;Oath Of Justice&lt;/p&gt;&lt;div style="clear: both;"&gt;&lt;/div&gt;&lt;/div&gt;&lt;div&gt;&lt;h5&gt;&lt;b&gt;School &lt;/b&gt;necromancy; &lt;b&gt;Level &lt;/b&gt;cleric/oracle 3, paladin 2 (Kols)&lt;/h5&gt;&lt;/div&gt;&lt;hr/&gt;&lt;div&gt;&lt;h5&gt;&lt;b&gt;CASTING&lt;/b&gt;&lt;/h5&gt;&lt;/div&gt;&lt;hr/&gt;&lt;div&gt;&lt;h5&gt;&lt;b&gt;Casting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&lt;/b&gt;two creatures touched&lt;/h5&gt;&lt;h5&gt;&lt;b&gt;Duration &lt;/b&gt;permanent (see text)&lt;/h5&gt;&lt;h5&gt;&lt;b&gt;Saving Throw &lt;/b&gt;none; &lt;b&gt;Spell Resistance &lt;/b&gt;no&lt;/h5&gt;&lt;/div&gt;&lt;hr/&gt;&lt;div&gt;&lt;h5&gt;&lt;b&gt;DESCRIPTION&lt;/b&gt;&lt;/h5&gt;&lt;/div&gt;&lt;hr/&gt;&lt;div&gt;&lt;h4&gt;&lt;p&gt;This spell seals a solemn vow between two creatures. When this spell is cast, the targets must clasp hands and swear their oath in Kols's name. The spell functions like &lt;i&gt;&lt;i&gt;mark of&lt;/i&gt; justice&lt;/i&gt;, except as noted above and rather than being cursed, the oath-breaker gains a mark on the face indicating to all dwarves who see it that the target has broken a sacred oath, which gives the oath-breaker a -4 penalty to influence dwarves. The mark can be removed as described in the &lt;i&gt;&lt;i&gt;mark of&lt;/i&gt; justice&lt;/i&gt;spell, or the other target can forgive the oath- breaker, which causes the mark to vanish.&lt;/p&gt;&lt;/h4&gt;&lt;/div&gt;</t>
  </si>
  <si>
    <t>Kols</t>
  </si>
  <si>
    <t>Tactical Formation</t>
  </si>
  <si>
    <t>cleric/oracle 3, paladin 3, ranger 4</t>
  </si>
  <si>
    <t>up to one creature/level, no two of which may be more than 30 ft. apart</t>
  </si>
  <si>
    <t>This spell increases the effectiveness of a group's formation in battle. When cast, all creatures under the effect of the spell must be adjacent to one another, forming an unbroken chain of squares (which may include creatures sharing the same square). This chain does not need to be a straight line. Each target in the chain receives a +2 defection bonus to AC as long as the targets stay adjacent to at least one other creature affected by the spell; moving more than 5 feet from another target ends the spell with respect to that creature only. For example, a cleric could cast it on himself and four dwarves blocking a 20-foot-wide corridor; the cleric can move freely from the left side of the formation to the right side (whether in front of or behind the other targets) and not break the spell as long as he stays within 5 feet of at least one of them.</t>
  </si>
  <si>
    <t>&lt;p&gt;This spell increases the effectiveness of a group's formation in battle. When cast, all creatures under the effect of the spell must be adjacent to one another, forming an unbroken chain of squares (which may include creatures sharing the same square). This chain does not need to be a straight line. Each target in the chain receives a +2 defection bonus to AC as long as the targets stay adjacent to at least one other creature affected by the spell; moving more than 5 feet from another target ends the spell with respect to that creature only. For example, a cleric could cast it on himself and four dwarves blocking a 20-foot-wide corridor; the cleric can move freely from the left side of the formation to the right side (whether in front of or behind the other targets) and not break the spell as long as he stays within 5 feet of at least one of them.&lt;/p&gt;</t>
  </si>
  <si>
    <t>&lt;link rel="stylesheet"href="PF.css"&gt;&lt;div class="heading"&gt;&lt;p class="alignleft"&gt;Tactical Formation&lt;/p&gt;&lt;div style="clear: both;"&gt;&lt;/div&gt;&lt;/div&gt;&lt;div&gt;&lt;h5&gt;&lt;b&gt;School &lt;/b&gt;abjuration; &lt;b&gt;Level &lt;/b&gt;cleric/oracle 3, paladin 3, ranger 4 (Torag)&lt;/h5&gt;&lt;/div&gt;&lt;hr/&gt;&lt;div&gt;&lt;h5&gt;&lt;b&gt;CASTING&lt;/b&gt;&lt;/h5&gt;&lt;/div&gt;&lt;hr/&gt;&lt;div&gt;&lt;h5&gt;&lt;b&gt;Casting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levels)&lt;/h5&gt;&lt;h5&gt;&lt;b&gt;Area &lt;/b&gt;up to one creature/level, no two of which may be more than 30 ft. apart&lt;/h5&gt;&lt;h5&gt;&lt;b&gt;Duration &lt;/b&gt;10 minutes/level&lt;/h5&gt;&lt;h5&gt;&lt;b&gt;Saving Throw &lt;/b&gt;Will negates (harmless); &lt;b&gt;Spell Resistance &lt;/b&gt;yes (harmless)&lt;/h5&gt;&lt;/div&gt;&lt;hr/&gt;&lt;div&gt;&lt;h5&gt;&lt;b&gt;DESCRIPTION&lt;/b&gt;&lt;/h5&gt;&lt;/div&gt;&lt;hr/&gt;&lt;div&gt;&lt;h4&gt;&lt;p&gt;This spell increases the effectiveness of a group's formation in battle. When cast, all creatures under the effect of the spell must be adjacent to one another, forming an unbroken chain of squares (which may include creatures sharing the same square). This chain does not need to be a straight line. Each target in the chain receives a +2 defection bonus to AC as long as the targets stay adjacent to at least one other creature affected by the spell; moving more than 5 feet from another target ends the spell with respect to that creature only. For example, a cleric could cast it on himself and four dwarves blocking a 20-foot-wide corridor; the cleric can move freely from the left side of the formation to the right side (whether in front of or behind the other targets) and not break the spell as long as he stays within 5 feet of at least one of them.&lt;/p&gt;&lt;/h4&gt;&lt;/div&gt;</t>
  </si>
  <si>
    <t>Soothing Word</t>
  </si>
  <si>
    <t>cleric/oracle 2, druid 2, inquisitor 2, paladin 2, ranger 3, witch 2</t>
  </si>
  <si>
    <t>The target of this spell causes several conditions that he suffers from to be lessened in severity one step. If he is nauseated, he is instead sickened. If he is stunned, he is instead dazed. If he is exhausted, he is fatigued. If he is frightened, he is shaken. If he is paralyzed, he is staggered. The duration of the effect is unchanged; the effect is simply reduced to the lesser version. This spell has no effect on conditions not listed above.</t>
  </si>
  <si>
    <t>&lt;p&gt;The target of this spell causes several conditions that he suffers from to be lessened in severity one step. If he is nauseated, he is instead sickened. If he is stunned, he is instead dazed. If he is exhausted, he is fatigued. If he is frightened, he is shaken. If he is paralyzed, he is staggered. The duration of the effect is unchanged; the effect is simply reduced to the lesser version. This spell has no effect on conditions not listed above.&lt;/p&gt;</t>
  </si>
  <si>
    <t>Condition Cards</t>
  </si>
  <si>
    <t>&lt;link rel="stylesheet"href="PF.css"&gt;&lt;div class="heading"&gt;&lt;p class="alignleft"&gt;Soothing Word&lt;/p&gt;&lt;div style="clear: both;"&gt;&lt;/div&gt;&lt;/div&gt;&lt;div&gt;&lt;h5&gt;&lt;b&gt;School &lt;/b&gt;conjuration (healing); &lt;b&gt;Level &lt;/b&gt;cleric/oracle 2, druid 2, inquisitor 2, paladin 2, ranger 3, witch 2&lt;/h5&gt;&lt;/div&gt;&lt;hr/&gt;&lt;div&gt;&lt;h5&gt;&lt;b&gt;CASTING&lt;/b&gt;&lt;/h5&gt;&lt;/div&gt;&lt;hr/&gt;&lt;div&gt;&lt;h5&gt;&lt;b&gt;Casting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&lt;/b&gt;1 creature&lt;/h5&gt;&lt;h5&gt;&lt;b&gt;Duration &lt;/b&gt;instantaneous&lt;/h5&gt;&lt;h5&gt;&lt;b&gt;Saving Throw &lt;/b&gt;Will negates (harmless); &lt;b&gt;Spell Resistance &lt;/b&gt;yes (harmless)&lt;/h5&gt;&lt;/div&gt;&lt;hr/&gt;&lt;div&gt;&lt;h5&gt;&lt;b&gt;DESCRIPTION&lt;/b&gt;&lt;/h5&gt;&lt;/div&gt;&lt;hr/&gt;&lt;div&gt;&lt;h4&gt;&lt;p&gt;The target of this spell causes several conditions that he suffers from to be lessened in severity one step. If he is nauseated, he is instead sickened. If he is stunned, he is instead dazed. If he is exhausted, he is fatigued. If he is frightened, he is shaken. If he is paralyzed, he is staggered. The duration of the effect is unchanged; the effect is simply reduced to the lesser version. This spell has no effect on conditions not listed above.&lt;/p&gt;&lt;/h4&gt;&lt;/div&gt;</t>
  </si>
  <si>
    <t>Frosthammer</t>
  </si>
  <si>
    <t>antipaladin 3, cleric 3, inquisitor 3, ranger 3</t>
  </si>
  <si>
    <t>Medium (100 ft. + 10 ft./level)</t>
  </si>
  <si>
    <t>You create a warhammer of magically hardened ice and send it hurling toward the target. You must succeed at a ranged touch attack to strike the target. If hit, the target takes 1d8 points of damage per 2 caster levels you possess (maximum 5d8); half this damage is bludgeoning damage, half is cold damage. The frosthammer counts as having a +1 enhancement bonus for the purpose of bypassing DR. If the target takes any bludgeoning damage from the hammer, you may attempt a trip combat maneuver check against that target, except you may use your caster level instead of your BAB and your spellcasting ability modifier (Wisdom for clerics, and so on) instead of your Strength modifier.</t>
  </si>
  <si>
    <t>&lt;p&gt;You create a warhammer of magically hardened ice and send it hurling toward the target. You must succeed at a ranged touch attack to strike the target. If hit, the target takes 1d8 points of damage per 2 caster levels you possess (maximum 5d8); half this damage is bludgeoning damage, half is cold damage. The &lt;i&gt;frosthammer&lt;/i&gt; counts as having a +1 enhancement bonus for the purpose of bypassing DR. If the target takes any bludgeoning damage from the hammer, you may attempt a trip combat maneuver check against that target, except you may use your caster level instead of your BAB and your spellcasting ability modifier (Wisdom for clerics, and so on) instead of your Strength modifier.&lt;/p&gt;</t>
  </si>
  <si>
    <t>AP 69</t>
  </si>
  <si>
    <t>&lt;link rel="stylesheet"href="PF.css"&gt;&lt;div class="heading"&gt;&lt;p class="alignleft"&gt;Frosthammer&lt;/p&gt;&lt;div style="clear: both;"&gt;&lt;/div&gt;&lt;/div&gt;&lt;div&gt;&lt;h5&gt;&lt;b&gt;School &lt;/b&gt;evocation [cold]; &lt;b&gt;Level &lt;/b&gt;antipaladin 3, cleric 3, inquisitor 3, ranger 3 (Kostchtchie)&lt;/h5&gt;&lt;/div&gt;&lt;hr/&gt;&lt;div&gt;&lt;h5&gt;&lt;b&gt;CASTING&lt;/b&gt;&lt;/h5&gt;&lt;/div&gt;&lt;hr/&gt;&lt;div&gt;&lt;h5&gt;&lt;b&gt;Casting Time &lt;/b&gt;1 standard action&lt;/h5&gt;&lt;h5&gt;&lt;b&gt;Components &lt;/b&gt;V, S, DF&lt;/h5&gt;&lt;/div&gt;&lt;hr/&gt;&lt;div&gt;&lt;h5&gt;&lt;b&gt;EFFECT&lt;/b&gt;&lt;/h5&gt;&lt;/div&gt;&lt;hr/&gt;&lt;div&gt;&lt;h5&gt;&lt;b&gt;Range &lt;/b&gt;Medium (100 ft. + 10 ft./level)&lt;/h5&gt;&lt;h5&gt;&lt;b&gt;Targets &lt;/b&gt;one creature&lt;/h5&gt;&lt;h5&gt;&lt;b&gt;Duration &lt;/b&gt;instantaneous&lt;/h5&gt;&lt;h5&gt;&lt;b&gt;Saving Throw &lt;/b&gt;none; &lt;b&gt;Spell Resistance &lt;/b&gt;yes&lt;/h5&gt;&lt;/div&gt;&lt;hr/&gt;&lt;div&gt;&lt;h5&gt;&lt;b&gt;DESCRIPTION&lt;/b&gt;&lt;/h5&gt;&lt;/div&gt;&lt;hr/&gt;&lt;div&gt;&lt;h4&gt;&lt;p&gt;You create a warhammer of magically hardened ice and send it hurling toward the target. You must succeed at a ranged touch attack to strike the target. If hit, the target takes 1d8 points of damage per 2 caster levels you possess (maximum 5d8); half this damage is bludgeoning damage, half is cold damage. The &lt;i&gt;frosthammer&lt;/i&gt; counts as having a +1 enhancement bonus for the purpose of bypassing DR. If the target takes any bludgeoning damage from the hammer, you may attempt a trip combat maneuver check against that target, except you may use your caster level instead of your BAB and your spellcasting ability modifier (Wisdom for clerics, and so on) instead of your Strength modifier.&lt;/p&gt;&lt;/h4&gt;&lt;/div&gt;</t>
  </si>
  <si>
    <t>Kostchtchie</t>
  </si>
  <si>
    <t>Accept Affliction</t>
  </si>
  <si>
    <t>bard 3, cleric/oracle 3, druid 3, paladin 3, witch 3</t>
  </si>
  <si>
    <t>V, S, M/DF (dove's heart)</t>
  </si>
  <si>
    <t>The caster can transfer the effects of afflictions such as curses, diseases, and poisons from the target creature to himself. This spell can also transfer the blinded, deafened, fatigued, nauseated, shaken, and sickened conditions. All aspects of the transferred afflictions (save DCs, remaining duration, removal conditions, and so on) remain the same, but affect the caster instead of the original target. After transferring the affliction or condition, the caster is free to cure it in any way he can.</t>
  </si>
  <si>
    <t>&lt;p&gt;The caster can transfer the effects of afflictions such as curses, diseases, and poisons from the target creature to himself. This spell can also transfer the blinded, deafened, fatigued, nauseated, shaken, and sickened conditions. All aspects of the transferred afflictions (save DCs, remaining duration, removal conditions, and so on) remain the same, but affect the caster instead of the original target. After transferring the affliction or condition, the caster is free to cure it in any way he can.&lt;/p&gt;</t>
  </si>
  <si>
    <t>Champions Of Purity</t>
  </si>
  <si>
    <t>&lt;link rel="stylesheet"href="PF.css"&gt;&lt;div class="heading"&gt;&lt;p class="alignleft"&gt;Accept Affliction&lt;/p&gt;&lt;div style="clear: both;"&gt;&lt;/div&gt;&lt;/div&gt;&lt;div&gt;&lt;h5&gt;&lt;b&gt;School &lt;/b&gt;conjuration (healing) [good]; &lt;b&gt;Level &lt;/b&gt;bard 3, cleric/oracle 3, druid 3, paladin 3, witch 3&lt;/h5&gt;&lt;/div&gt;&lt;hr/&gt;&lt;div&gt;&lt;h5&gt;&lt;b&gt;CASTING&lt;/b&gt;&lt;/h5&gt;&lt;/div&gt;&lt;hr/&gt;&lt;div&gt;&lt;h5&gt;&lt;b&gt;Casting Time &lt;/b&gt;1 standard action&lt;/h5&gt;&lt;h5&gt;&lt;b&gt;Components &lt;/b&gt;V, S, M/DF (dove's heart)&lt;/h5&gt;&lt;/div&gt;&lt;hr/&gt;&lt;div&gt;&lt;h5&gt;&lt;b&gt;EFFECT&lt;/b&gt;&lt;/h5&gt;&lt;/div&gt;&lt;hr/&gt;&lt;div&gt;&lt;h5&gt;&lt;b&gt;Range &lt;/b&gt;touch&lt;/h5&gt;&lt;h5&gt;&lt;b&gt;Targets &lt;/b&gt;creature touched&lt;/h5&gt;&lt;h5&gt;&lt;b&gt;Duration &lt;/b&gt;instantaneous&lt;/h5&gt;&lt;h5&gt;&lt;b&gt;Saving Throw &lt;/b&gt;Fortitude negates (harmless); &lt;b&gt;Spell Resistance &lt;/b&gt;yes (harmless)&lt;/h5&gt;&lt;/div&gt;&lt;hr/&gt;&lt;div&gt;&lt;h5&gt;&lt;b&gt;DESCRIPTION&lt;/b&gt;&lt;/h5&gt;&lt;/div&gt;&lt;hr/&gt;&lt;div&gt;&lt;h4&gt;&lt;p&gt;The caster can transfer the effects of afflictions such as curses, diseases, and poisons from the target creature to himself. This spell can also transfer the blinded, deafened, fatigued, nauseated, shaken, and sickened conditions. All aspects of the transferred afflictions (save DCs, remaining duration, removal conditions, and so on) remain the same, but affect the caster instead of the original target. After transferring the affliction or condition, the caster is free to cure it in any way he can.&lt;/p&gt;&lt;/h4&gt;&lt;/div&gt;</t>
  </si>
  <si>
    <t>Angelic Aspect, Lesser</t>
  </si>
  <si>
    <t>cleric/oracle 2, paladin 2, sorcerer/wizard 2</t>
  </si>
  <si>
    <t>You take on an aspect of an angelic being, including some of its physical characteristics. You gain low-light vision, resistance to acid 5, resistance to cold 5, and the benefits of protection from evil.</t>
  </si>
  <si>
    <t>&lt;p&gt;You take on an aspect of an angelic being, including some of its physical characteristics. You gain low-light vision, resistance to acid 5, resistance to cold 5, and the benefits of &lt;i&gt;protection from evil&lt;/i&gt;.&lt;/p&gt;</t>
  </si>
  <si>
    <t>&lt;link rel="stylesheet"href="PF.css"&gt;&lt;div class="heading"&gt;&lt;p class="alignleft"&gt;Angelic Aspect, Lesser&lt;/p&gt;&lt;div style="clear: both;"&gt;&lt;/div&gt;&lt;/div&gt;&lt;div&gt;&lt;h5&gt;&lt;b&gt;School &lt;/b&gt;transmutation [good]; &lt;b&gt;Level &lt;/b&gt;cleric/oracle 2, paladin 2, sorcerer/wizard 2&lt;/h5&gt;&lt;/div&gt;&lt;hr/&gt;&lt;div&gt;&lt;h5&gt;&lt;b&gt;CASTING&lt;/b&gt;&lt;/h5&gt;&lt;/div&gt;&lt;hr/&gt;&lt;div&gt;&lt;h5&gt;&lt;b&gt;Casting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minute/level (D)&lt;/h5&gt;&lt;h5&gt;&lt;b&gt;Saving Throw &lt;/b&gt;none; &lt;b&gt;Spell Resistance &lt;/b&gt;no&lt;/h5&gt;&lt;/div&gt;&lt;hr/&gt;&lt;div&gt;&lt;h5&gt;&lt;b&gt;DESCRIPTION&lt;/b&gt;&lt;/h5&gt;&lt;/div&gt;&lt;hr/&gt;&lt;div&gt;&lt;h4&gt;&lt;p&gt;You take on an aspect of an angelic being, including some of its physical characteristics. You gain low-light vision, resistance to acid 5, resistance to cold 5, and the benefits of &lt;i&gt;protection from evil&lt;/i&gt;.&lt;/p&gt;&lt;/h4&gt;&lt;/div&gt;</t>
  </si>
  <si>
    <t>Angelic Aspect, Greater</t>
  </si>
  <si>
    <t>cleric/oracle 8, paladin 4, sorcerer/wizard 8</t>
  </si>
  <si>
    <t>This spell functions like lesser angelic aspect, except you gain low-light vision; darkvision 60 feet; DR 10/evil; immunity to acid, cold, and petrification; resistance to electricity 10 and fire 10; a +4 racial bonus on saves against poison; and protective aura and truespeech as supernatural abilities for the duration of the spell. Also, your wings give you a fly speed of 60 feet with good maneuverability. Protective aura provides a +4 deflection bonus to AC and a +4 resistance bonus on saving throws against attacks made or effects created by evil creatures to anyone within 20 feet. Otherwise, it functions as a magic circle against evil and a lesser globe of invulnerability, both with a radius of 20 feet. Truespeech allows you to speak with any creature that has a language, as though using the tongues spell.</t>
  </si>
  <si>
    <t>&lt;p&gt;This spell functions like &lt;i&gt;lesser angelic aspect&lt;/i&gt;, except you gain low-light vision; darkvision 60 feet; DR 10/evil; immunity to acid, cold, and petrification; resistance to electricity 10 and fire 10; a +4 racial bonus on saves against poison; and protective aura and truespeech as supernatural abilities for the duration of the spell. Also, your wings give you a fly speed of 60 feet with good maneuverability. Protective aura provides a +4 deflection bonus to AC and a +4 resistance bonus on saving throws against attacks made or effects created by evil creatures to anyone within 20 feet. Otherwise, it functions as a &lt;i&gt;magic circle against evil&lt;/i&gt; and a &lt;i&gt;lesser globe of invulnerability&lt;/i&gt;, both with a radius of 20 feet. Truespeech allows you to speak with any creature that has a language, as though using the &lt;i&gt;tongues&lt;/i&gt; spell.&lt;/p&gt;</t>
  </si>
  <si>
    <t>&lt;link rel="stylesheet"href="PF.css"&gt;&lt;div class="heading"&gt;&lt;p class="alignleft"&gt;Angelic Aspect, Greater&lt;/p&gt;&lt;div style="clear: both;"&gt;&lt;/div&gt;&lt;/div&gt;&lt;div&gt;&lt;h5&gt;&lt;b&gt;School &lt;/b&gt;transmutation [good]; &lt;b&gt;Level &lt;/b&gt;cleric/oracle 8, paladin 4, sorcerer/wizard 8&lt;/h5&gt;&lt;/div&gt;&lt;hr/&gt;&lt;div&gt;&lt;h5&gt;&lt;b&gt;CASTING&lt;/b&gt;&lt;/h5&gt;&lt;/div&gt;&lt;hr/&gt;&lt;div&gt;&lt;h5&gt;&lt;b&gt;Casting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minute/level (D)&lt;/h5&gt;&lt;h5&gt;&lt;b&gt;Saving Throw &lt;/b&gt;none; &lt;b&gt;Spell Resistance &lt;/b&gt;no&lt;/h5&gt;&lt;/div&gt;&lt;hr/&gt;&lt;div&gt;&lt;h5&gt;&lt;b&gt;DESCRIPTION&lt;/b&gt;&lt;/h5&gt;&lt;/div&gt;&lt;hr/&gt;&lt;div&gt;&lt;h4&gt;&lt;p&gt;This spell functions like &lt;i&gt;lesser angelic aspect&lt;/i&gt;, except you gain low-light vision; darkvision 60 feet; DR 10/evil; immunity to acid, cold, and petrification; resistance to electricity 10 and fire 10; a +4 racial bonus on saves against poison; and protective aura and truespeech as supernatural abilities for the duration of the spell. Also, your wings give you a fly speed of 60 feet with good maneuverability. Protective aura provides a +4 deflection bonus to AC and a +4 resistance bonus on saving throws against attacks made or effects created by evil creatures to anyone within 20 feet. Otherwise, it functions as a &lt;i&gt;magic circle against evil&lt;/i&gt; and a &lt;i&gt;lesser globe of invulnerability&lt;/i&gt;, both with a radius of 20 feet. Truespeech allows you to speak with any creature that has a language, as though using the &lt;i&gt;tongues&lt;/i&gt; spell.&lt;/p&gt;&lt;/h4&gt;&lt;/div&gt;</t>
  </si>
  <si>
    <t>Angelic Aspect</t>
  </si>
  <si>
    <t>cleric/oracle 5, paladin 3, sorcerer/wizard 5</t>
  </si>
  <si>
    <t>This spell functions like lesser angelic aspect, except you gain low-light vision, darkvision 60, resistance to acid 10, resistance to cold 10, and DR 5/evil, and you sprout white feathered wings allowing you to fly at a speed of 30 feet with average maneuverability. In addition, your natural weapons and any weapons you wield are considered good-aligned for the purpose of overcoming damage reduction.</t>
  </si>
  <si>
    <t>&lt;p&gt;This spell functions like &lt;i&gt;lesser angelic aspect&lt;/i&gt;, except you gain low-light vision, darkvision 60, resistance to acid 10, resistance to cold 10, and DR 5/evil, and you sprout white feathered wings allowing you to fly at a speed of 30 feet with average maneuverability. In addition, your natural weapons and any weapons you wield are considered good-aligned for the purpose of overcoming damage reduction.&lt;/p&gt;</t>
  </si>
  <si>
    <t>&lt;link rel="stylesheet"href="PF.css"&gt;&lt;div class="heading"&gt;&lt;p class="alignleft"&gt;Angelic Aspect&lt;/p&gt;&lt;div style="clear: both;"&gt;&lt;/div&gt;&lt;/div&gt;&lt;div&gt;&lt;h5&gt;&lt;b&gt;School &lt;/b&gt;transmutation [good]; &lt;b&gt;Level &lt;/b&gt;cleric/oracle 5, paladin 3, sorcerer/wizard 5&lt;/h5&gt;&lt;/div&gt;&lt;hr/&gt;&lt;div&gt;&lt;h5&gt;&lt;b&gt;CASTING&lt;/b&gt;&lt;/h5&gt;&lt;/div&gt;&lt;hr/&gt;&lt;div&gt;&lt;h5&gt;&lt;b&gt;Casting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minute/level (D)&lt;/h5&gt;&lt;h5&gt;&lt;b&gt;Saving Throw &lt;/b&gt;none; &lt;b&gt;Spell Resistance &lt;/b&gt;no&lt;/h5&gt;&lt;/div&gt;&lt;hr/&gt;&lt;div&gt;&lt;h5&gt;&lt;b&gt;DESCRIPTION&lt;/b&gt;&lt;/h5&gt;&lt;/div&gt;&lt;hr/&gt;&lt;div&gt;&lt;h4&gt;&lt;p&gt;This spell functions like &lt;i&gt;lesser angelic aspect&lt;/i&gt;, except you gain low-light vision, darkvision 60, resistance to acid 10, resistance to cold 10, and DR 5/evil, and you sprout white feathered wings allowing you to fly at a speed of 30 feet with average maneuverability. In addition, your natural weapons and any weapons you wield are considered good-aligned for the purpose of overcoming damage reduction.&lt;/p&gt;&lt;/h4&gt;&lt;/div&gt;</t>
  </si>
  <si>
    <t>Archon's Trumpet</t>
  </si>
  <si>
    <t>bard 5, cleric/oracle 7, paladin 4, sorcerer/wizard 7</t>
  </si>
  <si>
    <t>Upon hearing a booming report, as if from a trumpet archon's mighty horn, all creatures in the area of the burst are paralyzed for 1d4 rounds.</t>
  </si>
  <si>
    <t>&lt;p&gt;Upon hearing a booming report, as if from a trumpet archon's mighty horn, all creatures in the area of the burst are paralyzed for 1d4 rounds.&lt;/p&gt;</t>
  </si>
  <si>
    <t>&lt;link rel="stylesheet"href="PF.css"&gt;&lt;div class="heading"&gt;&lt;p class="alignleft"&gt;Archon's Trumpet&lt;/p&gt;&lt;div style="clear: both;"&gt;&lt;/div&gt;&lt;/div&gt;&lt;div&gt;&lt;h5&gt;&lt;b&gt;School &lt;/b&gt;evocation [good, sonic]; &lt;b&gt;Level &lt;/b&gt;bard 5, cleric/oracle 7, paladin 4, sorcerer/wizard 7&lt;/h5&gt;&lt;/div&gt;&lt;hr/&gt;&lt;div&gt;&lt;h5&gt;&lt;b&gt;CASTING&lt;/b&gt;&lt;/h5&gt;&lt;/div&gt;&lt;hr/&gt;&lt;div&gt;&lt;h5&gt;&lt;b&gt;Casting Time &lt;/b&gt;1 standard action&lt;/h5&gt;&lt;h5&gt;&lt;b&gt;Components &lt;/b&gt;V, S&lt;/h5&gt;&lt;/div&gt;&lt;hr/&gt;&lt;div&gt;&lt;h5&gt;&lt;b&gt;EFFECT&lt;/b&gt;&lt;/h5&gt;&lt;/div&gt;&lt;hr/&gt;&lt;div&gt;&lt;h5&gt;&lt;b&gt;Range &lt;/b&gt;30 ft.&lt;/h5&gt;&lt;h5&gt;&lt;b&gt;Area &lt;/b&gt;cone-shaped burst&lt;/h5&gt;&lt;h5&gt;&lt;b&gt;Duration &lt;/b&gt;instantaneous&lt;/h5&gt;&lt;h5&gt;&lt;b&gt;Saving Throw &lt;/b&gt;Fortitude negates; &lt;b&gt;Spell Resistance &lt;/b&gt;yes&lt;/h5&gt;&lt;/div&gt;&lt;hr/&gt;&lt;div&gt;&lt;h5&gt;&lt;b&gt;DESCRIPTION&lt;/b&gt;&lt;/h5&gt;&lt;/div&gt;&lt;hr/&gt;&lt;div&gt;&lt;h4&gt;&lt;p&gt;Upon hearing a booming report, as if from a trumpet archon's mighty horn, all creatures in the area of the burst are paralyzed for 1d4 rounds.&lt;/p&gt;&lt;/h4&gt;&lt;/div&gt;</t>
  </si>
  <si>
    <t>Burst Of Radiance</t>
  </si>
  <si>
    <t>cleric/oracle 2, druid 2, sorcerer/wizard 2</t>
  </si>
  <si>
    <t>V, S, M/DF (a piece of flint and a pinch of silver dust)</t>
  </si>
  <si>
    <t>This spell fills the area with a brilliant flash of shimmering light. Creatures in the area are blinded for 1d4 rounds, or dazzled for 1d4 rounds if they succeed at a Reflex save. Evil creatures in the area of the burst take 1d4 points of damage per caster level (max 5d4), whether they succeed at the Reflex save or not.</t>
  </si>
  <si>
    <t>&lt;p&gt;This spell fills the area with a brilliant flash of shimmering light. Creatures in the area are blinded for 1d4 rounds, or dazzled for 1d4 rounds if they succeed at a Reflex save. Evil creatures in the area of the burst take 1d4 points of damage per caster level (max 5d4), whether they succeed at the Reflex save or not.&lt;/p&gt;</t>
  </si>
  <si>
    <t>&lt;link rel="stylesheet"href="PF.css"&gt;&lt;div class="heading"&gt;&lt;p class="alignleft"&gt;Burst Of Radiance&lt;/p&gt;&lt;div style="clear: both;"&gt;&lt;/div&gt;&lt;/div&gt;&lt;div&gt;&lt;h5&gt;&lt;b&gt;School &lt;/b&gt;evocation [good, light]; &lt;b&gt;Level &lt;/b&gt;cleric/oracle 2, druid 2, sorcerer/wizard 2&lt;/h5&gt;&lt;/div&gt;&lt;hr/&gt;&lt;div&gt;&lt;h5&gt;&lt;b&gt;CASTING&lt;/b&gt;&lt;/h5&gt;&lt;/div&gt;&lt;hr/&gt;&lt;div&gt;&lt;h5&gt;&lt;b&gt;Casting Time &lt;/b&gt;1 standard action&lt;/h5&gt;&lt;h5&gt;&lt;b&gt;Components &lt;/b&gt;V, S, M/DF (a piece of flint and a pinch of silver dust)&lt;/h5&gt;&lt;/div&gt;&lt;hr/&gt;&lt;div&gt;&lt;h5&gt;&lt;b&gt;EFFECT&lt;/b&gt;&lt;/h5&gt;&lt;/div&gt;&lt;hr/&gt;&lt;div&gt;&lt;h5&gt;&lt;b&gt;Range &lt;/b&gt;long (400 ft. + 40 ft./level)&lt;/h5&gt;&lt;h5&gt;&lt;b&gt;Area &lt;/b&gt;10-ft.-radius burst&lt;/h5&gt;&lt;h5&gt;&lt;b&gt;Duration &lt;/b&gt;instantaneous&lt;/h5&gt;&lt;h5&gt;&lt;b&gt;Saving Throw &lt;/b&gt;Reflex partial; &lt;b&gt;Spell Resistance &lt;/b&gt;yes&lt;/h5&gt;&lt;/div&gt;&lt;hr/&gt;&lt;div&gt;&lt;h5&gt;&lt;b&gt;DESCRIPTION&lt;/b&gt;&lt;/h5&gt;&lt;/div&gt;&lt;hr/&gt;&lt;div&gt;&lt;h4&gt;&lt;p&gt;This spell fills the area with a brilliant flash of shimmering light. Creatures in the area are blinded for 1d4 rounds, or dazzled for 1d4 rounds if they succeed at a Reflex save. Evil creatures in the area of the burst take 1d4 points of damage per caster level (max 5d4), whether they succeed at the Reflex save or not.&lt;/p&gt;&lt;/h4&gt;&lt;/div&gt;</t>
  </si>
  <si>
    <t>Chains Of Light</t>
  </si>
  <si>
    <t>cleric/oracle 6, inquisitor 5, paladin 4, sorcerer/wizard 6</t>
  </si>
  <si>
    <t>V, S, F (a length of fine golden chain)</t>
  </si>
  <si>
    <t>short (25 ft. + 5 ft./level)</t>
  </si>
  <si>
    <t>A creature targeted by this spell is held immobile by glowing golden chains composed of pure light. The creature is paralyzed and held in place, but may attempt a new saving throw each round to end the effect. While held by the golden chains, a creature cannot use any sort of extradimensional travel, such as astral projection, blink, dimension door, ethereal jaunt, etherealness, gate, maze, plane shift, shadow walk, teleport, and similar spells and spell-like abilities. The spell does not affect creatures that are already in ethereal or astral form when the spell is cast.</t>
  </si>
  <si>
    <t>&lt;p&gt;A creature targeted by this spell is held immobile by glowing golden chains composed of pure light. The creature is paralyzed and held in place, but may attempt a new saving throw each round to end the effect. While held by the golden chains, a creature cannot use any sort of extradimensional travel, such as &lt;i&gt;astral projection&lt;/i&gt;, &lt;i&gt;blink&lt;/i&gt;, &lt;i&gt;dimension door&lt;/i&gt;, &lt;i&gt;ethereal jaunt&lt;/i&gt;, &lt;i&gt;etherealness&lt;/i&gt;, &lt;i&gt;gate&lt;/i&gt;, &lt;i&gt;maze&lt;/i&gt;, &lt;i&gt;plane shift&lt;/i&gt;, &lt;i&gt;shadow walk&lt;/i&gt;, &lt;i&gt;teleport&lt;/i&gt;, and similar spells and spell-like abilities. The spell does not affect creatures that are already in ethereal or astral form when the spell is cast.&lt;/p&gt;</t>
  </si>
  <si>
    <t>&lt;link rel="stylesheet"href="PF.css"&gt;&lt;div class="heading"&gt;&lt;p class="alignleft"&gt;Chains Of Light&lt;/p&gt;&lt;div style="clear: both;"&gt;&lt;/div&gt;&lt;/div&gt;&lt;div&gt;&lt;h5&gt;&lt;b&gt;School &lt;/b&gt;conjuration (creation) [good]; &lt;b&gt;Level &lt;/b&gt;cleric/oracle 6, inquisitor 5, paladin 4, sorcerer/wizard 6&lt;/h5&gt;&lt;/div&gt;&lt;hr/&gt;&lt;div&gt;&lt;h5&gt;&lt;b&gt;CASTING&lt;/b&gt;&lt;/h5&gt;&lt;/div&gt;&lt;hr/&gt;&lt;div&gt;&lt;h5&gt;&lt;b&gt;Casting Time &lt;/b&gt;1 standard action&lt;/h5&gt;&lt;h5&gt;&lt;b&gt;Components &lt;/b&gt;V, S, F (a length of fine golden chain)&lt;/h5&gt;&lt;/div&gt;&lt;hr/&gt;&lt;div&gt;&lt;h5&gt;&lt;b&gt;EFFECT&lt;/b&gt;&lt;/h5&gt;&lt;/div&gt;&lt;hr/&gt;&lt;div&gt;&lt;h5&gt;&lt;b&gt;Range &lt;/b&gt;short (25 ft. + 5 ft./level)&lt;/h5&gt;&lt;h5&gt;&lt;b&gt;Targets &lt;/b&gt;one creature&lt;/h5&gt;&lt;h5&gt;&lt;b&gt;Duration &lt;/b&gt;1 round/level (D)&lt;/h5&gt;&lt;h5&gt;&lt;b&gt;Saving Throw &lt;/b&gt;Reflex negates; &lt;b&gt;Spell Resistance &lt;/b&gt;no&lt;/h5&gt;&lt;/div&gt;&lt;hr/&gt;&lt;div&gt;&lt;h5&gt;&lt;b&gt;DESCRIPTION&lt;/b&gt;&lt;/h5&gt;&lt;/div&gt;&lt;hr/&gt;&lt;div&gt;&lt;h4&gt;&lt;p&gt;A creature targeted by this spell is held immobile by glowing golden chains composed of pure light. The creature is paralyzed and held in place, but may attempt a new saving throw each round to end the effect. While held by the golden chains, a creature cannot use any sort of extradimensional travel, such as &lt;i&gt;astral projection&lt;/i&gt;, &lt;i&gt;blink&lt;/i&gt;, &lt;i&gt;dimension door&lt;/i&gt;, &lt;i&gt;ethereal jaunt&lt;/i&gt;, &lt;i&gt;etherealness&lt;/i&gt;, &lt;i&gt;gate&lt;/i&gt;, &lt;i&gt;maze&lt;/i&gt;, &lt;i&gt;plane shift&lt;/i&gt;, &lt;i&gt;shadow walk&lt;/i&gt;, &lt;i&gt;teleport&lt;/i&gt;, and similar spells and spell-like abilities. The spell does not affect creatures that are already in ethereal or astral form when the spell is cast.&lt;/p&gt;&lt;/h4&gt;&lt;/div&gt;</t>
  </si>
  <si>
    <t>Touch Of Mercy</t>
  </si>
  <si>
    <t>bard 2, cleric/oracle 2, sorcerer/wizard 2</t>
  </si>
  <si>
    <t>The target creature deals only nonlethal damage with all of its weapon attacks. Damage taken by creatures or objects that are not subject to nonlethal damage is not converted to nonlethal and remains lethal damage. The weapon retains all of its other normal properties.</t>
  </si>
  <si>
    <t>&lt;p&gt;The target creature deals only nonlethal damage with all of its weapon attacks. Damage taken by creatures or objects that are not subject to nonlethal damage is not converted to nonlethal and remains lethal damage. The weapon retains all of its other normal properties.&lt;/p&gt;</t>
  </si>
  <si>
    <t>&lt;link rel="stylesheet"href="PF.css"&gt;&lt;div class="heading"&gt;&lt;p class="alignleft"&gt;Touch Of Mercy&lt;/p&gt;&lt;div style="clear: both;"&gt;&lt;/div&gt;&lt;/div&gt;&lt;div&gt;&lt;h5&gt;&lt;b&gt;School &lt;/b&gt;enchantment (compulsion) [good, mind-affecting]; &lt;b&gt;Level &lt;/b&gt;bard 2, cleric/oracle 2, sorcerer/wizard 2&lt;/h5&gt;&lt;/div&gt;&lt;hr/&gt;&lt;div&gt;&lt;h5&gt;&lt;b&gt;CASTING&lt;/b&gt;&lt;/h5&gt;&lt;/div&gt;&lt;hr/&gt;&lt;div&gt;&lt;h5&gt;&lt;b&gt;Casting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&lt;/b&gt;one creature&lt;/h5&gt;&lt;h5&gt;&lt;b&gt;Duration &lt;/b&gt;1 round/level (D)&lt;/h5&gt;&lt;h5&gt;&lt;b&gt;Saving Throw &lt;/b&gt;Will negates; &lt;b&gt;Spell Resistance &lt;/b&gt;yes&lt;/h5&gt;&lt;/div&gt;&lt;hr/&gt;&lt;div&gt;&lt;h5&gt;&lt;b&gt;DESCRIPTION&lt;/b&gt;&lt;/h5&gt;&lt;/div&gt;&lt;hr/&gt;&lt;div&gt;&lt;h4&gt;&lt;p&gt;The target creature deals only nonlethal damage with all of its weapon attacks. Damage taken by creatures or objects that are not subject to nonlethal damage is not converted to nonlethal and remains lethal damage. The weapon retains all of its other normal properties.&lt;/p&gt;&lt;/h4&gt;&lt;/div&gt;</t>
  </si>
  <si>
    <t>Hymn Of Mercy</t>
  </si>
  <si>
    <t>bard 5, cleric/oracle 5</t>
  </si>
  <si>
    <t>This spell functions like touch of mercy, except as noted above.</t>
  </si>
  <si>
    <t>&lt;p&gt;This spell functions like &lt;i&gt;touch of mercy&lt;/i&gt;, except as noted above.&lt;/p&gt;</t>
  </si>
  <si>
    <t>&lt;link rel="stylesheet"href="PF.css"&gt;&lt;div class="heading"&gt;&lt;p class="alignleft"&gt;Hymn Of Mercy&lt;/p&gt;&lt;div style="clear: both;"&gt;&lt;/div&gt;&lt;/div&gt;&lt;div&gt;&lt;h5&gt;&lt;b&gt;School &lt;/b&gt;enchantment (compulsion) [good, mind-affecting]; &lt;b&gt;Level &lt;/b&gt;bard 5, cleric/oracle 5&lt;/h5&gt;&lt;/div&gt;&lt;hr/&gt;&lt;div&gt;&lt;h5&gt;&lt;b&gt;CASTING&lt;/b&gt;&lt;/h5&gt;&lt;/div&gt;&lt;hr/&gt;&lt;div&gt;&lt;h5&gt;&lt;b&gt;Casting Time &lt;/b&gt;1 standard action&lt;/h5&gt;&lt;h5&gt;&lt;b&gt;Components &lt;/b&gt;V, S&lt;/h5&gt;&lt;/div&gt;&lt;hr/&gt;&lt;div&gt;&lt;h5&gt;&lt;b&gt;EFFECT&lt;/b&gt;&lt;/h5&gt;&lt;/div&gt;&lt;hr/&gt;&lt;div&gt;&lt;h5&gt;&lt;b&gt;Range &lt;/b&gt;30 ft.&lt;/h5&gt;&lt;h5&gt;&lt;b&gt;Area &lt;/b&gt;30-ft.-radius burst centered on you&lt;/h5&gt;&lt;h5&gt;&lt;b&gt;Duration &lt;/b&gt;1 round/level (D)&lt;/h5&gt;&lt;h5&gt;&lt;b&gt;Saving Throw &lt;/b&gt;Will negates; &lt;b&gt;Spell Resistance &lt;/b&gt;yes&lt;/h5&gt;&lt;/div&gt;&lt;hr/&gt;&lt;div&gt;&lt;h5&gt;&lt;b&gt;DESCRIPTION&lt;/b&gt;&lt;/h5&gt;&lt;/div&gt;&lt;hr/&gt;&lt;div&gt;&lt;h4&gt;&lt;p&gt;This spell functions like &lt;i&gt;touch of mercy&lt;/i&gt;, except as noted above.&lt;/p&gt;&lt;/h4&gt;&lt;/div&gt;</t>
  </si>
  <si>
    <t>Hymn Of Peace</t>
  </si>
  <si>
    <t>bard 6, cleric/oracle 7</t>
  </si>
  <si>
    <t>40-ft.-radius burst centered on you</t>
  </si>
  <si>
    <t>Each time a subject of this spell attempts to attack another creature or object, or otherwise perform an aggressive or damaging action toward a creature or object, it must attempt a Will save. If the save succeeds, the subject can attack normally. If the save fails, the subject cannot follow through with the attack and loses that part of its action. Creatures not taking violent actions are unaffected by this spell.</t>
  </si>
  <si>
    <t>&lt;p&gt;Each time a subject of this spell attempts to attack another creature or object, or otherwise perform an aggressive or damaging action toward a creature or object, it must attempt a Will save. If the save succeeds, the subject can attack normally. If the save fails, the subject cannot follow through with the attack and loses that part of its action. Creatures not taking violent actions are unaffected by this spell.&lt;/p&gt;</t>
  </si>
  <si>
    <t>&lt;link rel="stylesheet"href="PF.css"&gt;&lt;div class="heading"&gt;&lt;p class="alignleft"&gt;Hymn Of Peace&lt;/p&gt;&lt;div style="clear: both;"&gt;&lt;/div&gt;&lt;/div&gt;&lt;div&gt;&lt;h5&gt;&lt;b&gt;School &lt;/b&gt;abjuration [good]; &lt;b&gt;Level &lt;/b&gt;bard 6, cleric/oracle 7&lt;/h5&gt;&lt;/div&gt;&lt;hr/&gt;&lt;div&gt;&lt;h5&gt;&lt;b&gt;CASTING&lt;/b&gt;&lt;/h5&gt;&lt;/div&gt;&lt;hr/&gt;&lt;div&gt;&lt;h5&gt;&lt;b&gt;Casting Time &lt;/b&gt;1 standard action&lt;/h5&gt;&lt;h5&gt;&lt;b&gt;Components &lt;/b&gt;V, S&lt;/h5&gt;&lt;/div&gt;&lt;hr/&gt;&lt;div&gt;&lt;h5&gt;&lt;b&gt;EFFECT&lt;/b&gt;&lt;/h5&gt;&lt;/div&gt;&lt;hr/&gt;&lt;div&gt;&lt;h5&gt;&lt;b&gt;Range &lt;/b&gt;40 ft.&lt;/h5&gt;&lt;h5&gt;&lt;b&gt;Area &lt;/b&gt;40-ft.-radius burst centered on you&lt;/h5&gt;&lt;h5&gt;&lt;b&gt;Duration &lt;/b&gt;1 round/level (D)&lt;/h5&gt;&lt;h5&gt;&lt;b&gt;Saving Throw &lt;/b&gt;Will negates; &lt;b&gt;Spell Resistance &lt;/b&gt;yes&lt;/h5&gt;&lt;/div&gt;&lt;hr/&gt;&lt;div&gt;&lt;h5&gt;&lt;b&gt;DESCRIPTION&lt;/b&gt;&lt;/h5&gt;&lt;/div&gt;&lt;hr/&gt;&lt;div&gt;&lt;h4&gt;&lt;p&gt;Each time a subject of this spell attempts to attack another creature or object, or otherwise perform an aggressive or damaging action toward a creature or object, it must attempt a Will save. If the save succeeds, the subject can attack normally. If the save fails, the subject cannot follow through with the attack and loses that part of its action. Creatures not taking violent actions are unaffected by this spell.&lt;/p&gt;&lt;/h4&gt;&lt;/div&gt;</t>
  </si>
  <si>
    <t>Blood Of The Martyr</t>
  </si>
  <si>
    <t>cleric/oracle 2, inquisitor 3</t>
  </si>
  <si>
    <t>You cause the target to bleed from every orifice, and her organs and blood become suffused with positive energy. If the subject fails her Fortitude save, she takes 1d6 points of bleed damage per 4 caster levels (to a maximum of 4d6 at 16th level) when you cast this spell. Any creature that takes a full-round action to sup the blood of the bleeding subject heals a number of hit points equal to twice as many as the subject lost that round due to the bleed effect. The subject must be willing or helpless to sup her blood, which provokes attacks of opportunity. Only one creature can be healed in this way per round. The subject can lick her own wounds in this way to regain half as many hit points as she lost that round. If the bleeding effect is stopped or the spell's duration ends, the subject's blood no longer heals those who drink it, though in the latter case the subject continues to bleed until the bleeding is stopped via magical healing or a successful DC 15 Heal check.</t>
  </si>
  <si>
    <t>&lt;p&gt;You cause the target to bleed from every orifice, and her organs and blood become suffused with positive energy. If the subject fails her Fortitude save, she takes 1d6 points of bleed damage per 4 caster levels (to a maximum of 4d6 at 16th level) when you cast this spell. Any creature that takes a full-round action to sup the blood of the bleeding subject heals a number of hit points equal to twice as many as the subject lost that round due to the bleed effect. The subject must be willing or helpless to sup her blood, which provokes attacks of opportunity. Only one creature can be healed in this way per round. The subject can lick her own wounds in this way to regain half as many hit points as she lost that round. If the bleeding effect is stopped or the spell's duration ends, the subject's blood no longer heals those who drink it, though in the latter case the subject continues to bleed until the bleeding is stopped via magical healing or a successful DC 15 Heal check.&lt;/p&gt;</t>
  </si>
  <si>
    <t>Chronicle Of The Righteous</t>
  </si>
  <si>
    <t>&lt;link rel="stylesheet"href="PF.css"&gt;&lt;div class="heading"&gt;&lt;p class="alignleft"&gt;Blood Of The Martyr&lt;/p&gt;&lt;div style="clear: both;"&gt;&lt;/div&gt;&lt;/div&gt;&lt;div&gt;&lt;h5&gt;&lt;b&gt;School &lt;/b&gt;necromancy; &lt;b&gt;Level &lt;/b&gt;cleric/oracle 2, inquisitor 3&lt;/h5&gt;&lt;/div&gt;&lt;hr/&gt;&lt;div&gt;&lt;h5&gt;&lt;b&gt;CASTING&lt;/b&gt;&lt;/h5&gt;&lt;/div&gt;&lt;hr/&gt;&lt;div&gt;&lt;h5&gt;&lt;b&gt;Casting Time &lt;/b&gt;1 standard action&lt;/h5&gt;&lt;h5&gt;&lt;b&gt;Components &lt;/b&gt;V, S&lt;/h5&gt;&lt;/div&gt;&lt;hr/&gt;&lt;div&gt;&lt;h5&gt;&lt;b&gt;EFFECT&lt;/b&gt;&lt;/h5&gt;&lt;/div&gt;&lt;hr/&gt;&lt;div&gt;&lt;h5&gt;&lt;b&gt;Range &lt;/b&gt;medium (100 ft. + 10 ft./level)&lt;/h5&gt;&lt;h5&gt;&lt;b&gt;Targets &lt;/b&gt;one living creature&lt;/h5&gt;&lt;h5&gt;&lt;b&gt;Duration &lt;/b&gt;1 round/level&lt;/h5&gt;&lt;h5&gt;&lt;b&gt;Saving Throw &lt;/b&gt;Fortitude negates; &lt;b&gt;Spell Resistance &lt;/b&gt;yes&lt;/h5&gt;&lt;/div&gt;&lt;hr/&gt;&lt;div&gt;&lt;h5&gt;&lt;b&gt;DESCRIPTION&lt;/b&gt;&lt;/h5&gt;&lt;/div&gt;&lt;hr/&gt;&lt;div&gt;&lt;h4&gt;&lt;p&gt;You cause the target to bleed from every orifice, and her organs and blood become suffused with positive energy. If the subject fails her Fortitude save, she takes 1d6 points of bleed damage per 4 caster levels (to a maximum of 4d6 at 16th level) when you cast this spell. Any creature that takes a full-round action to sup the blood of the bleeding subject heals a number of hit points equal to twice as many as the subject lost that round due to the bleed effect. The subject must be willing or helpless to sup her blood, which provokes attacks of opportunity. Only one creature can be healed in this way per round. The subject can lick her own wounds in this way to regain half as many hit points as she lost that round. If the bleeding effect is stopped or the spell's duration ends, the subject's blood no longer heals those who drink it, though in the latter case the subject continues to bleed until the bleeding is stopped via magical healing or a successful DC 15 Heal check.&lt;/p&gt;&lt;/h4&gt;&lt;/div&gt;</t>
  </si>
  <si>
    <t>Charitable Impulse</t>
  </si>
  <si>
    <t>bard 2, cleric/oracle 3, sorcerer/wizard 3, witch 3</t>
  </si>
  <si>
    <t>V, S, F/DF (a miniature collection plate)</t>
  </si>
  <si>
    <t>This spell makes a creature more charitable, compelling it to aid others rather than use violence. An affected creature practices nonviolent combat behaviors according to the following list of priorities, beginning with the first priority. The subject continues to perform a priority until he can no longer fulfill its demands (at which point he moves to the next priority) or until the spell ends, whichever comes first. 1st Priority: Heal injured creatures within 30 feet, beginning with the closest creatures and using whatever methods the subject has at hand (including potions, spells, and so on). 2nd Priority: The subject gives his weapon away to the nearest creature within 30 feet who will accept it. If no creature accepts the weapon, the subject drops the weapon on the ground. 3rd Priority: Cast beneficial spells and/or use beneficial magic items (including potions, wands, and so on) on creatures within 30 feet, starting with the closest creatures. 4th Priority: The subject gives away his non-worn possessions-the contents of a backpack or similar item count as one item each, as does the container itself-to creatures within 30 feet. If no creature accepts the items, the subject drops the items on the ground. 5th Priority: The subject gives away his remaining possessions (including his armor, boots, cloak, and so on) to creatures within 30 feet. If no creature accepts the items, the subject drops them on the ground. If the subject fulfills all five priorities, the spell effect ends. The subject cannot attack or take attacks of opportunity, but can defend himself as normal. If the subject is attacked, the spell's effect immediately ends.</t>
  </si>
  <si>
    <t>&lt;p&gt;This spell makes a creature more charitable, compelling it to aid others rather than use violence. An affected creature practices nonviolent combat behaviors according to the following list of priorities, beginning with the first priority. The subject continues to perform a priority until he can no longer fulfill its demands (at which point he moves to the next priority) or until the spell ends, whichever comes first. &lt;i&gt;1st Priority&lt;/i&gt;: Heal injured creatures within 30 feet, beginning with the closest creatures and using whatever methods the subject has at hand (including potions, spells, and so on). &lt;i&gt;2nd Priority&lt;/i&gt;: The subject gives his weapon away to the nearest creature within 30 feet who will accept it. If no creature accepts the weapon, the subject drops the weapon on the ground. &lt;i&gt;3rd Priority&lt;/i&gt;: Cast beneficial spells and/or use beneficial magic items (including potions, wands, and so on) on creatures within 30 feet, starting with the closest creatures. &lt;i&gt;4th Priority&lt;/i&gt;: The subject gives away his non-worn possessions-the contents of a backpack or similar item count as one item each, as does the container itself-to creatures within 30 feet. If no creature accepts the items, the subject drops the items on the ground. &lt;i&gt;5th Priority&lt;/i&gt;: The subject gives away his remaining possessions (including his armor, boots, cloak, and so on) to creatures within 30 feet. If no creature accepts the items, the subject drops them on the ground. If the subject fulfills all five priorities, the spell effect ends. The subject cannot attack or take attacks of opportunity, but can defend himself as normal. If the subject is attacked, the spell's effect immediately ends.&lt;/p&gt;</t>
  </si>
  <si>
    <t>&lt;link rel="stylesheet"href="PF.css"&gt;&lt;div class="heading"&gt;&lt;p class="alignleft"&gt;Charitable Impulse&lt;/p&gt;&lt;div style="clear: both;"&gt;&lt;/div&gt;&lt;/div&gt;&lt;div&gt;&lt;h5&gt;&lt;b&gt;School &lt;/b&gt;enchantment (compulsion) [mind-affecting]; &lt;b&gt;Level &lt;/b&gt;bard 2, cleric/oracle 3, sorcerer/wizard 3, witch 3&lt;/h5&gt;&lt;/div&gt;&lt;hr/&gt;&lt;div&gt;&lt;h5&gt;&lt;b&gt;CASTING&lt;/b&gt;&lt;/h5&gt;&lt;/div&gt;&lt;hr/&gt;&lt;div&gt;&lt;h5&gt;&lt;b&gt;Casting Time &lt;/b&gt;1 standard action&lt;/h5&gt;&lt;h5&gt;&lt;b&gt;Components &lt;/b&gt;V, S, F/DF (a miniature collection plate)&lt;/h5&gt;&lt;/div&gt;&lt;hr/&gt;&lt;div&gt;&lt;h5&gt;&lt;b&gt;EFFECT&lt;/b&gt;&lt;/h5&gt;&lt;/div&gt;&lt;hr/&gt;&lt;div&gt;&lt;h5&gt;&lt;b&gt;Range &lt;/b&gt;close (25 ft. + 5 ft./2 levels)&lt;/h5&gt;&lt;h5&gt;&lt;b&gt;Targets &lt;/b&gt;one humanoid creature&lt;/h5&gt;&lt;h5&gt;&lt;b&gt;Duration &lt;/b&gt;1 round/level&lt;/h5&gt;&lt;h5&gt;&lt;b&gt;Saving Throw &lt;/b&gt;Will negates; &lt;b&gt;Spell Resistance &lt;/b&gt;yes&lt;/h5&gt;&lt;/div&gt;&lt;hr/&gt;&lt;div&gt;&lt;h5&gt;&lt;b&gt;DESCRIPTION&lt;/b&gt;&lt;/h5&gt;&lt;/div&gt;&lt;hr/&gt;&lt;div&gt;&lt;h4&gt;&lt;p&gt;This spell makes a creature more charitable, compelling it to aid others rather than use violence. An affected creature practices nonviolent combat behaviors according to the following list of priorities, beginning with the first priority. The subject continues to perform a priority until he can no longer fulfill its demands (at which point he moves to the next priority) or until the spell ends, whichever comes first. &lt;i&gt;1st Priority&lt;/i&gt;: Heal injured creatures within 30 feet, beginning with the closest creatures and using whatever methods the subject has at hand (including potions, spells, and so on). &lt;i&gt;2nd Priority&lt;/i&gt;: The subject gives his weapon away to the nearest creature within 30 feet who will accept it. If no creature accepts the weapon, the subject drops the weapon on the ground. &lt;i&gt;3rd Priority&lt;/i&gt;: Cast beneficial spells and/or use beneficial magic items (including potions, wands, and so on) on creatures within 30 feet, starting with the closest creatures. &lt;i&gt;4th Priority&lt;/i&gt;: The subject gives away his non-worn possessions-the contents of a backpack or similar item count as one item each, as does the container itself-to creatures within 30 feet. If no creature accepts the items, the subject drops the items on the ground. &lt;i&gt;5th Priority&lt;/i&gt;: The subject gives away his remaining possessions (including his armor, boots, cloak, and so on) to creatures within 30 feet. If no creature accepts the items, the subject drops them on the ground. If the subject fulfills all five priorities, the spell effect ends. The subject cannot attack or take attacks of opportunity, but can defend himself as normal. If the subject is attacked, the spell's effect immediately ends.&lt;/p&gt;&lt;/h4&gt;&lt;/div&gt;</t>
  </si>
  <si>
    <t>Elemental Assessor</t>
  </si>
  <si>
    <t>acid, cold, electricity, fire</t>
  </si>
  <si>
    <t>V, S, M/DF (four needles)</t>
  </si>
  <si>
    <t>one elemental ray</t>
  </si>
  <si>
    <t>1d4+1 rounds (see text)</t>
  </si>
  <si>
    <t>Azata champions developed this spell to deal with fiends with unknown resistances. A ray of spiraling colors springs from your hand and streaks to its target. You must make a successful ranged touch attack to hit your target with the ray, which deals 2d6 points of acid damage, 2d6 points of cold damage, 2d6 points of electricity damage, and 2d6 points of fire damage. The type of energy that does the most points of damage to the target then persists, dealing another 4d6 points of that type of damage per round for 1d4 rounds.</t>
  </si>
  <si>
    <t>&lt;p&gt;Azata champions developed this spell to deal with fiends with unknown resistances. A ray of spiraling colors springs from your hand and streaks to its target. You must make a successful ranged touch attack to hit your target with the ray, which deals 2d6 points of acid damage, 2d6 points of cold damage, 2d6 points of electricity damage, and 2d6 points of fire damage. The type of energy that does the most points of damage to the target then persists, dealing another 4d6 points of that type of damage per round for 1d4 rounds.&lt;/p&gt;</t>
  </si>
  <si>
    <t>&lt;link rel="stylesheet"href="PF.css"&gt;&lt;div class="heading"&gt;&lt;p class="alignleft"&gt;Elemental Assessor&lt;/p&gt;&lt;div style="clear: both;"&gt;&lt;/div&gt;&lt;/div&gt;&lt;div&gt;&lt;h5&gt;&lt;b&gt;School &lt;/b&gt;evocation [acid, cold, electricity, fire]; &lt;b&gt;Level &lt;/b&gt;cleric/oracle 6, sorcerer/wizard 6&lt;/h5&gt;&lt;/div&gt;&lt;hr/&gt;&lt;div&gt;&lt;h5&gt;&lt;b&gt;CASTING&lt;/b&gt;&lt;/h5&gt;&lt;/div&gt;&lt;hr/&gt;&lt;div&gt;&lt;h5&gt;&lt;b&gt;Casting Time &lt;/b&gt;1 standard action&lt;/h5&gt;&lt;h5&gt;&lt;b&gt;Components &lt;/b&gt;V, S, M/DF (four needles)&lt;/h5&gt;&lt;/div&gt;&lt;hr/&gt;&lt;div&gt;&lt;h5&gt;&lt;b&gt;EFFECT&lt;/b&gt;&lt;/h5&gt;&lt;/div&gt;&lt;hr/&gt;&lt;div&gt;&lt;h5&gt;&lt;b&gt;Range &lt;/b&gt;close (25 ft. + 5 ft./2 levels)&lt;/h5&gt;&lt;h5&gt;&lt;b&gt;Effect &lt;/b&gt;one elemental ray&lt;/h5&gt;&lt;h5&gt;&lt;b&gt;Duration &lt;/b&gt;1d4+1 rounds (see text)&lt;/h5&gt;&lt;h5&gt;&lt;b&gt;Saving Throw &lt;/b&gt;none; &lt;b&gt;Spell Resistance &lt;/b&gt;yes&lt;/h5&gt;&lt;/div&gt;&lt;hr/&gt;&lt;div&gt;&lt;h5&gt;&lt;b&gt;DESCRIPTION&lt;/b&gt;&lt;/h5&gt;&lt;/div&gt;&lt;hr/&gt;&lt;div&gt;&lt;h4&gt;&lt;p&gt;Azata champions developed this spell to deal with fiends with unknown resistances. A ray of spiraling colors springs from your hand and streaks to its target. You must make a successful ranged touch attack to hit your target with the ray, which deals 2d6 points of acid damage, 2d6 points of cold damage, 2d6 points of electricity damage, and 2d6 points of fire damage. The type of energy that does the most points of damage to the target then persists, dealing another 4d6 points of that type of damage per round for 1d4 rounds.&lt;/p&gt;&lt;/h4&gt;&lt;/div&gt;</t>
  </si>
  <si>
    <t>Sanctify Weapons</t>
  </si>
  <si>
    <t>cleric/oracle 5, paladin 3</t>
  </si>
  <si>
    <t>This spell originated among the armies of Heaven. Choose a specific subtype of evil outsider when you cast this spell, such as daemon, demon, devil, or div. All manufactured weapons in the area of effect bypass the DR of that type of outsider. The weapons do not become aligned or change composition.</t>
  </si>
  <si>
    <t>&lt;p&gt;This spell originated among the armies of Heaven. Choose a specific subtype of evil outsider when you cast this spell, such as daemon, demon, devil, or div. All manufactured weapons in the area of effect bypass the DR of that type of outsider. The weapons do not become aligned or change composition.&lt;/p&gt;</t>
  </si>
  <si>
    <t>&lt;link rel="stylesheet"href="PF.css"&gt;&lt;div class="heading"&gt;&lt;p class="alignleft"&gt;Sanctify Weapons&lt;/p&gt;&lt;div style="clear: both;"&gt;&lt;/div&gt;&lt;/div&gt;&lt;div&gt;&lt;h5&gt;&lt;b&gt;School &lt;/b&gt;transmutation; &lt;b&gt;Level &lt;/b&gt;cleric/oracle 5, paladin 3&lt;/h5&gt;&lt;/div&gt;&lt;hr/&gt;&lt;div&gt;&lt;h5&gt;&lt;b&gt;CASTING&lt;/b&gt;&lt;/h5&gt;&lt;/div&gt;&lt;hr/&gt;&lt;div&gt;&lt;h5&gt;&lt;b&gt;Casting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levels)&lt;/h5&gt;&lt;h5&gt;&lt;b&gt;Area &lt;/b&gt;20-ft.-radius spread&lt;/h5&gt;&lt;h5&gt;&lt;b&gt;Duration &lt;/b&gt;1 round/level&lt;/h5&gt;&lt;h5&gt;&lt;b&gt;Saving Throw &lt;/b&gt;Will negates (harmless, object); &lt;b&gt;Spell Resistance &lt;/b&gt;yes (harmless, object)&lt;/h5&gt;&lt;/div&gt;&lt;hr/&gt;&lt;div&gt;&lt;h5&gt;&lt;b&gt;DESCRIPTION&lt;/b&gt;&lt;/h5&gt;&lt;/div&gt;&lt;hr/&gt;&lt;div&gt;&lt;h4&gt;&lt;p&gt;This spell originated among the armies of Heaven. Choose a specific subtype of evil outsider when you cast this spell, such as daemon, demon, devil, or div. All manufactured weapons in the area of effect bypass the DR of that type of outsider. The weapons do not become aligned or change composition.&lt;/p&gt;&lt;/h4&gt;&lt;/div&gt;</t>
  </si>
  <si>
    <t>Summon Stampede</t>
  </si>
  <si>
    <t>cleric/oracle 6, druid 6, summoner 4</t>
  </si>
  <si>
    <t>V, S, M (piece of fur from a herd animal)</t>
  </si>
  <si>
    <t>20-ft.-radius herd of animals</t>
  </si>
  <si>
    <t>Reflex halves (see text)</t>
  </si>
  <si>
    <t>You conjure a herd of aurochs or similar herd animal that immediately stampedes in the direction you indicate. The herd takes up a 20-foot-radius space and moves at a rate of 120 feet per round in a straight line. Any creatures caught in the herd's path take 4d6+9 points of damage that round as they are trampled beneath dozens of animals' hooves. A successful Reflex save halves this damage. If the stampede's path would put it in an obviously dangerous area (such as over a cliff or through a fire) or force it to move through a solid barrier, the herd stops at the obstacle and moves in a new randomly determined direction until it reaches another obstacle or the spell's duration ends.</t>
  </si>
  <si>
    <t>&lt;p&gt;You conjure a herd of aurochs or similar herd animal that immediately stampedes in the direction you indicate. The herd takes up a 20-foot-radius space and moves at a rate of 120 feet per round in a straight line. Any creatures caught in the herd's path take 4d6+9 points of damage that round as they are trampled beneath dozens of animals' hooves. A successful Reflex save halves this damage. If the stampede's path would put it in an obviously dangerous area (such as over a cliff or through a fire) or force it to move through a solid barrier, the herd stops at the obstacle and moves in a new randomly determined direction until it reaches another obstacle or the spell's duration ends.&lt;/p&gt;</t>
  </si>
  <si>
    <t>&lt;link rel="stylesheet"href="PF.css"&gt;&lt;div class="heading"&gt;&lt;p class="alignleft"&gt;Summon Stampede&lt;/p&gt;&lt;div style="clear: both;"&gt;&lt;/div&gt;&lt;/div&gt;&lt;div&gt;&lt;h5&gt;&lt;b&gt;School &lt;/b&gt;conjuration (summoning); &lt;b&gt;Level &lt;/b&gt;cleric/oracle 6, druid 6, summoner 4&lt;/h5&gt;&lt;/div&gt;&lt;hr/&gt;&lt;div&gt;&lt;h5&gt;&lt;b&gt;CASTING&lt;/b&gt;&lt;/h5&gt;&lt;/div&gt;&lt;hr/&gt;&lt;div&gt;&lt;h5&gt;&lt;b&gt;Casting Time &lt;/b&gt;1 round&lt;/h5&gt;&lt;h5&gt;&lt;b&gt;Components &lt;/b&gt;V, S, M (piece of fur from a herd animal)&lt;/h5&gt;&lt;/div&gt;&lt;hr/&gt;&lt;div&gt;&lt;h5&gt;&lt;b&gt;EFFECT&lt;/b&gt;&lt;/h5&gt;&lt;/div&gt;&lt;hr/&gt;&lt;div&gt;&lt;h5&gt;&lt;b&gt;Range &lt;/b&gt;medium (100 ft. + 10 ft./level)&lt;/h5&gt;&lt;h5&gt;&lt;b&gt;Effect &lt;/b&gt;20-ft.-radius herd of animals&lt;/h5&gt;&lt;h5&gt;&lt;b&gt;Duration &lt;/b&gt;1 round/level&lt;/h5&gt;&lt;h5&gt;&lt;b&gt;Saving Throw &lt;/b&gt;Reflex halves (see text); &lt;b&gt;Spell Resistance &lt;/b&gt;no&lt;/h5&gt;&lt;/div&gt;&lt;hr/&gt;&lt;div&gt;&lt;h5&gt;&lt;b&gt;DESCRIPTION&lt;/b&gt;&lt;/h5&gt;&lt;/div&gt;&lt;hr/&gt;&lt;div&gt;&lt;h4&gt;&lt;p&gt;You conjure a herd of aurochs or similar herd animal that immediately stampedes in the direction you indicate. The herd takes up a 20-foot-radius space and moves at a rate of 120 feet per round in a straight line. Any creatures caught in the herd's path take 4d6+9 points of damage that round as they are trampled beneath dozens of animals' hooves. A successful Reflex save halves this damage. If the stampede's path would put it in an obviously dangerous area (such as over a cliff or through a fire) or force it to move through a solid barrier, the herd stops at the obstacle and moves in a new randomly determined direction until it reaches another obstacle or the spell's duration ends.&lt;/p&gt;&lt;/h4&gt;&lt;/div&gt;</t>
  </si>
  <si>
    <t>Vinetrap</t>
  </si>
  <si>
    <t>radius spread of up to 10 ft./level, 90 ft. high</t>
  </si>
  <si>
    <t>Vines choked with thorns, blossoms, leaflets, and other floral debris burst to life on and around the subject of this spell, winding around limbs and armor and making it progressively more difficult for the subject to maneuver. When this spell is cast, the subject may attempt a Reflex save. Success indicates that the vines fail to take root and the spell has no effect. On a failed save, the subject's base speed is immediately reduced by 5 feet. Each round thereafter, the subject must make another successful Reflex save or his speed is reduced by another 5 feet. This occurs each round until he is reduced to a speed equal to half of what it was before the spell was cast. As a full-round action, the subject or an adjacent creature can tear the vines off the subject's body, resetting the speed penalty to just 5 feet, though the vines continue to grow each round thereafter for the spell's duration, requiring additional checks, unless it is actually dispelled. The spell's effects can also be prematurely ended by dealing at least 20 points of fire damage to the subject. When the spell's duration ends or the effect is terminated, the vines immediately wilt and the subject's speed returns to normal. Regardless of the subject's base speed, the vines cannot reduce a creature's speed below 5 feet. This spell has additional effects depending on which version you cast, chosen when you cast the spell. Blessed Thorns: The vines sprout vicious thorns made of celestial steel. Each round at the beginning of your turn, the subject takes 2d4 points of damage, plus 1 point of damage for each round since the creature last took a full-round action to tear the vines off. When you cast this version of the spell, you can also choose to make the thorns either cold iron or silver for the purposes of overcoming damage reduction. Noxious Vines: The vines emit noxious fumes that act as a lung and eye irritant. The subject and any creatures adjacent to the subject must attempt a DC 15 Fortitude check each round at the beginning of their turn. On a failed save, the creatures becomes blinded for that round and can't cast spells with verbal components. Swift Vines: The vines act twice as quickly as normal, and slow the creature by 10 feet per round instead of 5 feet (though they still can't decrease the creature's speed to less than half). In addition, once the creature is slowed to half-speed, it becomes staggered until the vines are torn off or the spell ends.</t>
  </si>
  <si>
    <t>&lt;p&gt;Vines choked with thorns, blossoms, leaflets, and other floral debris burst to life on and around the subject of this spell, winding around limbs and armor and making it progressively more difficult for the subject to maneuver. When this spell is cast, the subject may attempt a Reflex save. Success indicates that the vines fail to take root and the spell has no effect. On a failed save, the subject's base speed is immediately reduced by 5 feet. Each round thereafter, the subject must make another successful Reflex save or his speed is reduced by another 5 feet. This occurs each round until he is reduced to a speed equal to half of what it was before the spell was cast. As a full-round action, the subject or an adjacent creature can tear the vines off the subject's body, resetting the speed penalty to just 5 feet, though the vines continue to grow each round thereafter for the spell's duration, requiring additional checks, unless it is actually dispelled. The spell's effects can also be prematurely ended by dealing at least 20 points of fire damage to the subject. When the spell's duration ends or the effect is terminated, the vines immediately wilt and the subject's speed returns to normal. Regardless of the subject's base speed, the vines cannot reduce a creature's speed below 5 feet. This spell has additional effects depending on which version you cast, chosen when you cast the spell. &lt;i&gt;Blessed Thorns&lt;/i&gt;: The vines sprout vicious thorns made of celestial steel. Each round at the beginning of your turn, the subject takes 2d4 points of damage, plus 1 point of damage for each round since the creature last took a full-round action to tear the vines off. When you cast this version of the spell, you can also choose to make the thorns either cold iron or silver for the purposes of overcoming damage reduction. &lt;i&gt;Noxious Vines&lt;/i&gt;: The vines emit noxious fumes that act as a lung and eye irritant. The subject and any creatures adjacent to the subject must attempt a DC 15 Fortitude check each round at the beginning of their turn. On a failed save, the creatures becomes blinded for that round and can't cast spells with verbal components. &lt;i&gt;Swift Vines&lt;/i&gt;: The vines act twice as quickly as normal, and slow the creature by 10 feet per round instead of 5 feet (though they still can't decrease the creature's speed to less than half). In addition, once the creature is slowed to half-speed, it becomes staggered until the vines are torn off or the spell ends.&lt;/p&gt;</t>
  </si>
  <si>
    <t>&lt;link rel="stylesheet"href="PF.css"&gt;&lt;div class="heading"&gt;&lt;p class="alignleft"&gt;Vinetrap&lt;/p&gt;&lt;div style="clear: both;"&gt;&lt;/div&gt;&lt;/div&gt;&lt;div&gt;&lt;h5&gt;&lt;b&gt;School &lt;/b&gt;conjuration; &lt;b&gt;Level &lt;/b&gt;cleric/oracle 8, druid 8&lt;/h5&gt;&lt;/div&gt;&lt;hr/&gt;&lt;div&gt;&lt;h5&gt;&lt;b&gt;CASTING&lt;/b&gt;&lt;/h5&gt;&lt;/div&gt;&lt;hr/&gt;&lt;div&gt;&lt;h5&gt;&lt;b&gt;Casting Time &lt;/b&gt;10 minutes&lt;/h5&gt;&lt;h5&gt;&lt;b&gt;Components &lt;/b&gt;V, S, DF&lt;/h5&gt;&lt;/div&gt;&lt;hr/&gt;&lt;div&gt;&lt;h5&gt;&lt;b&gt;EFFECT&lt;/b&gt;&lt;/h5&gt;&lt;/div&gt;&lt;hr/&gt;&lt;div&gt;&lt;h5&gt;&lt;b&gt;Range &lt;/b&gt;long (400 ft. + 40 ft./level)&lt;/h5&gt;&lt;h5&gt;&lt;b&gt;Area &lt;/b&gt;radius spread of up to 10 ft./level, 90 ft. high&lt;/h5&gt;&lt;h5&gt;&lt;b&gt;Duration &lt;/b&gt;1 hour/level (D)&lt;/h5&gt;&lt;h5&gt;&lt;b&gt;Saving Throw &lt;/b&gt;Reflex negates (see text); &lt;b&gt;Spell Resistance &lt;/b&gt;yes&lt;/h5&gt;&lt;/div&gt;&lt;hr/&gt;&lt;div&gt;&lt;h5&gt;&lt;b&gt;DESCRIPTION&lt;/b&gt;&lt;/h5&gt;&lt;/div&gt;&lt;hr/&gt;&lt;div&gt;&lt;h4&gt;&lt;p&gt;Vines choked with thorns, blossoms, leaflets, and other floral debris burst to life on and around the subject of this spell, winding around limbs and armor and making it progressively more difficult for the subject to maneuver. When this spell is cast, the subject may attempt a Reflex save. Success indicates that the vines fail to take root and the spell has no effect. On a failed save, the subject's base speed is immediately reduced by 5 feet. Each round thereafter, the subject must make another successful Reflex save or his speed is reduced by another 5 feet. This occurs each round until he is reduced to a speed equal to half of what it was before the spell was cast. As a full-round action, the subject or an adjacent creature can tear the vines off the subject's body, resetting the speed penalty to just 5 feet, though the vines continue to grow each round thereafter for the spell's duration, requiring additional checks, unless it is actually dispelled. The spell's effects can also be prematurely ended by dealing at least 20 points of fire damage to the subject. When the spell's duration ends or the effect is terminated, the vines immediately wilt and the subject's speed returns to normal. Regardless of the subject's base speed, the vines cannot reduce a creature's speed below 5 feet. This spell has additional effects depending on which version you cast, chosen when you cast the spell. &lt;br&gt;&lt;i&gt;Blessed Thorns&lt;/i&gt;: The vines sprout vicious thorns made of celestial steel. Each round at the beginning of your turn, the subject takes 2d4 points of damage, plus 1 point of damage for each round since the creature last took a full-round action to tear the vines off. When you cast this version of the spell, you can also choose to make the thorns either cold iron or silver for the purposes of overcoming damage reduction. &lt;br&gt;&lt;i&gt;Noxious Vines&lt;/i&gt;: The vines emit noxious fumes that act as a lung and eye irritant. The subject and any creatures adjacent to the subject must attempt a DC 15 Fortitude check each round at the beginning of their turn. On a failed save, the creatures becomes blinded for that round and can't cast spells with verbal components. &lt;br&gt;&lt;i&gt;Swift Vines&lt;/i&gt;: The vines act twice as quickly as normal, and slow the creature by 10 feet per round instead of 5 feet (though they still can't decrease the creature's speed to less than half). In addition, once the creature is slowed to half-speed, it becomes staggered until the vines are torn off or the spell ends.&lt;/p&gt;&lt;/h4&gt;&lt;/div&gt;</t>
  </si>
  <si>
    <t>Black Sword Of War</t>
  </si>
  <si>
    <t>antipaladin 3, cleric/oracle 3, ranger 3, sorcerer/wizard 3</t>
  </si>
  <si>
    <t>V, S, F</t>
  </si>
  <si>
    <t>piercing or slashing manufactured weapon touched</t>
  </si>
  <si>
    <t>The target weapon turns a glossy black color and deals bleed damage if it deals hit point damage to a creature. The amount of bleed damage is equal to 1/2 your caster level (maximum bleed 5).</t>
  </si>
  <si>
    <t>&lt;p&gt;The target weapon turns a glossy black color and deals bleed damage if it deals hit point damage to a creature. The amount of bleed damage is equal to 1/2 your caster level (maximum bleed 5).&lt;/p&gt;</t>
  </si>
  <si>
    <t>AP 71</t>
  </si>
  <si>
    <t>&lt;link rel="stylesheet"href="PF.css"&gt;&lt;div class="heading"&gt;&lt;p class="alignleft"&gt;Black Sword Of War&lt;/p&gt;&lt;div style="clear: both;"&gt;&lt;/div&gt;&lt;/div&gt;&lt;div&gt;&lt;h5&gt;&lt;b&gt;School &lt;/b&gt;necromancy; &lt;b&gt;Level &lt;/b&gt;antipaladin 3, cleric/oracle 3, ranger 3, sorcerer/wizard 3 (Szuriel)&lt;/h5&gt;&lt;/div&gt;&lt;hr/&gt;&lt;div&gt;&lt;h5&gt;&lt;b&gt;CASTING&lt;/b&gt;&lt;/h5&gt;&lt;/div&gt;&lt;hr/&gt;&lt;div&gt;&lt;h5&gt;&lt;b&gt;Casting Time &lt;/b&gt;1 standard action&lt;/h5&gt;&lt;h5&gt;&lt;b&gt;Components &lt;/b&gt;V, S, F&lt;/h5&gt;&lt;/div&gt;&lt;hr/&gt;&lt;div&gt;&lt;h5&gt;&lt;b&gt;EFFECT&lt;/b&gt;&lt;/h5&gt;&lt;/div&gt;&lt;hr/&gt;&lt;div&gt;&lt;h5&gt;&lt;b&gt;Range &lt;/b&gt;touch&lt;/h5&gt;&lt;h5&gt;&lt;b&gt;Targets &lt;/b&gt;piercing or slashing manufactured weapon touched&lt;/h5&gt;&lt;h5&gt;&lt;b&gt;Duration &lt;/b&gt;1 minute/level (D)&lt;/h5&gt;&lt;h5&gt;&lt;b&gt;Saving Throw &lt;/b&gt;Will negates (harmless, object); &lt;b&gt;Spell Resistance &lt;/b&gt;yes (harmless, object)&lt;/h5&gt;&lt;/div&gt;&lt;hr/&gt;&lt;div&gt;&lt;h5&gt;&lt;b&gt;DESCRIPTION&lt;/b&gt;&lt;/h5&gt;&lt;/div&gt;&lt;hr/&gt;&lt;div&gt;&lt;h4&gt;&lt;p&gt;The target weapon turns a glossy black color and deals bleed damage if it deals hit point damage to a creature. The amount of bleed damage is equal to 1/2 your caster level (maximum bleed 5).&lt;/p&gt;&lt;/h4&gt;&lt;/div&gt;</t>
  </si>
  <si>
    <t>Szuriel</t>
  </si>
  <si>
    <t>Bloody Tears And Jagged Smile</t>
  </si>
  <si>
    <t>personal and see text</t>
  </si>
  <si>
    <t>you and see text</t>
  </si>
  <si>
    <t>Your eyes turn black and weep blood, and your teeth become jagged fangs. You gain a bite attack (1d3 points of damage if you are Small, 1d4 points of damage if you are Medium). You gain a +4 profane bonus on Intimidate checks and on your spell DCs for spells with the fear descriptor. You perceive creatures as if using deathwatch.</t>
  </si>
  <si>
    <t>&lt;p&gt;Your eyes turn black and weep blood, and your teeth become jagged fangs. You gain a bite attack (1d3 points of damage if you are Small, 1d4 points of damage if you are Medium). You gain a +4 profane bonus on Intimidate checks and on your spell DCs for spells with the fear descriptor. You perceive creatures as if using &lt;i&gt;deathwatch&lt;/i&gt;.&lt;/p&gt;</t>
  </si>
  <si>
    <t>&lt;link rel="stylesheet"href="PF.css"&gt;&lt;div class="heading"&gt;&lt;p class="alignleft"&gt;Bloody Tears And Jagged Smile&lt;/p&gt;&lt;div style="clear: both;"&gt;&lt;/div&gt;&lt;/div&gt;&lt;div&gt;&lt;h5&gt;&lt;b&gt;School &lt;/b&gt;necromancy; &lt;b&gt;Level &lt;/b&gt;cleric/oracle 2, sorcerer/wizard 2 (Szuriel)&lt;/h5&gt;&lt;/div&gt;&lt;hr/&gt;&lt;div&gt;&lt;h5&gt;&lt;b&gt;CASTING&lt;/b&gt;&lt;/h5&gt;&lt;/div&gt;&lt;hr/&gt;&lt;div&gt;&lt;h5&gt;&lt;b&gt;Casting Time &lt;/b&gt;1 standard action&lt;/h5&gt;&lt;h5&gt;&lt;b&gt;Components &lt;/b&gt;V, S&lt;/h5&gt;&lt;/div&gt;&lt;hr/&gt;&lt;div&gt;&lt;h5&gt;&lt;b&gt;EFFECT&lt;/b&gt;&lt;/h5&gt;&lt;/div&gt;&lt;hr/&gt;&lt;div&gt;&lt;h5&gt;&lt;b&gt;Range &lt;/b&gt;personal and see text&lt;/h5&gt;&lt;h5&gt;&lt;b&gt;Targets &lt;/b&gt;you and see text&lt;/h5&gt;&lt;h5&gt;&lt;b&gt;Duration &lt;/b&gt;10 minutes/level&lt;/h5&gt;&lt;h5&gt;&lt;b&gt;Saving Throw &lt;/b&gt;none; &lt;b&gt;Spell Resistance &lt;/b&gt;yes&lt;/h5&gt;&lt;/div&gt;&lt;hr/&gt;&lt;div&gt;&lt;h5&gt;&lt;b&gt;DESCRIPTION&lt;/b&gt;&lt;/h5&gt;&lt;/div&gt;&lt;hr/&gt;&lt;div&gt;&lt;h4&gt;&lt;p&gt;Your eyes turn black and weep blood, and your teeth become jagged fangs. You gain a bite attack (1d3 points of damage if you are Small, 1d4 points of damage if you are Medium). You gain a +4 profane bonus on Intimidate checks and on your spell DCs for spells with the fear descriptor. You perceive creatures as if using &lt;i&gt;deathwatch&lt;/i&gt;.&lt;/p&gt;&lt;/h4&gt;&lt;/div&gt;</t>
  </si>
  <si>
    <t>Blightburn Weapon</t>
  </si>
  <si>
    <t>alchemist 4, inquisitor 4, magus 4, sorcerer/wizard 5, witch 5</t>
  </si>
  <si>
    <t>You transform the target weapon into pure blightburn. The weapon functions as normal, but any creature that touches it, or that it strikes, takes 2d6 points of fire damage each round it remains in contact. In addition, the weapon emanates an aura of radiation that causes blightburn sickness. This is as the disease (see page 29), but with a 10-foot radius and a save DC equal to this spell's save DC.</t>
  </si>
  <si>
    <t>&lt;p&gt;You transform the target weapon into pure blightburn. The weapon functions as normal, but any creature that touches it, or that it strikes, takes 2d6 points of fire damage each round it remains in contact. In addition, the weapon emanates an aura of radiation that causes blightburn sickness. This is as the disease (see page 29), but with a 10-foot radius and a save DC equal to this spell's save DC.&lt;/p&gt;</t>
  </si>
  <si>
    <t>Kobolds Of Golarion</t>
  </si>
  <si>
    <t>&lt;link rel="stylesheet"href="PF.css"&gt;&lt;div class="heading"&gt;&lt;p class="alignleft"&gt;Blightburn Weapon&lt;/p&gt;&lt;div style="clear: both;"&gt;&lt;/div&gt;&lt;/div&gt;&lt;div&gt;&lt;h5&gt;&lt;b&gt;School &lt;/b&gt;transmutation; &lt;b&gt;Level &lt;/b&gt;alchemist 4, inquisitor 4, magus 4, sorcerer/wizard 5, witch 5&lt;/h5&gt;&lt;/div&gt;&lt;hr/&gt;&lt;div&gt;&lt;h5&gt;&lt;b&gt;CASTING&lt;/b&gt;&lt;/h5&gt;&lt;/div&gt;&lt;hr/&gt;&lt;div&gt;&lt;h5&gt;&lt;b&gt;Casting Time &lt;/b&gt;1 standard action&lt;/h5&gt;&lt;h5&gt;&lt;b&gt;Components &lt;/b&gt;V, S, DF&lt;/h5&gt;&lt;/div&gt;&lt;hr/&gt;&lt;div&gt;&lt;h5&gt;&lt;b&gt;EFFECT&lt;/b&gt;&lt;/h5&gt;&lt;/div&gt;&lt;hr/&gt;&lt;div&gt;&lt;h5&gt;&lt;b&gt;Range &lt;/b&gt;close (25 ft. + 5 ft./2 levels)&lt;/h5&gt;&lt;h5&gt;&lt;b&gt;Targets &lt;/b&gt;one weapon&lt;/h5&gt;&lt;h5&gt;&lt;b&gt;Duration &lt;/b&gt;1 round/level (D)&lt;/h5&gt;&lt;h5&gt;&lt;b&gt;Saving Throw &lt;/b&gt;Will negates (object); &lt;b&gt;Spell Resistance &lt;/b&gt;yes (object)&lt;/h5&gt;&lt;/div&gt;&lt;hr/&gt;&lt;div&gt;&lt;h5&gt;&lt;b&gt;DESCRIPTION&lt;/b&gt;&lt;/h5&gt;&lt;/div&gt;&lt;hr/&gt;&lt;div&gt;&lt;h4&gt;&lt;p&gt;You transform the target weapon into pure blightburn. The weapon functions as normal, but any creature that touches it, or that it strikes, takes 2d6 points of fire damage each round it remains in contact. In addition, the weapon emanates an aura of radiation that causes blightburn sickness. This is as the disease (see page 29), but with a 10-foot radius and a save DC equal to this spell's save DC.&lt;/p&gt;&lt;/h4&gt;&lt;/div&gt;</t>
  </si>
  <si>
    <t>Chameleon Scales</t>
  </si>
  <si>
    <t>alchemist 1, druid 0, ranger 1, sorcerer/wizard 0</t>
  </si>
  <si>
    <t>You temporarily alter the color of your skin, hide, or scales to another option legal for your race. You take no penalty for using Disguise to appear as a member of a different race as long as that race has the same type and color of skin, hide, or scales as you.</t>
  </si>
  <si>
    <t>&lt;p&gt;You temporarily alter the color of your skin, hide, or scales to another option legal for your race. You take no penalty for using Disguise to appear as a member of a different race as long as that race has the same type and color of skin, hide, or scales as you.&lt;/p&gt;</t>
  </si>
  <si>
    <t>&lt;link rel="stylesheet"href="PF.css"&gt;&lt;div class="heading"&gt;&lt;p class="alignleft"&gt;Chameleon Scales&lt;/p&gt;&lt;div style="clear: both;"&gt;&lt;/div&gt;&lt;/div&gt;&lt;div&gt;&lt;h5&gt;&lt;b&gt;School &lt;/b&gt;transmutation; &lt;b&gt;Level &lt;/b&gt;alchemist 1, druid 0, ranger 1, sorcerer/wizard 0&lt;/h5&gt;&lt;/div&gt;&lt;hr/&gt;&lt;div&gt;&lt;h5&gt;&lt;b&gt;CASTING&lt;/b&gt;&lt;/h5&gt;&lt;/div&gt;&lt;hr/&gt;&lt;div&gt;&lt;h5&gt;&lt;b&gt;Casting Time &lt;/b&gt;1 standard action&lt;/h5&gt;&lt;h5&gt;&lt;b&gt;Components &lt;/b&gt;V, S, DF&lt;/h5&gt;&lt;/div&gt;&lt;hr/&gt;&lt;div&gt;&lt;h5&gt;&lt;b&gt;EFFECT&lt;/b&gt;&lt;/h5&gt;&lt;/div&gt;&lt;hr/&gt;&lt;div&gt;&lt;h5&gt;&lt;b&gt;Range &lt;/b&gt;personal&lt;/h5&gt;&lt;h5&gt;&lt;b&gt;Targets &lt;/b&gt;you&lt;/h5&gt;&lt;h5&gt;&lt;b&gt;Duration &lt;/b&gt;10 minutes/level (D)&lt;/h5&gt;&lt;/div&gt;&lt;hr/&gt;&lt;div&gt;&lt;h5&gt;&lt;b&gt;DESCRIPTION&lt;/b&gt;&lt;/h5&gt;&lt;/div&gt;&lt;hr/&gt;&lt;div&gt;&lt;h4&gt;&lt;p&gt;You temporarily alter the color of your skin, hide, or scales to another option legal for your race. You take no penalty for using Disguise to appear as a member of a different race as long as that race has the same type and color of skin, hide, or scales as you.&lt;/p&gt;&lt;/h4&gt;&lt;/div&gt;</t>
  </si>
  <si>
    <t>Dark-Light</t>
  </si>
  <si>
    <t>cleric/oracle 3, druid 3, sorcerer/wizard 3</t>
  </si>
  <si>
    <t>V, S, M/DF (a pinch of Darklands earth)</t>
  </si>
  <si>
    <t>Target living creatures without light sensitivity 20-ft.-radius burst</t>
  </si>
  <si>
    <t>You evoke a powerful light that affects all sighted creatures that do not posses light sensitivity. Those that succeed on their saves are dazzled for 1 round per level; those who fail are blinded for the same duration.</t>
  </si>
  <si>
    <t>&lt;p&gt;You evoke a powerful light that affects all sighted creatures that do not posses light sensitivity. Those that succeed on their saves are dazzled for 1 round per level; those who fail are blinded for the same duration.&lt;/p&gt;</t>
  </si>
  <si>
    <t>&lt;link rel="stylesheet"href="PF.css"&gt;&lt;div class="heading"&gt;&lt;p class="alignleft"&gt;Dark-Light&lt;/p&gt;&lt;div style="clear: both;"&gt;&lt;/div&gt;&lt;/div&gt;&lt;div&gt;&lt;h5&gt;&lt;b&gt;School &lt;/b&gt;evocation [light]; &lt;b&gt;Level &lt;/b&gt;cleric/oracle 3, druid 3, sorcerer/wizard 3&lt;/h5&gt;&lt;/div&gt;&lt;hr/&gt;&lt;div&gt;&lt;h5&gt;&lt;b&gt;CASTING&lt;/b&gt;&lt;/h5&gt;&lt;/div&gt;&lt;hr/&gt;&lt;div&gt;&lt;h5&gt;&lt;b&gt;Casting Time &lt;/b&gt;1 standard action&lt;/h5&gt;&lt;h5&gt;&lt;b&gt;Components &lt;/b&gt;V, S, M/DF (a pinch of Darklands earth)&lt;/h5&gt;&lt;/div&gt;&lt;hr/&gt;&lt;div&gt;&lt;h5&gt;&lt;b&gt;EFFECT&lt;/b&gt;&lt;/h5&gt;&lt;/div&gt;&lt;hr/&gt;&lt;div&gt;&lt;h5&gt;&lt;b&gt;Range &lt;/b&gt;medium (100 ft. + 10 ft./level)&lt;/h5&gt;&lt;h5&gt;&lt;b&gt;Area &lt;/b&gt;Target living creatures without light sensitivity 20-ft.-radius burst&lt;/h5&gt;&lt;h5&gt;&lt;b&gt;Duration &lt;/b&gt;instantaneous&lt;/h5&gt;&lt;h5&gt;&lt;b&gt;Saving Throw &lt;/b&gt;Fortitude partial; &lt;b&gt;Spell Resistance &lt;/b&gt;yes&lt;/h5&gt;&lt;/div&gt;&lt;hr/&gt;&lt;div&gt;&lt;h5&gt;&lt;b&gt;DESCRIPTION&lt;/b&gt;&lt;/h5&gt;&lt;/div&gt;&lt;hr/&gt;&lt;div&gt;&lt;h4&gt;&lt;p&gt;You evoke a powerful light that affects all sighted creatures that do not posses light sensitivity. Those that succeed on their saves are dazzled for 1 round per level; those who fail are blinded for the same duration.&lt;/p&gt;&lt;/h4&gt;&lt;/div&gt;</t>
  </si>
  <si>
    <t>Enlarge Tail</t>
  </si>
  <si>
    <t>alchemist 1, antipaladin 1, druid 1, magus 1, sorcerer/wizard 1, summoner 1, witch 1</t>
  </si>
  <si>
    <t>your tail</t>
  </si>
  <si>
    <t>When attacking with your tail or tail weapons, you gain 5 feet of reach, a +1 bonus on attack rolls, and a +2 bonus on damage rolls.</t>
  </si>
  <si>
    <t>&lt;p&gt;When attacking with your tail or tail weapons, you gain 5 feet of reach, a +1 bonus on attack rolls, and a +2 bonus on damage rolls.&lt;/p&gt;</t>
  </si>
  <si>
    <t>&lt;link rel="stylesheet"href="PF.css"&gt;&lt;div class="heading"&gt;&lt;p class="alignleft"&gt;Enlarge Tail&lt;/p&gt;&lt;div style="clear: both;"&gt;&lt;/div&gt;&lt;/div&gt;&lt;div&gt;&lt;h5&gt;&lt;b&gt;School &lt;/b&gt;transmutation; &lt;b&gt;Level &lt;/b&gt;alchemist 1, antipaladin 1, druid 1, magus 1, sorcerer/wizard 1, summoner 1, witch 1&lt;/h5&gt;&lt;/div&gt;&lt;hr/&gt;&lt;div&gt;&lt;h5&gt;&lt;b&gt;CASTING&lt;/b&gt;&lt;/h5&gt;&lt;/div&gt;&lt;hr/&gt;&lt;div&gt;&lt;h5&gt;&lt;b&gt;Casting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&lt;/b&gt;your tail&lt;/h5&gt;&lt;h5&gt;&lt;b&gt;Duration &lt;/b&gt;1 hour/level&lt;/h5&gt;&lt;/div&gt;&lt;hr/&gt;&lt;div&gt;&lt;h5&gt;&lt;b&gt;DESCRIPTION&lt;/b&gt;&lt;/h5&gt;&lt;/div&gt;&lt;hr/&gt;&lt;div&gt;&lt;h4&gt;&lt;p&gt;When attacking with your tail or tail weapons, you gain 5 feet of reach, a +1 bonus on attack rolls, and a +2 bonus on damage rolls.&lt;/p&gt;&lt;/h4&gt;&lt;/div&gt;</t>
  </si>
  <si>
    <t>Lead Plating</t>
  </si>
  <si>
    <t>alchemist 3, cleric/oracle 2, druid 2, ranger 2, sorcerer/wizard 2, witch 2</t>
  </si>
  <si>
    <t>V, S, F (an ounce of lead)</t>
  </si>
  <si>
    <t>a creature or object weighing up to 100 lbs./level</t>
  </si>
  <si>
    <t>You enclose the target in a thin sheath of lead. This doesn't restrict the target's movement or functionality, but protects it from the effects of radiation and prevents the penetration of many divination spells. The lead doesn't coat the target's equipment.</t>
  </si>
  <si>
    <t>&lt;p&gt;You enclose the target in a thin sheath of lead. This doesn't restrict the target's movement or functionality, but protects it from the effects of radiation and prevents the penetration of many divination spells. The lead doesn't coat the target's equipment.&lt;/p&gt;</t>
  </si>
  <si>
    <t>&lt;link rel="stylesheet"href="PF.css"&gt;&lt;div class="heading"&gt;&lt;p class="alignleft"&gt;Lead Plating&lt;/p&gt;&lt;div style="clear: both;"&gt;&lt;/div&gt;&lt;/div&gt;&lt;div&gt;&lt;h5&gt;&lt;b&gt;School &lt;/b&gt;conjuration (creation); &lt;b&gt;Level &lt;/b&gt;alchemist 3, cleric/oracle 2, druid 2, ranger 2, sorcerer/wizard 2, witch 2&lt;/h5&gt;&lt;/div&gt;&lt;hr/&gt;&lt;div&gt;&lt;h5&gt;&lt;b&gt;CASTING&lt;/b&gt;&lt;/h5&gt;&lt;/div&gt;&lt;hr/&gt;&lt;div&gt;&lt;h5&gt;&lt;b&gt;Casting Time &lt;/b&gt;1 standard action&lt;/h5&gt;&lt;h5&gt;&lt;b&gt;Components &lt;/b&gt;V, S, F (an ounce of lead)&lt;/h5&gt;&lt;/div&gt;&lt;hr/&gt;&lt;div&gt;&lt;h5&gt;&lt;b&gt;EFFECT&lt;/b&gt;&lt;/h5&gt;&lt;/div&gt;&lt;hr/&gt;&lt;div&gt;&lt;h5&gt;&lt;b&gt;Range &lt;/b&gt;touch&lt;/h5&gt;&lt;h5&gt;&lt;b&gt;Targets &lt;/b&gt;a creature or object weighing up to 100 lbs./level&lt;/h5&gt;&lt;h5&gt;&lt;b&gt;Duration &lt;/b&gt;1 minute/level (D)&lt;/h5&gt;&lt;h5&gt;&lt;b&gt;Saving Throw &lt;/b&gt;Will negates (harmless, object); &lt;b&gt;Spell Resistance &lt;/b&gt;yes (harmless, object)&lt;/h5&gt;&lt;/div&gt;&lt;hr/&gt;&lt;div&gt;&lt;h5&gt;&lt;b&gt;DESCRIPTION&lt;/b&gt;&lt;/h5&gt;&lt;/div&gt;&lt;hr/&gt;&lt;div&gt;&lt;h4&gt;&lt;p&gt;You enclose the target in a thin sheath of lead. This doesn't restrict the target's movement or functionality, but protects it from the effects of radiation and prevents the penetration of many divination spells. The lead doesn't coat the target's equipment.&lt;/p&gt;&lt;/h4&gt;&lt;/div&gt;</t>
  </si>
  <si>
    <t>Shadow Dragon Aspect</t>
  </si>
  <si>
    <t>Will disbelief (if interacted with), see text</t>
  </si>
  <si>
    <t>yes, see text;</t>
  </si>
  <si>
    <t>You wreathe yourself in the quasi-real form of a dragon. You gain two claw attacks (1d6 plus caster level slashing damage) and a bite attack (1d8 plus caster level piercing damage). These are primary attacks. In addition, you gain shadowy wings, granting you a fly speed equal to your base speed (good maneuverability). Your shadowy natural weapons are only half as strong as the real things, though creatures that believe them to be real are affected at full strength. A creature is permitted one Will save the first time you strike it. If it succeeds, the creature takes half damage from such attacks for the duration of the spell. If you overcome a creature's spell resistance on your first attack, that creature remains vulnerable for the spell's duration; otherwise, it's immune.</t>
  </si>
  <si>
    <t>&lt;p&gt;You wreathe yourself in the quasi-real form of a dragon. You gain two claw attacks (1d6 plus caster level slashing damage) and a bite attack (1d8 plus caster level piercing damage). These are primary attacks. In addition, you gain shadowy wings, granting you a fly speed equal to your base speed (good maneuverability). Your shadowy natural weapons are only half as strong as the real things, though creatures that believe them to be real are affected at full strength. A creature is permitted one Will save the first time you strike it. If it succeeds, the creature takes half damage from such attacks for the duration of the spell. If you overcome a creature's spell resistance on your first attack, that creature remains vulnerable for the spell's duration; otherwise, it's immune.&lt;/p&gt;</t>
  </si>
  <si>
    <t>&lt;link rel="stylesheet"href="PF.css"&gt;&lt;div class="heading"&gt;&lt;p class="alignleft"&gt;Shadow Dragon Aspect&lt;/p&gt;&lt;div style="clear: both;"&gt;&lt;/div&gt;&lt;/div&gt;&lt;div&gt;&lt;h5&gt;&lt;b&gt;School &lt;/b&gt;illusion (shadow) [shadow]; &lt;b&gt;Level &lt;/b&gt;bard 4, sorcerer/wizard 4&lt;/h5&gt;&lt;/div&gt;&lt;hr/&gt;&lt;div&gt;&lt;h5&gt;&lt;b&gt;CASTING&lt;/b&gt;&lt;/h5&gt;&lt;/div&gt;&lt;hr/&gt;&lt;div&gt;&lt;h5&gt;&lt;b&gt;Casting Time &lt;/b&gt;1 standard action&lt;/h5&gt;&lt;h5&gt;&lt;b&gt;Components &lt;/b&gt;V, S&lt;/h5&gt;&lt;/div&gt;&lt;hr/&gt;&lt;div&gt;&lt;h5&gt;&lt;b&gt;EFFECT&lt;/b&gt;&lt;/h5&gt;&lt;/div&gt;&lt;hr/&gt;&lt;div&gt;&lt;h5&gt;&lt;b&gt;Range &lt;/b&gt;personal&lt;/h5&gt;&lt;h5&gt;&lt;b&gt;Duration &lt;/b&gt;1 round/level&lt;/h5&gt;&lt;h5&gt;&lt;b&gt;Saving Throw &lt;/b&gt;Will disbelief (if interacted with), see text; &lt;b&gt;Spell Resistance &lt;/b&gt;yes, see text;&lt;/h5&gt;&lt;/div&gt;&lt;hr/&gt;&lt;div&gt;&lt;h5&gt;&lt;b&gt;DESCRIPTION&lt;/b&gt;&lt;/h5&gt;&lt;/div&gt;&lt;hr/&gt;&lt;div&gt;&lt;h4&gt;&lt;p&gt;You wreathe yourself in the quasi-real form of a dragon. You gain two claw attacks (1d6 plus caster level slashing damage) and a bite attack (1d8 plus caster level piercing damage). These are primary attacks. In addition, you gain shadowy wings, granting you a fly speed equal to your base speed (good maneuverability). Your shadowy natural weapons are only half as strong as the real things, though creatures that believe them to be real are affected at full strength. A creature is permitted one Will save the first time you strike it. If it succeeds, the creature takes half damage from such attacks for the duration of the spell. If you overcome a creature's spell resistance on your first attack, that creature remains vulnerable for the spell's duration; otherwise, it's immune.&lt;/p&gt;&lt;/h4&gt;&lt;/div&gt;</t>
  </si>
  <si>
    <t>Strip Scales</t>
  </si>
  <si>
    <t>V, S, M/DF (a single reptile scale)</t>
  </si>
  <si>
    <t>Fortitude</t>
  </si>
  <si>
    <t>You reduce the target's racial natural armor bonus by 1 point per 3 caster levels.</t>
  </si>
  <si>
    <t>&lt;p&gt;You reduce the target's racial natural armor bonus by 1 point per 3 caster levels.&lt;/p&gt;</t>
  </si>
  <si>
    <t>&lt;link rel="stylesheet"href="PF.css"&gt;&lt;div class="heading"&gt;&lt;p class="alignleft"&gt;Strip Scales&lt;/p&gt;&lt;div style="clear: both;"&gt;&lt;/div&gt;&lt;/div&gt;&lt;div&gt;&lt;h5&gt;&lt;b&gt;School &lt;/b&gt;transmutation; &lt;b&gt;Level &lt;/b&gt;druid 4, sorcerer/wizard 5, witch 5&lt;/h5&gt;&lt;/div&gt;&lt;hr/&gt;&lt;div&gt;&lt;h5&gt;&lt;b&gt;CASTING&lt;/b&gt;&lt;/h5&gt;&lt;/div&gt;&lt;hr/&gt;&lt;div&gt;&lt;h5&gt;&lt;b&gt;Casting Time &lt;/b&gt;1 standard action&lt;/h5&gt;&lt;h5&gt;&lt;b&gt;Components &lt;/b&gt;V, S, M/DF (a single reptile scale)&lt;/h5&gt;&lt;/div&gt;&lt;hr/&gt;&lt;div&gt;&lt;h5&gt;&lt;b&gt;EFFECT&lt;/b&gt;&lt;/h5&gt;&lt;/div&gt;&lt;hr/&gt;&lt;div&gt;&lt;h5&gt;&lt;b&gt;Range &lt;/b&gt;close (25 ft. + 5 ft./2 levels)&lt;/h5&gt;&lt;h5&gt;&lt;b&gt;Targets &lt;/b&gt;one living creature&lt;/h5&gt;&lt;h5&gt;&lt;b&gt;Duration &lt;/b&gt;1 minute/level&lt;/h5&gt;&lt;h5&gt;&lt;b&gt;Saving Throw &lt;/b&gt;Fortitude; &lt;b&gt;Spell Resistance &lt;/b&gt;yes&lt;/h5&gt;&lt;/div&gt;&lt;hr/&gt;&lt;div&gt;&lt;h5&gt;&lt;b&gt;DESCRIPTION&lt;/b&gt;&lt;/h5&gt;&lt;/div&gt;&lt;hr/&gt;&lt;div&gt;&lt;h4&gt;&lt;p&gt;You reduce the target's racial natural armor bonus by 1 point per 3 caster levels.&lt;/p&gt;&lt;/h4&gt;&lt;/div&gt;</t>
  </si>
  <si>
    <t>Unseen Engineers</t>
  </si>
  <si>
    <t>sorcerer/wizard 3, summoner 2, witch 3</t>
  </si>
  <si>
    <t>V, S, M (materials required to construct the trap)</t>
  </si>
  <si>
    <t>long (400 ft. + 40 ft. level)</t>
  </si>
  <si>
    <t>a team of tiny, invisible engineers</t>
  </si>
  <si>
    <t>You conjure an invisible team of tiny engineers to construct a trap at alarming speed. Originating at your location, the team must remain within range of you or the spell ends. The engineers construct a mechanical trap of your choice. Construction takes a number of rounds equal to the trap's challenge rating. The engineers must have the materials available. At the end of the construction time, use your Craft (traps) skill with a +5 bonus to determine the success of their work. If the engineers succeed, the trap is complete and the spell ends. If they fail, the materials are deposited at that location and the spell ends. If the spell's duration ends before the trap is complete, the engineers automatically fail. The engineers move at your base speed and can carry only materials required in the construction of the desired trap. They can't attack in any way or be killed, and dissipate if they take 12 points of damage from area attacks (they get no saves against attacks).</t>
  </si>
  <si>
    <t>&lt;p&gt;You conjure an invisible team of tiny engineers to construct a trap at alarming speed. Originating at your location, the team must remain within range of you or the spell ends. The engineers construct a mechanical trap of your choice. Construction takes a number of rounds equal to the trap's challenge rating. The engineers must have the materials available. At the end of the construction time, use your Craft (traps) skill with a +5 bonus to determine the success of their work. If the engineers succeed, the trap is complete and the spell ends. If they fail, the materials are deposited at that location and the spell ends. If the spell's duration ends before the trap is complete, the engineers automatically fail. The engineers move at your base speed and can carry only materials required in the construction of the desired trap. They can't attack in any way or be killed, and dissipate if they take 12 points of damage from area attacks (they get no saves against attacks).&lt;/p&gt;</t>
  </si>
  <si>
    <t>&lt;link rel="stylesheet"href="PF.css"&gt;&lt;div class="heading"&gt;&lt;p class="alignleft"&gt;Unseen Engineers&lt;/p&gt;&lt;div style="clear: both;"&gt;&lt;/div&gt;&lt;/div&gt;&lt;div&gt;&lt;h5&gt;&lt;b&gt;School &lt;/b&gt;conjuration (creation); &lt;b&gt;Level &lt;/b&gt;sorcerer/wizard 3, summoner 2, witch 3&lt;/h5&gt;&lt;/div&gt;&lt;hr/&gt;&lt;div&gt;&lt;h5&gt;&lt;b&gt;CASTING&lt;/b&gt;&lt;/h5&gt;&lt;/div&gt;&lt;hr/&gt;&lt;div&gt;&lt;h5&gt;&lt;b&gt;Casting Time &lt;/b&gt;1 standard action&lt;/h5&gt;&lt;h5&gt;&lt;b&gt;Components &lt;/b&gt;V, S, M (materials required to construct the trap)&lt;/h5&gt;&lt;/div&gt;&lt;hr/&gt;&lt;div&gt;&lt;h5&gt;&lt;b&gt;EFFECT&lt;/b&gt;&lt;/h5&gt;&lt;/div&gt;&lt;hr/&gt;&lt;div&gt;&lt;h5&gt;&lt;b&gt;Range &lt;/b&gt;long (400 ft. + 40 ft. level)&lt;/h5&gt;&lt;h5&gt;&lt;b&gt;Effect &lt;/b&gt;a team of tiny, invisible engineers&lt;/h5&gt;&lt;h5&gt;&lt;b&gt;Duration &lt;/b&gt;1 minute/level&lt;/h5&gt;&lt;h5&gt;&lt;b&gt;Saving Throw &lt;/b&gt;none; &lt;b&gt;Spell Resistance &lt;/b&gt;no&lt;/h5&gt;&lt;/div&gt;&lt;hr/&gt;&lt;div&gt;&lt;h5&gt;&lt;b&gt;DESCRIPTION&lt;/b&gt;&lt;/h5&gt;&lt;/div&gt;&lt;hr/&gt;&lt;div&gt;&lt;h4&gt;&lt;p&gt;You conjure an invisible team of tiny engineers to construct a trap at alarming speed. Originating at your location, the team must remain within range of you or the spell ends. The engineers construct a mechanical trap of your choice. Construction takes a number of rounds equal to the trap's challenge rating. The engineers must have the materials available. At the end of the construction time, use your Craft (traps) skill with a +5 bonus to determine the success of their work. If the engineers succeed, the trap is complete and the spell ends. If they fail, the materials are deposited at that location and the spell ends. If the spell's duration ends before the trap is complete, the engineers automatically fail. The engineers move at your base speed and can carry only materials required in the construction of the desired trap. They can't attack in any way or be killed, and dissipate if they take 12 points of damage from area attacks (they get no saves against attacks).&lt;/p&gt;&lt;/h4&gt;&lt;/div&gt;</t>
  </si>
  <si>
    <t>Detect Relations</t>
  </si>
  <si>
    <t>bard 2, cleric/oracle 2, inquisitor 2, witch 2</t>
  </si>
  <si>
    <t>V, S, F/DF (a seed)</t>
  </si>
  <si>
    <t>one creature per level, no two of which can be more than 30 ft. apart</t>
  </si>
  <si>
    <t>You can determine whether or not two or more creatures are related by blood. The amount of information gleaned depends on how long you study a particular area or set of subjects. 1st round: Whether or not the subjects are related by blood. 2nd round: Number of related subjects and their general relation to one another (for example, this would reveal that one subject is a descendant of the other, but it would not specify "mother" or "grandmother"). 3rd round: Precise relationship between subjects in the area. A target's Will save prevents you from determining its exact relationship with another creature, and only one subject needs to succeed at this save to prevent you from determining its relationship with another creature. (So, for instance, if two brothers are in the area and one succeeds at his Will save, you could tell that they are siblings, but could not distinguish whether they are full- or half-siblings.) Each round, you can turn to detect relations in a new area. The spell can penetrate barriers, but 6 inches of stone, 1 inch of common metal, a thin sheet of lead, or 1 foot of wood or dirt will block it. This spell functions by analyzing the blood and minds of creatures in the area, collectively examining these traits and comparing them to those of others in the area while looking for patterns. Thus, adoptive siblings and parents cannot be detected with this spell, since they share no blood.</t>
  </si>
  <si>
    <t>&lt;p&gt;You can determine whether or not two or more creatures are related by blood. The amount of information gleaned depends on how long you study a particular area or set of subjects. &lt;i&gt;1st round&lt;/i&gt;: Whether or not the subjects are related by blood. &lt;i&gt;2nd round&lt;/i&gt;: Number of related subjects and their general relation to one another (for example, this would reveal that one subject is a descendant of the other, but it would not specify "mother" or "grandmother"). &lt;i&gt;3rd round&lt;/i&gt;: Precise relationship between subjects in the area. A target's Will save prevents you from determining its exact relationship with another creature, and only one subject needs to succeed at this save to prevent you from determining its relationship with another creature. (So, for instance, if two brothers are in the area and one succeeds at his Will save, you could tell that they are siblings, but could not distinguish whether they are full- or half-siblings.) Each round, you can turn to detect relations in a new area. The spell can penetrate barriers, but 6 inches of stone, 1 inch of common metal, a thin sheet of lead, or 1 foot of wood or dirt will block it. This spell functions by analyzing the blood and minds of creatures in the area, collectively examining these traits and comparing them to those of others in the area while looking for patterns. Thus, adoptive siblings and parents cannot be detected with this spell, since they share no blood.&lt;/p&gt;</t>
  </si>
  <si>
    <t>Quests and Campaigns</t>
  </si>
  <si>
    <t>&lt;link rel="stylesheet"href="PF.css"&gt;&lt;div class="heading"&gt;&lt;p class="alignleft"&gt;Detect Relations&lt;/p&gt;&lt;div style="clear: both;"&gt;&lt;/div&gt;&lt;/div&gt;&lt;div&gt;&lt;h5&gt;&lt;b&gt;School &lt;/b&gt;divination; &lt;b&gt;Level &lt;/b&gt;bard 2, cleric/oracle 2, inquisitor 2, witch 2&lt;/h5&gt;&lt;/div&gt;&lt;hr/&gt;&lt;div&gt;&lt;h5&gt;&lt;b&gt;CASTING&lt;/b&gt;&lt;/h5&gt;&lt;/div&gt;&lt;hr/&gt;&lt;div&gt;&lt;h5&gt;&lt;b&gt;Casting Time &lt;/b&gt;1 standard action&lt;/h5&gt;&lt;h5&gt;&lt;b&gt;Components &lt;/b&gt;V, S, F/DF (a seed)&lt;/h5&gt;&lt;/div&gt;&lt;hr/&gt;&lt;div&gt;&lt;h5&gt;&lt;b&gt;EFFECT&lt;/b&gt;&lt;/h5&gt;&lt;/div&gt;&lt;hr/&gt;&lt;div&gt;&lt;h5&gt;&lt;b&gt;Targets &lt;/b&gt;one creature per level, no two of which can be more than 30 ft. apart&lt;/h5&gt;&lt;h5&gt;&lt;b&gt;Duration &lt;/b&gt;concentration, up to 1 min./level (D)&lt;/h5&gt;&lt;h5&gt;&lt;b&gt;Saving Throw &lt;/b&gt;Will negates; see text; &lt;b&gt;Spell Resistance &lt;/b&gt;no&lt;/h5&gt;&lt;/div&gt;&lt;hr/&gt;&lt;div&gt;&lt;h5&gt;&lt;b&gt;DESCRIPTION&lt;/b&gt;&lt;/h5&gt;&lt;/div&gt;&lt;hr/&gt;&lt;div&gt;&lt;h4&gt;&lt;p&gt;You can determine whether or not two or more creatures are related by blood. The amount of information gleaned depends on how long you study a particular area or set of subjects. &lt;i&gt;1st round&lt;/i&gt;: Whether or not the subjects are related by blood. &lt;i&gt;2nd round&lt;/i&gt;: Number of related subjects and their general relation to one another (for example, this would reveal that one subject is a descendant of the other, but it would not specify "mother" or "grandmother"). &lt;i&gt;3rd round&lt;/i&gt;: Precise relationship between subjects in the area. A target's Will save prevents you from determining its exact relationship with another creature, and only one subject needs to succeed at this save to prevent you from determining its relationship with another creature. (So, for instance, if two brothers are in the area and one succeeds at his Will save, you could tell that they are siblings, but could not distinguish whether they are full- or half-siblings.) Each round, you can turn to detect relations in a new area. The spell can penetrate barriers, but 6 inches of stone, 1 inch of common metal, a thin sheet of lead, or 1 foot of wood or dirt will block it. This spell functions by analyzing the blood and minds of creatures in the area, collectively examining these traits and comparing them to those of others in the area while looking for patterns. Thus, adoptive siblings and parents cannot be detected with this spell, since they share no blood.&lt;/p&gt;&lt;/h4&gt;&lt;/div&gt;</t>
  </si>
  <si>
    <t>Business Booms</t>
  </si>
  <si>
    <t>V, S, M (promotional materials such as flyers and posters worth 10 gp)</t>
  </si>
  <si>
    <t>one building</t>
  </si>
  <si>
    <t>see text (D)</t>
  </si>
  <si>
    <t>You may cast this spell immediately prior to spending 1 day of downtime to promote a business (see page 85 of Ultimate Campaign). The spell is cast on a building you wish to promote, which is magically bestowed with magical decorations and other improvements that make it generally more appealing, and it is treated as seeing increased activity for the spell's duration. If the spell is cast on a building that you do not promote immediately thereafter, the spell is expended with no effect. After the initial day of downtime spent promoting your building, the spell maintains the influx of activity for a number of days equal to half your caster level (maximum 5 days). During this time, you needn't spend additional downtime to promote the building, but you must spend capital as normal to promote the building. The capital the affected building generates for you is unaffected by the spell. If you spend 1 day promoting a different building than the target of this spell while this spell remains active, the spell immediately ends.</t>
  </si>
  <si>
    <t>&lt;p&gt;You may cast this spell immediately prior to spending 1 day of downtime to promote a business (see page 85 of &lt;i&gt;Ultimate&lt;/i&gt; Campaign). The spell is cast on a building you wish to promote, which is magically bestowed with magical decorations and other improvements that make it generally more appealing, and it is treated as seeing increased activity for the spell's duration. If the spell is cast on a building that you do not promote immediately thereafter, the spell is expended with no effect. After the initial day of downtime spent promoting your building, the spell maintains the influx of activity for a number of days equal to half your caster level (maximum 5 days). During this time, you needn't spend additional downtime to promote the building, but you must spend capital as normal to promote the building. The capital the affected building generates for you is unaffected by the spell. If you spend 1 day promoting a different building than the target of this spell while this spell remains active, the spell immediately ends.&lt;/p&gt;</t>
  </si>
  <si>
    <t>&lt;link rel="stylesheet"href="PF.css"&gt;&lt;div class="heading"&gt;&lt;p class="alignleft"&gt;Business Booms&lt;/p&gt;&lt;div style="clear: both;"&gt;&lt;/div&gt;&lt;/div&gt;&lt;div&gt;&lt;h5&gt;&lt;b&gt;School &lt;/b&gt;enchantment; &lt;b&gt;Level &lt;/b&gt;bard 3, sorcerer/wizard 3&lt;/h5&gt;&lt;/div&gt;&lt;hr/&gt;&lt;div&gt;&lt;h5&gt;&lt;b&gt;CASTING&lt;/b&gt;&lt;/h5&gt;&lt;/div&gt;&lt;hr/&gt;&lt;div&gt;&lt;h5&gt;&lt;b&gt;Casting Time &lt;/b&gt;1 standard action&lt;/h5&gt;&lt;h5&gt;&lt;b&gt;Components &lt;/b&gt;V, S, M (promotional materials such as flyers and posters worth 10 gp)&lt;/h5&gt;&lt;/div&gt;&lt;hr/&gt;&lt;div&gt;&lt;h5&gt;&lt;b&gt;EFFECT&lt;/b&gt;&lt;/h5&gt;&lt;/div&gt;&lt;hr/&gt;&lt;div&gt;&lt;h5&gt;&lt;b&gt;Range &lt;/b&gt;touch&lt;/h5&gt;&lt;h5&gt;&lt;b&gt;Targets &lt;/b&gt;one building&lt;/h5&gt;&lt;h5&gt;&lt;b&gt;Duration &lt;/b&gt;see text (D)&lt;/h5&gt;&lt;h5&gt;&lt;b&gt;Saving Throw &lt;/b&gt;none; &lt;b&gt;Spell Resistance &lt;/b&gt;no&lt;/h5&gt;&lt;/div&gt;&lt;hr/&gt;&lt;div&gt;&lt;h5&gt;&lt;b&gt;DESCRIPTION&lt;/b&gt;&lt;/h5&gt;&lt;/div&gt;&lt;hr/&gt;&lt;div&gt;&lt;h4&gt;&lt;p&gt;You may cast this spell immediately prior to spending 1 day of downtime to promote a business (see page 85 of &lt;i&gt;Ultimate&lt;/i&gt; Campaign). The spell is cast on a building you wish to promote, which is magically bestowed with magical decorations and other improvements that make it generally more appealing, and it is treated as seeing increased activity for the spell's duration. If the spell is cast on a building that you do not promote immediately thereafter, the spell is expended with no effect. After the initial day of downtime spent promoting your building, the spell maintains the influx of activity for a number of days equal to half your caster level (maximum 5 days). During this time, you needn't spend additional downtime to promote the building, but you must spend capital as normal to promote the building. The capital the affected building generates for you is unaffected by the spell. If you spend 1 day promoting a different building than the target of this spell while this spell remains active, the spell immediately ends.&lt;/p&gt;&lt;/h4&gt;&lt;/div&gt;</t>
  </si>
  <si>
    <t>Prosperous Room</t>
  </si>
  <si>
    <t>room you own; see text</t>
  </si>
  <si>
    <t>The targeted room is enchanted to have magical appeal for customers, an increase in the workflow of its employees, or the generation of additional materials to work with. While this spell is in effect, the targeted room produces 1 more Goods, Labor, Influence, or Magic than it already does. If the room produces multiple types of capital, it produces an additional capital of each type. If the room generates gp, it generates 25% more. Only the capital that the room normally generates increases- rooms that do not already generate Magic, for instance, do not generate Magic because of this spell. While this spell is in effect, neither you nor your allies can further interact with the affected room or the spell's effects immediately end. You cannot spend downtime actions to run a business with a room that is affected by this spell, though any employees or workers that operate within the room may continue to do so normally.</t>
  </si>
  <si>
    <t>&lt;p&gt;The targeted room is enchanted to have magical appeal for customers, an increase in the workflow of its employees, or the generation of additional materials to work with. While this spell is in effect, the targeted room produces 1 more Goods, Labor, Influence, or Magic than it already does. If the room produces multiple types of capital, it produces an additional capital of each type. If the room generates gp, it generates 25% more. Only the capital that the room normally generates increases- rooms that do not already generate Magic, for instance, do not generate Magic because of this spell. While this spell is in effect, neither you nor your allies can further interact with the affected room or the spell's effects immediately end. You cannot spend downtime actions to run a business with a room that is affected by this spell, though any employees or workers that operate within the room may continue to do so normally.&lt;/p&gt;</t>
  </si>
  <si>
    <t>&lt;link rel="stylesheet"href="PF.css"&gt;&lt;div class="heading"&gt;&lt;p class="alignleft"&gt;Prosperous Room&lt;/p&gt;&lt;div style="clear: both;"&gt;&lt;/div&gt;&lt;/div&gt;&lt;div&gt;&lt;h5&gt;&lt;b&gt;School &lt;/b&gt;enchantment; &lt;b&gt;Level &lt;/b&gt;bard 3, sorcerer/wizard 3&lt;/h5&gt;&lt;/div&gt;&lt;hr/&gt;&lt;div&gt;&lt;h5&gt;&lt;b&gt;CASTING&lt;/b&gt;&lt;/h5&gt;&lt;/div&gt;&lt;hr/&gt;&lt;div&gt;&lt;h5&gt;&lt;b&gt;Casting Time &lt;/b&gt;1 day&lt;/h5&gt;&lt;h5&gt;&lt;b&gt;Components &lt;/b&gt;V, S&lt;/h5&gt;&lt;/div&gt;&lt;hr/&gt;&lt;div&gt;&lt;h5&gt;&lt;b&gt;EFFECT&lt;/b&gt;&lt;/h5&gt;&lt;/div&gt;&lt;hr/&gt;&lt;div&gt;&lt;h5&gt;&lt;b&gt;Range &lt;/b&gt;touch&lt;/h5&gt;&lt;h5&gt;&lt;b&gt;Targets &lt;/b&gt;room you own; see text&lt;/h5&gt;&lt;h5&gt;&lt;b&gt;Duration &lt;/b&gt;1 day/level (D)&lt;/h5&gt;&lt;h5&gt;&lt;b&gt;Saving Throw &lt;/b&gt;none; &lt;b&gt;Spell Resistance &lt;/b&gt;yes&lt;/h5&gt;&lt;/div&gt;&lt;hr/&gt;&lt;div&gt;&lt;h5&gt;&lt;b&gt;DESCRIPTION&lt;/b&gt;&lt;/h5&gt;&lt;/div&gt;&lt;hr/&gt;&lt;div&gt;&lt;h4&gt;&lt;p&gt;The targeted room is enchanted to have magical appeal for customers, an increase in the workflow of its employees, or the generation of additional materials to work with. While this spell is in effect, the targeted room produces 1 more Goods, Labor, Influence, or Magic than it already does. If the room produces multiple types of capital, it produces an additional capital of each type. If the room generates gp, it generates 25% more. Only the capital that the room normally generates increases- rooms that do not already generate Magic, for instance, do not generate Magic because of this spell. While this spell is in effect, neither you nor your allies can further interact with the affected room or the spell's effects immediately end. You cannot spend downtime actions to run a business with a room that is affected by this spell, though any employees or workers that operate within the room may continue to do so normally.&lt;/p&gt;&lt;/h4&gt;&lt;/div&gt;</t>
  </si>
  <si>
    <t>Renovation</t>
  </si>
  <si>
    <t>bard 5, sorcerer/wizard 4</t>
  </si>
  <si>
    <t>V, S, M (silver dust worth 1,000 gp)</t>
  </si>
  <si>
    <t>one unoccupied structure</t>
  </si>
  <si>
    <t>none (object; see text)</t>
  </si>
  <si>
    <t>Upon casting this spell, you permanently rearrange and resize the rooms in a building you constructed as a downtime activity (see page 84 of Ultimate Campaign). You may reorganize and remap the building however you please, as if each room had just been constructed and is being positioned for the first time. You cannot make any changes to a building that changes how much a room would cost to create or that alters the benefits a room provides. The structure also must remain in the same general position within the district. If you don't wholly own the structure, all of the structure's owners must consent to the changes being made before the spell is cast; otherwise, it fails immediately.</t>
  </si>
  <si>
    <t>&lt;p&gt;Upon casting this spell, you permanently rearrange and resize the rooms in a building you constructed as a downtime activity (see page 84 of &lt;i&gt;Ultimate&lt;/i&gt; Campaign). You may reorganize and remap the building however you please, as if each room had just been constructed and is being positioned for the first time. You cannot make any changes to a building that changes how much a room would cost to create or that alters the benefits a room provides. The structure also must remain in the same general position within the district. If you don't wholly own the structure, all of the structure's owners must consent to the changes being made before the spell is cast; otherwise, it fails immediately.&lt;/p&gt;</t>
  </si>
  <si>
    <t>&lt;link rel="stylesheet"href="PF.css"&gt;&lt;div class="heading"&gt;&lt;p class="alignleft"&gt;Renovation&lt;/p&gt;&lt;div style="clear: both;"&gt;&lt;/div&gt;&lt;/div&gt;&lt;div&gt;&lt;h5&gt;&lt;b&gt;School &lt;/b&gt;transmutation; &lt;b&gt;Level &lt;/b&gt;bard 5, sorcerer/wizard 4&lt;/h5&gt;&lt;/div&gt;&lt;hr/&gt;&lt;div&gt;&lt;h5&gt;&lt;b&gt;CASTING&lt;/b&gt;&lt;/h5&gt;&lt;/div&gt;&lt;hr/&gt;&lt;div&gt;&lt;h5&gt;&lt;b&gt;Casting Time &lt;/b&gt;8 hours&lt;/h5&gt;&lt;h5&gt;&lt;b&gt;Components &lt;/b&gt;V, S, M (silver dust worth 1,000 gp)&lt;/h5&gt;&lt;/div&gt;&lt;hr/&gt;&lt;div&gt;&lt;h5&gt;&lt;b&gt;EFFECT&lt;/b&gt;&lt;/h5&gt;&lt;/div&gt;&lt;hr/&gt;&lt;div&gt;&lt;h5&gt;&lt;b&gt;Range &lt;/b&gt;touch&lt;/h5&gt;&lt;h5&gt;&lt;b&gt;Targets &lt;/b&gt;one unoccupied structure&lt;/h5&gt;&lt;h5&gt;&lt;b&gt;Duration &lt;/b&gt;instantaneous&lt;/h5&gt;&lt;h5&gt;&lt;b&gt;Saving Throw &lt;/b&gt;none (object; see text); &lt;b&gt;Spell Resistance &lt;/b&gt;no&lt;/h5&gt;&lt;/div&gt;&lt;hr/&gt;&lt;div&gt;&lt;h5&gt;&lt;b&gt;DESCRIPTION&lt;/b&gt;&lt;/h5&gt;&lt;/div&gt;&lt;hr/&gt;&lt;div&gt;&lt;h4&gt;&lt;p&gt;Upon casting this spell, you permanently rearrange and resize the rooms in a building you constructed as a downtime activity (see page 84 of &lt;i&gt;Ultimate&lt;/i&gt; Campaign). You may reorganize and remap the building however you please, as if each room had just been constructed and is being positioned for the first time. You cannot make any changes to a building that changes how much a room would cost to create or that alters the benefits a room provides. The structure also must remain in the same general position within the district. If you don't wholly own the structure, all of the structure's owners must consent to the changes being made before the spell is cast; otherwise, it fails immediately.&lt;/p&gt;&lt;/h4&gt;&lt;/div&gt;</t>
  </si>
  <si>
    <t>Teleport Structure</t>
  </si>
  <si>
    <t>V, M (gold dust worth 50 gp)</t>
  </si>
  <si>
    <t>You instantly teleport a building in a settlement you control to another lot or series of lots in the same settlement district. The building to be teleported must be unoccupied, and the area to which you wish to move the building must be cleared and unoccupied during the casting of this spell. A building cannot be teleported to an area it would not normally be able to occupy, such as an area adjacent to a prohibited building type. If you don't wholly own the structure, all of the structure's owners must consent to the structure's teleportation before the spell is cast; otherwise, it fails immediately. This spell only functions on buildings that occupy a number of lots equal to one-fourth your caster level (so, for instance, a 16th-level caster could use this spell on a building that occupies up to 4 lots).</t>
  </si>
  <si>
    <t>&lt;p&gt;You instantly teleport a building in a settlement you control to another lot or series of lots in the same settlement district. The building to be teleported must be unoccupied, and the area to which you wish to move the building must be cleared and unoccupied during the casting of this spell. A building cannot be teleported to an area it would not normally be able to occupy, such as an area adjacent to a prohibited building type. If you don't wholly own the structure, all of the structure's owners must consent to the structure's teleportation before the spell is cast; otherwise, it fails immediately. This spell only functions on buildings that occupy a number of lots equal to one-fourth your caster level (so, for instance, a 16th-level caster could use this spell on a building that occupies up to 4 lots).&lt;/p&gt;</t>
  </si>
  <si>
    <t>&lt;link rel="stylesheet"href="PF.css"&gt;&lt;div class="heading"&gt;&lt;p class="alignleft"&gt;Teleport Structure&lt;/p&gt;&lt;div style="clear: both;"&gt;&lt;/div&gt;&lt;/div&gt;&lt;div&gt;&lt;h5&gt;&lt;b&gt;School &lt;/b&gt;conjuration (teleportation); &lt;b&gt;Level &lt;/b&gt;sorcerer/wizard 6&lt;/h5&gt;&lt;/div&gt;&lt;hr/&gt;&lt;div&gt;&lt;h5&gt;&lt;b&gt;CASTING&lt;/b&gt;&lt;/h5&gt;&lt;/div&gt;&lt;hr/&gt;&lt;div&gt;&lt;h5&gt;&lt;b&gt;Casting Time &lt;/b&gt;8 hours&lt;/h5&gt;&lt;h5&gt;&lt;b&gt;Components &lt;/b&gt;V, M (gold dust worth 50 gp)&lt;/h5&gt;&lt;/div&gt;&lt;hr/&gt;&lt;div&gt;&lt;h5&gt;&lt;b&gt;EFFECT&lt;/b&gt;&lt;/h5&gt;&lt;/div&gt;&lt;hr/&gt;&lt;div&gt;&lt;h5&gt;&lt;b&gt;Range &lt;/b&gt;touch&lt;/h5&gt;&lt;h5&gt;&lt;b&gt;Targets &lt;/b&gt;one building&lt;/h5&gt;&lt;h5&gt;&lt;b&gt;Duration &lt;/b&gt;instantaneous&lt;/h5&gt;&lt;h5&gt;&lt;b&gt;Saving Throw &lt;/b&gt;Will negates (object); &lt;b&gt;Spell Resistance &lt;/b&gt;yes (object)&lt;/h5&gt;&lt;/div&gt;&lt;hr/&gt;&lt;div&gt;&lt;h5&gt;&lt;b&gt;DESCRIPTION&lt;/b&gt;&lt;/h5&gt;&lt;/div&gt;&lt;hr/&gt;&lt;div&gt;&lt;h4&gt;&lt;p&gt;You instantly teleport a building in a settlement you control to another lot or series of lots in the same settlement district. The building to be teleported must be unoccupied, and the area to which you wish to move the building must be cleared and unoccupied during the casting of this spell. A building cannot be teleported to an area it would not normally be able to occupy, such as an area adjacent to a prohibited building type. If you don't wholly own the structure, all of the structure's owners must consent to the structure's teleportation before the spell is cast; otherwise, it fails immediately. This spell only functions on buildings that occupy a number of lots equal to one-fourth your caster level (so, for instance, a 16th-level caster could use this spell on a building that occupies up to 4 lots).&lt;/p&gt;&lt;/h4&gt;&lt;/div&gt;</t>
  </si>
  <si>
    <t>Bless Army</t>
  </si>
  <si>
    <t>cleric/oracle 6</t>
  </si>
  <si>
    <t>1 hex</t>
  </si>
  <si>
    <t>one army</t>
  </si>
  <si>
    <t>1 battle</t>
  </si>
  <si>
    <t>Bless army fills an army with courage. The army gains a +1 bonus on OM and Morale checks.</t>
  </si>
  <si>
    <t>&lt;p&gt;&lt;i&gt;Bless army&lt;/i&gt; fills an army with courage. The army gains a +1 bonus on OM and Morale checks.&lt;/p&gt;</t>
  </si>
  <si>
    <t>&lt;link rel="stylesheet"href="PF.css"&gt;&lt;div class="heading"&gt;&lt;p class="alignleft"&gt;Bless Army&lt;/p&gt;&lt;div style="clear: both;"&gt;&lt;/div&gt;&lt;/div&gt;&lt;div&gt;&lt;h5&gt;&lt;b&gt;School &lt;/b&gt;enchantment (compulsion) [mind-affecting]; &lt;b&gt;Level &lt;/b&gt;cleric/oracle 6&lt;/h5&gt;&lt;/div&gt;&lt;hr/&gt;&lt;div&gt;&lt;h5&gt;&lt;b&gt;CASTING&lt;/b&gt;&lt;/h5&gt;&lt;/div&gt;&lt;hr/&gt;&lt;div&gt;&lt;h5&gt;&lt;b&gt;Casting Time &lt;/b&gt;1 standard action&lt;/h5&gt;&lt;h5&gt;&lt;b&gt;Components &lt;/b&gt;V, S, DF&lt;/h5&gt;&lt;/div&gt;&lt;hr/&gt;&lt;div&gt;&lt;h5&gt;&lt;b&gt;EFFECT&lt;/b&gt;&lt;/h5&gt;&lt;/div&gt;&lt;hr/&gt;&lt;div&gt;&lt;h5&gt;&lt;b&gt;Range &lt;/b&gt;1 hex&lt;/h5&gt;&lt;h5&gt;&lt;b&gt;Targets &lt;/b&gt;one army&lt;/h5&gt;&lt;h5&gt;&lt;b&gt;Duration &lt;/b&gt;1 battle&lt;/h5&gt;&lt;h5&gt;&lt;b&gt;Saving Throw &lt;/b&gt;none; &lt;b&gt;Spell Resistance &lt;/b&gt;yes (harmless)&lt;/h5&gt;&lt;/div&gt;&lt;hr/&gt;&lt;div&gt;&lt;h5&gt;&lt;b&gt;DESCRIPTION&lt;/b&gt;&lt;/h5&gt;&lt;/div&gt;&lt;hr/&gt;&lt;div&gt;&lt;h4&gt;&lt;p&gt;&lt;i&gt;Bless army&lt;/i&gt; fills an army with courage. The army gains a +1 bonus on OM and Morale checks.&lt;/p&gt;&lt;/h4&gt;&lt;/div&gt;</t>
  </si>
  <si>
    <t>Imbue Army Special Ability</t>
  </si>
  <si>
    <t>cleric/oracle 9</t>
  </si>
  <si>
    <t>V, S, F (a silver mirror worth 100 gp)</t>
  </si>
  <si>
    <t>You imbue the target with an army special ability (see page 242 of Ultimate Campaign) possessed by the army's commander. The army is treated as if it consists of units who all possess the chosen special ability. This special ability is in addition to any special abilities the army inherently possessed prior to the casting of the spell.</t>
  </si>
  <si>
    <t>&lt;p&gt;You imbue the target with an army special ability (see page 242 of &lt;i&gt;Ultimate&lt;/i&gt; Campaign) possessed by the army's commander. The army is treated as if it consists of units who all possess the chosen special ability. This special ability is in addition to any special abilities the army inherently possessed prior to the casting of the spell.&lt;/p&gt;</t>
  </si>
  <si>
    <t>&lt;link rel="stylesheet"href="PF.css"&gt;&lt;div class="heading"&gt;&lt;p class="alignleft"&gt;Imbue Army Special Ability&lt;/p&gt;&lt;div style="clear: both;"&gt;&lt;/div&gt;&lt;/div&gt;&lt;div&gt;&lt;h5&gt;&lt;b&gt;School &lt;/b&gt;evocation; &lt;b&gt;Level &lt;/b&gt;cleric/oracle 9&lt;/h5&gt;&lt;/div&gt;&lt;hr/&gt;&lt;div&gt;&lt;h5&gt;&lt;b&gt;CASTING&lt;/b&gt;&lt;/h5&gt;&lt;/div&gt;&lt;hr/&gt;&lt;div&gt;&lt;h5&gt;&lt;b&gt;Casting Time &lt;/b&gt;10 minutes&lt;/h5&gt;&lt;h5&gt;&lt;b&gt;Components &lt;/b&gt;V, S, F (a silver mirror worth 100 gp)&lt;/h5&gt;&lt;/div&gt;&lt;hr/&gt;&lt;div&gt;&lt;h5&gt;&lt;b&gt;EFFECT&lt;/b&gt;&lt;/h5&gt;&lt;/div&gt;&lt;hr/&gt;&lt;div&gt;&lt;h5&gt;&lt;b&gt;Range &lt;/b&gt;1 hex&lt;/h5&gt;&lt;h5&gt;&lt;b&gt;Targets &lt;/b&gt;one army&lt;/h5&gt;&lt;h5&gt;&lt;b&gt;Duration &lt;/b&gt;1 battle&lt;/h5&gt;&lt;h5&gt;&lt;b&gt;Saving Throw &lt;/b&gt;none or Will negates (harmless); &lt;b&gt;Spell Resistance &lt;/b&gt;yes&lt;/h5&gt;&lt;/div&gt;&lt;hr/&gt;&lt;div&gt;&lt;h5&gt;&lt;b&gt;DESCRIPTION&lt;/b&gt;&lt;/h5&gt;&lt;/div&gt;&lt;hr/&gt;&lt;div&gt;&lt;h4&gt;&lt;p&gt;You imbue the target with an army special ability (see page 242 of &lt;i&gt;Ultimate&lt;/i&gt; Campaign) possessed by the army's commander. The army is treated as if it consists of units who all possess the chosen special ability. This special ability is in addition to any special abilities the army inherently possessed prior to the casting of the spell.&lt;/p&gt;&lt;/h4&gt;&lt;/div&gt;</t>
  </si>
  <si>
    <t>Tactical Insight</t>
  </si>
  <si>
    <t>bard 6, inquisitor 6</t>
  </si>
  <si>
    <t>Choose a single army tactic. You grant mastery of this tactic to the target army for the spell's duration. This tactic may bring an army's total known tactics to a number greater than normally allowed.</t>
  </si>
  <si>
    <t>&lt;p&gt;Choose a single army tactic. You grant mastery of this tactic to the target army for the spell's duration. This tactic may bring an army's total known tactics to a number greater than normally allowed.&lt;/p&gt;</t>
  </si>
  <si>
    <t>&lt;link rel="stylesheet"href="PF.css"&gt;&lt;div class="heading"&gt;&lt;p class="alignleft"&gt;Tactical Insight&lt;/p&gt;&lt;div style="clear: both;"&gt;&lt;/div&gt;&lt;/div&gt;&lt;div&gt;&lt;h5&gt;&lt;b&gt;School &lt;/b&gt;divination; &lt;b&gt;Level &lt;/b&gt;bard 6, inquisitor 6&lt;/h5&gt;&lt;/div&gt;&lt;hr/&gt;&lt;div&gt;&lt;h5&gt;&lt;b&gt;CASTING&lt;/b&gt;&lt;/h5&gt;&lt;/div&gt;&lt;hr/&gt;&lt;div&gt;&lt;h5&gt;&lt;b&gt;Casting Time &lt;/b&gt;1 standard action&lt;/h5&gt;&lt;h5&gt;&lt;b&gt;Components &lt;/b&gt;V, S&lt;/h5&gt;&lt;/div&gt;&lt;hr/&gt;&lt;div&gt;&lt;h5&gt;&lt;b&gt;EFFECT&lt;/b&gt;&lt;/h5&gt;&lt;/div&gt;&lt;hr/&gt;&lt;div&gt;&lt;h5&gt;&lt;b&gt;Range &lt;/b&gt;1 hex&lt;/h5&gt;&lt;h5&gt;&lt;b&gt;Targets &lt;/b&gt;one army&lt;/h5&gt;&lt;h5&gt;&lt;b&gt;Duration &lt;/b&gt;1 battle&lt;/h5&gt;&lt;h5&gt;&lt;b&gt;Saving Throw &lt;/b&gt;none; &lt;b&gt;Spell Resistance &lt;/b&gt;no&lt;/h5&gt;&lt;/div&gt;&lt;hr/&gt;&lt;div&gt;&lt;h5&gt;&lt;b&gt;DESCRIPTION&lt;/b&gt;&lt;/h5&gt;&lt;/div&gt;&lt;hr/&gt;&lt;div&gt;&lt;h4&gt;&lt;p&gt;Choose a single army tactic. You grant mastery of this tactic to the target army for the spell's duration. This tactic may bring an army's total known tactics to a number greater than normally allowed.&lt;/p&gt;&lt;/h4&gt;&lt;/div&gt;</t>
  </si>
  <si>
    <t>Ceremony</t>
  </si>
  <si>
    <t>touch or medium (100 ft. + 10 ft./level) (see text)</t>
  </si>
  <si>
    <t>willing, living creature or creatures touched or one creature/level (see text)</t>
  </si>
  <si>
    <t>1 hour/level or 1 day/level (see text)</t>
  </si>
  <si>
    <t>You harness divine power to create one of four different ceremonies-a funeral, holiday fete, marriage, or naming-and can also create two domain-based ceremonies. Each ceremony provides a boon to two living, touched subjects for 1 hour per caster level, representing the divine gifts granted by your deity as well as the normal morale-boosting benefits of participating in an officiated ceremony. Bonuses granted by these boons are sacred bonuses if you channel positive energy or profane bonuses if you channel negative energy. (Bonuses in this section are referred to simply as sacred bonuses for ease of reading.) Only subjects whose alignments are within one step of your deity can be affected by this spell. If you are using the downtime system from Pathfinder RPG Ultimate Campaign, you may use additional resources to augment the effect of a particular ceremony. You may spend 10 Goods, Labor, or Influence or 2 Magic to create a larger ceremony and grant an additional boon that lasts for 1 day per caster level (up to a maximum of 5 days). The type of capital spent should reflect the preparation required for the specific ceremony. Augmented boons affect the creatures touched as well as a number of intelligent, properly aligned creatures within medium range equal to your caster level (up to a maximum of 10 creatures), granting all subjects the benefits of the original boon as well as the benefits of an augmented boon, representing the divine gifts granted to these witnesses by your god. Unless otherwise stated, use-activated abilities are supernatural abilities and abilities that emulate the effects of a spell are spell-like abilities; in either case, abilities granted by a boon are generally usable only once or until the duration of the spell ends, whichever comes first. Spell-like abilities are cast at a creature's highest caster level gained, or, if the creature has no caster level, CL 1st. Constant or passive effects and bonuses granted by this spell can be dispelled as normal, using your caster level to do so. Funeral: A funeral service must involve a corpse and at least one willing companion or next of kin. The subject gains a +2 sacred bonus against death effects. Holiday Fete: A holiday fete may involve up to two willing creatures. The subject gains a +1 sacred bonus on Fortitude saves. Marriage: A marriage must involve two willing creatures. The subject gains a +1 sacred bonus on saves against fear and emotion effects. Naming: A naming must involve a willing parent or parents and a newborn (who is touched but unaffected). The subject can use sanctuary once. The augmented versions of these four ceremonies are identical, granting the subject a +2 sacred bonus on all saving throws. In addition to these four ceremonies, each cleric gains two more ceremonies according to her domain. The names of domain ceremonies and their relevant boons are listed below. Unless otherwise noted, each of the following ceremonies requires at least two willing subjects. Air: Celebration of Storms. The subject can use feather fall once. Augmented: The subject gains a +4 sacred bonus on saves against effects with the air descriptor. Animal: Ritual of Beasts. The subject can use speak with animals once (this effect lasts 3 rounds). Augmented: The subject can use charm animal once. Artifice: Apparatus's Observance. The subject can heal a construct creature with a touch, healing 1d3 points of damage. Augmented: The subject can heal a construct creature 1d6 points of damage. Chaos: Anarchic Revelry. The subject can force a lawful-aligned foe within 30 feet to roll an attack roll twice and take the less favorable result. This ability must be announced before the first attack roll is made. Augmented: The first time the subject deals damage to a foe with a melee attack, the attack is treated as chaotic for the purpose of overcoming DR. Charm: Jubilee of Delight. The subject gains a +2 sacred bonus on his next Bluff, Diplomacy, or Intimidate check. Augmented: The subject gains a +2 sacred bonus on saving throws against charm and compulsion effects. Community: Celebration of Bonding. As a standard action, the subject can heal a touched creature 1d6 points of nonlethal damage. Augmented: The subject is cured of the fatigued, shaken, and sickened conditions. Darkness: Glorify Shadows. The subject gains darkvision to a range of 30 feet (or increases current range of darkvision by 10 feet). Augmented: The subject increases range of darkvision by 30 feet. Death: Dance of the Dead. The subject can use bleed up to three times. Augmented: The subject can use cause fear once. Destruction: Day of Dismantling. The subject gains a +1 sacred bonus on attacks and damage rolls against inanimate objects. Augmented: The bonus becomes +2. Earth: Festival of Soil. The subject can cast plant growth (enrichment) once. Augmented: The subject gains a +4 sacred bonus on saves against effects with the earth descriptor. Evil: Unholy Gala. The subject can cause a good-aligned foe to become sickened for 1 round as a melee touch attack. Augmented: This boon can be used three times. Fire: Fire Calling. Nonmagical fires the subject makes cannot be extinguished by nonmagical means, though spells and other magical effects function as normal. Augmented: The subject gains a +4 sacred bonus on saves against effects with the fire descriptor. Glory: Resplendent Feast. The subject receives a +2 bonus on a single Charisma-based skill check. Augmented: This boon can be used three times. Good: Festival of Benevolence. The subject gains a +1 sacred bonus on melee attacks and melee damage rolls against evil-aligned foes. Augmented: The bonus becomes +2. Healing: Touch of Assuagement. The subject can heal a dying creature 1d4 hit points as a standard action. Augmented: This boon can be used three times. Knowledge: Liturgy of Learning. The subject can attempt any Knowledge skill check untrained. Augmented: This boon can be used three times. Law: Observance of Order. The subject gains a +5 sacred bonus on the next combat maneuver check she makes against a chaotic-aligned foe. Augmented: The subject gains a +2 sacred bonus to CMD against chaotic-aligned foes. Liberation: Freedom Festival. The subject can use remove fear once. Augmented: The subject gains a +2 sacred bonus to CMD. Luck: Fete of Fortune. The next time the subject rolls a d20, he may roll twice and take the more favorable result. Augmented: The subject may use this ability on any single d20 roll, not just the next one. Madness: Rite of Insanity. The subject can, as a melee touch attack, cause a foe to become confused for 1d4 rounds (DC 13 Will negates). Augmented: This boon can be used twice. Magic: Arcane Obeisance. The subject gains a +2 sacred bonus on Spellcraft checks made while researching a spell or crafting a magic item. Augmented: The subject gains a +2 sacred bonus on Knowledge (arcana) or (religion) checks made while researching a spell. Nobility: Knighting Ceremony. The subject receives a +1 sacred bonus on attack and damage rolls with one weapon of her choice. Augmented: The bonus becomes +2. Plant: Harvest Festival. The subject can use speak with plants once, but the duration is 1 minute. Augmented: This boon can be used three times. Protection: Ceremony of Sanctuary. The subject can use sanctuary once. Augmented: The subject gains a +2 sacred bonus to AC. Repose: Spirit Ward. The subject can attempt a melee touch attack against a flat-footed foe to put him to sleep for 1d4 rounds. Augmented: This boon can be used three times. Rune: Ancestral Observance. The subject gains a +2 sacred bonus on saves against language-dependent effects. Augmented: The subject gains a +2 sacred bonus on Linguistics checks. Scalykind: Song of Serpents. The subject gains a +2 sacred bonus on saves against gaze attacks. Augmented: The subject gains a +4 sacred bonus to AC against the distraction attack of swarms. Strength: Ritual of Might. The subject gains a +1 sacred bonus on Strength-based skill checks and Strength checks. Augmented: The bonus becomes +2. Sun: Solstice Celebration. The illumination radius of any torch or other mundane light source held by the subject increases by 10 feet. Augmented: The subject gains a +4 sacred bonus against effects with the light descriptor. Travel: Festival of Journeys. The subject can choose to ignore the effects of difficult terrain for 1 round. Augmented: This boon may be used three times. Trickery: Communion of Liars. The subject gains a +2 sacred bonus to AC the first time he is attacked while flanked. Augmented: This boon functions the first three times the subject is attacked while flanked. Void: Celestial Observance. The subject knows the direction of north from her current position for the duration of this spell. Augmented: The subject is immune to confusion effects. War: Call to Battle. The subject gains a +1 sacred bonus on attack rolls. Augmented: The subject gains a +1 sacred bonus on damage rolls. Water: Water Blessing. The subject can use water breathing. Augmented: The subject gains a +4 sacred bonus on saves against effects with the water descriptor. Weather: Song of the Tempest. The subject can call one 10-foot-by-10-foot rain cloud in an area within 30 feet, requiring creatures in the affected area attempting to cast spells to first succeed at DC 13 concentration checks for 1 round. Augmented: The DC is 15 for 3 rounds.</t>
  </si>
  <si>
    <t>&lt;p&gt;You harness divine power to create one of four different ceremonies-a funeral, holiday fete, marriage, or naming-and can also create two domain-based ceremonies. Each ceremony provides a boon to two living, touched subjects for 1 hour per caster level, representing the divine gifts granted by your deity as well as the normal morale-boosting benefits of participating in an officiated ceremony. Bonuses granted by these boons are sacred bonuses if you channel positive energy or profane bonuses if you channel negative energy. (Bonuses in this section are referred to simply as sacred bonuses for ease of reading.) Only subjects whose alignments are within one step of your deity can be affected by this spell. If you are using the downtime system from &lt;i&gt;Pathfinder RPG Ultimate Campaign&lt;/i&gt;, you may use additional resources to augment the effect of a particular ceremony. You may spend 10 Goods, Labor, or Influence or 2 Magic to create a larger ceremony and grant an additional boon that lasts for 1 day per caster level (up to a maximum of 5 days). The type of capital spent should reflect the preparation required for the specific ceremony. &lt;i&gt;Augmented&lt;/i&gt; boons affect the creatures touched as well as a number of intelligent, properly aligned creatures within medium range equal to your caster level (up to a maximum of 10 creatures), granting all subjects the benefits of the original boon as well as the benefits of an augmented boon, representing the divine gifts granted to these witnesses by your god. Unless otherwise stated, use-activated abilities are supernatural abilities and abilities that emulate the effects of a spell are spell-like abilities; in either case, abilities granted by a boon are generally usable only once or until the duration of the spell ends, whichever comes first. Spell-like abilities are cast at a creature's highest caster level gained, or, if the creature has no caster level, CL 1st. Constant or passive effects and bonuses granted by this spell can be dispelled as normal, using your caster level to do so. &lt;br&gt;&lt;b&gt;Funeral:&lt;/b&gt; A funeral service must involve a corpse and at least one willing companion or next of kin. The subject gains a +2 sacred bonus against death effects. &lt;br&gt;&lt;b&gt;Holiday Fete:&lt;/b&gt; A holiday fete may involve up to two willing creatures. The subject gains a +1 sacred bonus on Fortitude saves. &lt;br&gt;&lt;b&gt;Marriage:&lt;/b&gt; A marriage must involve two willing creatures. The subject gains a +1 sacred bonus on saves against fear and emotion effects. &lt;br&gt;&lt;b&gt;Naming:&lt;/b&gt; A naming must involve a willing parent or parents and a newborn (who is touched but unaffected). The subject can use &lt;i&gt;sanctuary&lt;/i&gt; once. The augmented versions of these four ceremonies are identical, granting the subject a +2 sacred bonus on all saving throws. In addition to these four ceremonies, each cleric gains two more ceremonies according to her domain. The names of domain ceremonies and their relevant boons are listed below. Unless otherwise noted, each of the following ceremonies requires at least two willing subjects. &lt;br&gt;&lt;b&gt;Air:&lt;/b&gt; Celebration of Storms. The subject can use &lt;i&gt;feather fall&lt;/i&gt; once. &lt;i&gt;Augmented&lt;/i&gt;: The subject gains a +4 sacred bonus on saves against effects with the air descriptor. &lt;br&gt;&lt;b&gt;Animal:&lt;/b&gt; Ritual of Beasts. The subject can use &lt;i&gt;speak with animals&lt;/i&gt; once (this effect lasts 3 rounds). &lt;i&gt;Augmented&lt;/i&gt;: The subject can use &lt;i&gt;charm animal&lt;/i&gt; once. &lt;br&gt;&lt;b&gt;Artifice:&lt;/b&gt; Apparatus's Observance. The subject can heal a construct creature with a touch, healing 1d3 points of damage. &lt;i&gt;Augmented&lt;/i&gt;: The subject can heal a construct creature 1d6 points of damage. &lt;br&gt;&lt;b&gt;Chaos:&lt;/b&gt; Anarchic Revelry. The subject can force a lawful-aligned foe within 30 feet to roll an attack roll twice and take the less favorable result. This ability must be announced before the first attack roll is made. &lt;i&gt;Augmented&lt;/i&gt;: The first time the subject deals damage to a foe with a melee attack, the attack is treated as chaotic for the purpose of overcoming DR. &lt;br&gt;&lt;b&gt;Charm:&lt;/b&gt; Jubilee of Delight. The subject gains a +2 sacred bonus on his next Bluff, Diplomacy, or Intimidate check. &lt;i&gt;Augmented&lt;/i&gt;: The subject gains a +2 sacred bonus on saving throws against charm and compulsion effects. &lt;br&gt;&lt;b&gt;Community:&lt;/b&gt; Celebration of Bonding. As a standard action, the subject can heal a touched creature 1d6 points of nonlethal damage. &lt;i&gt;Augmented&lt;/i&gt;: The subject is cured of the fatigued, shaken, and sickened conditions. &lt;br&gt;&lt;b&gt;Darkness:&lt;/b&gt; Glorify Shadows. The subject gains darkvision to a range of 30 feet (or increases current range of darkvision by 10 feet). &lt;i&gt;Augmented&lt;/i&gt;: The subject increases range of darkvision by 30 feet. &lt;br&gt;&lt;b&gt;Death:&lt;/b&gt; Dance of the Dead. The subject can use &lt;i&gt;bleed&lt;/i&gt; up to three times. &lt;i&gt;Augmented&lt;/i&gt;: The subject can use &lt;i&gt;cause fear&lt;/i&gt; once. &lt;br&gt;&lt;b&gt;Destruction:&lt;/b&gt; Day of Dismantling. The subject gains a +1 sacred bonus on attacks and damage rolls against inanimate objects. &lt;i&gt;Augmented&lt;/i&gt;: The bonus becomes +2. &lt;br&gt;&lt;b&gt;Earth:&lt;/b&gt; Festival of Soil. The subject can cast &lt;i&gt;plant growth&lt;/i&gt; (enrichment) once. &lt;i&gt;Augmented&lt;/i&gt;: The subject gains a +4 sacred bonus on saves against effects with the earth descriptor. &lt;br&gt;&lt;b&gt;Evil:&lt;/b&gt; Unholy Gala. The subject can cause a good-aligned foe to become sickened for 1 round as a melee touch attack. &lt;i&gt;Augmented&lt;/i&gt;: This boon can be used three times. &lt;br&gt;&lt;b&gt;Fire:&lt;/b&gt; Fire Calling. Nonmagical fires the subject makes cannot be extinguished by nonmagical means, though spells and other magical effects function as normal. &lt;i&gt;Augmented&lt;/i&gt;: The subject gains a +4 sacred bonus on saves against effects with the fire descriptor. &lt;br&gt;&lt;b&gt;Glory:&lt;/b&gt; Resplendent Feast. The subject receives a +2 bonus on a single Charisma-based skill check. &lt;i&gt;Augmented&lt;/i&gt;: This boon can be used three times. &lt;br&gt;&lt;b&gt;Good:&lt;/b&gt; Festival of Benevolence. The subject gains a +1 sacred bonus on melee attacks and melee damage rolls against evil-aligned foes. &lt;i&gt;Augmented&lt;/i&gt;: The bonus becomes +2. &lt;br&gt;&lt;b&gt;Healing:&lt;/b&gt; Touch of Assuagement. The subject can heal a dying creature 1d4 hit points as a standard action. &lt;i&gt;Augmented&lt;/i&gt;: This boon can be used three times. &lt;br&gt;&lt;b&gt;Knowledge:&lt;/b&gt; Liturgy of Learning. The subject can attempt any Knowledge skill check untrained. &lt;i&gt;Augmented&lt;/i&gt;: This boon can be used three times. &lt;br&gt;&lt;b&gt;Law:&lt;/b&gt; Observance of Order. The subject gains a +5 sacred bonus on the next combat maneuver check she makes against a chaotic-aligned foe. &lt;i&gt;Augmented&lt;/i&gt;: The subject gains a +2 sacred bonus to CMD against chaotic-aligned foes. &lt;br&gt;&lt;b&gt;Liberation:&lt;/b&gt; Freedom Festival. The subject can use &lt;i&gt;remove fear&lt;/i&gt; once. &lt;i&gt;Augmented&lt;/i&gt;: The subject gains a +2 sacred bonus to CMD. &lt;br&gt;&lt;b&gt;Luck:&lt;/b&gt; Fete of Fortune. The next time the subject rolls a d20, he may roll twice and take the more favorable result. &lt;i&gt;Augmented&lt;/i&gt;: The subject may use this ability on any single d20 roll, not just the next one. &lt;br&gt;&lt;b&gt;Madness:&lt;/b&gt; Rite of Insanity. The subject can, as a melee touch attack, cause a foe to become confused for 1d4 rounds (DC 13 Will negates). &lt;i&gt;Augmented&lt;/i&gt;: This boon can be used twice. &lt;br&gt;&lt;b&gt;Magic:&lt;/b&gt; Arcane Obeisance. The subject gains a +2 sacred bonus on Spellcraft checks made while researching a spell or crafting a magic item. &lt;i&gt;Augmented&lt;/i&gt;: The subject gains a +2 sacred bonus on Knowledge (arcana) or (religion) checks made while researching a spell. &lt;br&gt;&lt;b&gt;Nobility:&lt;/b&gt; Knighting Ceremony. The subject receives a +1 sacred bonus on attack and damage rolls with one weapon of her choice. &lt;i&gt;Augmented&lt;/i&gt;: The bonus becomes +2. &lt;br&gt;&lt;b&gt;Plant:&lt;/b&gt; Harvest Festival. The subject can use &lt;i&gt;speak with plants&lt;/i&gt; once, but the duration is 1 minute. &lt;i&gt;Augmented&lt;/i&gt;: This boon can be used three times. &lt;br&gt;&lt;b&gt;Protection:&lt;/b&gt; Ceremony of Sanctuary. The subject can use &lt;i&gt;sanctuary&lt;/i&gt; once. &lt;i&gt;Augmented&lt;/i&gt;: The subject gains a +2 sacred bonus to AC. &lt;br&gt;&lt;b&gt;Repose:&lt;/b&gt; Spirit Ward. The subject can attempt a melee touch attack against a flat-footed foe to put him to sleep for 1d4 rounds. &lt;i&gt;Augmented&lt;/i&gt;: This boon can be used three times. &lt;br&gt;&lt;b&gt;Rune:&lt;/b&gt; Ancestral Observance. The subject gains a +2 sacred bonus on saves against language-dependent effects. &lt;i&gt;Augmented&lt;/i&gt;: The subject gains a +2 sacred bonus on Linguistics checks. &lt;br&gt;&lt;b&gt;Scalykind:&lt;/b&gt; Song of Serpents. The subject gains a +2 sacred bonus on saves against gaze attacks. &lt;i&gt;Augmented&lt;/i&gt;: The subject gains a +4 sacred bonus to AC against the distraction attack of swarms. &lt;br&gt;&lt;b&gt;Strength:&lt;/b&gt; Ritual of Might. The subject gains a +1 sacred bonus on Strength-based skill checks and Strength checks. &lt;i&gt;Augmented&lt;/i&gt;: The bonus becomes +2. &lt;br&gt;&lt;b&gt;Sun:&lt;/b&gt; Solstice Celebration. The illumination radius of any torch or other mundane light source held by the subject increases by 10 feet. &lt;i&gt;Augmented&lt;/i&gt;: The subject gains a +4 sacred bonus against effects with the light descriptor. &lt;br&gt;&lt;b&gt;Travel:&lt;/b&gt; Festival of Journeys. The subject can choose to ignore the effects of difficult terrain for 1 round. &lt;i&gt;Augmented&lt;/i&gt;: This boon may be used three times. &lt;br&gt;&lt;b&gt;Trickery:&lt;/b&gt; Communion of Liars. The subject gains a +2 sacred bonus to AC the first time he is attacked while flanked. &lt;i&gt;Augmented&lt;/i&gt;: This boon functions the first three times the subject is attacked while flanked. &lt;br&gt;&lt;b&gt;Void:&lt;/b&gt; Celestial Observance. The subject knows the direction of north from her current position for the duration of this spell. &lt;i&gt;Augmented&lt;/i&gt;: The subject is immune to confusion effects. &lt;br&gt;&lt;b&gt;War:&lt;/b&gt; Call to Battle. The subject gains a +1 sacred bonus on attack rolls. &lt;i&gt;Augmented&lt;/i&gt;: The subject gains a +1 sacred bonus on damage rolls. &lt;br&gt;&lt;b&gt;Water:&lt;/b&gt; Water Blessing. The subject can use &lt;i&gt;water breathing&lt;/i&gt;. &lt;i&gt;Augmented&lt;/i&gt;: The subject gains a +4 sacred bonus on saves against effects with the water descriptor. &lt;br&gt;&lt;b&gt;Weather:&lt;/b&gt; Song of the Tempest. The subject can call one 10-foot-by-10-foot rain cloud in an area within 30 feet, requiring creatures in the affected area attempting to cast spells to first succeed at DC 13 concentration checks for 1 round. &lt;i&gt;Augmented&lt;/i&gt;: The DC is 15 for 3 rounds.&lt;/p&gt;</t>
  </si>
  <si>
    <t>&lt;link rel="stylesheet"href="PF.css"&gt;&lt;div class="heading"&gt;&lt;p class="alignleft"&gt;Ceremony&lt;/p&gt;&lt;div style="clear: both;"&gt;&lt;/div&gt;&lt;/div&gt;&lt;div&gt;&lt;h5&gt;&lt;b&gt;School &lt;/b&gt;transmutation; &lt;b&gt;Level &lt;/b&gt;cleric/oracle 1&lt;/h5&gt;&lt;/div&gt;&lt;hr/&gt;&lt;div&gt;&lt;h5&gt;&lt;b&gt;CASTING&lt;/b&gt;&lt;/h5&gt;&lt;/div&gt;&lt;hr/&gt;&lt;div&gt;&lt;h5&gt;&lt;b&gt;Casting Time &lt;/b&gt;8 hours&lt;/h5&gt;&lt;h5&gt;&lt;b&gt;Components &lt;/b&gt;V, S, DF&lt;/h5&gt;&lt;/div&gt;&lt;hr/&gt;&lt;div&gt;&lt;h5&gt;&lt;b&gt;EFFECT&lt;/b&gt;&lt;/h5&gt;&lt;/div&gt;&lt;hr/&gt;&lt;div&gt;&lt;h5&gt;&lt;b&gt;Range &lt;/b&gt;touch or medium (100 ft. + 10 ft./level) (see text)&lt;/h5&gt;&lt;h5&gt;&lt;b&gt;Targets &lt;/b&gt;willing, living creature or creatures touched or one creature/level (see text)&lt;/h5&gt;&lt;h5&gt;&lt;b&gt;Duration &lt;/b&gt;1 hour/level or 1 day/level (see text)&lt;/h5&gt;&lt;h5&gt;&lt;b&gt;Saving Throw &lt;/b&gt;Will negates (see text); &lt;b&gt;Spell Resistance &lt;/b&gt;yes&lt;/h5&gt;&lt;/div&gt;&lt;hr/&gt;&lt;div&gt;&lt;h5&gt;&lt;b&gt;DESCRIPTION&lt;/b&gt;&lt;/h5&gt;&lt;/div&gt;&lt;hr/&gt;&lt;div&gt;&lt;h4&gt;&lt;p&gt;You harness divine power to create one of four different ceremonies-a funeral, holiday fete, marriage, or naming-and can also create two domain-based ceremonies. Each ceremony provides a boon to two living, touched subjects for 1 hour per caster level, representing the divine gifts granted by your deity as well as the normal morale-boosting benefits of participating in an officiated ceremony. Bonuses granted by these boons are sacred bonuses if you channel positive energy or profane bonuses if you channel negative energy. (Bonuses in this section are referred to simply as sacred bonuses for ease of reading.) Only subjects whose alignments are within one step of your deity can be affected by this spell. If you are using the downtime system from &lt;i&gt;Pathfinder RPG Ultimate Campaign&lt;/i&gt;, you may use additional resources to augment the effect of a particular ceremony. You may spend 10 Goods, Labor, or Influence or 2 Magic to create a larger ceremony and grant an additional boon that lasts for 1 day per caster level (up to a maximum of 5 days). The type of capital spent should reflect the preparation required for the specific ceremony. &lt;i&gt;Augmented&lt;/i&gt; boons affect the creatures touched as well as a number of intelligent, properly aligned creatures within medium range equal to your caster level (up to a maximum of 10 creatures), granting all subjects the benefits of the original boon as well as the benefits of an augmented boon, representing the divine gifts granted to these witnesses by your god. Unless otherwise stated, use-activated abilities are supernatural abilities and abilities that emulate the effects of a spell are spell-like abilities; in either case, abilities granted by a boon are generally usable only once or until the duration of the spell ends, whichever comes first. Spell-like abilities are cast at a creature's highest caster level gained, or, if the creature has no caster level, CL 1st. Constant or passive effects and bonuses granted by this spell can be dispelled as normal, using your caster level to do so. &lt;br&gt;&lt;b&gt;Funeral:&lt;/b&gt; A funeral service must involve a corpse and at least one willing companion or next of kin. The subject gains a +2 sacred bonus against death effects. &lt;br&gt;&lt;b&gt;Holiday Fete:&lt;/b&gt; A holiday fete may involve up to two willing creatures. The subject gains a +1 sacred bonus on Fortitude saves. &lt;br&gt;&lt;b&gt;Marriage:&lt;/b&gt; A marriage must involve two willing creatures. The subject gains a +1 sacred bonus on saves against fear and emotion effects. &lt;br&gt;&lt;b&gt;Naming:&lt;/b&gt; A naming must involve a willing parent or parents and a newborn (who is touched but unaffected). The subject can use &lt;i&gt;sanctuary&lt;/i&gt; once. The augmented versions of these four ceremonies are identical, granting the subject a +2 sacred bonus on all saving throws. In addition to these four ceremonies, each cleric gains two more ceremonies according to her domain. The names of domain ceremonies and their relevant boons are listed below. Unless otherwise noted, each of the following ceremonies requires at least two willing subjects. &lt;br&gt;&lt;b&gt;Air:&lt;/b&gt; Celebration of Storms. The subject can use &lt;i&gt;feather fall&lt;/i&gt; once. &lt;i&gt;Augmented&lt;/i&gt;: The subject gains a +4 sacred bonus on saves against effects with the air descriptor. &lt;br&gt;&lt;b&gt;Animal:&lt;/b&gt; Ritual of Beasts. The subject can use &lt;i&gt;speak with animals&lt;/i&gt; once (this effect lasts 3 rounds). &lt;i&gt;Augmented&lt;/i&gt;: The subject can use &lt;i&gt;charm animal&lt;/i&gt; once. &lt;br&gt;&lt;b&gt;Artifice:&lt;/b&gt; Apparatus's Observance. The subject can heal a construct creature with a touch, healing 1d3 points of damage. &lt;i&gt;Augmented&lt;/i&gt;: The subject can heal a construct creature 1d6 points of damage. &lt;br&gt;&lt;b&gt;Chaos:&lt;/b&gt; Anarchic Revelry. The subject can force a lawful-aligned foe within 30 feet to roll an attack roll twice and take the less favorable result. This ability must be announced before the first attack roll is made. &lt;i&gt;Augmented&lt;/i&gt;: The first time the subject deals damage to a foe with a melee attack, the attack is treated as chaotic for the purpose of overcoming DR. &lt;br&gt;&lt;b&gt;Charm:&lt;/b&gt; Jubilee of Delight. The subject gains a +2 sacred bonus on his next Bluff, Diplomacy, or Intimidate check. &lt;i&gt;Augmented&lt;/i&gt;: The subject gains a +2 sacred bonus on saving throws against charm and compulsion effects. &lt;br&gt;&lt;b&gt;Community:&lt;/b&gt; Celebration of Bonding. As a standard action, the subject can heal a touched creature 1d6 points of nonlethal damage. &lt;i&gt;Augmented&lt;/i&gt;: The subject is cured of the fatigued, shaken, and sickened conditions. &lt;br&gt;&lt;b&gt;Darkness:&lt;/b&gt; Glorify Shadows. The subject gains darkvision to a range of 30 feet (or increases current range of darkvision by 10 feet). &lt;i&gt;Augmented&lt;/i&gt;: The subject increases range of darkvision by 30 feet. &lt;br&gt;&lt;b&gt;Death:&lt;/b&gt; Dance of the Dead. The subject can use &lt;i&gt;bleed&lt;/i&gt; up to three times. &lt;i&gt;Augmented&lt;/i&gt;: The subject can use &lt;i&gt;cause fear&lt;/i&gt; once. &lt;br&gt;&lt;b&gt;Destruction:&lt;/b&gt; Day of Dismantling. The subject gains a +1 sacred bonus on attacks and damage rolls against inanimate objects. &lt;i&gt;Augmented&lt;/i&gt;: The bonus becomes +2. &lt;br&gt;&lt;b&gt;Earth:&lt;/b&gt; Festival of Soil. The subject can cast &lt;i&gt;plant growth&lt;/i&gt; (enrichment) once. &lt;i&gt;Augmented&lt;/i&gt;: The subject gains a +4 sacred bonus on saves against effects with the earth descriptor. &lt;br&gt;&lt;b&gt;Evil:&lt;/b&gt; Unholy Gala. The subject can cause a good-aligned foe to become sickened for 1 round as a melee touch attack. &lt;i&gt;Augmented&lt;/i&gt;: This boon can be used three times. &lt;br&gt;&lt;b&gt;Fire:&lt;/b&gt; Fire Calling. Nonmagical fires the subject makes cannot be extinguished by nonmagical means, though spells and other magical effects function as normal. &lt;i&gt;Augmented&lt;/i&gt;: The subject gains a +4 sacred bonus on saves against effects with the fire descriptor. &lt;br&gt;&lt;b&gt;Glory:&lt;/b&gt; Resplendent Feast. The subject receives a +2 bonus on a single Charisma-based skill check. &lt;i&gt;Augmented&lt;/i&gt;: This boon can be used three times. &lt;br&gt;&lt;b&gt;Good:&lt;/b&gt; Festival of Benevolence. The subject gains a +1 sacred bonus on melee attacks and melee damage rolls against evil-aligned foes. &lt;i&gt;Augmented&lt;/i&gt;: The bonus becomes +2. &lt;br&gt;&lt;b&gt;Healing:&lt;/b&gt; Touch of Assuagement. The subject can heal a dying creature 1d4 hit points as a standard action. &lt;i&gt;Augmented&lt;/i&gt;: This boon can be used three times. &lt;br&gt;&lt;b&gt;Knowledge:&lt;/b&gt; Liturgy of Learning. The subject can attempt any &lt;br&gt;&lt;b&gt;Knowledge&lt;/b&gt; skill check untrained. &lt;i&gt;Augmented&lt;/i&gt;: This boon can be used three times. &lt;br&gt;&lt;b&gt;Law:&lt;/b&gt; Observance of Order. The subject gains a +5 sacred bonus on the next combat maneuver check she makes against a chaotic-aligned foe. &lt;i&gt;Augmented&lt;/i&gt;: The subject gains a +2 sacred bonus to CMD against chaotic-aligned foes. &lt;br&gt;&lt;b&gt;Liberation:&lt;/b&gt; Freedom Festival. The subject can use &lt;i&gt;remove fear&lt;/i&gt; once. &lt;i&gt;Augmented&lt;/i&gt;: The subject gains a +2 sacred bonus to CMD. &lt;br&gt;&lt;b&gt;Luck:&lt;/b&gt; Fete of Fortune. The next time the subject rolls a d20, he may roll twice and take the more favorable result. &lt;i&gt;Augmented&lt;/i&gt;: The subject may use this ability on any single d20 roll, not just the next one. &lt;br&gt;&lt;b&gt;Madness:&lt;/b&gt; Rite of Insanity. The subject can, as a melee touch attack, cause a foe to become confused for 1d4 rounds (DC 13 Will negates). &lt;i&gt;Augmented&lt;/i&gt;: This boon can be used twice. &lt;br&gt;&lt;b&gt;Magic:&lt;/b&gt; Arcane Obeisance. The subject gains a +2 sacred bonus on Spellcraft checks made while researching a spell or crafting a magic item. &lt;i&gt;Augmented&lt;/i&gt;: The subject gains a +2 sacred bonus on Knowledge (arcana) or (religion) checks made while researching a spell. &lt;br&gt;&lt;b&gt;Nobility:&lt;/b&gt; Knighting Ceremony. The subject receives a +1 sacred bonus on attack and damage rolls with one weapon of her choice. &lt;i&gt;Augmented&lt;/i&gt;: The bonus becomes +2. &lt;br&gt;&lt;b&gt;Plant:&lt;/b&gt; Harvest Festival. The subject can use &lt;i&gt;speak with plants&lt;/i&gt; once, but the duration is 1 minute. &lt;i&gt;Augmented&lt;/i&gt;: This boon can be used three times. &lt;br&gt;&lt;b&gt;Protection:&lt;/b&gt; Ceremony of Sanctuary. The subject can use &lt;i&gt;sanctuary&lt;/i&gt; once. &lt;i&gt;Augmented&lt;/i&gt;: The subject gains a +2 sacred bonus to AC. &lt;br&gt;&lt;b&gt;Repose:&lt;/b&gt; Spirit Ward. The subject can attempt a melee touch attack against a flat-footed foe to put him to sleep for 1d4 rounds. &lt;i&gt;Augmented&lt;/i&gt;: This boon can be used three times. &lt;br&gt;&lt;b&gt;Rune:&lt;/b&gt; Ancestral Observance. The subject gains a +2 sacred bonus on saves against language-dependent effects. &lt;i&gt;Augmented&lt;/i&gt;: The subject gains a +2 sacred bonus on Linguistics checks. &lt;br&gt;&lt;b&gt;Scalykind:&lt;/b&gt; Song of Serpents. The subject gains a +2 sacred bonus on saves against gaze attacks. &lt;i&gt;Augmented&lt;/i&gt;: The subject gains a +4 sacred bonus to AC against the distraction attack of swarms. &lt;br&gt;&lt;b&gt;Strength:&lt;/b&gt; Ritual of Might. The subject gains a +1 sacred bonus on Strength-based skill checks and Strength checks. &lt;i&gt;Augmented&lt;/i&gt;: The bonus becomes +2. &lt;br&gt;&lt;b&gt;Sun:&lt;/b&gt; Solstice Celebration. The illumination radius of any torch or other mundane light source held by the subject increases by 10 feet. &lt;i&gt;Augmented&lt;/i&gt;: The subject gains a +4 sacred bonus against effects with the light descriptor. &lt;br&gt;&lt;b&gt;Travel:&lt;/b&gt; Festival of Journeys. The subject can choose to ignore the effects of difficult terrain for 1 round. &lt;i&gt;Augmented&lt;/i&gt;: This boon may be used three times. &lt;br&gt;&lt;b&gt;Trickery:&lt;/b&gt; Communion of Liars. The subject gains a +2 sacred bonus to AC the first time he is attacked while flanked. &lt;i&gt;Augmented&lt;/i&gt;: This boon functions the first three times the subject is attacked while flanked. &lt;br&gt;&lt;b&gt;Void:&lt;/b&gt; Celestial Observance. The subject knows the direction of north from her current position for the duration of this spell. &lt;i&gt;Augmented&lt;/i&gt;: The subject is immune to confusion effects. &lt;br&gt;&lt;b&gt;War:&lt;/b&gt; Call to Battle. The subject gains a +1 sacred bonus on attack rolls. &lt;i&gt;Augmented&lt;/i&gt;: The subject gains a +1 sacred bonus on damage rolls. &lt;br&gt;&lt;b&gt;Water:&lt;/b&gt; Water Blessing. The subject can use &lt;i&gt;water breathing&lt;/i&gt;. &lt;i&gt;Augmented&lt;/i&gt;: The subject gains a +4 sacred bonus on saves against effects with the water descriptor. &lt;br&gt;&lt;b&gt;Weather:&lt;/b&gt; Song of the Tempest. The subject can call one 10-foot-by-10-foot rain cloud in an area within 30 feet, requiring creatures in the affected area attempting to cast spells to first succeed at DC 13 concentration checks for 1 round. &lt;i&gt;Augmented&lt;/i&gt;: The DC is 15 for 3 rounds.&lt;/p&gt;&lt;/h4&gt;&lt;/div&gt;</t>
  </si>
  <si>
    <t>Dragon Turtle Shell</t>
  </si>
  <si>
    <t>alchemist 3, cleric/oracle 3, druid 2, sorcerer/wizard 3</t>
  </si>
  <si>
    <t>V, S, M (a piece of turtle shell)</t>
  </si>
  <si>
    <t>When you are struck by an opponent's natural attacks, the damage is resolved as if the attack came from a creature one size smaller per 5 caster levels (maximum of four size categories smaller at CL 20th). Refer to Table 3-1 in the Pathfinder RPG Bestiary to determine an attack's altered base damage. If the creature's natural attack deals nonstandard damage, refer instead to the Improved Natural Attack feat on page 315 of the Bestiary. It is not possible to reduce the base damage of a creature's natural attack below 1d2 with this spell.</t>
  </si>
  <si>
    <t>&lt;p&gt;When you are struck by an opponent's natural attacks, the damage is resolved as if the attack came from a creature one size smaller per 5 caster levels (maximum of four size categories smaller at CL 20th). Refer to Table 3-1 in the &lt;i&gt;Pathfinder RPG &lt;i&gt;Bestiary&lt;/i&gt;&lt;/i&gt; to determine an attack's altered base damage. If the creature's natural attack deals nonstandard damage, refer instead to the Improved Natural Attack feat on page 315 of the &lt;i&gt;Bestiary&lt;/i&gt;. It is not possible to reduce the base damage of a creature's natural attack below 1d2 with this spell.&lt;/p&gt;</t>
  </si>
  <si>
    <t>Dragonslayer's Handbook</t>
  </si>
  <si>
    <t>&lt;link rel="stylesheet"href="PF.css"&gt;&lt;div class="heading"&gt;&lt;p class="alignleft"&gt;Dragon Turtle Shell&lt;/p&gt;&lt;div style="clear: both;"&gt;&lt;/div&gt;&lt;/div&gt;&lt;div&gt;&lt;h5&gt;&lt;b&gt;School &lt;/b&gt;abjuration; &lt;b&gt;Level &lt;/b&gt;alchemist 3, cleric/oracle 3, druid 2, sorcerer/wizard 3&lt;/h5&gt;&lt;/div&gt;&lt;hr/&gt;&lt;div&gt;&lt;h5&gt;&lt;b&gt;CASTING&lt;/b&gt;&lt;/h5&gt;&lt;/div&gt;&lt;hr/&gt;&lt;div&gt;&lt;h5&gt;&lt;b&gt;Casting Time &lt;/b&gt;1 standard action&lt;/h5&gt;&lt;h5&gt;&lt;b&gt;Components &lt;/b&gt;V, S, M (a piece of turtle shell)&lt;/h5&gt;&lt;/div&gt;&lt;hr/&gt;&lt;div&gt;&lt;h5&gt;&lt;b&gt;EFFECT&lt;/b&gt;&lt;/h5&gt;&lt;/div&gt;&lt;hr/&gt;&lt;div&gt;&lt;h5&gt;&lt;b&gt;Range &lt;/b&gt;personal&lt;/h5&gt;&lt;h5&gt;&lt;b&gt;Targets &lt;/b&gt;you&lt;/h5&gt;&lt;h5&gt;&lt;b&gt;Duration &lt;/b&gt;1 round/level&lt;/h5&gt;&lt;/div&gt;&lt;hr/&gt;&lt;div&gt;&lt;h5&gt;&lt;b&gt;DESCRIPTION&lt;/b&gt;&lt;/h5&gt;&lt;/div&gt;&lt;hr/&gt;&lt;div&gt;&lt;h4&gt;&lt;p&gt;When you are struck by an opponent's natural attacks, the damage is resolved as if the attack came from a creature one size smaller per 5 caster levels (maximum of four size categories smaller at CL 20th). Refer to Table 3-1 in the &lt;i&gt;Pathfinder RPG &lt;i&gt;Bestiary&lt;/i&gt;&lt;/i&gt; to determine an attack's altered base damage. If the creature's natural attack deals nonstandard damage, refer instead to the Improved Natural Attack feat on page 315 of the &lt;i&gt;Bestiary&lt;/i&gt;. It is not possible to reduce the base damage of a creature's natural attack below 1d2 with this spell.&lt;/p&gt;&lt;/h4&gt;&lt;/div&gt;</t>
  </si>
  <si>
    <t>Draconic Suppression</t>
  </si>
  <si>
    <t>one dragon</t>
  </si>
  <si>
    <t>A dragon that fails its saving throw cannot use its breath weapon for the duration of the spell and is treated as one age category younger for determining which special abilities it can use. For example, an ancient green dragon would revert to the special abilities of a very old dragon and lose access to its miasma ability and its dominate person spell-like ability. This spell has no effect on a dragon's armor class, feats, frightful presence, hit points, physical attacks, saving throws, senses, size, skills, spellcasting, or statistics.</t>
  </si>
  <si>
    <t>&lt;p&gt;A dragon that fails its saving throw cannot use its breath weapon for the duration of the spell and is treated as one age category younger for determining which special abilities it can use. For example, an ancient green dragon would revert to the special abilities of a very old dragon and lose access to its miasma ability and its &lt;i&gt;dominate person&lt;/i&gt; spell-like ability. This spell has no effect on a dragon's armor class, feats, frightful presence, hit points, physical attacks, saving throws, senses, size, skills, spellcasting, or statistics.&lt;/p&gt;</t>
  </si>
  <si>
    <t>&lt;link rel="stylesheet"href="PF.css"&gt;&lt;div class="heading"&gt;&lt;p class="alignleft"&gt;Draconic Suppression&lt;/p&gt;&lt;div style="clear: both;"&gt;&lt;/div&gt;&lt;/div&gt;&lt;div&gt;&lt;h5&gt;&lt;b&gt;School &lt;/b&gt;abjuration; &lt;b&gt;Level &lt;/b&gt;sorcerer/wizard 5, witch 5&lt;/h5&gt;&lt;/div&gt;&lt;hr/&gt;&lt;div&gt;&lt;h5&gt;&lt;b&gt;CASTING&lt;/b&gt;&lt;/h5&gt;&lt;/div&gt;&lt;hr/&gt;&lt;div&gt;&lt;h5&gt;&lt;b&gt;Casting Time &lt;/b&gt;1 standard action&lt;/h5&gt;&lt;h5&gt;&lt;b&gt;Components &lt;/b&gt;V, S&lt;/h5&gt;&lt;/div&gt;&lt;hr/&gt;&lt;div&gt;&lt;h5&gt;&lt;b&gt;EFFECT&lt;/b&gt;&lt;/h5&gt;&lt;/div&gt;&lt;hr/&gt;&lt;div&gt;&lt;h5&gt;&lt;b&gt;Range &lt;/b&gt;close (25 ft. + 5 ft./level)&lt;/h5&gt;&lt;h5&gt;&lt;b&gt;Targets &lt;/b&gt;one dragon&lt;/h5&gt;&lt;h5&gt;&lt;b&gt;Duration &lt;/b&gt;1 round/level (D)&lt;/h5&gt;&lt;h5&gt;&lt;b&gt;Saving Throw &lt;/b&gt;Fortitude negates; &lt;b&gt;Spell Resistance &lt;/b&gt;yes&lt;/h5&gt;&lt;/div&gt;&lt;hr/&gt;&lt;div&gt;&lt;h5&gt;&lt;b&gt;DESCRIPTION&lt;/b&gt;&lt;/h5&gt;&lt;/div&gt;&lt;hr/&gt;&lt;div&gt;&lt;h4&gt;&lt;p&gt;A dragon that fails its saving throw cannot use its breath weapon for the duration of the spell and is treated as one age category younger for determining which special abilities it can use. For example, an ancient green dragon would revert to the special abilities of a very old dragon and lose access to its miasma ability and its &lt;i&gt;dominate person&lt;/i&gt; spell-like ability. This spell has no effect on a dragon's armor class, feats, frightful presence, hit points, physical attacks, saving throws, senses, size, skills, spellcasting, or statistics.&lt;/p&gt;&lt;/h4&gt;&lt;/div&gt;</t>
  </si>
  <si>
    <t>Dragonvoice</t>
  </si>
  <si>
    <t>By magically altering the way your vocal cords create sounds, you can emulate the vocal inflections of dragons. This grants a +6 circumstance bonus on Charisma checks and Charisma-related skill checks when dealing with dragons. In addition, your voice is much louder than normal, halving the penalties to others' Perception checks to hear you due to distance, intervening doors, and so on.</t>
  </si>
  <si>
    <t>&lt;p&gt;By magically altering the way your vocal cords create sounds, you can emulate the vocal inflections of dragons. This grants a +6 circumstance bonus on Charisma checks and Charisma-related skill checks when dealing with dragons. In addition, your voice is much louder than normal, halving the penalties to others' Perception checks to hear you due to distance, intervening doors, and so on.&lt;/p&gt;</t>
  </si>
  <si>
    <t>&lt;link rel="stylesheet"href="PF.css"&gt;&lt;div class="heading"&gt;&lt;p class="alignleft"&gt;Dragonvoice&lt;/p&gt;&lt;div style="clear: both;"&gt;&lt;/div&gt;&lt;/div&gt;&lt;div&gt;&lt;h5&gt;&lt;b&gt;School &lt;/b&gt;transmutation; &lt;b&gt;Level &lt;/b&gt;alchemist 2, bard 2, sorcerer/wizard 2, witch 2&lt;/h5&gt;&lt;/div&gt;&lt;hr/&gt;&lt;div&gt;&lt;h5&gt;&lt;b&gt;CASTING&lt;/b&gt;&lt;/h5&gt;&lt;/div&gt;&lt;hr/&gt;&lt;div&gt;&lt;h5&gt;&lt;b&gt;Casting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minute/level&lt;/h5&gt;&lt;/div&gt;&lt;hr/&gt;&lt;div&gt;&lt;h5&gt;&lt;b&gt;DESCRIPTION&lt;/b&gt;&lt;/h5&gt;&lt;/div&gt;&lt;hr/&gt;&lt;div&gt;&lt;h4&gt;&lt;p&gt;By magically altering the way your vocal cords create sounds, you can emulate the vocal inflections of dragons. This grants a +6 circumstance bonus on Charisma checks and Charisma-related skill checks when dealing with dragons. In addition, your voice is much louder than normal, halving the penalties to others' Perception checks to hear you due to distance, intervening doors, and so on.&lt;/p&gt;&lt;/h4&gt;&lt;/div&gt;</t>
  </si>
  <si>
    <t>Dungeonsight</t>
  </si>
  <si>
    <t>bard 4, cleric/oracle 5, inquisitor 4, sorcerer/wizard 5</t>
  </si>
  <si>
    <t>V, S, F (a small glass orb worth 150 gp)</t>
  </si>
  <si>
    <t>60-ft.-radius emanation</t>
  </si>
  <si>
    <t>You receive a clear and memorable view of the layout of chambers, barriers, and connecting passages within the area of effect. This spell does not reveal the contents or inhabitants of any of these locations, only the basic architecture of the space. For example, a staircase leading up to a pair of doors would be apparent, but the iron golems guarding the doors would not. This spell does identify the locations of secret doors and hidden passages but gives no clue as to the means of opening or accessing them.</t>
  </si>
  <si>
    <t>&lt;p&gt;You receive a clear and memorable view of the layout of chambers, barriers, and connecting passages within the area of effect. This spell does not reveal the contents or inhabitants of any of these locations, only the basic architecture of the space. For example, a staircase leading up to a pair of doors would be apparent, but the iron golems guarding the doors would not. This spell does identify the locations of secret doors and hidden passages but gives no clue as to the means of opening or accessing them.&lt;/p&gt;</t>
  </si>
  <si>
    <t>&lt;link rel="stylesheet"href="PF.css"&gt;&lt;div class="heading"&gt;&lt;p class="alignleft"&gt;Dungeonsight&lt;/p&gt;&lt;div style="clear: both;"&gt;&lt;/div&gt;&lt;/div&gt;&lt;div&gt;&lt;h5&gt;&lt;b&gt;School &lt;/b&gt;divination; &lt;b&gt;Level &lt;/b&gt;bard 4, cleric/oracle 5, inquisitor 4, sorcerer/wizard 5&lt;/h5&gt;&lt;/div&gt;&lt;hr/&gt;&lt;div&gt;&lt;h5&gt;&lt;b&gt;CASTING&lt;/b&gt;&lt;/h5&gt;&lt;/div&gt;&lt;hr/&gt;&lt;div&gt;&lt;h5&gt;&lt;b&gt;Casting Time &lt;/b&gt;1 standard action&lt;/h5&gt;&lt;h5&gt;&lt;b&gt;Components &lt;/b&gt;V, S, F (a small glass orb worth 150 gp)&lt;/h5&gt;&lt;/div&gt;&lt;hr/&gt;&lt;div&gt;&lt;h5&gt;&lt;b&gt;EFFECT&lt;/b&gt;&lt;/h5&gt;&lt;/div&gt;&lt;hr/&gt;&lt;div&gt;&lt;h5&gt;&lt;b&gt;Range &lt;/b&gt;personal&lt;/h5&gt;&lt;h5&gt;&lt;b&gt;Area &lt;/b&gt;60-ft.-radius emanation&lt;/h5&gt;&lt;h5&gt;&lt;b&gt;Duration &lt;/b&gt;instantaneous&lt;/h5&gt;&lt;/div&gt;&lt;hr/&gt;&lt;div&gt;&lt;h5&gt;&lt;b&gt;DESCRIPTION&lt;/b&gt;&lt;/h5&gt;&lt;/div&gt;&lt;hr/&gt;&lt;div&gt;&lt;h4&gt;&lt;p&gt;You receive a clear and memorable view of the layout of chambers, barriers, and connecting passages within the area of effect. This spell does not reveal the contents or inhabitants of any of these locations, only the basic architecture of the space. For example, a staircase leading up to a pair of doors would be apparent, but the iron golems guarding the doors would not. This spell does identify the locations of secret doors and hidden passages but gives no clue as to the means of opening or accessing them.&lt;/p&gt;&lt;/h4&gt;&lt;/div&gt;</t>
  </si>
  <si>
    <t>Erode Defenses</t>
  </si>
  <si>
    <t>Fortitude negates (see below)</t>
  </si>
  <si>
    <t>Your spell slowly begins to eat away at the defenses of your target. If the target fails its saving throw, it loses 1 point from any damage reduction and natural armor bonus it may have. If the initial save was not successful, the target may attempt a new saving throw each round for the duration of the spell or continue to suffer cumulative losses. If the first save fails but a subsequent save succeeds, the eroding effects stop at that point, though any of the penalties already accrued remain until the spell expires. At the end of the spell's duration, the target's damage reduction and natural armor bonus immediately return to normal. Only one erode defenses spell can affect a particular target at any one time.</t>
  </si>
  <si>
    <t>&lt;p&gt;Your spell slowly begins to eat away at the defenses of your target. If the target fails its saving throw, it loses 1 point from any damage reduction and natural armor bonus it may have. If the initial save was not successful, the target may attempt a new saving throw each round for the duration of the spell or continue to suffer cumulative losses. If the first save fails but a subsequent save succeeds, the eroding effects stop at that point, though any of the penalties already accrued remain until the spell expires. At the end of the spell's duration, the target's damage reduction and natural armor bonus immediately return to normal. Only one &lt;i&gt;erode defenses&lt;/i&gt; spell can affect a particular target at any one time.&lt;/p&gt;</t>
  </si>
  <si>
    <t>&lt;link rel="stylesheet"href="PF.css"&gt;&lt;div class="heading"&gt;&lt;p class="alignleft"&gt;Erode Defenses&lt;/p&gt;&lt;div style="clear: both;"&gt;&lt;/div&gt;&lt;/div&gt;&lt;div&gt;&lt;h5&gt;&lt;b&gt;School &lt;/b&gt;transmutation; &lt;b&gt;Level &lt;/b&gt;magus 2, sorcerer/wizard 3, witch 3&lt;/h5&gt;&lt;/div&gt;&lt;hr/&gt;&lt;div&gt;&lt;h5&gt;&lt;b&gt;CASTING&lt;/b&gt;&lt;/h5&gt;&lt;/div&gt;&lt;hr/&gt;&lt;div&gt;&lt;h5&gt;&lt;b&gt;Casting Time &lt;/b&gt;1 standard action&lt;/h5&gt;&lt;h5&gt;&lt;b&gt;Components &lt;/b&gt;V, S&lt;/h5&gt;&lt;/div&gt;&lt;hr/&gt;&lt;div&gt;&lt;h5&gt;&lt;b&gt;EFFECT&lt;/b&gt;&lt;/h5&gt;&lt;/div&gt;&lt;hr/&gt;&lt;div&gt;&lt;h5&gt;&lt;b&gt;Range &lt;/b&gt;close (25 ft. + 5 ft./level)&lt;/h5&gt;&lt;h5&gt;&lt;b&gt;Targets &lt;/b&gt;one creature&lt;/h5&gt;&lt;h5&gt;&lt;b&gt;Duration &lt;/b&gt;1 round/level&lt;/h5&gt;&lt;h5&gt;&lt;b&gt;Saving Throw &lt;/b&gt;Fortitude negates (see below); &lt;b&gt;Spell Resistance &lt;/b&gt;yes&lt;/h5&gt;&lt;/div&gt;&lt;hr/&gt;&lt;div&gt;&lt;h5&gt;&lt;b&gt;DESCRIPTION&lt;/b&gt;&lt;/h5&gt;&lt;/div&gt;&lt;hr/&gt;&lt;div&gt;&lt;h4&gt;&lt;p&gt;Your spell slowly begins to eat away at the defenses of your target. If the target fails its saving throw, it loses 1 point from any damage reduction and natural armor bonus it may have. If the initial save was not successful, the target may attempt a new saving throw each round for the duration of the spell or continue to suffer cumulative losses. If the first save fails but a subsequent save succeeds, the eroding effects stop at that point, though any of the penalties already accrued remain until the spell expires. At the end of the spell's duration, the target's damage reduction and natural armor bonus immediately return to normal. Only one &lt;i&gt;erode defenses&lt;/i&gt; spell can affect a particular target at any one time.&lt;/p&gt;&lt;/h4&gt;&lt;/div&gt;</t>
  </si>
  <si>
    <t>Gravity Well</t>
  </si>
  <si>
    <t>druid 6, sorcerer/wizard 5</t>
  </si>
  <si>
    <t>V, S, M (a small lead weight)</t>
  </si>
  <si>
    <t>You bring into being a localized region of increased gravity that crushes a creature to the ground. Affected targets weigh twice as much as normal, can move only at half speed, jump only half as far as normal, and can lift and carry only half as much as normal. Any flying target has its maneuverability worsened by two steps (from good to poor, for example; minimum clumsy) and plummets to the ground unless it succeeds at a DC 25 Fly check to remain in the air. Freedom of movement negates the effects of this spell. A creature targeted by gravity well behaves normally in the area of a reverse gravity spell.</t>
  </si>
  <si>
    <t>&lt;p&gt;You bring into being a localized region of increased gravity that crushes a creature to the ground. Affected targets weigh twice as much as normal, can move only at half speed, jump only half as far as normal, and can lift and carry only half as much as normal. Any flying target has its maneuverability worsened by two steps (from good to poor, for example; minimum clumsy) and plummets to the ground unless it succeeds at a DC 25 Fly check to remain in the air. &lt;i&gt;Freedom of movement&lt;/i&gt; negates the effects of this spell. A creature targeted by &lt;i&gt;gravity well&lt;/i&gt; behaves normally in the area of a &lt;i&gt;reverse gravity&lt;/i&gt; spell.&lt;/p&gt;</t>
  </si>
  <si>
    <t>&lt;link rel="stylesheet"href="PF.css"&gt;&lt;div class="heading"&gt;&lt;p class="alignleft"&gt;Gravity Well&lt;/p&gt;&lt;div style="clear: both;"&gt;&lt;/div&gt;&lt;/div&gt;&lt;div&gt;&lt;h5&gt;&lt;b&gt;School &lt;/b&gt;transmutation; &lt;b&gt;Level &lt;/b&gt;druid 6, sorcerer/wizard 5&lt;/h5&gt;&lt;/div&gt;&lt;hr/&gt;&lt;div&gt;&lt;h5&gt;&lt;b&gt;CASTING&lt;/b&gt;&lt;/h5&gt;&lt;/div&gt;&lt;hr/&gt;&lt;div&gt;&lt;h5&gt;&lt;b&gt;Casting Time &lt;/b&gt;1 standard action&lt;/h5&gt;&lt;h5&gt;&lt;b&gt;Components &lt;/b&gt;V, S, M (a small lead weight)&lt;/h5&gt;&lt;/div&gt;&lt;hr/&gt;&lt;div&gt;&lt;h5&gt;&lt;b&gt;EFFECT&lt;/b&gt;&lt;/h5&gt;&lt;/div&gt;&lt;hr/&gt;&lt;div&gt;&lt;h5&gt;&lt;b&gt;Range &lt;/b&gt;medium (100 ft. + 10 ft./level)&lt;/h5&gt;&lt;h5&gt;&lt;b&gt;Targets &lt;/b&gt;one creature&lt;/h5&gt;&lt;h5&gt;&lt;b&gt;Duration &lt;/b&gt;1 round/level (D)&lt;/h5&gt;&lt;h5&gt;&lt;b&gt;Saving Throw &lt;/b&gt;Fortitude negates; &lt;b&gt;Spell Resistance &lt;/b&gt;no&lt;/h5&gt;&lt;/div&gt;&lt;hr/&gt;&lt;div&gt;&lt;h5&gt;&lt;b&gt;DESCRIPTION&lt;/b&gt;&lt;/h5&gt;&lt;/div&gt;&lt;hr/&gt;&lt;div&gt;&lt;h4&gt;&lt;p&gt;You bring into being a localized region of increased gravity that crushes a creature to the ground. Affected targets weigh twice as much as normal, can move only at half speed, jump only half as far as normal, and can lift and carry only half as much as normal. Any flying target has its maneuverability worsened by two steps (from good to poor, for example; minimum clumsy) and plummets to the ground unless it succeeds at a DC 25 Fly check to remain in the air. &lt;i&gt;Freedom of movement&lt;/i&gt; negates the effects of this spell. A creature targeted by &lt;i&gt;gravity well&lt;/i&gt; behaves normally in the area of a &lt;i&gt;reverse gravity&lt;/i&gt; spell.&lt;/p&gt;&lt;/h4&gt;&lt;/div&gt;</t>
  </si>
  <si>
    <t>Heart Of The Mammoth</t>
  </si>
  <si>
    <t>cleric/oracle 8, druid 8, sorcerer/wizard 8, witch 8</t>
  </si>
  <si>
    <t>V, S, F (a fetish of mammoth hair soaked in dragon's blood)</t>
  </si>
  <si>
    <t>The target creature becomes stronger, hardier, and imbued with the courage of the greatest megafauna of the tundra. The spell grants a +8 enhancement bonus to Strength and Constitution, immunity to fear, a +4 morale bonus to Will saves, and doubles the critical threat range of all its attacks against creatures of the dragon type (this does not stack with Improved Critical, keen edge, or similar effects).</t>
  </si>
  <si>
    <t>&lt;p&gt;The target creature becomes stronger, hardier, and imbued with the courage of the greatest megafauna of the tundra. The spell grants a +8 enhancement bonus to Strength and Constitution, immunity to fear, a +4 morale bonus to Will saves, and doubles the critical threat range of all its attacks against creatures of the dragon type (this does not stack with Improved Critical, &lt;i&gt;keen edge&lt;/i&gt;, or similar effects).&lt;/p&gt;</t>
  </si>
  <si>
    <t>&lt;link rel="stylesheet"href="PF.css"&gt;&lt;div class="heading"&gt;&lt;p class="alignleft"&gt;Heart Of The Mammoth&lt;/p&gt;&lt;div style="clear: both;"&gt;&lt;/div&gt;&lt;/div&gt;&lt;div&gt;&lt;h5&gt;&lt;b&gt;School &lt;/b&gt;transmutation; &lt;b&gt;Level &lt;/b&gt;cleric/oracle 8, druid 8, sorcerer/wizard 8, witch 8&lt;/h5&gt;&lt;/div&gt;&lt;hr/&gt;&lt;div&gt;&lt;h5&gt;&lt;b&gt;CASTING&lt;/b&gt;&lt;/h5&gt;&lt;/div&gt;&lt;hr/&gt;&lt;div&gt;&lt;h5&gt;&lt;b&gt;Casting Time &lt;/b&gt;1 standard action&lt;/h5&gt;&lt;h5&gt;&lt;b&gt;Components &lt;/b&gt;V, S, F (a fetish of mammoth hair soaked in dragon's blood)&lt;/h5&gt;&lt;/div&gt;&lt;hr/&gt;&lt;div&gt;&lt;h5&gt;&lt;b&gt;EFFECT&lt;/b&gt;&lt;/h5&gt;&lt;/div&gt;&lt;hr/&gt;&lt;div&gt;&lt;h5&gt;&lt;b&gt;Range &lt;/b&gt;touch&lt;/h5&gt;&lt;h5&gt;&lt;b&gt;Targets &lt;/b&gt;creature touched&lt;/h5&gt;&lt;h5&gt;&lt;b&gt;Duration &lt;/b&gt;1 round/level&lt;/h5&gt;&lt;h5&gt;&lt;b&gt;Saving Throw &lt;/b&gt;Will (harmless); &lt;b&gt;Spell Resistance &lt;/b&gt;no&lt;/h5&gt;&lt;/div&gt;&lt;hr/&gt;&lt;div&gt;&lt;h5&gt;&lt;b&gt;DESCRIPTION&lt;/b&gt;&lt;/h5&gt;&lt;/div&gt;&lt;hr/&gt;&lt;div&gt;&lt;h4&gt;&lt;p&gt;The target creature becomes stronger, hardier, and imbued with the courage of the greatest megafauna of the tundra. The spell grants a +8 enhancement bonus to Strength and Constitution, immunity to fear, a +4 morale bonus to Will saves, and doubles the critical threat range of all its attacks against creatures of the dragon type (this does not stack with Improved Critical, &lt;i&gt;keen edge&lt;/i&gt;, or similar effects).&lt;/p&gt;&lt;/h4&gt;&lt;/div&gt;</t>
  </si>
  <si>
    <t>Illusory Hoard</t>
  </si>
  <si>
    <t>S, M (an item from the hoard, see below)</t>
  </si>
  <si>
    <t>Will negates (and see below)</t>
  </si>
  <si>
    <t>The spell forces the target to believe that nothing in its hoard is missing or has been disturbed. This spell fools all the senses, convincing the target that its hoard feels and behaves as it should. Only if the target tries to use an item from this illusory hoard for some other purpose does it receive another saving throw to disbelieve the effects of the spell (a wizard trying to use an illusory wand or a dragon trying to unlock a door with an illusory key). For the purposes of this spell, a hoard is any amount of treasure that is too big to be carried by the treasure's owner without magical tools such as bags of holding or portable holes, such as a dragon's hoard, a king's treasury, a merchant's strongbox, or a thief's hidden cache. The material component is any item worth 10 gp or more taken from the original hoard. This item is consumed by the spell.</t>
  </si>
  <si>
    <t>&lt;p&gt;The spell forces the target to believe that nothing in its hoard is missing or has been disturbed. This spell fools all the senses, convincing the target that its hoard feels and behaves as it should. Only if the target tries to use an item from this illusory hoard for some other purpose does it receive another saving throw to disbelieve the effects of the spell (a wizard trying to use an illusory wand or a dragon trying to unlock a door with an illusory key). For the purposes of this spell, a hoard is any amount of treasure that is too big to be carried by the treasure's owner without magical tools such as &lt;i&gt;bags of holding&lt;/i&gt; or &lt;i&gt;portable holes&lt;/i&gt;, such as a dragon's hoard, a king's treasury, a merchant's strongbox, or a thief's hidden cache. The material component is any item worth 10 gp or more taken from the original hoard. This item is consumed by the spell.&lt;/p&gt;</t>
  </si>
  <si>
    <t>&lt;link rel="stylesheet"href="PF.css"&gt;&lt;div class="heading"&gt;&lt;p class="alignleft"&gt;Illusory Hoard&lt;/p&gt;&lt;div style="clear: both;"&gt;&lt;/div&gt;&lt;/div&gt;&lt;div&gt;&lt;h5&gt;&lt;b&gt;School &lt;/b&gt;illusion (phantasm) [mind-affecting]; &lt;b&gt;Level &lt;/b&gt;bard 4, sorcerer/wizard 5&lt;/h5&gt;&lt;/div&gt;&lt;hr/&gt;&lt;div&gt;&lt;h5&gt;&lt;b&gt;CASTING&lt;/b&gt;&lt;/h5&gt;&lt;/div&gt;&lt;hr/&gt;&lt;div&gt;&lt;h5&gt;&lt;b&gt;Casting Time &lt;/b&gt;1 standard action&lt;/h5&gt;&lt;h5&gt;&lt;b&gt;Components &lt;/b&gt;S, M (an item from the hoard, see below)&lt;/h5&gt;&lt;/div&gt;&lt;hr/&gt;&lt;div&gt;&lt;h5&gt;&lt;b&gt;EFFECT&lt;/b&gt;&lt;/h5&gt;&lt;/div&gt;&lt;hr/&gt;&lt;div&gt;&lt;h5&gt;&lt;b&gt;Range &lt;/b&gt;medium (100 ft. + 10 ft./level)&lt;/h5&gt;&lt;h5&gt;&lt;b&gt;Targets &lt;/b&gt;one creature&lt;/h5&gt;&lt;h5&gt;&lt;b&gt;Duration &lt;/b&gt;1 hour/level (D)&lt;/h5&gt;&lt;h5&gt;&lt;b&gt;Saving Throw &lt;/b&gt;Will negates (and see below); &lt;b&gt;Spell Resistance &lt;/b&gt;yes&lt;/h5&gt;&lt;/div&gt;&lt;hr/&gt;&lt;div&gt;&lt;h5&gt;&lt;b&gt;DESCRIPTION&lt;/b&gt;&lt;/h5&gt;&lt;/div&gt;&lt;hr/&gt;&lt;div&gt;&lt;h4&gt;&lt;p&gt;The spell forces the target to believe that nothing in its hoard is missing or has been disturbed. This spell fools all the senses, convincing the target that its hoard feels and behaves as it should. Only if the target tries to use an item from this illusory hoard for some other purpose does it receive another saving throw to disbelieve the effects of the spell (a wizard trying to use an illusory wand or a dragon trying to unlock a door with an illusory key). For the purposes of this spell, a hoard is any amount of treasure that is too big to be carried by the treasure's owner without magical tools such as &lt;i&gt;bags of holding&lt;/i&gt; or &lt;i&gt;portable holes&lt;/i&gt;, such as a dragon's hoard, a king's treasury, a merchant's strongbox, or a thief's hidden cache. The material component is any item worth 10 gp or more taken from the original hoard. This item is consumed by the spell.&lt;/p&gt;&lt;/h4&gt;&lt;/div&gt;</t>
  </si>
  <si>
    <t>Kreighton's Perusal</t>
  </si>
  <si>
    <t>bard 1, cleric/oracle 1, magus 1, sorcerer/wizard 1</t>
  </si>
  <si>
    <t>book touched</t>
  </si>
  <si>
    <t>You gain a brief but incomplete understanding of one book's contents, equivalent to having skimmed its pages for 1 hour. This insight is not sufficient to translate unknown languages, decipher codes, or memorize text, but it does allow the caster to learn what topics the book discusses- invaluable to a Pathfinder who must make a snap decision when performing research or deciding whether or not to abscond with a volume. In addition, you instantly benefit from any bonuses or effects the book would normally grant to anyone who reads it for 1 hour (such as the bonuses gained from reading volumes of the Pathfinder Chronicles; see pages 26-27).</t>
  </si>
  <si>
    <t>&lt;p&gt;You gain a brief but incomplete understanding of one book's contents, equivalent to having skimmed its pages for 1 hour. This insight is not sufficient to translate unknown languages, decipher codes, or memorize text, but it does allow the caster to learn what topics the book discusses- invaluable to a Pathfinder who must make a snap decision when performing research or deciding whether or not to abscond with a volume. In addition, you instantly benefit from any bonuses or effects the book would normally grant to anyone who reads it for 1 hour (such as the bonuses gained from reading volumes of the &lt;i&gt;Pathfinder Chronicles&lt;/i&gt;; see pages 26-27).&lt;/p&gt;</t>
  </si>
  <si>
    <t>Pathfinder Society Primer</t>
  </si>
  <si>
    <t>&lt;link rel="stylesheet"href="PF.css"&gt;&lt;div class="heading"&gt;&lt;p class="alignleft"&gt;Kreighton's Perusal&lt;/p&gt;&lt;div style="clear: both;"&gt;&lt;/div&gt;&lt;/div&gt;&lt;div&gt;&lt;h5&gt;&lt;b&gt;School &lt;/b&gt;divination; &lt;b&gt;Level &lt;/b&gt;bard 1, cleric/oracle 1, magus 1, sorcerer/wizard 1&lt;/h5&gt;&lt;/div&gt;&lt;hr/&gt;&lt;div&gt;&lt;h5&gt;&lt;b&gt;CASTING&lt;/b&gt;&lt;/h5&gt;&lt;/div&gt;&lt;hr/&gt;&lt;div&gt;&lt;h5&gt;&lt;b&gt;Casting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&lt;/b&gt;book touched&lt;/h5&gt;&lt;h5&gt;&lt;b&gt;Duration &lt;/b&gt;instantaneous&lt;/h5&gt;&lt;h5&gt;&lt;b&gt;Saving Throw &lt;/b&gt;Will negates (harmless, object); &lt;b&gt;Spell Resistance &lt;/b&gt;yes (harmless, object)&lt;/h5&gt;&lt;/div&gt;&lt;hr/&gt;&lt;div&gt;&lt;h5&gt;&lt;b&gt;DESCRIPTION&lt;/b&gt;&lt;/h5&gt;&lt;/div&gt;&lt;hr/&gt;&lt;div&gt;&lt;h4&gt;&lt;p&gt;You gain a brief but incomplete understanding of one book's contents, equivalent to having skimmed its pages for 1 hour. This insight is not sufficient to translate unknown languages, decipher codes, or memorize text, but it does allow the caster to learn what topics the book discusses- invaluable to a Pathfinder who must make a snap decision when performing research or deciding whether or not to abscond with a volume. In addition, you instantly benefit from any bonuses or effects the book would normally grant to anyone who reads it for 1 hour (such as the bonuses gained from reading volumes of the &lt;i&gt;Pathfinder Chronicles&lt;/i&gt;; see pages 26-27).&lt;/p&gt;&lt;/h4&gt;&lt;/div&gt;</t>
  </si>
  <si>
    <t>Page-Bound Epiphany</t>
  </si>
  <si>
    <t>bard 2, cleric/oracle 2, magus 2, sorcerer/wizard 2</t>
  </si>
  <si>
    <t>V, S, F (a book with blank pages)</t>
  </si>
  <si>
    <t>You magically scour the world's libraries for information that might refresh your memory about a topic. Upon casting this spell, the focus book's pages fill with snippets and selections from countless books. You can spend up to 1 round per caster level (maximum 10) reading these notes. You may cease reading at any time, and when you do you can immediately attempt one Knowledge check with a +1 circumstance bonus for each round you spent studying the book (maximum +10). The writing disappears when the spell ends, and if you fail to succeed at a Knowledge check on the round you stop reading the notes, you don't gain the benefits of this spell.</t>
  </si>
  <si>
    <t>&lt;p&gt;You magically scour the world's libraries for information that might refresh your memory about a topic. Upon casting this spell, the focus book's pages fill with snippets and selections from countless books. You can spend up to 1 round per caster level (maximum 10) reading these notes. You may cease reading at any time, and when you do you can immediately attempt one Knowledge check with a +1 circumstance bonus for each round you spent studying the book (maximum +10). The writing disappears when the spell ends, and if you fail to succeed at a Knowledge check on the round you stop reading the notes, you don't gain the benefits of this spell.&lt;/p&gt;</t>
  </si>
  <si>
    <t>&lt;link rel="stylesheet"href="PF.css"&gt;&lt;div class="heading"&gt;&lt;p class="alignleft"&gt;Page-Bound Epiphany&lt;/p&gt;&lt;div style="clear: both;"&gt;&lt;/div&gt;&lt;/div&gt;&lt;div&gt;&lt;h5&gt;&lt;b&gt;School &lt;/b&gt;divination; &lt;b&gt;Level &lt;/b&gt;bard 2, cleric/oracle 2, magus 2, sorcerer/wizard 2&lt;/h5&gt;&lt;/div&gt;&lt;hr/&gt;&lt;div&gt;&lt;h5&gt;&lt;b&gt;CASTING&lt;/b&gt;&lt;/h5&gt;&lt;/div&gt;&lt;hr/&gt;&lt;div&gt;&lt;h5&gt;&lt;b&gt;Casting Time &lt;/b&gt;1 round&lt;/h5&gt;&lt;h5&gt;&lt;b&gt;Components &lt;/b&gt;V, S, F (a book with blank pages)&lt;/h5&gt;&lt;/div&gt;&lt;hr/&gt;&lt;div&gt;&lt;h5&gt;&lt;b&gt;EFFECT&lt;/b&gt;&lt;/h5&gt;&lt;/div&gt;&lt;hr/&gt;&lt;div&gt;&lt;h5&gt;&lt;b&gt;Range &lt;/b&gt;personal&lt;/h5&gt;&lt;h5&gt;&lt;b&gt;Duration &lt;/b&gt;1 round/level (see text)&lt;/h5&gt;&lt;h5&gt;&lt;b&gt;Saving Throw &lt;/b&gt;none; &lt;b&gt;Spell Resistance &lt;/b&gt;no&lt;/h5&gt;&lt;/div&gt;&lt;hr/&gt;&lt;div&gt;&lt;h5&gt;&lt;b&gt;DESCRIPTION&lt;/b&gt;&lt;/h5&gt;&lt;/div&gt;&lt;hr/&gt;&lt;div&gt;&lt;h4&gt;&lt;p&gt;You magically scour the world's libraries for information that might refresh your memory about a topic. Upon casting this spell, the focus book's pages fill with snippets and selections from countless books. You can spend up to 1 round per caster level (maximum 10) reading these notes. You may cease reading at any time, and when you do you can immediately attempt one Knowledge check with a +1 circumstance bonus for each round you spent studying the book (maximum +10). The writing disappears when the spell ends, and if you fail to succeed at a Knowledge check on the round you stop reading the notes, you don't gain the benefits of this spell.&lt;/p&gt;&lt;/h4&gt;&lt;/div&gt;</t>
  </si>
  <si>
    <t>Collaborative Thaumaturgy</t>
  </si>
  <si>
    <t>bard 3, cleric/oracle 3, druid 3, magus 3, summoner 3, sorcerer/wizard 3, witch 3</t>
  </si>
  <si>
    <t>V, S, F (a bronze tuning fork)</t>
  </si>
  <si>
    <t>You tap into the magical resonance between you and your allies to enhance one another's magic. Cast this spell when an ally casts a spell at least 1 level lower than the highest-level spell she can cast. The ally casts her spell as if one of the following metamagic feats were applied to it without increasing the spell level or casting time: Enlarge Spell, Extend Spell, Silent Spell, or Still Spell. If the ally is the target of two collaborative thaumaturgy spells when casting a spell, the ally can instead apply the Empower Spell metamagic feat to a spell at least 2 levels lower than the highest-level spell she can cast. Finally, if the ally is the target of three collaborative thaumaturgy spells when casting a spell, she can instead apply the Maximize Spell or Widen Spell metamagic feat to a spell at least 3 levels lower than the highest-level spell she can cast. You can't target yourself with collaborative thaumaturgy.</t>
  </si>
  <si>
    <t>&lt;p&gt;You tap into the magical resonance between you and your allies to enhance one another's magic. Cast this spell when an ally casts a spell at least 1 level lower than the highest-level spell she can cast.&lt;/p&gt;&lt;p&gt;The ally casts her spell as if one of the following metamagic feats were applied to it without increasing the spell level or casting time: Enlarge Spell, Extend Spell, Silent Spell, or Still Spell. If the ally is the target of two &lt;i&gt;collaborative thaumaturgy&lt;/i&gt; spells when casting a spell, the ally can instead apply the Empower Spell metamagic feat to a spell at least 2 levels lower than the highest-level spell she can cast. Finally, if the ally is the target of three &lt;i&gt;collaborative thaumaturgy&lt;/i&gt; spells when casting a spell, she can instead apply the Maximize Spell or Widen Spell metamagic feat to a spell at least 3 levels lower than the highest-level spell she can cast. You can't target yourself with &lt;i&gt;collaborative thaumaturgy&lt;/i&gt;.&lt;/p&gt;</t>
  </si>
  <si>
    <t>&lt;link rel="stylesheet"href="PF.css"&gt;&lt;div class="heading"&gt;&lt;p class="alignleft"&gt;Collaborative Thaumaturgy&lt;/p&gt;&lt;div style="clear: both;"&gt;&lt;/div&gt;&lt;/div&gt;&lt;div&gt;&lt;h5&gt;&lt;b&gt;School &lt;/b&gt;universal; &lt;b&gt;Level &lt;/b&gt;bard 3, cleric/oracle 3, druid 3, magus 3, summoner 3, sorcerer/wizard 3, witch 3&lt;/h5&gt;&lt;/div&gt;&lt;hr/&gt;&lt;div&gt;&lt;h5&gt;&lt;b&gt;CASTING&lt;/b&gt;&lt;/h5&gt;&lt;/div&gt;&lt;hr/&gt;&lt;div&gt;&lt;h5&gt;&lt;b&gt;Casting Time &lt;/b&gt;1 immediate action&lt;/h5&gt;&lt;h5&gt;&lt;b&gt;Components &lt;/b&gt;V, S, F (a bronze tuning fork)&lt;/h5&gt;&lt;/div&gt;&lt;hr/&gt;&lt;div&gt;&lt;h5&gt;&lt;b&gt;EFFECT&lt;/b&gt;&lt;/h5&gt;&lt;/div&gt;&lt;hr/&gt;&lt;div&gt;&lt;h5&gt;&lt;b&gt;Range &lt;/b&gt;close (25 ft. + 5 ft./2 levels)&lt;/h5&gt;&lt;h5&gt;&lt;b&gt;Targets &lt;/b&gt;one creature&lt;/h5&gt;&lt;h5&gt;&lt;b&gt;Duration &lt;/b&gt;instantaneous&lt;/h5&gt;&lt;/div&gt;&lt;hr/&gt;&lt;div&gt;&lt;h5&gt;&lt;b&gt;DESCRIPTION&lt;/b&gt;&lt;/h5&gt;&lt;/div&gt;&lt;hr/&gt;&lt;div&gt;&lt;h4&gt;&lt;p&gt;You tap into the magical resonance between you and your allies to enhance one another's magic. Cast this spell when an ally casts a spell at least 1 level lower than the highest-level spell she can cast.&lt;/p&gt;&lt;p&gt;The ally casts her spell as if one of the following metamagic feats were applied to it without increasing the spell level or casting time: Enlarge Spell, Extend Spell, Silent Spell, or Still Spell. If the ally is the target of two &lt;i&gt;collaborative thaumaturgy&lt;/i&gt; spells when casting a spell, the ally can instead apply the Empower Spell metamagic feat to a spell at least 2 levels lower than the highest-level spell she can cast. Finally, if the ally is the target of three &lt;i&gt;collaborative thaumaturgy&lt;/i&gt; spells when casting a spell, she can instead apply the Maximize Spell or Widen Spell metamagic feat to a spell at least 3 levels lower than the highest-level spell she can cast. You can't target yourself with &lt;i&gt;collaborative thaumaturgy&lt;/i&gt;.&lt;/p&gt;&lt;/h4&gt;&lt;/div&gt;</t>
  </si>
  <si>
    <t>Sure Casting</t>
  </si>
  <si>
    <t>bard 1, cleric/oracle 1, inquisitor 1, sorcerer/wizard 1, witch 1</t>
  </si>
  <si>
    <t>V, F (a square of cloth and a needle)</t>
  </si>
  <si>
    <t>You gain temporary insight into your enemies' magical defenses. When you next cast a spell before the end of the next round, treat your caster level as 5 higher than normal for the purpose of overcoming spell resistance. This bonus doesn't increase any other effects that depend on caster level, such as the spell's damage or range, and affects only the first spell cast after sure casting.</t>
  </si>
  <si>
    <t>&lt;p&gt;You gain temporary insight into your enemies' magical defenses.&lt;/p&gt;&lt;p&gt;When you next cast a spell before the end of the next round, treat your caster level as 5 higher than normal for the purpose of overcoming spell resistance. This bonus doesn't increase any other effects that depend on caster level, such as the spell's damage or range, and affects only the first spell cast after &lt;i&gt;sure casting&lt;/i&gt;.&lt;/p&gt;</t>
  </si>
  <si>
    <t>&lt;link rel="stylesheet"href="PF.css"&gt;&lt;div class="heading"&gt;&lt;p class="alignleft"&gt;Sure Casting&lt;/p&gt;&lt;div style="clear: both;"&gt;&lt;/div&gt;&lt;/div&gt;&lt;div&gt;&lt;h5&gt;&lt;b&gt;School &lt;/b&gt;divination; &lt;b&gt;Level &lt;/b&gt;bard 1, cleric/oracle 1, inquisitor 1, sorcerer/wizard 1, witch 1&lt;/h5&gt;&lt;/div&gt;&lt;hr/&gt;&lt;div&gt;&lt;h5&gt;&lt;b&gt;CASTING&lt;/b&gt;&lt;/h5&gt;&lt;/div&gt;&lt;hr/&gt;&lt;div&gt;&lt;h5&gt;&lt;b&gt;Casting Time &lt;/b&gt;1 standard action&lt;/h5&gt;&lt;h5&gt;&lt;b&gt;Components &lt;/b&gt;V, F (a square of cloth and a needle)&lt;/h5&gt;&lt;/div&gt;&lt;hr/&gt;&lt;div&gt;&lt;h5&gt;&lt;b&gt;EFFECT&lt;/b&gt;&lt;/h5&gt;&lt;/div&gt;&lt;hr/&gt;&lt;div&gt;&lt;h5&gt;&lt;b&gt;Range &lt;/b&gt;personal&lt;/h5&gt;&lt;h5&gt;&lt;b&gt;Targets &lt;/b&gt;you&lt;/h5&gt;&lt;h5&gt;&lt;b&gt;Duration &lt;/b&gt;1 round (see text)&lt;/h5&gt;&lt;/div&gt;&lt;hr/&gt;&lt;div&gt;&lt;h5&gt;&lt;b&gt;DESCRIPTION&lt;/b&gt;&lt;/h5&gt;&lt;/div&gt;&lt;hr/&gt;&lt;div&gt;&lt;h4&gt;&lt;p&gt;You gain temporary insight into your enemies' magical defenses.&lt;/p&gt;&lt;p&gt;When you next cast a spell before the end of the next round, treat your caster level as 5 higher than normal for the purpose of overcoming spell resistance. This bonus doesn't increase any other effects that depend on caster level, such as the spell's damage or range, and affects only the first spell cast after &lt;i&gt;sure casting&lt;/i&gt;.&lt;/p&gt;&lt;/h4&gt;&lt;/div&gt;</t>
  </si>
  <si>
    <t>Cauterizing Weapon</t>
  </si>
  <si>
    <t>bard 2, magus 2, ranger 2, sorcerer/wizard 3</t>
  </si>
  <si>
    <t>V, S, M (a gobbet of melted wax)</t>
  </si>
  <si>
    <t>You infuse a weapon with faint but pernicious energy that stymies accelerated healing. Damage dealt by the weapon or ammunition is treated as acid, cold, electricity, and fire, but only for the purpose of negating a creature's regeneration. The weapon is also treated as silver and cold iron at 8th level and is treated as chaotic, evil, good, and lawful at 11th level for the purpose of negating regeneration.</t>
  </si>
  <si>
    <t>&lt;p&gt;You infuse a weapon with faint but pernicious energy that stymies accelerated healing. Damage dealt by the weapon or ammunition is treated as acid, cold, electricity, and fire, but only for the purpose of negating a creature's regeneration. The weapon is also treated as silver and cold iron at 8th level and is treated as chaotic, evil, good, and lawful at 11th level for the purpose of negating regeneration.&lt;/p&gt;</t>
  </si>
  <si>
    <t>&lt;link rel="stylesheet"href="PF.css"&gt;&lt;div class="heading"&gt;&lt;p class="alignleft"&gt;Cauterizing Weapon&lt;/p&gt;&lt;div style="clear: both;"&gt;&lt;/div&gt;&lt;/div&gt;&lt;div&gt;&lt;h5&gt;&lt;b&gt;School &lt;/b&gt;transmutation; &lt;b&gt;Level &lt;/b&gt;bard 2, magus 2, ranger 2, sorcerer/wizard 3&lt;/h5&gt;&lt;/div&gt;&lt;hr/&gt;&lt;div&gt;&lt;h5&gt;&lt;b&gt;CASTING&lt;/b&gt;&lt;/h5&gt;&lt;/div&gt;&lt;hr/&gt;&lt;div&gt;&lt;h5&gt;&lt;b&gt;Casting Time &lt;/b&gt;1 standard action&lt;/h5&gt;&lt;h5&gt;&lt;b&gt;Components &lt;/b&gt;V, S, M (a gobbet of melted wax)&lt;/h5&gt;&lt;/div&gt;&lt;hr/&gt;&lt;div&gt;&lt;h5&gt;&lt;b&gt;EFFECT&lt;/b&gt;&lt;/h5&gt;&lt;/div&gt;&lt;hr/&gt;&lt;div&gt;&lt;h5&gt;&lt;b&gt;Range &lt;/b&gt;close (25 ft. + 5 ft./2 levels)&lt;/h5&gt;&lt;h5&gt;&lt;b&gt;Targets &lt;/b&gt;one weapon or 50 projectiles, all of which must be together at the time of casting&lt;/h5&gt;&lt;h5&gt;&lt;b&gt;Duration &lt;/b&gt;1 minute/level&lt;/h5&gt;&lt;h5&gt;&lt;b&gt;Saving Throw &lt;/b&gt;Will negates (harmless, object); &lt;b&gt;Spell Resistance &lt;/b&gt;yes (harmless, object)&lt;/h5&gt;&lt;/div&gt;&lt;hr/&gt;&lt;div&gt;&lt;h5&gt;&lt;b&gt;DESCRIPTION&lt;/b&gt;&lt;/h5&gt;&lt;/div&gt;&lt;hr/&gt;&lt;div&gt;&lt;h4&gt;&lt;p&gt;You infuse a weapon with faint but pernicious energy that stymies accelerated healing. Damage dealt by the weapon or ammunition is treated as acid, cold, electricity, and fire, but only for the purpose of negating a creature's regeneration. The weapon is also treated as silver and cold iron at 8th level and is treated as chaotic, evil, good, and lawful at 11th level for the purpose of negating regeneration.&lt;/p&gt;&lt;/h4&gt;&lt;/div&gt;</t>
  </si>
  <si>
    <t>Tactical Miscalculation</t>
  </si>
  <si>
    <t>bard 2, inquisitor 2, ranger 2</t>
  </si>
  <si>
    <t>The target becomes fixated on avoiding damage and fails to spot even the most opportune moments to attack. Whenever a creature the target threatens would provoke an attack of opportunity from the target, the target must succeed at a Will save or be unable to make the attack of opportunity against that creature.</t>
  </si>
  <si>
    <t>&lt;p&gt;The target becomes fixated on avoiding damage and fails to spot even the most opportune moments to attack. Whenever a creature the target threatens would provoke an attack of opportunity from the target, the target must succeed at a Will save or be unable to make the attack of opportunity against that creature.&lt;/p&gt;</t>
  </si>
  <si>
    <t>&lt;link rel="stylesheet"href="PF.css"&gt;&lt;div class="heading"&gt;&lt;p class="alignleft"&gt;Tactical Miscalculation&lt;/p&gt;&lt;div style="clear: both;"&gt;&lt;/div&gt;&lt;/div&gt;&lt;div&gt;&lt;h5&gt;&lt;b&gt;School &lt;/b&gt;enchantment (compulsion) [emotion, mind-affecting]; &lt;b&gt;Level &lt;/b&gt;bard 2, inquisitor 2, ranger 2&lt;/h5&gt;&lt;/div&gt;&lt;hr/&gt;&lt;div&gt;&lt;h5&gt;&lt;b&gt;CASTING&lt;/b&gt;&lt;/h5&gt;&lt;/div&gt;&lt;hr/&gt;&lt;div&gt;&lt;h5&gt;&lt;b&gt;Casting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&lt;/b&gt;1 round/level&lt;/h5&gt;&lt;h5&gt;&lt;b&gt;Saving Throw &lt;/b&gt;see text; &lt;b&gt;Spell Resistance &lt;/b&gt;yes&lt;/h5&gt;&lt;/div&gt;&lt;hr/&gt;&lt;div&gt;&lt;h5&gt;&lt;b&gt;DESCRIPTION&lt;/b&gt;&lt;/h5&gt;&lt;/div&gt;&lt;hr/&gt;&lt;div&gt;&lt;h4&gt;&lt;p&gt;The target becomes fixated on avoiding damage and fails to spot even the most opportune moments to attack. Whenever a creature the target threatens would provoke an attack of opportunity from the target, the target must succeed at a Will save or be unable to make the attack of opportunity against that creature.&lt;/p&gt;&lt;/h4&gt;&lt;/div&gt;</t>
  </si>
  <si>
    <t>Wall Of Light</t>
  </si>
  <si>
    <t>10-ft.-high vertical sheet of light up to 5 ft. long/level</t>
  </si>
  <si>
    <t>An immobile, blinding curtain of white light that blocks line of sight springs into existence. The wall sheds bright light to a range of 60 feet in all directions. A creature adjacent to the wall is blinded as long as it remains adjacent plus an additional 1d4 rounds thereafter-closing its eyes or succeeding at a Fortitude save negates the effect for 1 round. A creature that passes through the wall is automatically blinded, even if its eyes are closed. A creature from the Plane of Shadow gains 1d4 negative levels each round it spends within 5 feet of the wall (Fortitude negates). Passing through the wall imposes a -4 penalty on the save for that round. Twenty-four hours after gaining these negative levels, the subject must attempt a new Fortitude saving throw for each negative level. If a save succeeds, 1 negative level is removed. If it fails, the negative level becomes permanent. Wall of light can be made permanent with permanency (with a minimum caster level of 13th and cost of 11,000 gp).</t>
  </si>
  <si>
    <t>&lt;p&gt;An immobile, blinding curtain of white light that blocks line of sight springs into existence. The wall sheds bright light to a range of 60 feet in all directions. A creature adjacent to the wall is blinded as long as it remains adjacent plus an additional 1d4 rounds thereafter-closing its eyes or succeeding at a Fortitude save negates the effect for 1 round. A creature that passes through the wall is automatically blinded, even if its eyes are closed. A creature from the Plane of Shadow gains 1d4 negative levels each round it spends within 5 feet of the wall (Fortitude negates). Passing through the wall imposes a -4 penalty on the save for that round. Twenty-four hours after gaining these negative levels, the subject must attempt a new Fortitude saving throw for each negative level. If a save succeeds, 1 negative level is removed. If it fails, the negative level becomes permanent. &lt;i&gt;Wall of light&lt;/i&gt; can be made permanent with &lt;i&gt;permanency&lt;/i&gt; (with a minimum caster level of 13th and cost of 11,000 gp).&lt;/p&gt;</t>
  </si>
  <si>
    <t>The Dragon's Demand</t>
  </si>
  <si>
    <t>&lt;link rel="stylesheet"href="PF.css"&gt;&lt;div class="heading"&gt;&lt;p class="alignleft"&gt;Wall Of Light&lt;/p&gt;&lt;div style="clear: both;"&gt;&lt;/div&gt;&lt;/div&gt;&lt;div&gt;&lt;h5&gt;&lt;b&gt;School &lt;/b&gt;evocation [light]; &lt;b&gt;Level &lt;/b&gt;druid 5, sorcerer/wizard 5&lt;/h5&gt;&lt;/div&gt;&lt;hr/&gt;&lt;div&gt;&lt;h5&gt;&lt;b&gt;CASTING&lt;/b&gt;&lt;/h5&gt;&lt;/div&gt;&lt;hr/&gt;&lt;div&gt;&lt;h5&gt;&lt;b&gt;Casting Time &lt;/b&gt;1 standard action&lt;/h5&gt;&lt;h5&gt;&lt;b&gt;Components &lt;/b&gt;V, S, M/DF (a chip of mica)&lt;/h5&gt;&lt;/div&gt;&lt;hr/&gt;&lt;div&gt;&lt;h5&gt;&lt;b&gt;EFFECT&lt;/b&gt;&lt;/h5&gt;&lt;/div&gt;&lt;hr/&gt;&lt;div&gt;&lt;h5&gt;&lt;b&gt;Range &lt;/b&gt;medium (100 ft. + 10 ft./level)&lt;/h5&gt;&lt;h5&gt;&lt;b&gt;Effect &lt;/b&gt;10-ft.-high vertical sheet of light up to 5 ft. long/level&lt;/h5&gt;&lt;h5&gt;&lt;b&gt;Duration &lt;/b&gt;1 minute/level (D)&lt;/h5&gt;&lt;h5&gt;&lt;b&gt;Saving Throw &lt;/b&gt;Fortitude partial, see text; &lt;b&gt;Spell Resistance &lt;/b&gt;yes&lt;/h5&gt;&lt;/div&gt;&lt;hr/&gt;&lt;div&gt;&lt;h5&gt;&lt;b&gt;DESCRIPTION&lt;/b&gt;&lt;/h5&gt;&lt;/div&gt;&lt;hr/&gt;&lt;div&gt;&lt;h4&gt;&lt;p&gt;An immobile, blinding curtain of white light that blocks line of sight springs into existence. The wall sheds bright light to a range of 60 feet in all directions. A creature adjacent to the wall is blinded as long as it remains adjacent plus an additional 1d4 rounds thereafter-closing its eyes or succeeding at a Fortitude save negates the effect for 1 round. A creature that passes through the wall is automatically blinded, even if its eyes are closed. A creature from the Plane of Shadow gains 1d4 negative levels each round it spends within 5 feet of the wall (Fortitude negates). Passing through the wall imposes a -4 penalty on the save for that round. Twenty-four hours after gaining these negative levels, the subject must attempt a new Fortitude saving throw for each negative level. If a save succeeds, 1 negative level is removed. If it fails, the negative level becomes permanent. &lt;i&gt;Wall of light&lt;/i&gt; can be made permanent with &lt;i&gt;permanency&lt;/i&gt; (with a minimum caster level of 13th and cost of 11,000 gp).&lt;/p&gt;&lt;/h4&gt;&lt;/div&gt;</t>
  </si>
  <si>
    <t>Blood Song</t>
  </si>
  <si>
    <t>2 minutes</t>
  </si>
  <si>
    <t>V, S, M (the caster's blood)</t>
  </si>
  <si>
    <t>1 day or until discharged (D)</t>
  </si>
  <si>
    <t>This spell functions as imbue with spell ability, with the following exceptions: only bard spells of the conjuration (healing), enchantment, and transmutation schools can be transferred; the imbued spells last for 1 day; and the subject isn't beholden to any principles regarding the imbued spells' use. As part of the casting, the caster must shed some of his blood (or an equivalent humor). If the caster isn't susceptible to bleed damage, regardless of the reason, he can't cast blood song. For each spell that is imbued using blood song, the caster loses 5 hit points, which can't be regained by any means until the spell ends or is discharged.</t>
  </si>
  <si>
    <t>&lt;p&gt;This spell functions as &lt;i&gt;imbue with spell ability&lt;/i&gt;, with the following exceptions: only bard spells of the conjuration (healing), enchantment, and transmutation schools can be transferred; the imbued spells last for 1 day; and the subject isn't beholden to any principles regarding the imbued spells' use. As part of the casting, the caster must shed some of his blood (or an equivalent humor). If the caster isn't susceptible to bleed damage, regardless of the reason, he can't cast &lt;i&gt;blood song&lt;/i&gt;. For each spell that is imbued using &lt;i&gt;blood song&lt;/i&gt;, the caster loses 5 hit points, which can't be regained by any means until the spell ends or is discharged.&lt;/p&gt;</t>
  </si>
  <si>
    <t>Faiths &amp; Philosophies</t>
  </si>
  <si>
    <t>&lt;link rel="stylesheet"href="PF.css"&gt;&lt;div class="heading"&gt;&lt;p class="alignleft"&gt;Blood Song&lt;/p&gt;&lt;div style="clear: both;"&gt;&lt;/div&gt;&lt;/div&gt;&lt;div&gt;&lt;h5&gt;&lt;b&gt;School &lt;/b&gt;evocation; &lt;b&gt;Level &lt;/b&gt;bard 4&lt;/h5&gt;&lt;/div&gt;&lt;hr/&gt;&lt;div&gt;&lt;h5&gt;&lt;b&gt;CASTING&lt;/b&gt;&lt;/h5&gt;&lt;/div&gt;&lt;hr/&gt;&lt;div&gt;&lt;h5&gt;&lt;b&gt;Casting Time &lt;/b&gt;2 minutes&lt;/h5&gt;&lt;h5&gt;&lt;b&gt;Components &lt;/b&gt;V, S, M (the caster's blood)&lt;/h5&gt;&lt;/div&gt;&lt;hr/&gt;&lt;div&gt;&lt;h5&gt;&lt;b&gt;EFFECT&lt;/b&gt;&lt;/h5&gt;&lt;/div&gt;&lt;hr/&gt;&lt;div&gt;&lt;h5&gt;&lt;b&gt;Range &lt;/b&gt;touch&lt;/h5&gt;&lt;h5&gt;&lt;b&gt;Targets &lt;/b&gt;creature touched; see text&lt;/h5&gt;&lt;h5&gt;&lt;b&gt;Duration &lt;/b&gt;1 day or until discharged (D)&lt;/h5&gt;&lt;h5&gt;&lt;b&gt;Saving Throw &lt;/b&gt;Will negates (harmless); &lt;b&gt;Spell Resistance &lt;/b&gt;yes (harmless)&lt;/h5&gt;&lt;/div&gt;&lt;hr/&gt;&lt;div&gt;&lt;h5&gt;&lt;b&gt;DESCRIPTION&lt;/b&gt;&lt;/h5&gt;&lt;/div&gt;&lt;hr/&gt;&lt;div&gt;&lt;h4&gt;&lt;p&gt;This spell functions as &lt;i&gt;imbue with spell ability&lt;/i&gt;, with the following exceptions: only bard spells of the conjuration (healing), enchantment, and transmutation schools can be transferred; the imbued spells last for 1 day; and the subject isn't beholden to any principles regarding the imbued spells' use. As part of the casting, the caster must shed some of his blood (or an equivalent humor). If the caster isn't susceptible to bleed damage, regardless of the reason, he can't cast &lt;i&gt;blood song&lt;/i&gt;. For each spell that is imbued using &lt;i&gt;blood song&lt;/i&gt;, the caster loses 5 hit points, which can't be regained by any means until the spell ends or is discharged.&lt;/p&gt;&lt;/h4&gt;&lt;/div&gt;</t>
  </si>
  <si>
    <t>Hallucinogenic Smoke</t>
  </si>
  <si>
    <t>cleric/oracle 4, witch 4</t>
  </si>
  <si>
    <t>S, M (tobacco leaves, ingested)</t>
  </si>
  <si>
    <t>3 rounds/level or until discharged; see text</t>
  </si>
  <si>
    <t>Dark gray smoke seeps from your eyes, ears, and mouth for the spell's duration, though the smoke doesn't significantly hamper your vision. Upon casting the spell, you may immediately exhale the smoke in a 30-foot cone or do so in a later round as a standard action, ending the spell. Each living creature caught within the cone must succeed at a Fortitude save or be nauseated for 1 round per caster level as it is wracked with waves of nausea and disorienting visions. If it succeeds at its Fortitude save, the creature is instead sickened for 1d4 rounds. If you don't expel the smoke by the end of the spell's duration, you suffer the spell's effects instead. If you cast augury during the duration of hallucinogenic smoke, treat your caster level as 5 higher when determining the chance for a meaningful reply. Additionally, you know whether a result of "nothing" resulted from a failed or successful augury.</t>
  </si>
  <si>
    <t>&lt;p&gt;Dark gray smoke seeps from your eyes, ears, and mouth for the spell's duration, though the smoke doesn't significantly hamper your vision. Upon casting the spell, you may immediately exhale the smoke in a 30-foot cone or do so in a later round as a standard action, ending the spell. Each living creature caught within the cone must succeed at a Fortitude save or be nauseated for 1 round per caster level as it is wracked with waves of nausea and disorienting visions. If it succeeds at its Fortitude save, the creature is instead sickened for 1d4 rounds. If you don't expel the smoke by the end of the spell's duration, you suffer the spell's effects instead. If you cast &lt;i&gt;augury&lt;/i&gt; during the duration of &lt;i&gt;hallucinogenic smoke&lt;/i&gt;, treat your caster level as 5 higher when determining the chance for a meaningful reply. Additionally, you know whether a result of "nothing" resulted from a failed or successful &lt;i&gt;augury&lt;/i&gt;.&lt;/p&gt;</t>
  </si>
  <si>
    <t>&lt;link rel="stylesheet"href="PF.css"&gt;&lt;div class="heading"&gt;&lt;p class="alignleft"&gt;Hallucinogenic Smoke&lt;/p&gt;&lt;div style="clear: both;"&gt;&lt;/div&gt;&lt;/div&gt;&lt;div&gt;&lt;h5&gt;&lt;b&gt;School &lt;/b&gt;conjuration [poison]; &lt;b&gt;Level &lt;/b&gt;cleric/oracle 4, witch 4&lt;/h5&gt;&lt;/div&gt;&lt;hr/&gt;&lt;div&gt;&lt;h5&gt;&lt;b&gt;CASTING&lt;/b&gt;&lt;/h5&gt;&lt;/div&gt;&lt;hr/&gt;&lt;div&gt;&lt;h5&gt;&lt;b&gt;Casting Time &lt;/b&gt;1 standard action&lt;/h5&gt;&lt;h5&gt;&lt;b&gt;Components &lt;/b&gt;S, M (tobacco leaves, ingested)&lt;/h5&gt;&lt;/div&gt;&lt;hr/&gt;&lt;div&gt;&lt;h5&gt;&lt;b&gt;EFFECT&lt;/b&gt;&lt;/h5&gt;&lt;/div&gt;&lt;hr/&gt;&lt;div&gt;&lt;h5&gt;&lt;b&gt;Range &lt;/b&gt;personal&lt;/h5&gt;&lt;h5&gt;&lt;b&gt;Targets &lt;/b&gt;you&lt;/h5&gt;&lt;h5&gt;&lt;b&gt;Duration &lt;/b&gt;3 rounds/level or until discharged; see text&lt;/h5&gt;&lt;h5&gt;&lt;b&gt;Saving Throw &lt;/b&gt;Fortitude partial; &lt;b&gt;Spell Resistance &lt;/b&gt;yes&lt;/h5&gt;&lt;/div&gt;&lt;hr/&gt;&lt;div&gt;&lt;h5&gt;&lt;b&gt;DESCRIPTION&lt;/b&gt;&lt;/h5&gt;&lt;/div&gt;&lt;hr/&gt;&lt;div&gt;&lt;h4&gt;&lt;p&gt;Dark gray smoke seeps from your eyes, ears, and mouth for the spell's duration, though the smoke doesn't significantly hamper your vision. Upon casting the spell, you may immediately exhale the smoke in a 30-foot cone or do so in a later round as a standard action, ending the spell. Each living creature caught within the cone must succeed at a Fortitude save or be nauseated for 1 round per caster level as it is wracked with waves of nausea and disorienting visions. If it succeeds at its Fortitude save, the creature is instead sickened for 1d4 rounds. If you don't expel the smoke by the end of the spell's duration, you suffer the spell's effects instead. If you cast &lt;i&gt;augury&lt;/i&gt; during the duration of &lt;i&gt;hallucinogenic smoke&lt;/i&gt;, treat your caster level as 5 higher when determining the chance for a meaningful reply. Additionally, you know whether a result of "nothing" resulted from a failed or successful &lt;i&gt;augury&lt;/i&gt;.&lt;/p&gt;&lt;/h4&gt;&lt;/div&gt;</t>
  </si>
  <si>
    <t>Jungle Mind</t>
  </si>
  <si>
    <t>druid 5, oracle 5, ranger 4</t>
  </si>
  <si>
    <t>You merge your mind into the jungle's social hierarchy, mystically establishing yourself as a master of wild beasts and an apex predator. You attain knowledge about the general animal population in a radius of 1 mile as commune with nature, and you then select one type of animal (such as birds, cats, snakes, or fish). For the duration of the spell, you can sense the location, movement, and size of creatures of this type in the area, though you can't discern species or individual identity. In addition, you improve the starting attitude of animals of the chosen type by one step for the duration of the spell. As a full-round action, you may focus on a single animal that you can sense with this spell to establish a mental link. You can read the animal's surface thoughts as detect thoughts, and can see, hear, and smell what the animal is experiencing using your own Perception skill. If you target another creature's animal companion, the spell ends if the animal succeeds at a Will save. Using this ability reduces the spell's remaining duration to 1 round/level, and the selected animal is treated as the scrying sensor. Despite the name, jungle mind functions within any terrain.</t>
  </si>
  <si>
    <t>&lt;p&gt;You merge your mind into the jungle's social hierarchy, mystically establishing yourself as a master of wild beasts and an apex predator. You attain knowledge about the general animal population in a radius of 1 mile as &lt;i&gt;commune with nature&lt;/i&gt;, and you then select one type of animal (such as birds, cats, snakes, or fish). For the duration of the spell, you can sense the location, movement, and size of creatures of this type in the area, though you can't discern species or individual identity. In addition, you improve the starting attitude of animals of the chosen type by one step for the duration of the spell. As a full-round action, you may focus on a single animal that you can sense with this spell to establish a mental link. You can read the animal's surface thoughts as &lt;i&gt;detect thoughts&lt;/i&gt;, and can see, hear, and smell what the animal is experiencing using your own Perception skill. If you target another creature's animal companion, the spell ends if the animal succeeds at a Will save. Using this ability reduces the spell's remaining duration to 1 round/level, and the selected animal is treated as the scrying sensor. Despite the name, &lt;i&gt;jungle mind&lt;/i&gt; functions within any terrain.&lt;/p&gt;</t>
  </si>
  <si>
    <t>&lt;link rel="stylesheet"href="PF.css"&gt;&lt;div class="heading"&gt;&lt;p class="alignleft"&gt;Jungle Mind&lt;/p&gt;&lt;div style="clear: both;"&gt;&lt;/div&gt;&lt;/div&gt;&lt;div&gt;&lt;h5&gt;&lt;b&gt;School &lt;/b&gt;divination (scrying); &lt;b&gt;Level &lt;/b&gt;druid 5, oracle 5, ranger 4&lt;/h5&gt;&lt;/div&gt;&lt;hr/&gt;&lt;div&gt;&lt;h5&gt;&lt;b&gt;CASTING&lt;/b&gt;&lt;/h5&gt;&lt;/div&gt;&lt;hr/&gt;&lt;div&gt;&lt;h5&gt;&lt;b&gt;Casting Time &lt;/b&gt;1 minute&lt;/h5&gt;&lt;h5&gt;&lt;b&gt;Components &lt;/b&gt;V, S, DF&lt;/h5&gt;&lt;/div&gt;&lt;hr/&gt;&lt;div&gt;&lt;h5&gt;&lt;b&gt;EFFECT&lt;/b&gt;&lt;/h5&gt;&lt;/div&gt;&lt;hr/&gt;&lt;div&gt;&lt;h5&gt;&lt;b&gt;Range &lt;/b&gt;personal&lt;/h5&gt;&lt;h5&gt;&lt;b&gt;Targets &lt;/b&gt;you&lt;/h5&gt;&lt;h5&gt;&lt;b&gt;Duration &lt;/b&gt;10 minutes/level&lt;/h5&gt;&lt;h5&gt;&lt;b&gt;Saving Throw &lt;/b&gt;Will negates (see text); &lt;b&gt;Spell Resistance &lt;/b&gt;no&lt;/h5&gt;&lt;/div&gt;&lt;hr/&gt;&lt;div&gt;&lt;h5&gt;&lt;b&gt;DESCRIPTION&lt;/b&gt;&lt;/h5&gt;&lt;/div&gt;&lt;hr/&gt;&lt;div&gt;&lt;h4&gt;&lt;p&gt;You merge your mind into the jungle's social hierarchy, mystically establishing yourself as a master of wild beasts and an apex predator. You attain knowledge about the general animal population in a radius of 1 mile as &lt;i&gt;commune with nature&lt;/i&gt;, and you then select one type of animal (such as birds, cats, snakes, or fish). For the duration of the spell, you can sense the location, movement, and size of creatures of this type in the area, though you can't discern species or individual identity. In addition, you improve the starting attitude of animals of the chosen type by one step for the duration of the spell. As a full-round action, you may focus on a single animal that you can sense with this spell to establish a mental link. You can read the animal's surface thoughts as &lt;i&gt;detect thoughts&lt;/i&gt;, and can see, hear, and smell what the animal is experiencing using your own Perception skill. If you target another creature's animal companion, the spell ends if the animal succeeds at a Will save. Using this ability reduces the spell's remaining duration to 1 round/level, and the selected animal is treated as the scrying sensor. Despite the name, &lt;i&gt;jungle mind&lt;/i&gt; functions within any terrain.&lt;/p&gt;&lt;/h4&gt;&lt;/div&gt;</t>
  </si>
  <si>
    <t>Lay Of The Land</t>
  </si>
  <si>
    <t>cleric/oracle 2, bard 2, druid 2, ranger 2, witch 2</t>
  </si>
  <si>
    <t>V, S, M (a piece of soil from the land to be memorized)</t>
  </si>
  <si>
    <t>In a flash of recognition, you learn about the geography of your surroundings within a radius of 1 mile per 2 caster levels (minimum 1 mile). This instant familiarity grants you an insight bonus equal to your caster level (maximum +5) on Knowledge (geography) checks and Survival checks to avoid getting lost so long as you remain in the affected area. Additionally, for the duration of the spell you can make Knowledge (geography) checks regarding the affected area as though you were trained in that skill.</t>
  </si>
  <si>
    <t>&lt;p&gt;In a flash of recognition, you learn about the geography of your surroundings within a radius of 1 mile per 2 caster levels (minimum 1 mile). This instant familiarity grants you an insight bonus equal to your caster level (maximum +5) on Knowledge (geography) checks and Survival checks to avoid getting lost so long as you remain in the affected area. Additionally, for the duration of the spell you can make Knowledge (geography) checks regarding the affected area as though you were trained in that skill.&lt;/p&gt;</t>
  </si>
  <si>
    <t>&lt;link rel="stylesheet"href="PF.css"&gt;&lt;div class="heading"&gt;&lt;p class="alignleft"&gt;Lay Of The Land&lt;/p&gt;&lt;div style="clear: both;"&gt;&lt;/div&gt;&lt;/div&gt;&lt;div&gt;&lt;h5&gt;&lt;b&gt;School &lt;/b&gt;divination; &lt;b&gt;Level &lt;/b&gt;cleric/oracle 2, bard 2, druid 2, ranger 2, witch 2&lt;/h5&gt;&lt;/div&gt;&lt;hr/&gt;&lt;div&gt;&lt;h5&gt;&lt;b&gt;CASTING&lt;/b&gt;&lt;/h5&gt;&lt;/div&gt;&lt;hr/&gt;&lt;div&gt;&lt;h5&gt;&lt;b&gt;Casting Time &lt;/b&gt;1 minute&lt;/h5&gt;&lt;h5&gt;&lt;b&gt;Components &lt;/b&gt;V, S, M (a piece of soil from the land to be memorized)&lt;/h5&gt;&lt;/div&gt;&lt;hr/&gt;&lt;div&gt;&lt;h5&gt;&lt;b&gt;EFFECT&lt;/b&gt;&lt;/h5&gt;&lt;/div&gt;&lt;hr/&gt;&lt;div&gt;&lt;h5&gt;&lt;b&gt;Range &lt;/b&gt;personal&lt;/h5&gt;&lt;h5&gt;&lt;b&gt;Targets &lt;/b&gt;you&lt;/h5&gt;&lt;h5&gt;&lt;b&gt;Duration &lt;/b&gt;1 day&lt;/h5&gt;&lt;h5&gt;&lt;b&gt;Saving Throw &lt;/b&gt;none; &lt;b&gt;Spell Resistance &lt;/b&gt;yes&lt;/h5&gt;&lt;/div&gt;&lt;hr/&gt;&lt;div&gt;&lt;h5&gt;&lt;b&gt;DESCRIPTION&lt;/b&gt;&lt;/h5&gt;&lt;/div&gt;&lt;hr/&gt;&lt;div&gt;&lt;h4&gt;&lt;p&gt;In a flash of recognition, you learn about the geography of your surroundings within a radius of 1 mile per 2 caster levels (minimum 1 mile). This instant familiarity grants you an insight bonus equal to your caster level (maximum +5) on Knowledge (geography) checks and Survival checks to avoid getting lost so long as you remain in the affected area. Additionally, for the duration of the spell you can make Knowledge (geography) checks regarding the affected area as though you were trained in that skill.&lt;/p&gt;&lt;/h4&gt;&lt;/div&gt;</t>
  </si>
  <si>
    <t>Source Severance</t>
  </si>
  <si>
    <t>cleric/oracle 6, druid 6, witch 6</t>
  </si>
  <si>
    <t>V, S, M (an unworked lodestone)</t>
  </si>
  <si>
    <t>5-ft.-radius emanation, centered on you</t>
  </si>
  <si>
    <t>You create an invisible barrier that surrounds you and moves with you, inhibiting one category of magic. When you cast this spell, choose either arcane or divine magic. This spell functions like antimagic field, but it suppresses only spells of the chosen type and supernatural and spell-like class abilities from classes that grant spellcasting of the selected type. Magic items, other spell-like abilities, and other supernatural abilities are unaffected. While this spell is in effect, you must succeed at a concentration check (DC 20 + twice the spell level) to cast any spell, whether arcane or divine. If you fail at the check, you lose the spell as if you had cast it to no effect.</t>
  </si>
  <si>
    <t>&lt;p&gt;You create an invisible barrier that surrounds you and moves with you, inhibiting one category of magic. When you cast this spell, choose either arcane or divine magic. This spell functions like &lt;i&gt;antimagic field&lt;/i&gt;, but it suppresses only spells of the chosen type and supernatural and spell-like class abilities from classes that grant spellcasting of the selected type. Magic items, other spell-like abilities, and other supernatural abilities are unaffected. While this spell is in effect, you must succeed at a concentration check (DC 20 + twice the spell level) to cast any spell, whether arcane or divine. If you fail at the check, you lose the spell as if you had cast it to no effect.&lt;/p&gt;</t>
  </si>
  <si>
    <t>&lt;link rel="stylesheet"href="PF.css"&gt;&lt;div class="heading"&gt;&lt;p class="alignleft"&gt;Source Severance&lt;/p&gt;&lt;div style="clear: both;"&gt;&lt;/div&gt;&lt;/div&gt;&lt;div&gt;&lt;h5&gt;&lt;b&gt;School &lt;/b&gt;abjuration; &lt;b&gt;Level &lt;/b&gt;cleric/oracle 6, druid 6, witch 6&lt;/h5&gt;&lt;/div&gt;&lt;hr/&gt;&lt;div&gt;&lt;h5&gt;&lt;b&gt;CASTING&lt;/b&gt;&lt;/h5&gt;&lt;/div&gt;&lt;hr/&gt;&lt;div&gt;&lt;h5&gt;&lt;b&gt;Casting Time &lt;/b&gt;1 standard action&lt;/h5&gt;&lt;h5&gt;&lt;b&gt;Components &lt;/b&gt;V, S, M (an unworked lodestone)&lt;/h5&gt;&lt;/div&gt;&lt;hr/&gt;&lt;div&gt;&lt;h5&gt;&lt;b&gt;EFFECT&lt;/b&gt;&lt;/h5&gt;&lt;/div&gt;&lt;hr/&gt;&lt;div&gt;&lt;h5&gt;&lt;b&gt;Range &lt;/b&gt;5 feet&lt;/h5&gt;&lt;h5&gt;&lt;b&gt;Area &lt;/b&gt;5-ft.-radius emanation, centered on you&lt;/h5&gt;&lt;h5&gt;&lt;b&gt;Duration &lt;/b&gt;10 minutes/level (D)&lt;/h5&gt;&lt;h5&gt;&lt;b&gt;Saving Throw &lt;/b&gt;none; &lt;b&gt;Spell Resistance &lt;/b&gt;see text&lt;/h5&gt;&lt;/div&gt;&lt;hr/&gt;&lt;div&gt;&lt;h5&gt;&lt;b&gt;DESCRIPTION&lt;/b&gt;&lt;/h5&gt;&lt;/div&gt;&lt;hr/&gt;&lt;div&gt;&lt;h4&gt;&lt;p&gt;You create an invisible barrier that surrounds you and moves with you, inhibiting one category of magic. When you cast this spell, choose either arcane or divine magic. This spell functions like &lt;i&gt;antimagic field&lt;/i&gt;, but it suppresses only spells of the chosen type and supernatural and spell-like class abilities from classes that grant spellcasting of the selected type. Magic items, other spell-like abilities, and other supernatural abilities are unaffected. While this spell is in effect, you must succeed at a concentration check (DC 20 + twice the spell level) to cast any spell, whether arcane or divine. If you fail at the check, you lose the spell as if you had cast it to no effect.&lt;/p&gt;&lt;/h4&gt;&lt;/div&gt;</t>
  </si>
  <si>
    <t>Tectonic Communion</t>
  </si>
  <si>
    <t>Tectonic communion functions as commune with nature with an even greater range. In outdoor or natural underground settings, the spell operates on a radius of 100 miles per caster level, extending even underground without penalty. For every 2 caster levels above 13th, you may glean an additional fact from the list presented in commune with nature. Communities, dungeons, and signs of civilization (such as roads, farms or other constructions and settlements) exist as dark and unknowable blots in your perception of the spell's area; you're aware of their location and existence, but can't discern any information regarding them.</t>
  </si>
  <si>
    <t>&lt;p&gt;&lt;i&gt;Tectonic communion&lt;/i&gt; functions as &lt;i&gt;commune with nature&lt;/i&gt; with an even greater range. In outdoor or natural underground settings, the spell operates on a radius of 100 miles per caster level, extending even underground without penalty. For every 2 caster levels above 13th, you may glean an additional fact from the list presented in &lt;i&gt;commune with nature&lt;/i&gt;. Communities, dungeons, and signs of civilization (such as roads, farms or other constructions and settlements) exist as dark and unknowable blots in your perception of the spell's area; you're aware of their location and existence, but can't discern any information regarding them.&lt;/p&gt;</t>
  </si>
  <si>
    <t>&lt;link rel="stylesheet"href="PF.css"&gt;&lt;div class="heading"&gt;&lt;p class="alignleft"&gt;Tectonic Communion&lt;/p&gt;&lt;div style="clear: both;"&gt;&lt;/div&gt;&lt;/div&gt;&lt;div&gt;&lt;h5&gt;&lt;b&gt;School &lt;/b&gt;divination; &lt;b&gt;Level &lt;/b&gt;druid 7&lt;/h5&gt;&lt;/div&gt;&lt;hr/&gt;&lt;div&gt;&lt;h5&gt;&lt;b&gt;CASTING&lt;/b&gt;&lt;/h5&gt;&lt;/div&gt;&lt;hr/&gt;&lt;div&gt;&lt;h5&gt;&lt;b&gt;Casting Time &lt;/b&gt;1 hour&lt;/h5&gt;&lt;h5&gt;&lt;b&gt;Components &lt;/b&gt;V, S, DF&lt;/h5&gt;&lt;/div&gt;&lt;hr/&gt;&lt;div&gt;&lt;h5&gt;&lt;b&gt;EFFECT&lt;/b&gt;&lt;/h5&gt;&lt;/div&gt;&lt;hr/&gt;&lt;div&gt;&lt;h5&gt;&lt;b&gt;Range &lt;/b&gt;personal&lt;/h5&gt;&lt;h5&gt;&lt;b&gt;Targets &lt;/b&gt;you&lt;/h5&gt;&lt;h5&gt;&lt;b&gt;Duration &lt;/b&gt;Instantaneous&lt;/h5&gt;&lt;/div&gt;&lt;hr/&gt;&lt;div&gt;&lt;h5&gt;&lt;b&gt;DESCRIPTION&lt;/b&gt;&lt;/h5&gt;&lt;/div&gt;&lt;hr/&gt;&lt;div&gt;&lt;h4&gt;&lt;p&gt;&lt;i&gt;Tectonic communion&lt;/i&gt; functions as &lt;i&gt;commune with nature&lt;/i&gt; with an even greater range. In outdoor or natural underground settings, the spell operates on a radius of 100 miles per caster level, extending even underground without penalty. For every 2 caster levels above 13th, you may glean an additional fact from the list presented in &lt;i&gt;commune with nature&lt;/i&gt;. Communities, dungeons, and signs of civilization (such as roads, farms or other constructions and settlements) exist as dark and unknowable blots in your perception of the spell's area; you're aware of their location and existence, but can't discern any information regarding them.&lt;/p&gt;&lt;/h4&gt;&lt;/div&gt;</t>
  </si>
  <si>
    <t>Anti-Summoning Shield</t>
  </si>
  <si>
    <t>bard 2, inquisitor 3, sorcerer/wizard 2, summoner 2</t>
  </si>
  <si>
    <t>50-ft.-radius</t>
  </si>
  <si>
    <t>Within the area of effect, this spell impedes the use of spells of the summoning subschool and other effects that summon creatures. Any such spells, spell-like abilities, or similar summoning effects used within the area have a percent chance of failure equals 5% x your caster level, to a maximum 75% chance of failure. If the summoning effect already has a percent chance of failure (as is often the case with the summon spell-like ability of outsiders), these percentages stack. This spell does not affect summoners attempting to summon their eidolon, but it does affect summoners casting other summoning spells.</t>
  </si>
  <si>
    <t>&lt;p&gt;Within the area of effect, this spell impedes the use of spells of the summoning subschool and other effects that summon creatures. Any such spells, spell-like abilities, or similar summoning effects used within the area have a percent chance of failure equals 5% x your caster level, to a maximum 75% chance of failure. If the summoning effect already has a percent chance of failure (as is often the case with the summon spell-like ability of outsiders), these percentages stack. This spell does not affect summoners attempting to summon their eidolon, but it does affect summoners casting other summoning spells.&lt;/p&gt;</t>
  </si>
  <si>
    <t>Demon Hunter's Handbook</t>
  </si>
  <si>
    <t>&lt;link rel="stylesheet"href="PF.css"&gt;&lt;div class="heading"&gt;&lt;p class="alignleft"&gt;Anti-Summoning Shield&lt;/p&gt;&lt;div style="clear: both;"&gt;&lt;/div&gt;&lt;/div&gt;&lt;div&gt;&lt;h5&gt;&lt;b&gt;School &lt;/b&gt;abjuration; &lt;b&gt;Level &lt;/b&gt;bard 2, inquisitor 3, sorcerer/wizard 2, summoner 2&lt;/h5&gt;&lt;/div&gt;&lt;hr/&gt;&lt;div&gt;&lt;h5&gt;&lt;b&gt;CASTING&lt;/b&gt;&lt;/h5&gt;&lt;/div&gt;&lt;hr/&gt;&lt;div&gt;&lt;h5&gt;&lt;b&gt;Casting Time &lt;/b&gt;1 standard action&lt;/h5&gt;&lt;h5&gt;&lt;b&gt;Components &lt;/b&gt;V&lt;/h5&gt;&lt;/div&gt;&lt;hr/&gt;&lt;div&gt;&lt;h5&gt;&lt;b&gt;EFFECT&lt;/b&gt;&lt;/h5&gt;&lt;/div&gt;&lt;hr/&gt;&lt;div&gt;&lt;h5&gt;&lt;b&gt;Range &lt;/b&gt;medium (100 ft. + 10 ft./level)&lt;/h5&gt;&lt;h5&gt;&lt;b&gt;Area &lt;/b&gt;50-ft.-radius&lt;/h5&gt;&lt;h5&gt;&lt;b&gt;Duration &lt;/b&gt;1 minute/level (D)&lt;/h5&gt;&lt;h5&gt;&lt;b&gt;Saving Throw &lt;/b&gt;Will negates; &lt;b&gt;Spell Resistance &lt;/b&gt;yes&lt;/h5&gt;&lt;/div&gt;&lt;hr/&gt;&lt;div&gt;&lt;h5&gt;&lt;b&gt;DESCRIPTION&lt;/b&gt;&lt;/h5&gt;&lt;/div&gt;&lt;hr/&gt;&lt;div&gt;&lt;h4&gt;&lt;p&gt;Within the area of effect, this spell impedes the use of spells of the summoning subschool and other effects that summon creatures. Any such spells, spell-like abilities, or similar summoning effects used within the area have a percent chance of failure equals 5% x your caster level, to a maximum 75% chance of failure. If the summoning effect already has a percent chance of failure (as is often the case with the summon spell-like ability of outsiders), these percentages stack. This spell does not affect summoners attempting to summon their eidolon, but it does affect summoners casting other summoning spells.&lt;/p&gt;&lt;/h4&gt;&lt;/div&gt;</t>
  </si>
  <si>
    <t>Burst With Light</t>
  </si>
  <si>
    <t>1 round/4 levels</t>
  </si>
  <si>
    <t>The target becomes filled with intense magical light, taking 2d6 points of damage as the light bursts from its wounds and orifices (if the target is an undead creature, it instead takes 2d8 points of damage). In addition, the creature radiates bright light in a 30-foot radius and increases the light level by one step for an additional 30 feet beyond that area-darkness becomes dim light, dim light becomes normal light, and normal light becomes bright light. Creatures that take penalties in bright light take them while within the 30-foot radius of this magical light. A successful Will save halves the damage and negates the light effect. For every 4 character levels you possess, the light continues to fill the creature for another round (to a maximum of 5 rounds at 20th level), though the target may make a Will save each round to halve the damage and end the effect. Any creature adjacent to the target that fails its save and takes damage takes half as much damage and is blinded for 1 round. A successful Reflex save halves this damage (to a total of one-quarter the damage taken by the target) and negates the blindness effect.</t>
  </si>
  <si>
    <t>&lt;p&gt;The target becomes filled with intense magical light, taking 2d6 points of damage as the light bursts from its wounds and orifices (if the target is an undead creature, it instead takes 2d8 points of damage). In addition, the creature radiates bright light in a 30-foot radius and increases the light level by one step for an additional 30 feet beyond that area-darkness becomes dim light, dim light becomes normal light, and normal light becomes bright light. Creatures that take penalties in bright light take them while within the 30-foot radius of this magical light. A successful Will save halves the damage and negates the light effect. For every 4 character levels you possess, the light continues to fill the creature for another round (to a maximum of 5 rounds at 20th level), though the target may make a Will save each round to halve the damage and end the effect. Any creature adjacent to the target that fails its save and takes damage takes half as much damage and is blinded for 1 round. A successful Reflex save halves this damage (to a total of one-quarter the damage taken by the target) and negates the blindness effect.&lt;/p&gt;</t>
  </si>
  <si>
    <t>&lt;link rel="stylesheet"href="PF.css"&gt;&lt;div class="heading"&gt;&lt;p class="alignleft"&gt;Burst With Light&lt;/p&gt;&lt;div style="clear: both;"&gt;&lt;/div&gt;&lt;/div&gt;&lt;div&gt;&lt;h5&gt;&lt;b&gt;School &lt;/b&gt;evocation [light]; &lt;b&gt;Level &lt;/b&gt;cleric/oracle 4, paladin 4&lt;/h5&gt;&lt;/div&gt;&lt;hr/&gt;&lt;div&gt;&lt;h5&gt;&lt;b&gt;CASTING&lt;/b&gt;&lt;/h5&gt;&lt;/div&gt;&lt;hr/&gt;&lt;div&gt;&lt;h5&gt;&lt;b&gt;Casting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&lt;/b&gt;1 round/4 levels&lt;/h5&gt;&lt;h5&gt;&lt;b&gt;Saving Throw &lt;/b&gt;see text; &lt;b&gt;Spell Resistance &lt;/b&gt;yes&lt;/h5&gt;&lt;/div&gt;&lt;hr/&gt;&lt;div&gt;&lt;h5&gt;&lt;b&gt;DESCRIPTION&lt;/b&gt;&lt;/h5&gt;&lt;/div&gt;&lt;hr/&gt;&lt;div&gt;&lt;h4&gt;&lt;p&gt;The target becomes filled with intense magical light, taking 2d6 points of damage as the light bursts from its wounds and orifices (if the target is an undead creature, it instead takes 2d8 points of damage). In addition, the creature radiates bright light in a 30-foot radius and increases the light level by one step for an additional 30 feet beyond that area-darkness becomes dim light, dim light becomes normal light, and normal light becomes bright light. Creatures that take penalties in bright light take them while within the 30-foot radius of this magical light. A successful Will save halves the damage and negates the light effect. For every 4 character levels you possess, the light continues to fill the creature for another round (to a maximum of 5 rounds at 20th level), though the target may make a Will save each round to halve the damage and end the effect. Any creature adjacent to the target that fails its save and takes damage takes half as much damage and is blinded for 1 round. A successful Reflex save halves this damage (to a total of one-quarter the damage taken by the target) and negates the blindness effect.&lt;/p&gt;&lt;/h4&gt;&lt;/div&gt;</t>
  </si>
  <si>
    <t>Detect Demon</t>
  </si>
  <si>
    <t>cleric/oracle 1, inquisitor 1, paladin 1</t>
  </si>
  <si>
    <t>You sense the presence of a specific kind of evil-that of demons, their servants, and the Abyss. The amount of information revealed depends on how long you study a particular area or subject. 1st Round: Presence or absence of creatures with the demon subtype, creatures possessed by demons, creatures under the effects of spells or spell-like abilities cast by demons, or creatures otherwise tainted by demons. Creatures tainted by demons include tieflings with demonic heritages, sorcerers with abyssal bloodlines, creatures affected by a succubus's profane gift, creatures with demonic implants (see page 44 of Pathfinder Campaign Setting: Lords of Chaos, Book of the Damned, Vol. 2), or creatures who have the Demonic Obedience feat (Lords of Chaos 8), and those under significant demonic influence as determined by the GM. This spell does not detect creatures of chaotic evil alignment who are not demons or significantly influenced by demons. Additionally, this spell detects whether or not a portal or similar magical passage leads to the Abyss. 2nd Round: Number of evil auras shed by creatures with the demon subtype in the area, as well as the power of the most potent evil aura present. If you are of good alignment, and the strongest evil aura's strength is overwhelming; if the creature has HD equal to at least twice your character level, you are stunned for 1 round and the spell ends. 3rd Round: The power and location of each aura, and what demon lord, if any, a demon is most closely affiliated with. If an aura is outside your line of sight, you discern the direction but not its exact location. Affiliation to a demon lord is only revealed when the creature detected is a demon (not merely a creature tainted by a demon). Demons receive a Will saving throw to resist revealing what demon lord they are affiliated with. If the demon succeeds at this saving throw or is not forsworn to a demon lord, you know only that this aspect of the spell returned no information. Aside from what is detailed above, this spell otherwise functions similarly to detect evil in terms of aura power, lingering auras, overwhelming auras, and so forth.</t>
  </si>
  <si>
    <t>&lt;p&gt;You sense the presence of a specific kind of evil-that of demons, their servants, and the Abyss. The amount of information revealed depends on how long you study a particular area or subject. &lt;br&gt;&lt;i&gt;1st Round&lt;/i&gt;: Presence or absence of creatures with the demon subtype, creatures possessed by demons, creatures under the effects of spells or spell-like abilities cast by demons, or creatures otherwise tainted by demons. Creatures tainted by demons include tieflings with demonic heritages, sorcerers with abyssal bloodlines, creatures affected by a succubus's profane gift, creatures with demonic implants (see page 44 of &lt;i&gt;Pathfinder Campaign Setting&lt;/i&gt;: &lt;i&gt;Lords of Chaos&lt;/i&gt;, &lt;i&gt;Book of the&lt;/i&gt; &lt;i&gt;Damned&lt;/i&gt;, &lt;i&gt;Vol&lt;/i&gt;. 2), or creatures who have the Demonic Obedience feat (&lt;i&gt;Lords of Chaos&lt;/i&gt; 8), and those under significant demonic influence as determined by the GM. This spell does not detect creatures of chaotic evil alignment who are not demons or significantly influenced by demons. Additionally, this spell detects whether or not a portal or similar magical passage leads to the Abyss. &lt;br&gt;&lt;i&gt;2nd Round&lt;/i&gt;: Number of evil auras shed by creatures with the demon subtype in the area, as well as the power of the most potent evil aura present. If you are of good alignment, and the strongest evil aura's strength is overwhelming; if the creature has HD equal to at least twice your character level, you are stunned for 1 round and the spell ends. &lt;br&gt;&lt;i&gt;3rd Round&lt;/i&gt;: The power and location of each aura, and what demon lord, if any, a demon is most closely affiliated with. If an aura is outside your line of sight, you discern the direction but not its exact location. Affiliation to a demon lord is only revealed when the creature detected is a demon (not merely a creature tainted by a demon). Demons receive a Will saving throw to resist revealing what demon lord they are affiliated with. If the demon succeeds at this saving throw or is not forsworn to a demon lord, you know only that this aspect of the spell returned no information. Aside from what is detailed above, this spell otherwise functions similarly to &lt;i&gt;detect evil&lt;/i&gt; in terms of aura power, lingering auras, overwhelming auras, and so forth.&lt;/p&gt;</t>
  </si>
  <si>
    <t>&lt;link rel="stylesheet"href="PF.css"&gt;&lt;div class="heading"&gt;&lt;p class="alignleft"&gt;Detect Demon&lt;/p&gt;&lt;div style="clear: both;"&gt;&lt;/div&gt;&lt;/div&gt;&lt;div&gt;&lt;h5&gt;&lt;b&gt;School &lt;/b&gt;divination; &lt;b&gt;Level &lt;/b&gt;cleric/oracle 1, inquisitor 1, paladin 1&lt;/h5&gt;&lt;/div&gt;&lt;hr/&gt;&lt;div&gt;&lt;h5&gt;&lt;b&gt;CASTING&lt;/b&gt;&lt;/h5&gt;&lt;/div&gt;&lt;hr/&gt;&lt;div&gt;&lt;h5&gt;&lt;b&gt;Casting Time &lt;/b&gt;1 standard action&lt;/h5&gt;&lt;h5&gt;&lt;b&gt;Components &lt;/b&gt;V, S, DF&lt;/h5&gt;&lt;/div&gt;&lt;hr/&gt;&lt;div&gt;&lt;h5&gt;&lt;b&gt;EFFECT&lt;/b&gt;&lt;/h5&gt;&lt;/div&gt;&lt;hr/&gt;&lt;div&gt;&lt;h5&gt;&lt;b&gt;Range &lt;/b&gt;60 ft.&lt;/h5&gt;&lt;h5&gt;&lt;b&gt;Area &lt;/b&gt;cone-shaped emanation&lt;/h5&gt;&lt;h5&gt;&lt;b&gt;Duration &lt;/b&gt;concentration, up to 10 minutes/level (D)&lt;/h5&gt;&lt;h5&gt;&lt;b&gt;Saving Throw &lt;/b&gt;none (see text); &lt;b&gt;Spell Resistance &lt;/b&gt;no&lt;/h5&gt;&lt;/div&gt;&lt;hr/&gt;&lt;div&gt;&lt;h5&gt;&lt;b&gt;DESCRIPTION&lt;/b&gt;&lt;/h5&gt;&lt;/div&gt;&lt;hr/&gt;&lt;div&gt;&lt;h4&gt;&lt;p&gt;You sense the presence of a specific kind of evil-that of demons, their servants, and the Abyss. The amount of information revealed depends on how long you study a particular area or subject. &lt;br&gt;&lt;i&gt;1st Round&lt;/i&gt;: Presence or absence of creatures with the demon subtype, creatures possessed by demons, creatures under the effects of spells or spell-like abilities cast by demons, or creatures otherwise tainted by demons. Creatures tainted by demons include tieflings with demonic heritages, sorcerers with abyssal bloodlines, creatures affected by a succubus's profane gift, creatures with demonic implants (see page 44 of &lt;i&gt;Pathfinder Campaign Setting&lt;/i&gt;: &lt;i&gt;Lords of Chaos&lt;/i&gt;, &lt;i&gt;Book of the&lt;/i&gt; &lt;i&gt;Damned&lt;/i&gt;, &lt;i&gt;Vol&lt;/i&gt;. 2), or creatures who have the Demonic Obedience feat (&lt;i&gt;Lords of Chaos&lt;/i&gt; 8), and those under significant demonic influence as determined by the GM. This spell does not detect creatures of chaotic evil alignment who are not demons or significantly influenced by demons. Additionally, this spell detects whether or not a portal or similar magical passage leads to the Abyss. &lt;br&gt;&lt;i&gt;2nd Round&lt;/i&gt;: Number of evil auras shed by creatures with the demon subtype in the area, as well as the power of the most potent evil aura present. If you are of good alignment, and the strongest evil aura's strength is overwhelming; if the creature has HD equal to at least twice your character level, you are stunned for 1 round and the spell ends. &lt;br&gt;&lt;i&gt;3rd Round&lt;/i&gt;: The power and location of each aura, and what demon lord, if any, a demon is most closely affiliated with. If an aura is outside your line of sight, you discern the direction but not its exact location. Affiliation to a demon lord is only revealed when the creature detected is a demon (not merely a creature tainted by a demon). Demons receive a Will saving throw to resist revealing what demon lord they are affiliated with. If the demon succeeds at this saving throw or is not forsworn to a demon lord, you know only that this aspect of the spell returned no information. Aside from what is detailed above, this spell otherwise functions similarly to &lt;i&gt;detect evil&lt;/i&gt; in terms of aura power, lingering auras, overwhelming auras, and so forth.&lt;/p&gt;&lt;/h4&gt;&lt;/div&gt;</t>
  </si>
  <si>
    <t>Protection From Outsiders</t>
  </si>
  <si>
    <t>cleric/oracle 2, inquisitor 2, paladin 2</t>
  </si>
  <si>
    <t>This spell wards a creature from attacks by outsiders with a specific racial subtype, from mental control exerted by creatures of the chosen subtype, and from summoned creatures of that subtype. Only the subtypes of specific outsider races-angel, azata, demon, oni, psychopomp, protean, and so on-can be chosen as the subtype this spell protects against. Alignment subtypes or other general subtypes (like elemental, extraplanar, or native) cannot be selected. Outsiders without an outsider racial subtype (like genies, night hags, yeth hounds, or xills) are not affected by this spell. This spell creates a magical barrier around the subject at a distance of 1 foot. The barrier moves with the subject and has three major effects. First, the subject gains a +4 deflection bonus to AC and a +4 resistance bonus on saves when targeted by creatures of the chosen subtype. Second, the subject immediately receives another saving throw (if one was allowed to begin with) against any spells or effects that possess or exercise mental control over the target creature. This functions in the same fashion as protection from evil, but only when the effect stems from outsiders of the chosen subtype, and the target's saving throw is made with a +4 morale bonus (using the same DC as the original effect). Third, the spell prevents bodily contact by summoned creatures of the chosen subtype in the same manner as detailed in protection from evil. This spell's descriptor varies depending on the outsider race selected, gaining the alignment descriptors opposite to the alignment of the outsider race-for example, lawful and good if the race is chaotic and evil, chaotic if the selected race is lawful, or none if the selected race is neutral.</t>
  </si>
  <si>
    <t>&lt;p&gt;This spell wards a creature from attacks by outsiders with a specific racial subtype, from mental control exerted by creatures of the chosen subtype, and from summoned creatures of that subtype. Only the subtypes of specific outsider races-angel, azata, demon, oni, psychopomp, protean, and so on-can be chosen as the subtype this spell protects against. Alignment subtypes or other general subtypes (like elemental, extraplanar, or native) cannot be selected. Outsiders without an outsider racial subtype (like genies, night hags, yeth hounds, or xills) are not affected by this spell. This spell creates a magical barrier around the subject at a distance of 1 foot. The barrier moves with the subject and has three major effects. First, the subject gains a +4 deflection bonus to AC and a +4 resistance bonus on saves when targeted by creatures of the chosen subtype. Second, the subject immediately receives another saving throw (if one was allowed to begin with) against any spells or effects that possess or exercise mental control over the target creature. This functions in the same fashion as &lt;i&gt;protection from evil&lt;/i&gt;, but only when the effect stems from outsiders of the chosen subtype, and the target's saving throw is made with a +4 morale bonus (using the same DC as the original effect). Third, the spell prevents bodily contact by summoned creatures of the chosen subtype in the same manner as detailed in &lt;i&gt;protection from evil&lt;/i&gt;. This spell's descriptor varies depending on the outsider race selected, gaining the alignment descriptors opposite to the alignment of the outsider race-for example, lawful and good if the race is chaotic and evil, chaotic if the selected race is lawful, or none if the selected race is neutral.&lt;/p&gt;</t>
  </si>
  <si>
    <t>&lt;link rel="stylesheet"href="PF.css"&gt;&lt;div class="heading"&gt;&lt;p class="alignleft"&gt;Protection From Outsiders&lt;/p&gt;&lt;div style="clear: both;"&gt;&lt;/div&gt;&lt;/div&gt;&lt;div&gt;&lt;h5&gt;&lt;b&gt;School &lt;/b&gt;abjuration [see text]; &lt;b&gt;Level &lt;/b&gt;cleric/oracle 2, inquisitor 2, paladin 2&lt;/h5&gt;&lt;/div&gt;&lt;hr/&gt;&lt;div&gt;&lt;h5&gt;&lt;b&gt;CASTING&lt;/b&gt;&lt;/h5&gt;&lt;/div&gt;&lt;hr/&gt;&lt;div&gt;&lt;h5&gt;&lt;b&gt;Casting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&lt;/b&gt;creature touched&lt;/h5&gt;&lt;h5&gt;&lt;b&gt;Duration &lt;/b&gt;1 minute/level (D)&lt;/h5&gt;&lt;h5&gt;&lt;b&gt;Saving Throw &lt;/b&gt;Will negates (harmless); &lt;b&gt;Spell Resistance &lt;/b&gt;no; see text&lt;/h5&gt;&lt;/div&gt;&lt;hr/&gt;&lt;div&gt;&lt;h5&gt;&lt;b&gt;DESCRIPTION&lt;/b&gt;&lt;/h5&gt;&lt;/div&gt;&lt;hr/&gt;&lt;div&gt;&lt;h4&gt;&lt;p&gt;This spell wards a creature from attacks by outsiders with a specific racial subtype, from mental control exerted by creatures of the chosen subtype, and from summoned creatures of that subtype. Only the subtypes of specific outsider races-angel, azata, demon, oni, psychopomp, protean, and so on-can be chosen as the subtype this spell protects against. Alignment subtypes or other general subtypes (like elemental, extraplanar, or native) cannot be selected. Outsiders without an outsider racial subtype (like genies, night hags, yeth hounds, or xills) are not affected by this spell. This spell creates a magical barrier around the subject at a distance of 1 foot. The barrier moves with the subject and has three major effects. First, the subject gains a +4 deflection bonus to AC and a +4 resistance bonus on saves when targeted by creatures of the chosen subtype. Second, the subject immediately receives another saving throw (if one was allowed to begin with) against any spells or effects that possess or exercise mental control over the target creature. This functions in the same fashion as &lt;i&gt;protection from evil&lt;/i&gt;, but only when the effect stems from outsiders of the chosen subtype, and the target's saving throw is made with a +4 morale bonus (using the same DC as the original effect). Third, the spell prevents bodily contact by summoned creatures of the chosen subtype in the same manner as detailed in &lt;i&gt;protection from evil&lt;/i&gt;. This spell's descriptor varies depending on the outsider race selected, gaining the alignment descriptors opposite to the alignment of the outsider race-for example, lawful and good if the race is chaotic and evil, chaotic if the selected race is lawful, or none if the selected race is neutral.&lt;/p&gt;&lt;/h4&gt;&lt;/div&gt;</t>
  </si>
  <si>
    <t>Righteous Blood</t>
  </si>
  <si>
    <t>inquisitor 2, paladin 2</t>
  </si>
  <si>
    <t>one creature of good alignment</t>
  </si>
  <si>
    <t>The target creature's innate goodness infuses its body with holy energy. While this energy does not directly empower the target, it can harm embodiments of evil. Any creature that damages the target with a slashing or piercing melee weapon is sprayed by the target's holy blood. If the attacker is a creature with the evil subtype, it takes 1d6 points of damage from divine power each time it successfully hits the target. If the target has the good subtype or an ability that grants it an aura of good (like paladins or some clerics), its blood instead deals 2d6 points of damage. Creatures that don't have the evil subtype or that are using reach weapons are not subject to this damage.</t>
  </si>
  <si>
    <t>&lt;p&gt;The target creature's innate goodness infuses its body with holy energy. While this energy does not directly empower the target, it can harm embodiments of evil. Any creature that damages the target with a slashing or piercing melee weapon is sprayed by the target's holy blood. If the attacker is a creature with the evil subtype, it takes 1d6 points of damage from divine power each time it successfully hits the target. If the target has the good subtype or an ability that grants it an aura of good (like paladins or some clerics), its blood instead deals 2d6 points of damage. Creatures that don't have the evil subtype or that are using reach weapons are not subject to this damage.&lt;/p&gt;</t>
  </si>
  <si>
    <t>&lt;link rel="stylesheet"href="PF.css"&gt;&lt;div class="heading"&gt;&lt;p class="alignleft"&gt;Righteous Blood&lt;/p&gt;&lt;div style="clear: both;"&gt;&lt;/div&gt;&lt;/div&gt;&lt;div&gt;&lt;h5&gt;&lt;b&gt;School &lt;/b&gt;abjuration [good]; &lt;b&gt;Level &lt;/b&gt;inquisitor 2, paladin 2&lt;/h5&gt;&lt;/div&gt;&lt;hr/&gt;&lt;div&gt;&lt;h5&gt;&lt;b&gt;CASTING&lt;/b&gt;&lt;/h5&gt;&lt;/div&gt;&lt;hr/&gt;&lt;div&gt;&lt;h5&gt;&lt;b&gt;Casting Time &lt;/b&gt;1 standard action&lt;/h5&gt;&lt;h5&gt;&lt;b&gt;Components &lt;/b&gt;V, S, DF&lt;/h5&gt;&lt;/div&gt;&lt;hr/&gt;&lt;div&gt;&lt;h5&gt;&lt;b&gt;EFFECT&lt;/b&gt;&lt;/h5&gt;&lt;/div&gt;&lt;hr/&gt;&lt;div&gt;&lt;h5&gt;&lt;b&gt;Range &lt;/b&gt;touch&lt;/h5&gt;&lt;h5&gt;&lt;b&gt;Targets &lt;/b&gt;one creature of good alignment&lt;/h5&gt;&lt;h5&gt;&lt;b&gt;Duration &lt;/b&gt;10 minutes/level (D)&lt;/h5&gt;&lt;h5&gt;&lt;b&gt;Saving Throw &lt;/b&gt;Will negates (harmless); &lt;b&gt;Spell Resistance &lt;/b&gt;yes (harmless)&lt;/h5&gt;&lt;/div&gt;&lt;hr/&gt;&lt;div&gt;&lt;h5&gt;&lt;b&gt;DESCRIPTION&lt;/b&gt;&lt;/h5&gt;&lt;/div&gt;&lt;hr/&gt;&lt;div&gt;&lt;h4&gt;&lt;p&gt;The target creature's innate goodness infuses its body with holy energy. While this energy does not directly empower the target, it can harm embodiments of evil. Any creature that damages the target with a slashing or piercing melee weapon is sprayed by the target's holy blood. If the attacker is a creature with the evil subtype, it takes 1d6 points of damage from divine power each time it successfully hits the target. If the target has the good subtype or an ability that grants it an aura of good (like paladins or some clerics), its blood instead deals 2d6 points of damage. Creatures that don't have the evil subtype or that are using reach weapons are not subject to this damage.&lt;/p&gt;&lt;/h4&gt;&lt;/div&gt;</t>
  </si>
  <si>
    <t>Telepathic Censure</t>
  </si>
  <si>
    <t>one creature (see text)</t>
  </si>
  <si>
    <t>This spell creates an invisible psychic interference that inhibits telepathic communication. When cast upon a creature that can communicate via telepathy, this spell prevents that ability's use- either to receive or project thoughts. When cast upon a creature without telepathy, the spell merely prevents the target from receiving telepathic communication. Those affected by this spell or that attempt to telepathically communicate with creatures under its effects are not innately aware that their communication is being inhibited. This spell temporarily disrupts spells and effects like telepathic bond or telepathic messages sent by a helm of telepathy, but not attacks and effects unrelated to communication like detect thoughts or a neothelid's psychic crush.</t>
  </si>
  <si>
    <t>&lt;p&gt;This spell creates an invisible psychic interference that inhibits telepathic communication. When cast upon a creature that can communicate via telepathy, this spell prevents that ability's use- either to receive or project thoughts. When cast upon a creature without telepathy, the spell merely prevents the target from receiving telepathic communication. Those affected by this spell or that attempt to telepathically communicate with creatures under its effects are not innately aware that their communication is being inhibited. This spell temporarily disrupts spells and effects like &lt;i&gt;telepathic bond&lt;/i&gt; or telepathic messages sent by a &lt;i&gt;helm of telepathy&lt;/i&gt;, but not attacks and effects unrelated to communication like &lt;i&gt;detect thoughts&lt;/i&gt; or a neothelid's psychic crush.&lt;/p&gt;</t>
  </si>
  <si>
    <t>&lt;link rel="stylesheet"href="PF.css"&gt;&lt;div class="heading"&gt;&lt;p class="alignleft"&gt;Telepathic Censure&lt;/p&gt;&lt;div style="clear: both;"&gt;&lt;/div&gt;&lt;/div&gt;&lt;div&gt;&lt;h5&gt;&lt;b&gt;School &lt;/b&gt;abjuration; &lt;b&gt;Level &lt;/b&gt;bard 2, inquisitor 2&lt;/h5&gt;&lt;/div&gt;&lt;hr/&gt;&lt;div&gt;&lt;h5&gt;&lt;b&gt;CASTING&lt;/b&gt;&lt;/h5&gt;&lt;/div&gt;&lt;hr/&gt;&lt;div&gt;&lt;h5&gt;&lt;b&gt;Casting Time &lt;/b&gt;1 standard action&lt;/h5&gt;&lt;h5&gt;&lt;b&gt;Components &lt;/b&gt;V&lt;/h5&gt;&lt;/div&gt;&lt;hr/&gt;&lt;div&gt;&lt;h5&gt;&lt;b&gt;EFFECT&lt;/b&gt;&lt;/h5&gt;&lt;/div&gt;&lt;hr/&gt;&lt;div&gt;&lt;h5&gt;&lt;b&gt;Range &lt;/b&gt;medium (100 ft. + 10 ft./level)&lt;/h5&gt;&lt;h5&gt;&lt;b&gt;Targets &lt;/b&gt;one creature (see text)&lt;/h5&gt;&lt;h5&gt;&lt;b&gt;Duration &lt;/b&gt;1 minute/level (D)&lt;/h5&gt;&lt;h5&gt;&lt;b&gt;Saving Throw &lt;/b&gt;Will negates; &lt;b&gt;Spell Resistance &lt;/b&gt;yes&lt;/h5&gt;&lt;/div&gt;&lt;hr/&gt;&lt;div&gt;&lt;h5&gt;&lt;b&gt;DESCRIPTION&lt;/b&gt;&lt;/h5&gt;&lt;/div&gt;&lt;hr/&gt;&lt;div&gt;&lt;h4&gt;&lt;p&gt;This spell creates an invisible psychic interference that inhibits telepathic communication. When cast upon a creature that can communicate via telepathy, this spell prevents that ability's use- either to receive or project thoughts. When cast upon a creature without telepathy, the spell merely prevents the target from receiving telepathic communication. Those affected by this spell or that attempt to telepathically communicate with creatures under its effects are not innately aware that their communication is being inhibited. This spell temporarily disrupts spells and effects like &lt;i&gt;telepathic bond&lt;/i&gt; or telepathic messages sent by a &lt;i&gt;helm of telepathy&lt;/i&gt;, but not attacks and effects unrelated to communication like &lt;i&gt;detect thoughts&lt;/i&gt; or a neothelid's psychic crush.&lt;/p&gt;&lt;/h4&gt;&lt;/div&gt;</t>
  </si>
  <si>
    <t>Contact Nalfeshnee</t>
  </si>
  <si>
    <t>cleric/oracle 6, sorcerer/wizard 6, witch 6</t>
  </si>
  <si>
    <t>V, S, M (powdered sapphire worth 250 gp), F (bejeweled cold iron mirror worth at least 2,000 gp)</t>
  </si>
  <si>
    <t>When you cast this spell, you fall into a trance and become helpless as long as you continue concentrating. Choose any one Knowledge skill other than arcana or planes. Your mind is placed in telepathic contact with a nalfeshnee demon skilled at that particular Knowledge skill, in addition to arcana and planes. Each round that you continue to concentrate, you may ask the nalfeshnee one question and it will answer as best it can. If you ask a question about arcana or planes, the nalfeshnee has a +23 bonus to the skill check. If you ask about the Knowledge skill you selected, the nalfeshnee has a +20 bonus. It cannot answer questions pertaining to other Knowledge skills-to do so, you must cast the spell again. Contact with Abyssal minds is dangerous, and each time the nalfeshnee answers a question, you suffer 1d4 points of ability drain to Intelligence, Wisdom, or Charisma (determined randomly) unless you make a DC 22 Will save. Each additional question you ask with this spell over the course of a single 24-hour period imparts a cumulative -1 penalty on this saving throw. Chaotic evil spellcasters always gain a +4 bonus on this saving throw.</t>
  </si>
  <si>
    <t>&lt;p&gt;When you cast this spell, you fall into a trance and become helpless as long as you continue concentrating. Choose any one Knowledge skill other than arcana or planes. Your mind is placed in telepathic contact with a nalfeshnee demon skilled at that particular Knowledge skill, in addition to arcana and planes. Each round that you continue to concentrate, you may ask the nalfeshnee one question and it will answer as best it can. If you ask a question about arcana or planes, the nalfeshnee has a +23 bonus to the skill check. If you ask about the Knowledge skill you selected, the nalfeshnee has a +20 bonus. It cannot answer questions pertaining to other Knowledge skills-to do so, you must cast the spell again. Contact with Abyssal minds is dangerous, and each time the nalfeshnee answers a question, you suffer 1d4 points of ability drain to Intelligence, Wisdom, or Charisma (determined randomly) unless you make a DC 22 Will save. Each additional question you ask with this spell over the course of a single 24-hour period imparts a cumulative -1 penalty on this saving throw. Chaotic evil spellcasters always gain a +4 bonus on this saving throw.&lt;/p&gt;</t>
  </si>
  <si>
    <t>Demons Revisited</t>
  </si>
  <si>
    <t>&lt;link rel="stylesheet"href="PF.css"&gt;&lt;div class="heading"&gt;&lt;p class="alignleft"&gt;Contact Nalfeshnee&lt;/p&gt;&lt;div style="clear: both;"&gt;&lt;/div&gt;&lt;/div&gt;&lt;div&gt;&lt;h5&gt;&lt;b&gt;School &lt;/b&gt;divination; &lt;b&gt;Level &lt;/b&gt;cleric/oracle 6, sorcerer/wizard 6, witch 6&lt;/h5&gt;&lt;/div&gt;&lt;hr/&gt;&lt;div&gt;&lt;h5&gt;&lt;b&gt;CASTING&lt;/b&gt;&lt;/h5&gt;&lt;/div&gt;&lt;hr/&gt;&lt;div&gt;&lt;h5&gt;&lt;b&gt;Casting Time &lt;/b&gt;1 round&lt;/h5&gt;&lt;h5&gt;&lt;b&gt;Components &lt;/b&gt;V, S, M (powdered sapphire worth 250 gp), F (bejeweled cold iron mirror worth at least 2,000 gp)&lt;/h5&gt;&lt;/div&gt;&lt;hr/&gt;&lt;div&gt;&lt;h5&gt;&lt;b&gt;EFFECT&lt;/b&gt;&lt;/h5&gt;&lt;/div&gt;&lt;hr/&gt;&lt;div&gt;&lt;h5&gt;&lt;b&gt;Range &lt;/b&gt;personal&lt;/h5&gt;&lt;h5&gt;&lt;b&gt;Targets &lt;/b&gt;you&lt;/h5&gt;&lt;h5&gt;&lt;b&gt;Duration &lt;/b&gt;concentration&lt;/h5&gt;&lt;/div&gt;&lt;hr/&gt;&lt;div&gt;&lt;h5&gt;&lt;b&gt;DESCRIPTION&lt;/b&gt;&lt;/h5&gt;&lt;/div&gt;&lt;hr/&gt;&lt;div&gt;&lt;h4&gt;&lt;p&gt;When you cast this spell, you fall into a trance and become helpless as long as you continue concentrating. Choose any one Knowledge skill other than arcana or planes. Your mind is placed in telepathic contact with a nalfeshnee demon skilled at that particular Knowledge skill, in addition to arcana and planes. Each round that you continue to concentrate, you may ask the nalfeshnee one question and it will answer as best it can. If you ask a question about arcana or planes, the nalfeshnee has a +23 bonus to the skill check. If you ask about the Knowledge skill you selected, the nalfeshnee has a +20 bonus. It cannot answer questions pertaining to other Knowledge skills-to do so, you must cast the spell again. Contact with Abyssal minds is dangerous, and each time the nalfeshnee answers a question, you suffer 1d4 points of ability drain to Intelligence, Wisdom, or Charisma (determined randomly) unless you make a DC 22 Will save. Each additional question you ask with this spell over the course of a single 24-hour period imparts a cumulative -1 penalty on this saving throw. Chaotic evil spellcasters always gain a +4 bonus on this saving throw.&lt;/p&gt;&lt;/h4&gt;&lt;/div&gt;</t>
  </si>
  <si>
    <t>Ascension</t>
  </si>
  <si>
    <t>cleric/oracle 9, druid 9, sorcerer/wizard 9, witch 9</t>
  </si>
  <si>
    <t>V, S, F (minor artifact), M (10,000 gp in rare herbs, gems, and other exotic materials)</t>
  </si>
  <si>
    <t>one non-mythic creature/3 levels</t>
  </si>
  <si>
    <t>You imbue a number of creatures with mythic power, granting each of them 1st tier in a mythic path of its choice. The creatures immediately gain the benefits of their chosen paths. Divide the duration evenly among all targets. The targets retain their mythic tier only while they're within 100 feet of the spell's focus component. A target that goes outside this range loses its mythic tier, but instantly regains it if it moves into range again. If the focus component is destroyed while the spell is in effect, the spell immediately ends and all targets gain 1d4 permanent negative levels.</t>
  </si>
  <si>
    <t>&lt;p&gt;You imbue a number of creatures with mythic power, granting each of them 1st tier in a mythic path of its choice. The creatures immediately gain the benefits of their chosen paths. Divide the duration evenly among all targets. The targets retain their mythic tier only while they're within 100 feet of the spell's focus component. A target that goes outside this range loses its mythic tier, but instantly regains it if it moves into range again. If the focus component is destroyed while the spell is in effect, the spell immediately ends and all targets gain 1d4 permanent negative levels.&lt;/p&gt;</t>
  </si>
  <si>
    <t>Mythic Adventures</t>
  </si>
  <si>
    <t>&lt;link rel="stylesheet"href="PF.css"&gt;&lt;div class="heading"&gt;&lt;p class="alignleft"&gt;Ascension&lt;/p&gt;&lt;div style="clear: both;"&gt;&lt;/div&gt;&lt;/div&gt;&lt;div&gt;&lt;h5&gt;&lt;b&gt;School &lt;/b&gt;universal; &lt;b&gt;Level &lt;/b&gt;cleric/oracle 9, druid 9, sorcerer/wizard 9, witch 9&lt;/h5&gt;&lt;/div&gt;&lt;hr/&gt;&lt;div&gt;&lt;h5&gt;&lt;b&gt;CASTING&lt;/b&gt;&lt;/h5&gt;&lt;/div&gt;&lt;hr/&gt;&lt;div&gt;&lt;h5&gt;&lt;b&gt;Casting Time &lt;/b&gt;1 hour&lt;/h5&gt;&lt;h5&gt;&lt;b&gt;Components &lt;/b&gt;V, S, F (minor artifact), M (10,000 gp in rare herbs, gems, and other exotic materials)&lt;/h5&gt;&lt;/div&gt;&lt;hr/&gt;&lt;div&gt;&lt;h5&gt;&lt;b&gt;EFFECT&lt;/b&gt;&lt;/h5&gt;&lt;/div&gt;&lt;hr/&gt;&lt;div&gt;&lt;h5&gt;&lt;b&gt;Range &lt;/b&gt;close (25 ft. + 5 ft./2 levels)&lt;/h5&gt;&lt;h5&gt;&lt;b&gt;Targets &lt;/b&gt;one non-mythic creature/3 levels&lt;/h5&gt;&lt;h5&gt;&lt;b&gt;Duration &lt;/b&gt;2 hours/level; see text&lt;/h5&gt;&lt;h5&gt;&lt;b&gt;Saving Throw &lt;/b&gt;Will negates (harmless); &lt;b&gt;Spell Resistance &lt;/b&gt;yes (harmless)&lt;/h5&gt;&lt;/div&gt;&lt;hr/&gt;&lt;div&gt;&lt;h5&gt;&lt;b&gt;DESCRIPTION&lt;/b&gt;&lt;/h5&gt;&lt;/div&gt;&lt;hr/&gt;&lt;div&gt;&lt;h4&gt;&lt;p&gt;You imbue a number of creatures with mythic power, granting each of them 1st tier in a mythic path of its choice. The creatures immediately gain the benefits of their chosen paths. Divide the duration evenly among all targets. The targets retain their mythic tier only while they're within 100 feet of the spell's focus component. A target that goes outside this range loses its mythic tier, but instantly regains it if it moves into range again. If the focus component is destroyed while the spell is in effect, the spell immediately ends and all targets gain 1d4 permanent negative levels.&lt;/p&gt;&lt;/h4&gt;&lt;h5&gt;&lt;b&gt;Mythic: &lt;/b&gt;If you expend one use of mythic power when casting this spell, the duration increases to 1 day per level, and you can use yourself as the focus for this spell instead of a lesser artifact. If you're the focus, the targets retain their mythic tier only while they're within 100 feet of you, and if you die, the spell immediately ends and all targets gain 1d4 permanent negative levels.&lt;/h5&gt;&lt;/div&gt;</t>
  </si>
  <si>
    <t>If you expend one use of mythic power when casting this spell, the duration increases to 1 day per level, and you can use yourself as the focus for this spell instead of a lesser artifact. If you're the focus, the targets retain their mythic tier only while they're within 100 feet of you, and if you die, the spell immediately ends and all targets gain 1d4 permanent negative levels.</t>
  </si>
  <si>
    <t>Bleed Glory</t>
  </si>
  <si>
    <t>cleric/oracle 3, sorcerer/wizard 3, witch 3</t>
  </si>
  <si>
    <t>one mythic creature</t>
  </si>
  <si>
    <t>The mythic power cost for all path abilities, feats, spells, and other effects used by the target increases by 1.</t>
  </si>
  <si>
    <t>&lt;p&gt;The mythic power cost for all path abilities, feats, spells, and other effects used by the target increases by 1.&lt;/p&gt;</t>
  </si>
  <si>
    <t>&lt;link rel="stylesheet"href="PF.css"&gt;&lt;div class="heading"&gt;&lt;p class="alignleft"&gt;Bleed Glory&lt;/p&gt;&lt;div style="clear: both;"&gt;&lt;/div&gt;&lt;/div&gt;&lt;div&gt;&lt;h5&gt;&lt;b&gt;School &lt;/b&gt;necromancy [curse]; &lt;b&gt;Level &lt;/b&gt;cleric/oracle 3, sorcerer/wizard 3, witch 3&lt;/h5&gt;&lt;/div&gt;&lt;hr/&gt;&lt;div&gt;&lt;h5&gt;&lt;b&gt;CASTING&lt;/b&gt;&lt;/h5&gt;&lt;/div&gt;&lt;hr/&gt;&lt;div&gt;&lt;h5&gt;&lt;b&gt;Casting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mythic creature&lt;/h5&gt;&lt;h5&gt;&lt;b&gt;Duration &lt;/b&gt;1 minute/level&lt;/h5&gt;&lt;h5&gt;&lt;b&gt;Saving Throw &lt;/b&gt;Will negates; &lt;b&gt;Spell Resistance &lt;/b&gt;yes&lt;/h5&gt;&lt;/div&gt;&lt;hr/&gt;&lt;div&gt;&lt;h5&gt;&lt;b&gt;DESCRIPTION&lt;/b&gt;&lt;/h5&gt;&lt;/div&gt;&lt;hr/&gt;&lt;div&gt;&lt;h4&gt;&lt;p&gt;The mythic power cost for all path abilities, feats, spells, and other effects used by the target increases by 1.&lt;/p&gt;&lt;/h4&gt;&lt;/div&gt;</t>
  </si>
  <si>
    <t>Deathless</t>
  </si>
  <si>
    <t>alchemist 4, cleric/oracle 4, inquisitor 4, sorcerer/wizard 4, witch 4</t>
  </si>
  <si>
    <t>The target's soul is strongly anchored to its body, preventing death from hit point damage. No matter how low the target's hit points get, it remains alive (though not necessarily conscious). This spell doesn't prevent death from sources other than hit point damage-such as Constitution damage or drain, death effects, or energy drain. Spells that cure hit points affect the creature normally.</t>
  </si>
  <si>
    <t>&lt;p&gt;The target's soul is strongly anchored to its body, preventing death from hit point damage. No matter how low the target's hit points get, it remains alive (though not necessarily conscious). This spell doesn't prevent death from sources other than hit point damage-such as Constitution damage or drain, death effects, or energy drain. Spells that cure hit points affect the creature normally.&lt;/p&gt;</t>
  </si>
  <si>
    <t>&lt;link rel="stylesheet"href="PF.css"&gt;&lt;div class="heading"&gt;&lt;p class="alignleft"&gt;Deathless&lt;/p&gt;&lt;div style="clear: both;"&gt;&lt;/div&gt;&lt;/div&gt;&lt;div&gt;&lt;h5&gt;&lt;b&gt;School &lt;/b&gt;necromancy; &lt;b&gt;Level &lt;/b&gt;alchemist 4, cleric/oracle 4, inquisitor 4, sorcerer/wizard 4, witch 4&lt;/h5&gt;&lt;/div&gt;&lt;hr/&gt;&lt;div&gt;&lt;h5&gt;&lt;b&gt;CASTING&lt;/b&gt;&lt;/h5&gt;&lt;/div&gt;&lt;hr/&gt;&lt;div&gt;&lt;h5&gt;&lt;b&gt;Casting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&lt;/b&gt;living creature touched&lt;/h5&gt;&lt;h5&gt;&lt;b&gt;Duration &lt;/b&gt;1 round/level&lt;/h5&gt;&lt;h5&gt;&lt;b&gt;Saving Throw &lt;/b&gt;Fortitude negates (harmless); &lt;b&gt;Spell Resistance &lt;/b&gt;yes (harmless)&lt;/h5&gt;&lt;/div&gt;&lt;hr/&gt;&lt;div&gt;&lt;h5&gt;&lt;b&gt;DESCRIPTION&lt;/b&gt;&lt;/h5&gt;&lt;/div&gt;&lt;hr/&gt;&lt;div&gt;&lt;h4&gt;&lt;p&gt;The target's soul is strongly anchored to its body, preventing death from hit point damage. No matter how low the target's hit points get, it remains alive (though not necessarily conscious). This spell doesn't prevent death from sources other than hit point damage-such as Constitution damage or drain, death effects, or energy drain. Spells that cure hit points affect the creature normally.&lt;/p&gt;&lt;/h4&gt;&lt;h5&gt;&lt;b&gt;Mythic: &lt;/b&gt;If you expend one use of mythic power when you cast the spell, you become an anchor for the souls of you and your cohorts. The range increases to 30 feet, and instead of affecting one creature, it affects all allies within a 30-foot-radius emanation centered on you.&lt;/h5&gt;&lt;h5&gt;&lt;b&gt;Augmented (8th)&lt;/b&gt;: If you expend three uses of mythic power, the range increases to 1 mile, and the area to a 1-mile-radius emanation centered on you.&lt;/h5&gt;&lt;/div&gt;</t>
  </si>
  <si>
    <t>If you expend one use of mythic power when you cast the spell, you become an anchor for the souls of you and your cohorts. The range increases to 30 feet, and instead of affecting one creature, it affects all allies within a 30-foot-radius emanation centered on you.</t>
  </si>
  <si>
    <t>Augmented (8th): If you expend three uses of mythic power, the range increases to 1 mile, and the area to a 1-mile-radius emanation centered on you.</t>
  </si>
  <si>
    <t>Lend Path</t>
  </si>
  <si>
    <t>bard 4, cleric/oracle 5, druid 5, magus 4, sorcerer/wizard 5, summoner 4, witch 5</t>
  </si>
  <si>
    <t>You temporarily transfer one of your mythic path abilities to another creature, which can use it as if it were part of the creature's own path. If the target is unable to expend mythic power, it can't activate any part of the ability that requires expending uses of mythic power, but the ability otherwise functions as if the creature were 1st tier. While your path ability is transferred in this way, you can't use it yourself (even if it's an automatic ability or one that doesn't require expending uses of mythic power).</t>
  </si>
  <si>
    <t>&lt;p&gt;You temporarily transfer one of your mythic path abilities to another creature, which can use it as if it were part of the creature's own path. If the target is unable to expend mythic power, it can't activate any part of the ability that requires expending uses of mythic power, but the ability otherwise functions as if the creature were 1st tier. While your path ability is transferred in this way, you can't use it yourself (even if it's an automatic ability or one that doesn't require expending uses of mythic power).&lt;/p&gt;</t>
  </si>
  <si>
    <t>&lt;link rel="stylesheet"href="PF.css"&gt;&lt;div class="heading"&gt;&lt;p class="alignleft"&gt;Lend Path&lt;/p&gt;&lt;div style="clear: both;"&gt;&lt;/div&gt;&lt;/div&gt;&lt;div&gt;&lt;h5&gt;&lt;b&gt;School &lt;/b&gt;transmutation; &lt;b&gt;Level &lt;/b&gt;bard 4, cleric/oracle 5, druid 5, magus 4, sorcerer/wizard 5, summoner 4, witch 5&lt;/h5&gt;&lt;/div&gt;&lt;hr/&gt;&lt;div&gt;&lt;h5&gt;&lt;b&gt;CASTING&lt;/b&gt;&lt;/h5&gt;&lt;/div&gt;&lt;hr/&gt;&lt;div&gt;&lt;h5&gt;&lt;b&gt;Casting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&lt;/b&gt;10 minutes/level (D)&lt;/h5&gt;&lt;h5&gt;&lt;b&gt;Saving Throw &lt;/b&gt;Will negates (harmless); &lt;b&gt;Spell Resistance &lt;/b&gt;yes (harmless)&lt;/h5&gt;&lt;/div&gt;&lt;hr/&gt;&lt;div&gt;&lt;h5&gt;&lt;b&gt;DESCRIPTION&lt;/b&gt;&lt;/h5&gt;&lt;/div&gt;&lt;hr/&gt;&lt;div&gt;&lt;h4&gt;&lt;p&gt;You temporarily transfer one of your mythic path abilities to another creature, which can use it as if it were part of the creature's own path. If the target is unable to expend mythic power, it can't activate any part of the ability that requires expending uses of mythic power, but the ability otherwise functions as if the creature were 1st tier. While your path ability is transferred in this way, you can't use it yourself (even if it's an automatic ability or one that doesn't require expending uses of mythic power).&lt;/p&gt;&lt;/h4&gt;&lt;/div&gt;</t>
  </si>
  <si>
    <t>Mythic Severance</t>
  </si>
  <si>
    <t>cleric/oracle 4, inquisitor 3, sorcerer/wizard 4, witch 4</t>
  </si>
  <si>
    <t>You restrict the target's access to its mythic power. Each time the target attempts to cast a mythic spell, expend mythic power to activate a path ability, or use any other effect that requires expending uses of mythic power, it must attempt a Will saving throw against the DC of this spell. If it fails this saving throw, the creature loses its action and the ability it was attempting to use has no effect. This spell has no effect on mythic abilities that don't require the target to expend mythic power.</t>
  </si>
  <si>
    <t>&lt;p&gt;You restrict the target's access to its mythic power. Each time the target attempts to cast a mythic spell, expend mythic power to activate a path ability, or use any other effect that requires expending uses of mythic power, it must attempt a Will saving throw against the DC of this spell. If it fails this saving throw, the creature loses its action and the ability it was attempting to use has no effect. This spell has no effect on mythic abilities that don't require the target to expend mythic power.&lt;/p&gt;</t>
  </si>
  <si>
    <t>&lt;link rel="stylesheet"href="PF.css"&gt;&lt;div class="heading"&gt;&lt;p class="alignleft"&gt;Mythic Severance&lt;/p&gt;&lt;div style="clear: both;"&gt;&lt;/div&gt;&lt;/div&gt;&lt;div&gt;&lt;h5&gt;&lt;b&gt;School &lt;/b&gt;necromancy [curse]; &lt;b&gt;Level &lt;/b&gt;cleric/oracle 4, inquisitor 3, sorcerer/wizard 4, witch 4&lt;/h5&gt;&lt;/div&gt;&lt;hr/&gt;&lt;div&gt;&lt;h5&gt;&lt;b&gt;CASTING&lt;/b&gt;&lt;/h5&gt;&lt;/div&gt;&lt;hr/&gt;&lt;div&gt;&lt;h5&gt;&lt;b&gt;Casting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creature&lt;/h5&gt;&lt;h5&gt;&lt;b&gt;Duration &lt;/b&gt;permanent&lt;/h5&gt;&lt;h5&gt;&lt;b&gt;Saving Throw &lt;/b&gt;Will negates; &lt;b&gt;Spell Resistance &lt;/b&gt;yes&lt;/h5&gt;&lt;/div&gt;&lt;hr/&gt;&lt;div&gt;&lt;h5&gt;&lt;b&gt;DESCRIPTION&lt;/b&gt;&lt;/h5&gt;&lt;/div&gt;&lt;hr/&gt;&lt;div&gt;&lt;h4&gt;&lt;p&gt;You restrict the target's access to its mythic power. Each time the target attempts to cast a mythic spell, expend mythic power to activate a path ability, or use any other effect that requires expending uses of mythic power, it must attempt a Will saving throw against the DC of this spell. If it fails this saving throw, the creature loses its action and the ability it was attempting to use has no effect. This spell has no effect on mythic abilities that don't require the target to expend mythic power.&lt;/p&gt;&lt;/h4&gt;&lt;/div&gt;</t>
  </si>
  <si>
    <t>Restore Mythic Power</t>
  </si>
  <si>
    <t>you and one mythic creature</t>
  </si>
  <si>
    <t>By laying your hands on the target, you're able to transfer some of your mythic essence to the target. You expend three uses of your mythic power to restore one use of the target's mythic power.</t>
  </si>
  <si>
    <t>&lt;p&gt;By laying your hands on the target, you're able to transfer some of your mythic essence to the target. You expend three uses of your mythic power to restore one use of the target's mythic power.&lt;/p&gt;</t>
  </si>
  <si>
    <t>&lt;link rel="stylesheet"href="PF.css"&gt;&lt;div class="heading"&gt;&lt;p class="alignleft"&gt;Restore Mythic Power&lt;/p&gt;&lt;div style="clear: both;"&gt;&lt;/div&gt;&lt;/div&gt;&lt;div&gt;&lt;h5&gt;&lt;b&gt;School &lt;/b&gt;transmutation; &lt;b&gt;Level &lt;/b&gt;bard 3, cleric/oracle 3, sorcerer/wizard 3, witch 3&lt;/h5&gt;&lt;/div&gt;&lt;hr/&gt;&lt;div&gt;&lt;h5&gt;&lt;b&gt;CASTING&lt;/b&gt;&lt;/h5&gt;&lt;/div&gt;&lt;hr/&gt;&lt;div&gt;&lt;h5&gt;&lt;b&gt;Casting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&lt;/b&gt;you and one mythic creature&lt;/h5&gt;&lt;h5&gt;&lt;b&gt;Duration &lt;/b&gt;instantaneous&lt;/h5&gt;&lt;h5&gt;&lt;b&gt;Saving Throw &lt;/b&gt;Will negates (harmless); &lt;b&gt;Spell Resistance &lt;/b&gt;yes (harmless)&lt;/h5&gt;&lt;/div&gt;&lt;hr/&gt;&lt;div&gt;&lt;h5&gt;&lt;b&gt;DESCRIPTION&lt;/b&gt;&lt;/h5&gt;&lt;/div&gt;&lt;hr/&gt;&lt;div&gt;&lt;h4&gt;&lt;p&gt;By laying your hands on the target, you're able to transfer some of your mythic essence to the target. You expend three uses of your mythic power to restore one use of the target's mythic power.&lt;/p&gt;&lt;/h4&gt;&lt;/div&gt;</t>
  </si>
  <si>
    <t>Share Glory</t>
  </si>
  <si>
    <t>bard 2, cleric/oracle 3, druid 3, sorcerer/wizard 3, summoner 2, witch 3</t>
  </si>
  <si>
    <t>You imbue the targets with a fraction of your mythic nature. They count as mythic creatures for the purpose of path abilities, spells, and other effects that function differently for mythic creatures. This doesn't grant the targets mythic tiers or any uses of mythic power; it merely gives them a greater advantage when others use abilities that work differently for mythic creatures. You must be at least a 1st-tier mythic character to cast this spell.</t>
  </si>
  <si>
    <t>&lt;p&gt;You imbue the targets with a fraction of your mythic nature. They count as mythic creatures for the purpose of path abilities, spells, and other effects that function differently for mythic creatures. This doesn't grant the targets mythic tiers or any uses of mythic power; it merely gives them a greater advantage when others use abilities that work differently for mythic creatures. You must be at least a 1st-tier mythic character to cast this spell.&lt;/p&gt;</t>
  </si>
  <si>
    <t>&lt;link rel="stylesheet"href="PF.css"&gt;&lt;div class="heading"&gt;&lt;p class="alignleft"&gt;Share Glory&lt;/p&gt;&lt;div style="clear: both;"&gt;&lt;/div&gt;&lt;/div&gt;&lt;div&gt;&lt;h5&gt;&lt;b&gt;School &lt;/b&gt;transmutation; &lt;b&gt;Level &lt;/b&gt;bard 2, cleric/oracle 3, druid 3, sorcerer/wizard 3, summoner 2, witch 3&lt;/h5&gt;&lt;/div&gt;&lt;hr/&gt;&lt;div&gt;&lt;h5&gt;&lt;b&gt;CASTING&lt;/b&gt;&lt;/h5&gt;&lt;/div&gt;&lt;hr/&gt;&lt;div&gt;&lt;h5&gt;&lt;b&gt;Casting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non-mythic creature/3 levels&lt;/h5&gt;&lt;h5&gt;&lt;b&gt;Duration &lt;/b&gt;1 minute/level&lt;/h5&gt;&lt;h5&gt;&lt;b&gt;Saving Throw &lt;/b&gt;Will negates (harmless); &lt;b&gt;Spell Resistance &lt;/b&gt;yes (harmless)&lt;/h5&gt;&lt;/div&gt;&lt;hr/&gt;&lt;div&gt;&lt;h5&gt;&lt;b&gt;DESCRIPTION&lt;/b&gt;&lt;/h5&gt;&lt;/div&gt;&lt;hr/&gt;&lt;div&gt;&lt;h4&gt;&lt;p&gt;You imbue the targets with a fraction of your mythic nature. They count as mythic creatures for the purpose of path abilities, spells, and other effects that function differently for mythic creatures. This doesn't grant the targets mythic tiers or any uses of mythic power; it merely gives them a greater advantage when others use abilities that work differently for mythic creatures. You must be at least a 1st-tier mythic character to cast this spell.&lt;/p&gt;&lt;/h4&gt;&lt;/div&gt;</t>
  </si>
  <si>
    <t>Steal Power</t>
  </si>
  <si>
    <t>cleric/oracle 5, sorcerer/wizard 5, witch 5</t>
  </si>
  <si>
    <t>You sap the power from a mythic creature, using it to restore your own. The target loses 1d4 uses of mythic power. If you have the ability to expend mythic power, you regain one use for each use the target loses.</t>
  </si>
  <si>
    <t>&lt;p&gt;You sap the power from a mythic creature, using it to restore your own. The target loses 1d4 uses of mythic power. If you have the ability to expend mythic power, you regain one use for each use the target loses.&lt;/p&gt;</t>
  </si>
  <si>
    <t>&lt;link rel="stylesheet"href="PF.css"&gt;&lt;div class="heading"&gt;&lt;p class="alignleft"&gt;Steal Power&lt;/p&gt;&lt;div style="clear: both;"&gt;&lt;/div&gt;&lt;/div&gt;&lt;div&gt;&lt;h5&gt;&lt;b&gt;School &lt;/b&gt;necromancy; &lt;b&gt;Level &lt;/b&gt;cleric/oracle 5, sorcerer/wizard 5, witch 5&lt;/h5&gt;&lt;/div&gt;&lt;hr/&gt;&lt;div&gt;&lt;h5&gt;&lt;b&gt;CASTING&lt;/b&gt;&lt;/h5&gt;&lt;/div&gt;&lt;hr/&gt;&lt;div&gt;&lt;h5&gt;&lt;b&gt;Casting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mythic creature&lt;/h5&gt;&lt;h5&gt;&lt;b&gt;Duration &lt;/b&gt;instantaneous&lt;/h5&gt;&lt;h5&gt;&lt;b&gt;Saving Throw &lt;/b&gt;Will negates; &lt;b&gt;Spell Resistance &lt;/b&gt;yes&lt;/h5&gt;&lt;/div&gt;&lt;hr/&gt;&lt;div&gt;&lt;h5&gt;&lt;b&gt;DESCRIPTION&lt;/b&gt;&lt;/h5&gt;&lt;/div&gt;&lt;hr/&gt;&lt;div&gt;&lt;h4&gt;&lt;p&gt;You sap the power from a mythic creature, using it to restore your own. The target loses 1d4 uses of mythic power. If you have the ability to expend mythic power, you regain one use for each use the target loses.&lt;/p&gt;&lt;/h4&gt;&lt;/div&gt;</t>
  </si>
  <si>
    <t>Terraform</t>
  </si>
  <si>
    <t>cleric/oracle 7, druid 6, sorcerer/wizard 7, witch 7</t>
  </si>
  <si>
    <t>V, S, M (10,000 gp worth of precious minerals, see text)</t>
  </si>
  <si>
    <t>100 feet</t>
  </si>
  <si>
    <t>100-foot-radius emanation, centered on you</t>
  </si>
  <si>
    <t>1 day/level (see text)</t>
  </si>
  <si>
    <t>You alter the area's terrain and climate to a new terrain and climate type appropriate to the planet or plane. For example, you might transform a desert to plains. To cast this spell, you must expend 10 uses of mythic power along with the material cost. This magically alters the area's climate and normal plants to those appropriate to the new terrain, but doesn't affect creatures or the configuration of the earth. Transforming rocky hills into forested areas converts grasses into shrubs and small trees, but doesn't flatten the hills or change the animals to suit the new environment. You can alter the climate by one step (warm, temperate, or cold). The maximum extent of the terrain change is up to the GM, but in general is to a similar terrain type or one step within that terrain type (such as from a typical forest to a forest with massive trees or light undergrowth, from a shallow bog to a deep bog, and so on). You might be able to shift the land to a similar terrain type, such as turning a sparse forest into a relatively dry swamp. Local creatures adversely affected by these alterations either flee the area or quickly die, depending on their mobility and awareness of the change. Multiple castings of the spell in the same area can create an area with radically different terrain and climate than the surrounding land. The GM can decide that certain terrain shifts are unsustainable and shorten the duration, or that some are suitable for the area and extend the duration. This spell could have many secondary effects based on the nature of the change, the type of bordering terrain, and so on; these should be determined by the GM on a case-by-case basis. For example, transforming a desert requires drawing water up from underground to sustain the plants, which could deplete the water table in nearby areas. Creating a warm desert in the middle of a snowy tundra will create a bordering area of mud and frequent storms from the clash of hot and cold air fronts. If you're at least 8th tier, you can expend 20 uses of mythic power instead of 10 to increase the range to 1 mile, the area to a 1-mile-radius emanation centered on you, and the duration to 1 month per caster level.</t>
  </si>
  <si>
    <t>&lt;p&gt;You alter the area's terrain and climate to a new terrain and climate type appropriate to the planet or plane. For example, you might transform a desert to plains. To cast this spell, you must expend 10 uses of mythic power along with the material cost. This magically alters the area's climate and normal plants to those appropriate to the new terrain, but doesn't affect creatures or the configuration of the earth. Transforming rocky hills into forested areas converts grasses into shrubs and small trees, but doesn't flatten the hills or change the animals to suit the new environment. You can alter the climate by one step (warm, temperate, or cold). The maximum extent of the terrain change is up to the GM, but in general is to a similar terrain type or one step within that terrain type (such as from a typical forest to a forest with massive trees or light undergrowth, from a shallow bog to a deep bog, and so on). You might be able to shift the land to a similar terrain type, such as turning a sparse forest into a relatively dry swamp. Local creatures adversely affected by these alterations either flee the area or quickly die, depending on their mobility and awareness of the change. Multiple castings of the spell in the same area can create an area with radically different terrain and climate than the surrounding land. The GM can decide that certain terrain shifts are unsustainable and shorten the duration, or that some are suitable for the area and extend the duration. This spell could have many secondary effects based on the nature of the change, the type of bordering terrain, and so on; these should be determined by the GM on a case-by-case basis. For example, transforming a desert requires drawing water up from underground to sustain the plants, which could deplete the water table in nearby areas. Creating a warm desert in the middle of a snowy tundra will create a bordering area of mud and frequent storms from the clash of hot and cold air fronts. If you're at least 8th tier, you can expend 20 uses of mythic power instead of 10 to increase the range to 1 mile, the area to a 1-mile-radius emanation centered on you, and the duration to 1 month per caster level.&lt;/p&gt;</t>
  </si>
  <si>
    <t>&lt;link rel="stylesheet"href="PF.css"&gt;&lt;div class="heading"&gt;&lt;p class="alignleft"&gt;Terraform&lt;/p&gt;&lt;div style="clear: both;"&gt;&lt;/div&gt;&lt;/div&gt;&lt;div&gt;&lt;h5&gt;&lt;b&gt;School &lt;/b&gt;transmutation; &lt;b&gt;Level &lt;/b&gt;cleric/oracle 7, druid 6, sorcerer/wizard 7, witch 7&lt;/h5&gt;&lt;/div&gt;&lt;hr/&gt;&lt;div&gt;&lt;h5&gt;&lt;b&gt;CASTING&lt;/b&gt;&lt;/h5&gt;&lt;/div&gt;&lt;hr/&gt;&lt;div&gt;&lt;h5&gt;&lt;b&gt;Casting Time &lt;/b&gt;1 hour&lt;/h5&gt;&lt;h5&gt;&lt;b&gt;Components &lt;/b&gt;V, S, M (10,000 gp worth of precious minerals, see text)&lt;/h5&gt;&lt;/div&gt;&lt;hr/&gt;&lt;div&gt;&lt;h5&gt;&lt;b&gt;EFFECT&lt;/b&gt;&lt;/h5&gt;&lt;/div&gt;&lt;hr/&gt;&lt;div&gt;&lt;h5&gt;&lt;b&gt;Range &lt;/b&gt;100 feet&lt;/h5&gt;&lt;h5&gt;&lt;b&gt;Area &lt;/b&gt;100-foot-radius emanation, centered on you&lt;/h5&gt;&lt;h5&gt;&lt;b&gt;Duration &lt;/b&gt;1 day/level (see text)&lt;/h5&gt;&lt;h5&gt;&lt;b&gt;Saving Throw &lt;/b&gt;none; &lt;b&gt;Spell Resistance &lt;/b&gt;no&lt;/h5&gt;&lt;/div&gt;&lt;hr/&gt;&lt;div&gt;&lt;h5&gt;&lt;b&gt;DESCRIPTION&lt;/b&gt;&lt;/h5&gt;&lt;/div&gt;&lt;hr/&gt;&lt;div&gt;&lt;h4&gt;&lt;p&gt;You alter the area's terrain and climate to a new terrain and climate type appropriate to the planet or plane. For example, you might transform a desert to plains. To cast this spell, you must expend 10 uses of mythic power along with the material cost. This magically alters the area's climate and normal plants to those appropriate to the new terrain, but doesn't affect creatures or the configuration of the earth. Transforming rocky hills into forested areas converts grasses into shrubs and small trees, but doesn't flatten the hills or change the animals to suit the new environment. You can alter the climate by one step (warm, temperate, or cold). The maximum extent of the terrain change is up to the GM, but in general is to a similar terrain type or one step within that terrain type (such as from a typical forest to a forest with massive trees or light undergrowth, from a shallow bog to a deep bog, and so on). You might be able to shift the land to a similar terrain type, such as turning a sparse forest into a relatively dry swamp. Local creatures adversely affected by these alterations either flee the area or quickly die, depending on their mobility and awareness of the change. Multiple castings of the spell in the same area can create an area with radically different terrain and climate than the surrounding land. The GM can decide that certain terrain shifts are unsustainable and shorten the duration, or that some are suitable for the area and extend the duration. This spell could have many secondary effects based on the nature of the change, the type of bordering terrain, and so on; these should be determined by the GM on a case-by-case basis. For example, transforming a desert requires drawing water up from underground to sustain the plants, which could deplete the water table in nearby areas. Creating a warm desert in the middle of a snowy tundra will create a bordering area of mud and frequent storms from the clash of hot and cold air fronts. If you're at least 8th tier, you can expend 20 uses of mythic power instead of 10 to increase the range to 1 mile, the area to a 1-mile-radius emanation centered on you, and the duration to 1 month per caster level.&lt;/p&gt;&lt;/h4&gt;&lt;/div&gt;</t>
  </si>
  <si>
    <t>Apparent Treachery</t>
  </si>
  <si>
    <t>bard 3, inquisitor 3, sorcerer/wizard 4</t>
  </si>
  <si>
    <t>You shroud a number of creatures in an aura of suspicion and fill them with extreme paranoia regarding their allies. Affected targets believe their companions are behaving erratically, nervously, and seemingly with an eye towards betrayal. Creatures under the effect of apparent treachery do not have allies and are not considered to be an ally to any other creature, including other creatures affected by this spell. They cannot move freely through their allies' spaces, flank creatures with them, cooperate with them using teamwork feats, or give or receive benefits from the aid another action or any spells or effect that affects only allies. If creatures affected by this spell are able to take attacks of opportunity, they always do so against provoking opponents, including those who were their allies before being affected by this spell. A creature not under the effects of the spell who is trying to cast a spell against an affected target must succeed at an attack roll to touch the target, even if the spell is harmless, though the affected creature is not forced to attempt saving throws against harmless effects.</t>
  </si>
  <si>
    <t>&lt;p&gt;You shroud a number of creatures in an aura of suspicion and fill them with extreme paranoia regarding their allies. Affected targets believe their companions are behaving erratically, nervously, and seemingly with an eye towards betrayal. Creatures under the effect of &lt;i&gt;apparent treachery&lt;/i&gt; do not have allies and are not considered to be an ally to any other creature, including other creatures affected by this spell. They cannot move freely through their allies' spaces, flank creatures with them, cooperate with them using teamwork feats, or give or receive benefits from the aid another action or any spells or effect that affects only allies. If creatures affected by this spell are able to take attacks of opportunity, they always do so against provoking opponents, including those who were their allies before being affected by this spell. A creature not under the effects of the spell who is trying to cast a spell against an affected target must succeed at an attack roll to touch the target, even if the spell is harmless, though the affected creature is not forced to attempt saving throws against harmless effects.&lt;/p&gt;</t>
  </si>
  <si>
    <t>AP 74</t>
  </si>
  <si>
    <t>&lt;link rel="stylesheet"href="PF.css"&gt;&lt;div class="heading"&gt;&lt;p class="alignleft"&gt;Apparent Treachery&lt;/p&gt;&lt;div style="clear: both;"&gt;&lt;/div&gt;&lt;/div&gt;&lt;div&gt;&lt;h5&gt;&lt;b&gt;School &lt;/b&gt;enchantment (compulsion) [mind-affecting]; &lt;b&gt;Level &lt;/b&gt;bard 3, inquisitor 3, sorcerer/wizard 4&lt;/h5&gt;&lt;/div&gt;&lt;hr/&gt;&lt;div&gt;&lt;h5&gt;&lt;b&gt;CASTING&lt;/b&gt;&lt;/h5&gt;&lt;/div&gt;&lt;hr/&gt;&lt;div&gt;&lt;h5&gt;&lt;b&gt;Casting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creature/level, no two of which can be more than 30 ft. apart&lt;/h5&gt;&lt;h5&gt;&lt;b&gt;Duration &lt;/b&gt;1 round/level (D)&lt;/h5&gt;&lt;h5&gt;&lt;b&gt;Saving Throw &lt;/b&gt;Will negates; &lt;b&gt;Spell Resistance &lt;/b&gt;yes&lt;/h5&gt;&lt;/div&gt;&lt;hr/&gt;&lt;div&gt;&lt;h5&gt;&lt;b&gt;DESCRIPTION&lt;/b&gt;&lt;/h5&gt;&lt;/div&gt;&lt;hr/&gt;&lt;div&gt;&lt;h4&gt;&lt;p&gt;You shroud a number of creatures in an aura of suspicion and fill them with extreme paranoia regarding their allies. Affected targets believe their companions are behaving erratically, nervously, and seemingly with an eye towards betrayal. Creatures under the effect of &lt;i&gt;apparent treachery&lt;/i&gt; do not have allies and are not considered to be an ally to any other creature, including other creatures affected by this spell. They cannot move freely through their allies' spaces, flank creatures with them, cooperate with them using teamwork feats, or give or receive benefits from the aid another action or any spells or effect that affects only allies. If creatures affected by this spell are able to take attacks of opportunity, they always do so against provoking opponents, including those who were their allies before being affected by this spell. A creature not under the effects of the spell who is trying to cast a spell against an affected target must succeed at an attack roll to touch the target, even if the spell is harmless, though the affected creature is not forced to attempt saving throws against harmless effects.&lt;/p&gt;&lt;/h4&gt;&lt;/div&gt;</t>
  </si>
  <si>
    <t>Film Of Filth</t>
  </si>
  <si>
    <t>cleric/oracle 4, druid 4, ranger 3, sorcerer/wizard 4</t>
  </si>
  <si>
    <t>You cause the target's flesh to exude a layer of putrescent slime so foul that the target is sickened (Fortitude negates) for the duration of the spell and for 1d4 rounds thereafter. All creatures within 20 feet also become sickened (Fortitude negates), and remain sickened for as long as they remain within 20 feet of the target and for 1d4 rounds thereafter. A creature that strikes the target with a bite attack must succeed at an additional save or become nauseated for 1d4 rounds. Creatures immune to poison are unaffected.</t>
  </si>
  <si>
    <t>&lt;p&gt;You cause the target's flesh to exude a layer of putrescent slime so foul that the target is sickened (Fortitude negates) for the duration of the spell and for 1d4 rounds thereafter. All creatures within 20 feet also become sickened (Fortitude negates), and remain sickened for as long as they remain within 20 feet of the target and for 1d4 rounds thereafter. A creature that strikes the target with a bite attack must succeed at an additional save or become nauseated for 1d4 rounds. Creatures immune to poison are unaffected.&lt;/p&gt;</t>
  </si>
  <si>
    <t>&lt;link rel="stylesheet"href="PF.css"&gt;&lt;div class="heading"&gt;&lt;p class="alignleft"&gt;Film Of Filth&lt;/p&gt;&lt;div style="clear: both;"&gt;&lt;/div&gt;&lt;/div&gt;&lt;div&gt;&lt;h5&gt;&lt;b&gt;School &lt;/b&gt;transmutation [poison]; &lt;b&gt;Level &lt;/b&gt;cleric/oracle 4, druid 4, ranger 3, sorcerer/wizard 4&lt;/h5&gt;&lt;/div&gt;&lt;hr/&gt;&lt;div&gt;&lt;h5&gt;&lt;b&gt;CASTING&lt;/b&gt;&lt;/h5&gt;&lt;/div&gt;&lt;hr/&gt;&lt;div&gt;&lt;h5&gt;&lt;b&gt;Casting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&lt;/b&gt;creature touched&lt;/h5&gt;&lt;h5&gt;&lt;b&gt;Duration &lt;/b&gt;1 round/level (D)&lt;/h5&gt;&lt;h5&gt;&lt;b&gt;Saving Throw &lt;/b&gt;Fortitude negates; &lt;b&gt;Spell Resistance &lt;/b&gt;yes&lt;/h5&gt;&lt;/div&gt;&lt;hr/&gt;&lt;div&gt;&lt;h5&gt;&lt;b&gt;DESCRIPTION&lt;/b&gt;&lt;/h5&gt;&lt;/div&gt;&lt;hr/&gt;&lt;div&gt;&lt;h4&gt;&lt;p&gt;You cause the target's flesh to exude a layer of putrescent slime so foul that the target is sickened (Fortitude negates) for the duration of the spell and for 1d4 rounds thereafter. All creatures within 20 feet also become sickened (Fortitude negates), and remain sickened for as long as they remain within 20 feet of the target and for 1d4 rounds thereafter. A creature that strikes the target with a bite attack must succeed at an additional save or become nauseated for 1d4 rounds. Creatures immune to poison are unaffected.&lt;/p&gt;&lt;/h4&gt;&lt;/div&gt;</t>
  </si>
  <si>
    <t>Lightning Lash</t>
  </si>
  <si>
    <t>cleric/oracle 3, inquisitor 3, ranger 2, witch 3</t>
  </si>
  <si>
    <t>20-foot-radius spread</t>
  </si>
  <si>
    <t>You create a crackling lash of unholy lightning that flickers and flashes in your hand like a whip, shifting color in response to your mood and will. Once per round, you can make a melee touch attack with the lightning lash against a target within 15 feet. If the attack is successful, it deals 1d6 points of electricity damage and 1d6 points of damage from divine power (similar to flame strike), and allows you to attempt a trip combat maneuver check as a free action against your target (using your caster level as your CMB).</t>
  </si>
  <si>
    <t>&lt;p&gt;You create a crackling lash of unholy lightning that flickers and flashes in your hand like a whip, shifting color in response to your mood and will. Once per round, you can make a melee touch attack with the &lt;i&gt;lightning lash&lt;/i&gt; against a target within 15 feet. If the attack is successful, it deals 1d6 points of electricity damage and 1d6 points of damage from divine power (similar to &lt;i&gt;flame&lt;/i&gt; strike), and allows you to attempt a trip combat maneuver check as a free action against your target (using your caster level as your CMB).&lt;/p&gt;</t>
  </si>
  <si>
    <t>&lt;link rel="stylesheet"href="PF.css"&gt;&lt;div class="heading"&gt;&lt;p class="alignleft"&gt;Lightning Lash&lt;/p&gt;&lt;div style="clear: both;"&gt;&lt;/div&gt;&lt;/div&gt;&lt;div&gt;&lt;h5&gt;&lt;b&gt;School &lt;/b&gt;evocation [electricity]; &lt;b&gt;Level &lt;/b&gt;cleric/oracle 3, inquisitor 3, ranger 2, witch 3&lt;/h5&gt;&lt;/div&gt;&lt;hr/&gt;&lt;div&gt;&lt;h5&gt;&lt;b&gt;CASTING&lt;/b&gt;&lt;/h5&gt;&lt;/div&gt;&lt;hr/&gt;&lt;div&gt;&lt;h5&gt;&lt;b&gt;Casting Time &lt;/b&gt;1 standard action&lt;/h5&gt;&lt;h5&gt;&lt;b&gt;Components &lt;/b&gt;V, S&lt;/h5&gt;&lt;/div&gt;&lt;hr/&gt;&lt;div&gt;&lt;h5&gt;&lt;b&gt;EFFECT&lt;/b&gt;&lt;/h5&gt;&lt;/div&gt;&lt;hr/&gt;&lt;div&gt;&lt;h5&gt;&lt;b&gt;Range &lt;/b&gt;personal&lt;/h5&gt;&lt;h5&gt;&lt;b&gt;Area &lt;/b&gt;20-foot-radius spread&lt;/h5&gt;&lt;h5&gt;&lt;b&gt;Duration &lt;/b&gt;1 round/level (D)&lt;/h5&gt;&lt;h5&gt;&lt;b&gt;Saving Throw &lt;/b&gt;Fortitude negates (harmless); &lt;b&gt;Spell Resistance &lt;/b&gt;yes&lt;/h5&gt;&lt;/div&gt;&lt;hr/&gt;&lt;div&gt;&lt;h5&gt;&lt;b&gt;DESCRIPTION&lt;/b&gt;&lt;/h5&gt;&lt;/div&gt;&lt;hr/&gt;&lt;div&gt;&lt;h4&gt;&lt;p&gt;You create a crackling lash of unholy lightning that flickers and flashes in your hand like a whip, shifting color in response to your mood and will. Once per round, you can make a melee touch attack with the &lt;i&gt;lightning lash&lt;/i&gt; against a target within 15 feet. If the attack is successful, it deals 1d6 points of electricity damage and 1d6 points of damage from divine power (similar to &lt;i&gt;flame&lt;/i&gt; strike), and allows you to attempt a trip combat maneuver check as a free action against your target (using your caster level as your CMB).&lt;/p&gt;&lt;/h4&gt;&lt;/div&gt;</t>
  </si>
  <si>
    <t>Maw Of Chaos</t>
  </si>
  <si>
    <t>V, S, F/DF (a gold-plated, cold iron ring that was forged in the Abyss)</t>
  </si>
  <si>
    <t>5-foot-radius spread</t>
  </si>
  <si>
    <t>concentration (maximum 1 round/level)</t>
  </si>
  <si>
    <t>This spell creates a rip in reality that plunges into the interspatial vortices that constantly churn with the raw destructive chaos of the Abyss. Each round at the beginning of your turn, the maw of chaos attempts a drag combat maneuver check against every creature within 40 feet, using your caster level plus your primary spellcasting ability modifier in place of a CMB. If a creature is dragged into a maw of chaos, the area erupts in a surge of chaotic energy and the creature takes 1d6 points of damage per caster level. Only one such eruption can occur per round. Creatures dragged adjacent to the maw of chaos become entangled by the frayed strands of reality being torn apart at the rim of the maw of chaos. Escape requires a successful Escape Artist check or grapple check against a DC equal to 10 plus the spell's save DC. Every creature without the chaotic subtype that ends its turn adjacent to a maw of chaos takes 2 points of damage to each ability score. Creatures with the lawful subtype take double this amount of damage; creatures with the chaotic subtype take no damage. Calling, summoning, and teleportation effects used within 30 feet of the maw of chaos or that cause a creature to appear within 30 feet of a maw of chaos are redirected, causing the creature to arrive adjacent to the maw of chaos rather than at its intended destination. Unattended objects (including dead bodies) adjacent to the maw of chaos are drawn into it and affected as by disintegrate at the beginning of the caster's next turn.</t>
  </si>
  <si>
    <t>&lt;p&gt;This spell creates a rip in reality that plunges into the interspatial vortices that constantly churn with the raw destructive chaos of the Abyss. Each round at the beginning of your turn, the &lt;i&gt;maw of chaos&lt;/i&gt; attempts a drag combat maneuver check against every creature within 40 feet, using your caster level plus your primary spellcasting ability modifier in place of a CMB. If a creature is dragged into a &lt;i&gt;maw of chaos&lt;/i&gt;, the area erupts in a surge of chaotic energy and the creature takes 1d6 points of damage per caster level. Only one such eruption can occur per round. Creatures dragged adjacent to the &lt;i&gt;maw of chaos&lt;/i&gt; become entangled by the frayed strands of reality being torn apart at the rim of the &lt;i&gt;maw of chaos&lt;/i&gt;. Escape requires a successful Escape Artist check or grapple check against a DC equal to 10 plus the spell's save DC. Every creature without the chaotic subtype that ends its turn adjacent to a &lt;i&gt;maw of chaos&lt;/i&gt; takes 2 points of damage to each ability score. Creatures with the lawful subtype take double this amount of damage; creatures with the chaotic subtype take no damage. Calling, summoning, and teleportation effects used within 30 feet of the &lt;i&gt;maw of chaos&lt;/i&gt; or that cause a creature to appear within 30 feet of a &lt;i&gt;maw of chaos&lt;/i&gt; are redirected, causing the creature to arrive adjacent to the &lt;i&gt;maw of chaos&lt;/i&gt; rather than at its intended destination. Unattended objects (including dead bodies) adjacent to the &lt;i&gt;maw of chaos&lt;/i&gt; are drawn into it and affected as by &lt;i&gt;disintegrate&lt;/i&gt; at the beginning of the caster's next turn.&lt;/p&gt;</t>
  </si>
  <si>
    <t>&lt;link rel="stylesheet"href="PF.css"&gt;&lt;div class="heading"&gt;&lt;p class="alignleft"&gt;Maw Of Chaos&lt;/p&gt;&lt;div style="clear: both;"&gt;&lt;/div&gt;&lt;/div&gt;&lt;div&gt;&lt;h5&gt;&lt;b&gt;School &lt;/b&gt;conjuration (teleportation) [chaotic]; &lt;b&gt;Level &lt;/b&gt;cleric/oracle 8, sorcerer/wizard 8&lt;/h5&gt;&lt;/div&gt;&lt;hr/&gt;&lt;div&gt;&lt;h5&gt;&lt;b&gt;CASTING&lt;/b&gt;&lt;/h5&gt;&lt;/div&gt;&lt;hr/&gt;&lt;div&gt;&lt;h5&gt;&lt;b&gt;Casting Time &lt;/b&gt;1 standard action&lt;/h5&gt;&lt;h5&gt;&lt;b&gt;Components &lt;/b&gt;V, S, F/DF (a gold-plated, cold iron ring that was forged in the Abyss)&lt;/h5&gt;&lt;/div&gt;&lt;hr/&gt;&lt;div&gt;&lt;h5&gt;&lt;b&gt;EFFECT&lt;/b&gt;&lt;/h5&gt;&lt;/div&gt;&lt;hr/&gt;&lt;div&gt;&lt;h5&gt;&lt;b&gt;Range &lt;/b&gt;close (25 ft. + 5 ft./2 levels)&lt;/h5&gt;&lt;h5&gt;&lt;b&gt;Area &lt;/b&gt;5-foot-radius spread&lt;/h5&gt;&lt;h5&gt;&lt;b&gt;Duration &lt;/b&gt;concentration (maximum 1 round/level)&lt;/h5&gt;&lt;h5&gt;&lt;b&gt;Saving Throw &lt;/b&gt;see text; &lt;b&gt;Spell Resistance &lt;/b&gt;yes; see text&lt;/h5&gt;&lt;/div&gt;&lt;hr/&gt;&lt;div&gt;&lt;h5&gt;&lt;b&gt;DESCRIPTION&lt;/b&gt;&lt;/h5&gt;&lt;/div&gt;&lt;hr/&gt;&lt;div&gt;&lt;h4&gt;&lt;p&gt;This spell creates a rip in reality that plunges into the interspatial vortices that constantly churn with the raw destructive chaos of the Abyss. Each round at the beginning of your turn, the &lt;i&gt;maw of chaos&lt;/i&gt; attempts a drag combat maneuver check against every creature within 40 feet, using your caster level plus your primary spellcasting ability modifier in place of a CMB. If a creature is dragged into a &lt;i&gt;maw of chaos&lt;/i&gt;, the area erupts in a surge of chaotic energy and the creature takes 1d6 points of damage per caster level. Only one such eruption can occur per round. Creatures dragged adjacent to the &lt;i&gt;maw of chaos&lt;/i&gt; become entangled by the frayed strands of reality being torn apart at the rim of the &lt;i&gt;maw of chaos&lt;/i&gt;. Escape requires a successful Escape Artist check or grapple check against a DC equal to 10 plus the spell's save DC. Every creature without the chaotic subtype that ends its turn adjacent to a &lt;i&gt;maw of chaos&lt;/i&gt; takes 2 points of damage to each ability score. Creatures with the lawful subtype take double this amount of damage; creatures with the chaotic subtype take no damage. Calling, summoning, and teleportation effects used within 30 feet of the &lt;i&gt;maw of chaos&lt;/i&gt; or that cause a creature to appear within 30 feet of a &lt;i&gt;maw of chaos&lt;/i&gt; are redirected, causing the creature to arrive adjacent to the &lt;i&gt;maw of chaos&lt;/i&gt; rather than at its intended destination. Unattended objects (including dead bodies) adjacent to the &lt;i&gt;maw of chaos&lt;/i&gt; are drawn into it and affected as by &lt;i&gt;disintegrate&lt;/i&gt; at the beginning of the caster's next turn.&lt;/p&gt;&lt;/h4&gt;&lt;/div&gt;</t>
  </si>
  <si>
    <t>Summon Greater Demon</t>
  </si>
  <si>
    <t>cleric/oracle 9, sorcerer/wizard 9, witch 9</t>
  </si>
  <si>
    <t>This spell functions like summon monster, except it allows you to summon a single coloxus (Pathfinder RPG Bestiary 3 72), an omox demon (Pathfinder RPG Bestiary 2 79), or 1d3 kalavakus demons (Bestiary 2 78).</t>
  </si>
  <si>
    <t>&lt;p&gt;This spell functions like &lt;i&gt;summon monster&lt;/i&gt;, except it allows you to summon a single coloxus (&lt;i&gt;Pathfinder RPG Bestiary 3&lt;/i&gt; 72), an omox demon (&lt;i&gt;Pathfinder RPG &lt;i&gt;Bestiary 2&lt;/i&gt;&lt;/i&gt; 79), or 1d3 kalavakus demons (&lt;i&gt;Bestiary 2&lt;/i&gt; 78).&lt;/p&gt;</t>
  </si>
  <si>
    <t>&lt;link rel="stylesheet"href="PF.css"&gt;&lt;div class="heading"&gt;&lt;p class="alignleft"&gt;Summon Greater Demon&lt;/p&gt;&lt;div style="clear: both;"&gt;&lt;/div&gt;&lt;/div&gt;&lt;div&gt;&lt;h5&gt;&lt;b&gt;School &lt;/b&gt;conjuration (summoning) [chaotic, evil]; &lt;b&gt;Level &lt;/b&gt;cleric/oracle 9, sorcerer/wizard 9, witch 9&lt;/h5&gt;&lt;/div&gt;&lt;hr/&gt;&lt;div&gt;&lt;h5&gt;&lt;b&gt;CASTING&lt;/b&gt;&lt;/h5&gt;&lt;/div&gt;&lt;hr/&gt;&lt;div&gt;&lt;h5&gt;&lt;b&gt;Casting Time &lt;/b&gt;1 round&lt;/h5&gt;&lt;h5&gt;&lt;b&gt;Components &lt;/b&gt;V, S, F/DF (a tiny bag and a small candle)&lt;/h5&gt;&lt;/div&gt;&lt;hr/&gt;&lt;div&gt;&lt;h5&gt;&lt;b&gt;EFFECT&lt;/b&gt;&lt;/h5&gt;&lt;/div&gt;&lt;hr/&gt;&lt;div&gt;&lt;h5&gt;&lt;b&gt;Range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monster&lt;/i&gt;, except it allows you to summon a single coloxus (&lt;i&gt;Pathfinder RPG Bestiary 3&lt;/i&gt; 72), an omox demon (&lt;i&gt;Pathfinder RPG &lt;i&gt;Bestiary 2&lt;/i&gt;&lt;/i&gt; 79), or 1d3 kalavakus demons (&lt;i&gt;Bestiary 2&lt;/i&gt; 78).&lt;/p&gt;&lt;/h4&gt;&lt;/div&gt;</t>
  </si>
  <si>
    <t>Summon Lesser Demon</t>
  </si>
  <si>
    <t>cleric/oracle 5, sorcerer/wizard 5, summoner 4, witch 5</t>
  </si>
  <si>
    <t>This spell functions like summon monster, except it allows you to summon a single brimorak (Lords of Chaos 56), one incubus (Bestiary 3 73), one thoxel demon (see page 86), 1d3 schir demons (Bestiary 3 74), or 1d4+1 vermlek demons (Lords of Chaos 54).</t>
  </si>
  <si>
    <t>&lt;p&gt;This spell functions like &lt;i&gt;summon monster&lt;/i&gt;, except it allows you to summon a single brimorak (&lt;i&gt;Lords of Chaos&lt;/i&gt; 56), one incubus (&lt;i&gt;Bestiary 3&lt;/i&gt; 73), one thoxel demon (see page 86), 1d3 schir demons (&lt;i&gt;Bestiary 3&lt;/i&gt; 74), or 1d4+1 vermlek demons (&lt;i&gt;Lords of Chaos&lt;/i&gt; 54).&lt;/p&gt;</t>
  </si>
  <si>
    <t>&lt;link rel="stylesheet"href="PF.css"&gt;&lt;div class="heading"&gt;&lt;p class="alignleft"&gt;Summon Lesser Demon&lt;/p&gt;&lt;div style="clear: both;"&gt;&lt;/div&gt;&lt;/div&gt;&lt;div&gt;&lt;h5&gt;&lt;b&gt;School &lt;/b&gt;conjuration (summoning) [chaotic, evil]; &lt;b&gt;Level &lt;/b&gt;cleric/oracle 5, sorcerer/wizard 5, summoner 4, witch 5&lt;/h5&gt;&lt;/div&gt;&lt;hr/&gt;&lt;div&gt;&lt;h5&gt;&lt;b&gt;CASTING&lt;/b&gt;&lt;/h5&gt;&lt;/div&gt;&lt;hr/&gt;&lt;div&gt;&lt;h5&gt;&lt;b&gt;Casting Time &lt;/b&gt;1 round&lt;/h5&gt;&lt;h5&gt;&lt;b&gt;Components &lt;/b&gt;V, S, F/DF (a tiny bag and a small candle)&lt;/h5&gt;&lt;/div&gt;&lt;hr/&gt;&lt;div&gt;&lt;h5&gt;&lt;b&gt;EFFECT&lt;/b&gt;&lt;/h5&gt;&lt;/div&gt;&lt;hr/&gt;&lt;div&gt;&lt;h5&gt;&lt;b&gt;Range &lt;/b&gt;close (25 ft. + 5 ft./2 levels)&lt;/h5&gt;&lt;h5&gt;&lt;b&gt;Effect &lt;/b&gt;one summoned creature&lt;/h5&gt;&lt;h5&gt;&lt;b&gt;Duration &lt;/b&gt;1 round/level (D)&lt;/h5&gt;&lt;h5&gt;&lt;b&gt;Saving Throw &lt;/b&gt;none; &lt;b&gt;Spell Resistance &lt;/b&gt;no&lt;/h5&gt;&lt;/div&gt;&lt;hr/&gt;&lt;div&gt;&lt;h5&gt;&lt;b&gt;DESCRIPTION&lt;/b&gt;&lt;/h5&gt;&lt;/div&gt;&lt;hr/&gt;&lt;div&gt;&lt;h4&gt;&lt;p&gt;This spell functions like &lt;i&gt;summon monster&lt;/i&gt;, except it allows you to summon a single brimorak (&lt;i&gt;Lords of Chaos&lt;/i&gt; 56), one incubus (&lt;i&gt;Bestiary 3&lt;/i&gt; 73), one thoxel demon (see page 86), 1d3 schir demons (&lt;i&gt;Bestiary 3&lt;/i&gt; 74), or 1d4+1 vermlek demons (&lt;i&gt;Lords of Chaos&lt;/i&gt; 54).&lt;/p&gt;&lt;/h4&gt;&lt;/div&gt;</t>
  </si>
  <si>
    <t>Unleash Pandemonium</t>
  </si>
  <si>
    <t>cleric/oracle 5, summoner 5, witch 5</t>
  </si>
  <si>
    <t>30-foot-radius spread</t>
  </si>
  <si>
    <t>concentration (maximum 1 round/level) +1 round (D)</t>
  </si>
  <si>
    <t>You call upon the wild winds of the Abyssal atmosphere, howling with the screams of damned and demented souls in torment. The area is filled with winds of windstorm strength (Core Rulebook 439), blowing in a random direction each round. Creatures within the area of effect are deafened as long as they remain within the area and for 1d4 rounds thereafter; however, they continue to hear the sounds of screams in their minds with painful intensity, causing them to become shaken for as long as they remain deafened. A successful Will save negates the shaken condition but not the deafness.</t>
  </si>
  <si>
    <t>&lt;p&gt;You call upon the wild winds of the Abyssal atmosphere, howling with the screams of damned and demented souls in torment. The area is filled with winds of windstorm strength (&lt;i&gt;Core Rulebook&lt;/i&gt; 439), blowing in a random direction each round. Creatures within the area of effect are deafened as long as they remain within the area and for 1d4 rounds thereafter; however, they continue to hear the sounds of screams in their minds with painful intensity, causing them to become shaken for as long as they remain deafened. A successful Will save negates the shaken condition but not the deafness.&lt;/p&gt;</t>
  </si>
  <si>
    <t>&lt;link rel="stylesheet"href="PF.css"&gt;&lt;div class="heading"&gt;&lt;p class="alignleft"&gt;Unleash Pandemonium&lt;/p&gt;&lt;div style="clear: both;"&gt;&lt;/div&gt;&lt;/div&gt;&lt;div&gt;&lt;h5&gt;&lt;b&gt;School &lt;/b&gt;conjuration [chaotic]; &lt;b&gt;Level &lt;/b&gt;cleric/oracle 5, summoner 5, witch 5&lt;/h5&gt;&lt;/div&gt;&lt;hr/&gt;&lt;div&gt;&lt;h5&gt;&lt;b&gt;CASTING&lt;/b&gt;&lt;/h5&gt;&lt;/div&gt;&lt;hr/&gt;&lt;div&gt;&lt;h5&gt;&lt;b&gt;Casting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levels)&lt;/h5&gt;&lt;h5&gt;&lt;b&gt;Area &lt;/b&gt;30-foot-radius spread&lt;/h5&gt;&lt;h5&gt;&lt;b&gt;Duration &lt;/b&gt;concentration (maximum 1 round/level) +1 round (D)&lt;/h5&gt;&lt;h5&gt;&lt;b&gt;Saving Throw &lt;/b&gt;Will partial; see text; &lt;b&gt;Spell Resistance &lt;/b&gt;no&lt;/h5&gt;&lt;/div&gt;&lt;hr/&gt;&lt;div&gt;&lt;h5&gt;&lt;b&gt;DESCRIPTION&lt;/b&gt;&lt;/h5&gt;&lt;/div&gt;&lt;hr/&gt;&lt;div&gt;&lt;h4&gt;&lt;p&gt;You call upon the wild winds of the Abyssal atmosphere, howling with the screams of damned and demented souls in torment. The area is filled with winds of windstorm strength (&lt;i&gt;Core Rulebook&lt;/i&gt; 439), blowing in a random direction each round. Creatures within the area of effect are deafened as long as they remain within the area and for 1d4 rounds thereafter; however, they continue to hear the sounds of screams in their minds with painful intensity, causing them to become shaken for as long as they remain deafened. A successful Will save negates the shaken condition but not the deafness.&lt;/p&gt;&lt;/h4&gt;&lt;/div&gt;</t>
  </si>
  <si>
    <t>Vermicious Assumption</t>
  </si>
  <si>
    <t>cleric/oracle 6, summoner 6</t>
  </si>
  <si>
    <t>V, S, M (a handful of worms)</t>
  </si>
  <si>
    <t>one Medium humanoid corpse</t>
  </si>
  <si>
    <t>You call a single vermlek demon (Lords of Chaos 54) to invade and inhabit the body of the target corpse, taking on its likeness. The vermlek can remain on the Material Plane indefinitely as long as it has a body to inhabit; however, if it remains outside of a host for more than 1 minute, it's banished back to the Abyss. The vermlek's initial attitude towards you is friendly, but you must succeed at an opposed Charisma check to convince it to obey your commands, similar to a charmed creature. You gain a +2 circumstance bonus on this Charisma check if you offer it a fresh humanoid corpse to inhabit.</t>
  </si>
  <si>
    <t>&lt;p&gt;You call a single vermlek demon (&lt;i&gt;Lords of Chaos&lt;/i&gt; 54) to invade and inhabit the body of the target corpse, taking on its likeness. The vermlek can remain on the Material Plane indefinitely as long as it has a body to inhabit; however, if it remains outside of a host for more than 1 minute, it's banished back to the Abyss. The vermlek's initial attitude towards you is friendly, but you must succeed at an opposed Charisma check to convince it to obey your commands, similar to a charmed creature. You gain a +2 circumstance bonus on this Charisma check if you offer it a fresh humanoid corpse to inhabit.&lt;/p&gt;</t>
  </si>
  <si>
    <t>&lt;link rel="stylesheet"href="PF.css"&gt;&lt;div class="heading"&gt;&lt;p class="alignleft"&gt;Vermicious Assumption&lt;/p&gt;&lt;div style="clear: both;"&gt;&lt;/div&gt;&lt;/div&gt;&lt;div&gt;&lt;h5&gt;&lt;b&gt;School &lt;/b&gt;conjuration (calling) [chaotic, evil]; &lt;b&gt;Level &lt;/b&gt;cleric/oracle 6, summoner 6&lt;/h5&gt;&lt;/div&gt;&lt;hr/&gt;&lt;div&gt;&lt;h5&gt;&lt;b&gt;CASTING&lt;/b&gt;&lt;/h5&gt;&lt;/div&gt;&lt;hr/&gt;&lt;div&gt;&lt;h5&gt;&lt;b&gt;Casting Time &lt;/b&gt;10 minutes&lt;/h5&gt;&lt;h5&gt;&lt;b&gt;Components &lt;/b&gt;V, S, M (a handful of worms)&lt;/h5&gt;&lt;/div&gt;&lt;hr/&gt;&lt;div&gt;&lt;h5&gt;&lt;b&gt;EFFECT&lt;/b&gt;&lt;/h5&gt;&lt;/div&gt;&lt;hr/&gt;&lt;div&gt;&lt;h5&gt;&lt;b&gt;Range &lt;/b&gt;touch&lt;/h5&gt;&lt;h5&gt;&lt;b&gt;Targets &lt;/b&gt;one Medium humanoid corpse&lt;/h5&gt;&lt;h5&gt;&lt;b&gt;Duration &lt;/b&gt;instantaneous&lt;/h5&gt;&lt;h5&gt;&lt;b&gt;Saving Throw &lt;/b&gt;none; &lt;b&gt;Spell Resistance &lt;/b&gt;no&lt;/h5&gt;&lt;/div&gt;&lt;hr/&gt;&lt;div&gt;&lt;h5&gt;&lt;b&gt;DESCRIPTION&lt;/b&gt;&lt;/h5&gt;&lt;/div&gt;&lt;hr/&gt;&lt;div&gt;&lt;h4&gt;&lt;p&gt;You call a single vermlek demon (&lt;i&gt;Lords of Chaos&lt;/i&gt; 54) to invade and inhabit the body of the target corpse, taking on its likeness. The vermlek can remain on the Material Plane indefinitely as long as it has a body to inhabit; however, if it remains outside of a host for more than 1 minute, it's banished back to the Abyss. The vermlek's initial attitude towards you is friendly, but you must succeed at an opposed Charisma check to convince it to obey your commands, similar to a charmed creature. You gain a +2 circumstance bonus on this Charisma check if you offer it a fresh humanoid corpse to inhabit.&lt;/p&gt;&lt;/h4&gt;&lt;/div&gt;</t>
  </si>
  <si>
    <t>Borrowed Time</t>
  </si>
  <si>
    <t>alchemist 6, bard 6, magus 6, sorcerer/wizard 6</t>
  </si>
  <si>
    <t>A creation of the archmage Nex, this spell allows you to reach ahead in time and draw alacrity from the future at the expense of your own health. For the duration of this spell, you gain an extra swift action you can use only during your turn. You can't use this swift action to take a second immediate action between turns, but you can use it to take a swift action the turn after you've taken an immediate action. Each time you take an extra swift action in this fashion you take 1 point of Constitution damage. If you're immune to ability damage, you take 5 points of hit point damage instead. When the spell ends, you are staggered for 1d4+1 rounds from the temporal backlash.</t>
  </si>
  <si>
    <t>&lt;p&gt;A creation of the archmage Nex, this spell allows you to reach ahead in time and draw alacrity from the future at the expense of your own health. For the duration of this spell, you gain an extra swift action you can use only during your turn. You can't use this swift action to take a second immediate action between turns, but you can use it to take a swift action the turn after you've taken an immediate action. Each time you take an extra swift action in this fashion you take 1 point of Constitution damage. If you're immune to ability damage, you take 5 points of hit point damage instead.&lt;/p&gt;&lt;p&gt;When the spell ends, you are staggered for 1d4+1 rounds from the temporal backlash.&lt;/p&gt;</t>
  </si>
  <si>
    <t>Mythic Origins</t>
  </si>
  <si>
    <t>&lt;link rel="stylesheet"href="PF.css"&gt;&lt;div class="heading"&gt;&lt;p class="alignleft"&gt;Borrowed Time&lt;/p&gt;&lt;div style="clear: both;"&gt;&lt;/div&gt;&lt;/div&gt;&lt;div&gt;&lt;h5&gt;&lt;b&gt;School &lt;/b&gt;transmutation; &lt;b&gt;Level &lt;/b&gt;alchemist 6, bard 6, magus 6, sorcerer/wizard 6&lt;/h5&gt;&lt;/div&gt;&lt;hr/&gt;&lt;div&gt;&lt;h5&gt;&lt;b&gt;CASTING&lt;/b&gt;&lt;/h5&gt;&lt;/div&gt;&lt;hr/&gt;&lt;div&gt;&lt;h5&gt;&lt;b&gt;Casting Time &lt;/b&gt;1 standard action&lt;/h5&gt;&lt;h5&gt;&lt;b&gt;Components &lt;/b&gt;V, S&lt;/h5&gt;&lt;/div&gt;&lt;hr/&gt;&lt;div&gt;&lt;h5&gt;&lt;b&gt;EFFECT&lt;/b&gt;&lt;/h5&gt;&lt;/div&gt;&lt;hr/&gt;&lt;div&gt;&lt;h5&gt;&lt;b&gt;Range &lt;/b&gt;personal&lt;/h5&gt;&lt;h5&gt;&lt;b&gt;Targets &lt;/b&gt;you&lt;/h5&gt;&lt;h5&gt;&lt;b&gt;Duration &lt;/b&gt;1 round/level (D)&lt;/h5&gt;&lt;/div&gt;&lt;hr/&gt;&lt;div&gt;&lt;h5&gt;&lt;b&gt;DESCRIPTION&lt;/b&gt;&lt;/h5&gt;&lt;/div&gt;&lt;hr/&gt;&lt;div&gt;&lt;h4&gt;&lt;p&gt;A creation of the archmage Nex, this spell allows you to reach ahead in time and draw alacrity from the future at the expense of your own health. For the duration of this spell, you gain an extra swift action you can use only during your turn. You can't use this swift action to take a second immediate action between turns, but you can use it to take a swift action the turn after you've taken an immediate action. Each time you take an extra swift action in this fashion you take 1 point of Constitution damage. If you're immune to ability damage, you take 5 points of hit point damage instead.&lt;/p&gt;&lt;p&gt;When the spell ends, you are staggered for 1d4+1 rounds from the temporal backlash.&lt;/p&gt;&lt;/h4&gt;&lt;h5&gt;&lt;b&gt;Mythic: &lt;/b&gt;If you expend one use of mythic power, instead oftaking an extra swift action, you can take either an extra move oran extra swift action each round. You can use this extra swift actionto take two immediate actions between your turns; this consumesyour extra swift action in your next round. Each extra action youtake still deals damage to you as described above.&lt;/h5&gt;&lt;/div&gt;</t>
  </si>
  <si>
    <t>If you expend one use of mythic power, instead oftaking an extra swift action, you can take either an extra move oran extra swift action each round. You can use this extra swift actionto take two immediate actions between your turns; this consumesyour extra swift action in your next round. Each extra action youtake still deals damage to you as described above.</t>
  </si>
  <si>
    <t>Elemental Bombardment</t>
  </si>
  <si>
    <t>long (400 ft. + 100 ft./level)</t>
  </si>
  <si>
    <t>one or more summoned elementals</t>
  </si>
  <si>
    <t>1 round/2 levels (D)</t>
  </si>
  <si>
    <t>You summon elementals from their elemental planes and hurl them onto your enemies with great force. You must have line of effect to a point at least 60 feet above your intended targets and within the spell's range. You can summon one greater elemental, two Huge elementals, four Large elementals, or eight Medium elementals. You aim the elementals at targets within 60 feet of each other, no more than one elemental per target. Each elemental can strike only a single target, regardless of its size. When an elemental strikes a target, it makes a single slam attack at its full attack bonus with a +4 circumstance bonus. The elemental deals damage according to the table below. The type and amount of damage dealt varies by the size and type of elemental (see the table). Some elementals inflict an additional special ability upon successfully hitting a target; these additional special abilities are detailed in the elemental's full stat block and are denoted with an asterisk (*). Whether or not it hits, the elemental takes bludgeoning damage according to its size. A summoned elemental acts on the same turn that it lands, starting prone in the nearest available space adjacent to its target. You must select one type of elemental to summon when casting this spell (see the table). When you use a summoning spell to summon a creature with an elemental subtype, it is a spell of that type. Elemental Size D amage Medium 6d6 Large 8d6 Huge or larger 12d6 Elemental Type D amage Type Air Half slashing, half electricity Earth Bludgeoning and earth mastery* Fire Fire and burn* IceB2 Half bludgeoning, half cold Lightning B2 Electricity and metal mastery* Magma B2 Half bludgeoning, half fire Mud B2 Bludgeoning and entrap* Water Bludgeoning and drench*</t>
  </si>
  <si>
    <t>&lt;p&gt;You summon elementals from their elemental planes and hurl them onto your enemies with great force. You must have line of effect to a point at least 60 feet above your intended targets and within the spell's range. You can summon one greater elemental, two Huge elementals, four Large elementals, or eight Medium elementals. You aim the elementals at targets within 60 feet of each other, no more than one elemental per target.&lt;/p&gt;&lt;p&gt;Each elemental can strike only a single target, regardless of its size. When an elemental strikes a target, it makes a single slam attack at its full attack bonus with a +4 circumstance bonus. The elemental deals damage according to the table below. The type and amount of damage dealt varies by the size and type of elemental (see the table). Some elementals inflict an additional special ability upon successfully hitting a target; these additional special abilities are detailed in the elemental's full stat block and are denoted with an asterisk (*). Whether or not it hits, the elemental takes bludgeoning damage according to its size. A summoned elemental acts on the same turn that it lands, starting prone in the nearest available space adjacent to its target.&lt;/p&gt;&lt;p&gt;You must select one type of elemental to summon when casting this spell (see the table).&lt;/p&gt;&lt;p&gt;When you use a summoning spell to summon a creature with an elemental subtype, it is a spell of that type.&lt;/p&gt; &lt;table border ='1'&gt;&lt;tr&gt;&lt;th&gt;Elemental Size&lt;/th&gt;&lt;th&gt;Damage&lt;/th&gt;&lt;/tr&gt;&lt;tr&gt;&lt;td&gt;Medium&lt;/td&gt;&lt;td&gt;6d6&lt;/td&gt;&lt;/tr&gt;&lt;tr&gt;&lt;td&gt;Large&lt;/td&gt;&lt;td&gt;8d6&lt;/td&gt;&lt;/tr&gt;&lt;tr&gt;&lt;td&gt;Huge or larger&lt;/td&gt;&lt;td&gt;12d6&lt;/td&gt;&lt;/tr&gt;&lt;/table&gt; &lt;table border ='1'&gt;&lt;tr&gt;&lt;th&gt;Elemental Type&lt;/th&gt;&lt;th&gt;Damage Type&lt;/th&gt;&lt;/tr&gt;&lt;tr&gt;&lt;td&gt;Air&lt;/td&gt;&lt;td&gt;Half slashing, half electricity&lt;/td&gt;&lt;/tr&gt;&lt;tr&gt;&lt;td&gt;Earth&lt;/td&gt;&lt;td&gt;Bludgeoning and earth mastery*&lt;/td&gt;&lt;/tr&gt;&lt;tr&gt;&lt;td&gt;Fire&lt;/td&gt;&lt;td&gt;Fire and burn*&lt;/td&gt;&lt;/tr&gt;&lt;tr&gt;&lt;td&gt;IceB2&lt;/td&gt;&lt;td&gt;Half bludgeoning, half cold&lt;/td&gt;&lt;/tr&gt;&lt;tr&gt;&lt;td&gt;Lightning B2&lt;/td&gt;&lt;td&gt;Electricity and metal mastery*&lt;/td&gt;&lt;/tr&gt;&lt;tr&gt;&lt;td&gt;Magma B2&lt;/td&gt;&lt;td&gt;Half bludgeoning, half fire&lt;/td&gt;&lt;/tr&gt;&lt;tr&gt;&lt;td&gt;Mud B2&lt;/td&gt;&lt;td&gt;Bludgeoning and entrap*&lt;/td&gt;&lt;/tr&gt;&lt;tr&gt;&lt;td&gt;Water&lt;/td&gt;&lt;td&gt;Bludgeoning and drench*&lt;/td&gt;&lt;/tr&gt;&lt;/table&gt; &lt;/p&gt;</t>
  </si>
  <si>
    <t>&lt;link rel="stylesheet"href="PF.css"&gt;&lt;div class="heading"&gt;&lt;p class="alignleft"&gt;Elemental Bombardment&lt;/p&gt;&lt;div style="clear: both;"&gt;&lt;/div&gt;&lt;/div&gt;&lt;div&gt;&lt;h5&gt;&lt;b&gt;School &lt;/b&gt;conjuration (summoning) [see text]; &lt;b&gt;Level &lt;/b&gt;druid 7, sorcerer/wizard 7&lt;/h5&gt;&lt;/div&gt;&lt;hr/&gt;&lt;div&gt;&lt;h5&gt;&lt;b&gt;CASTING&lt;/b&gt;&lt;/h5&gt;&lt;/div&gt;&lt;hr/&gt;&lt;div&gt;&lt;h5&gt;&lt;b&gt;Casting Time &lt;/b&gt;1 round&lt;/h5&gt;&lt;h5&gt;&lt;b&gt;Components &lt;/b&gt;V, S&lt;/h5&gt;&lt;/div&gt;&lt;hr/&gt;&lt;div&gt;&lt;h5&gt;&lt;b&gt;EFFECT&lt;/b&gt;&lt;/h5&gt;&lt;/div&gt;&lt;hr/&gt;&lt;div&gt;&lt;h5&gt;&lt;b&gt;Range &lt;/b&gt;long (400 ft. + 100 ft./level)&lt;/h5&gt;&lt;h5&gt;&lt;b&gt;Effect &lt;/b&gt;one or more summoned elementals&lt;/h5&gt;&lt;h5&gt;&lt;b&gt;Duration &lt;/b&gt;1 round/2 levels (D)&lt;/h5&gt;&lt;h5&gt;&lt;b&gt;Saving Throw &lt;/b&gt;none; &lt;b&gt;Spell Resistance &lt;/b&gt;no&lt;/h5&gt;&lt;/div&gt;&lt;hr/&gt;&lt;div&gt;&lt;h5&gt;&lt;b&gt;DESCRIPTION&lt;/b&gt;&lt;/h5&gt;&lt;/div&gt;&lt;hr/&gt;&lt;div&gt;&lt;h4&gt;&lt;p&gt;You summon elementals from their elemental planes and hurl them onto your enemies with great force. You must have line of effect to a point at least 60 feet above your intended targets and within the spell's range. You can summon one greater elemental, two Huge elementals, four Large elementals, or eight Medium elementals. You aim the elementals at targets within 60 feet of each other, no more than one elemental per target.&lt;/p&gt;&lt;p&gt;Each elemental can strike only a single target, regardless of its size. When an elemental strikes a target, it makes a single slam attack at its full attack bonus with a +4 circumstance bonus. The elemental deals damage according to the table below. The type and amount of damage dealt varies by the size and type of elemental (see the table). Some elementals inflict an additional special ability upon successfully hitting a target; these additional special abilities are detailed in the elemental's full stat block and are denoted with an asterisk (*). Whether or not it hits, the elemental takes bludgeoning damage according to its size. A summoned elemental acts on the same turn that it lands, starting prone in the nearest available space adjacent to its target.&lt;/p&gt;&lt;p&gt;You must select one type of elemental to summon when casting this spell (see the table).&lt;/p&gt;&lt;p&gt;When you use a summoning spell to summon a creature with an elemental subtype, it is a spell of that type.&lt;/p&gt; &lt;table border ='1'&gt;&lt;tr&gt;&lt;th&gt;Elemental Size&lt;/th&gt;&lt;th&gt;Damage&lt;/th&gt;&lt;/tr&gt;&lt;tr&gt;&lt;td&gt;Medium&lt;/td&gt;&lt;td&gt;6d6&lt;/td&gt;&lt;/tr&gt;&lt;tr&gt;&lt;td&gt;Large&lt;/td&gt;&lt;td&gt;8d6&lt;/td&gt;&lt;/tr&gt;&lt;tr&gt;&lt;td&gt;Huge or larger&lt;/td&gt;&lt;td&gt;12d6&lt;/td&gt;&lt;/tr&gt;&lt;/table&gt; &lt;table border ='1'&gt;&lt;tr&gt;&lt;th&gt;Elemental Type&lt;/th&gt;&lt;th&gt;Damage Type&lt;/th&gt;&lt;/tr&gt;&lt;tr&gt;&lt;td&gt;Air&lt;/td&gt;&lt;td&gt;Half slashing, half electricity&lt;/td&gt;&lt;/tr&gt;&lt;tr&gt;&lt;td&gt;Earth&lt;/td&gt;&lt;td&gt;Bludgeoning and earth mastery*&lt;/td&gt;&lt;/tr&gt;&lt;tr&gt;&lt;td&gt;Fire&lt;/td&gt;&lt;td&gt;Fire and burn*&lt;/td&gt;&lt;/tr&gt;&lt;tr&gt;&lt;td&gt;IceB2&lt;/td&gt;&lt;td&gt;Half bludgeoning, half cold&lt;/td&gt;&lt;/tr&gt;&lt;tr&gt;&lt;td&gt;Lightning B2&lt;/td&gt;&lt;td&gt;Electricity and metal mastery*&lt;/td&gt;&lt;/tr&gt;&lt;tr&gt;&lt;td&gt;Magma B2&lt;/td&gt;&lt;td&gt;Half bludgeoning, half fire&lt;/td&gt;&lt;/tr&gt;&lt;tr&gt;&lt;td&gt;Mud B2&lt;/td&gt;&lt;td&gt;Bludgeoning and entrap*&lt;/td&gt;&lt;/tr&gt;&lt;tr&gt;&lt;td&gt;Water&lt;/td&gt;&lt;td&gt;Bludgeoning and drench*&lt;/td&gt;&lt;/tr&gt;&lt;/table&gt; &lt;/h4&gt;&lt;h5&gt;&lt;b&gt;Mythic: &lt;/b&gt;If you expend one use of mythic power, you cansummon a combination of differently sized elementals of upto two different types, as long as their total number does notexceed the original limit. For example, you could summon oneHuge air elemental and two Large fire elementals, or one Largewater elemental and six Medium earth elementals.&lt;/h5&gt;&lt;h5&gt;&lt;b&gt;Augmented (9th)&lt;/b&gt;: If you expend three uses of mythic power,you summon twice as many elementals as normal, each withthe advanced simple template.&lt;/h5&gt;&lt;/div&gt;</t>
  </si>
  <si>
    <t>If you expend one use of mythic power, you cansummon a combination of differently sized elementals of upto two different types, as long as their total number does notexceed the original limit. For example, you could summon oneHuge air elemental and two Large fire elementals, or one Largewater elemental and six Medium earth elementals.</t>
  </si>
  <si>
    <t>Augmented (9th): If you expend three uses of mythic power,you summon twice as many elementals as normal, each withthe advanced simple template.</t>
  </si>
  <si>
    <t>Imbue With Flight</t>
  </si>
  <si>
    <t>V, M (handful of down)</t>
  </si>
  <si>
    <t>You grant a touched Large or smaller object the ability to fly at a speed of 40 feet with average maneuverability. It can ascend at half speed and descend at double speed. The targeted object flies as you direct it, using your Fly skill for any difficult maneuvers. You must be within close range (25 ft. + 5 ft./2 levels) of the object to direct it, and moving it requires a move action. If not directed, the object hovers in place (no Fly check required). The maximum weight of the object and anything carried by it is 500 pounds per caster level (maximum 10,000 pounds).</t>
  </si>
  <si>
    <t>&lt;p&gt;You grant a touched Large or smaller object the ability to fly at a speed of 40 feet with average maneuverability. It can ascend at half speed and descend at double speed. The targeted object flies as you direct it, using your Fly skill for any difficult maneuvers. You must be within close range (25 ft. + 5 ft./2 levels) of the object to direct it, and moving it requires a move action. If not directed, the object hovers in place (no Fly check required). The maximum weight of the object and anything carried by it is 500 pounds per caster level (maximum 10,000 pounds).&lt;/p&gt;</t>
  </si>
  <si>
    <t>&lt;link rel="stylesheet"href="PF.css"&gt;&lt;div class="heading"&gt;&lt;p class="alignleft"&gt;Imbue With Flight&lt;/p&gt;&lt;div style="clear: both;"&gt;&lt;/div&gt;&lt;/div&gt;&lt;div&gt;&lt;h5&gt;&lt;b&gt;School &lt;/b&gt;transmutation; &lt;b&gt;Level &lt;/b&gt;sorcerer/wizard 4&lt;/h5&gt;&lt;/div&gt;&lt;hr/&gt;&lt;div&gt;&lt;h5&gt;&lt;b&gt;CASTING&lt;/b&gt;&lt;/h5&gt;&lt;/div&gt;&lt;hr/&gt;&lt;div&gt;&lt;h5&gt;&lt;b&gt;Casting Time &lt;/b&gt;1 standard action&lt;/h5&gt;&lt;h5&gt;&lt;b&gt;Components &lt;/b&gt;V, M (handful of down)&lt;/h5&gt;&lt;/div&gt;&lt;hr/&gt;&lt;div&gt;&lt;h5&gt;&lt;b&gt;EFFECT&lt;/b&gt;&lt;/h5&gt;&lt;/div&gt;&lt;hr/&gt;&lt;div&gt;&lt;h5&gt;&lt;b&gt;Range &lt;/b&gt;touch&lt;/h5&gt;&lt;h5&gt;&lt;b&gt;Targets &lt;/b&gt;object touched&lt;/h5&gt;&lt;h5&gt;&lt;b&gt;Duration &lt;/b&gt;1 hour/level (D)&lt;/h5&gt;&lt;h5&gt;&lt;b&gt;Saving Throw &lt;/b&gt;Will negates (harmless, object); &lt;b&gt;Spell Resistance &lt;/b&gt;yes (harmless, object)&lt;/h5&gt;&lt;/div&gt;&lt;hr/&gt;&lt;div&gt;&lt;h5&gt;&lt;b&gt;DESCRIPTION&lt;/b&gt;&lt;/h5&gt;&lt;/div&gt;&lt;hr/&gt;&lt;div&gt;&lt;h4&gt;&lt;p&gt;You grant a touched Large or smaller object the ability to fly at a speed of 40 feet with average maneuverability. It can ascend at half speed and descend at double speed. The targeted object flies as you direct it, using your Fly skill for any difficult maneuvers. You must be within close range (25 ft. + 5 ft./2 levels) of the object to direct it, and moving it requires a move action. If not directed, the object hovers in place (no Fly check required). The maximum weight of the object and anything carried by it is 500 pounds per caster level (maximum 10,000 pounds).&lt;/p&gt;&lt;/h4&gt;&lt;h5&gt;&lt;b&gt;Mythic: &lt;/b&gt;If you expend one use of mythic power, you double themaximum weight of the object you can imbue with flight. You canexpend additional uses of mythic power to increase the maximumsize of the object you can imbue with flight. Imbuing a Huge objectrequires two uses of mythic power, imbuing a Gargantuan objectrequires four uses, and imbuing a Colossal object requires eightuses. These costs include the expenditure to cast a mythic spell,and count toward doubling the weight limit of the spell.Two or more casters can cast this spell in concert to share themythic power cost. Each caster must expend an additional use ofmythic power to cooperate; this does not count toward the other costsor effects of the spell. The group chooses which caster has controlof the flight. As a full-round action, the controlling caster can cedecontrol to another caster involved in the original casting of the spell.&lt;/h5&gt;&lt;/div&gt;</t>
  </si>
  <si>
    <t>If you expend one use of mythic power, you double themaximum weight of the object you can imbue with flight. You canexpend additional uses of mythic power to increase the maximumsize of the object you can imbue with flight. Imbuing a Huge objectrequires two uses of mythic power, imbuing a Gargantuan objectrequires four uses, and imbuing a Colossal object requires eightuses. These costs include the expenditure to cast a mythic spell,and count toward doubling the weight limit of the spell.Two or more casters can cast this spell in concert to share themythic power cost. Each caster must expend an additional use ofmythic power to cooperate; this does not count toward the other costsor effects of the spell. The group chooses which caster has controlof the flight. As a full-round action, the controlling caster can cedecontrol to another caster involved in the original casting of the spell.</t>
  </si>
  <si>
    <t>Soulreaver</t>
  </si>
  <si>
    <t>cleric/oracle 8, sorcerer/wizard 8, witch 8</t>
  </si>
  <si>
    <t>living creatures in a 20-ft.-radius spread</t>
  </si>
  <si>
    <t>Favored by the necromancer Geb as a tool to turn his enemies' armies against themselves, this potent death spell deals 1d6 points of damage per caster level (maximum 20d6) to living creatures in the area of effect.</t>
  </si>
  <si>
    <t>&lt;p&gt;Favored by the necromancer Geb as a tool to turn his enemies' armies against themselves, this potent death spell deals 1d6 points of damage per caster level (maximum 20d6) to living creatures in the area of effect.&lt;/p&gt;</t>
  </si>
  <si>
    <t>&lt;link rel="stylesheet"href="PF.css"&gt;&lt;div class="heading"&gt;&lt;p class="alignleft"&gt;Soulreaver&lt;/p&gt;&lt;div style="clear: both;"&gt;&lt;/div&gt;&lt;/div&gt;&lt;div&gt;&lt;h5&gt;&lt;b&gt;School &lt;/b&gt;necromancy [death]; &lt;b&gt;Level &lt;/b&gt;cleric/oracle 8, sorcerer/wizard 8, witch 8&lt;/h5&gt;&lt;/div&gt;&lt;hr/&gt;&lt;div&gt;&lt;h5&gt;&lt;b&gt;CASTING&lt;/b&gt;&lt;/h5&gt;&lt;/div&gt;&lt;hr/&gt;&lt;div&gt;&lt;h5&gt;&lt;b&gt;Casting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&lt;/b&gt;living creatures in a 20-ft.-radius spread&lt;/h5&gt;&lt;h5&gt;&lt;b&gt;Duration &lt;/b&gt;instantaneous&lt;/h5&gt;&lt;h5&gt;&lt;b&gt;Saving Throw &lt;/b&gt;Fortitude half; &lt;b&gt;Spell Resistance &lt;/b&gt;yes&lt;/h5&gt;&lt;/div&gt;&lt;hr/&gt;&lt;div&gt;&lt;h5&gt;&lt;b&gt;DESCRIPTION&lt;/b&gt;&lt;/h5&gt;&lt;/div&gt;&lt;hr/&gt;&lt;div&gt;&lt;h4&gt;&lt;p&gt;Favored by the necromancer Geb as a tool to turn his enemies' armies against themselves, this potent death spell deals 1d6 points of damage per caster level (maximum 20d6) to living creatures in the area of effect.&lt;/p&gt;&lt;/h4&gt;&lt;h5&gt;&lt;b&gt;Mythic: &lt;/b&gt;You can expend one use of mythic power to raisecreatures killed by this effect as undead thralls. You can animatea number of Hit Dice worth of undead up to double your tier as ifyou had animated them with animate dead. The undead createdby this spell count toward the total number of Hit Dice worth ofundead you can control.&lt;/h5&gt;&lt;h5&gt;&lt;b&gt;Augmented (8th)&lt;/b&gt;: If you expend two uses of mythic power,you can raise slain foes as undead creatures chosen from thelist of undead for create undead. By expending three uses ofmythic power, you can select from the list for create greaterundead. The total number of Hit Dice worth of undead createdin this way can't exceed double your tier. Created undead arenot automatically under your control. If you are capable ofcommanding undead, you may attempt to command the undeadcreatures as they form.&lt;/h5&gt;&lt;/div&gt;</t>
  </si>
  <si>
    <t>You can expend one use of mythic power to raisecreatures killed by this effect as undead thralls. You can animatea number of Hit Dice worth of undead up to double your tier as ifyou had animated them with animate dead. The undead createdby this spell count toward the total number of Hit Dice worth ofundead you can control.</t>
  </si>
  <si>
    <t>Augmented (8th): If you expend two uses of mythic power,you can raise slain foes as undead creatures chosen from thelist of undead for create undead. By expending three uses ofmythic power, you can select from the list for create greaterundead. The total number of Hit Dice worth of undead createdin this way can't exceed double your tier. Created undead arenot automatically under your control. If you are capable ofcommanding undead, you may attempt to command the undeadcreatures as they form.</t>
  </si>
  <si>
    <t>Sustaining Legend</t>
  </si>
  <si>
    <t>bard 5, cleric/oracle 6</t>
  </si>
  <si>
    <t>The rulers of Azlant are thought to have used this spell to amplify the mythic power of themselves and their most gifted lieutenants. You amplify the mythic power of the target creatures, bolstering them with healing energy each time they draw upon their mythic abilities. When a creature affected by this spell expends uses of mythic power for any ability, it immediately heals 2d8 points of damage + 1 point per caster level (maximum +25). In addition, the creature benefits from one of the following additional effects. • Remove any one of the following conditions: dazzled, fatigued, shaken, sickened, or staggered. • Reduce the dazed or stunned condition to staggered. • Reduce the exhausted condition to fatigued. • Reduce the frightened condition to shaken, or the panicked condition to frightened. • Reduce the nauseated condition to sickened. A target can benefit from the effects of sustaining legend only once per round, even if the target expends multiple uses of mythic power during that time.</t>
  </si>
  <si>
    <t>&lt;p&gt;The rulers of Azlant are thought to have used this spell to amplify the mythic power of themselves and their most gifted lieutenants. You amplify the mythic power of the target creatures, bolstering them with healing energy each time they draw upon their mythic abilities. When a creature affected by this spell expends uses of mythic power for any ability, it immediately heals 2d8 points of damage + 1 point per caster level (maximum +25). In addition, the creature benefits from one of the following additional effects.&lt;/p&gt;&lt;p&gt;&lt;ul&gt;&lt;li&gt; Remove any one of the following conditions: dazzled, fatigued, shaken, sickened, or staggered.&lt;/p&gt;&lt;p&gt;&lt;li&gt; Reduce the dazed or stunned condition to staggered.&lt;/p&gt;&lt;p&gt;&lt;li&gt; Reduce the exhausted condition to fatigued.&lt;/p&gt;&lt;p&gt;&lt;li&gt; Reduce the frightened condition to shaken, or the panicked condition to frightened.&lt;/p&gt;&lt;p&gt;&lt;li&gt; Reduce the nauseated condition to sickened.&lt;/ul&gt;&lt;/p&gt;&lt;p&gt;A target can benefit from the effects of &lt;i&gt;sustaining legend&lt;/i&gt; only once per round, even if the target expends multiple uses of mythic power during that time.&lt;/p&gt;</t>
  </si>
  <si>
    <t>&lt;link rel="stylesheet"href="PF.css"&gt;&lt;div class="heading"&gt;&lt;p class="alignleft"&gt;Sustaining Legend&lt;/p&gt;&lt;div style="clear: both;"&gt;&lt;/div&gt;&lt;/div&gt;&lt;div&gt;&lt;h5&gt;&lt;b&gt;School &lt;/b&gt;conjuration (healing); &lt;b&gt;Level &lt;/b&gt;bard 5, cleric/oracle 6&lt;/h5&gt;&lt;/div&gt;&lt;hr/&gt;&lt;div&gt;&lt;h5&gt;&lt;b&gt;CASTING&lt;/b&gt;&lt;/h5&gt;&lt;/div&gt;&lt;hr/&gt;&lt;div&gt;&lt;h5&gt;&lt;b&gt;Casting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levels)&lt;/h5&gt;&lt;h5&gt;&lt;b&gt;Targets &lt;/b&gt;one creature/level, no two of which can be more than 30 ft. apart&lt;/h5&gt;&lt;h5&gt;&lt;b&gt;Duration &lt;/b&gt;1 round/level&lt;/h5&gt;&lt;h5&gt;&lt;b&gt;Saving Throw &lt;/b&gt;Will negates (harmless); &lt;b&gt;Spell Resistance &lt;/b&gt;yes&lt;/h5&gt;&lt;/div&gt;&lt;hr/&gt;&lt;div&gt;&lt;h5&gt;&lt;b&gt;DESCRIPTION&lt;/b&gt;&lt;/h5&gt;&lt;/div&gt;&lt;hr/&gt;&lt;div&gt;&lt;h4&gt;&lt;p&gt;The rulers of Azlant are thought to have used this spell to amplify the mythic power of themselves and their most gifted lieutenants. You amplify the mythic power of the target creatures, bolstering them with healing energy each time they draw upon their mythic abilities. When a creature affected by this spell expends uses of mythic power for any ability, it immediately heals 2d8 points of damage + 1 point per caster level (maximum +25). In addition, the creature benefits from one of the following additional effects.&lt;/p&gt;&lt;p&gt;&lt;ul&gt;&lt;li&gt; Remove any one of the following conditions: dazzled, fatigued, shaken, sickened, or staggered.&lt;/p&gt;&lt;p&gt;&lt;li&gt; Reduce the dazed or stunned condition to staggered.&lt;/p&gt;&lt;p&gt;&lt;li&gt; Reduce the exhausted condition to fatigued.&lt;/p&gt;&lt;p&gt;&lt;li&gt; Reduce the frightened condition to shaken, or the panicked condition to frightened.&lt;/p&gt;&lt;p&gt;&lt;li&gt; Reduce the nauseated condition to sickened.&lt;/ul&gt;&lt;/p&gt;&lt;p&gt;A target can benefit from the effects of &lt;i&gt;sustaining legend&lt;/i&gt; only once per round, even if the target expends multiple uses of mythic power during that time.&lt;/p&gt;&lt;/h4&gt;&lt;/div&gt;</t>
  </si>
  <si>
    <t>Accursed Glare</t>
  </si>
  <si>
    <t>antipaladin 3, sorcerer/wizard 3, witch 3</t>
  </si>
  <si>
    <t>You channel a fell curse through your glare. If the target fails its saving throw, it begins to obsessively second-guess its actions and attract bad luck. Whenever the target attempts an attack roll or saving throw while the curse lasts, it must roll twice and take the lower result. While you cast this spell, an ally within range of the subject can attempt an Intimidate check as a move action (DC = save DC of this spell); on a success, the ally adds its own glare to yours, granting you a +2 bonus on your caster level check to overcome spell resistance (if any). Multiple allies can attempt Intimidate checks; this bonus stacks.</t>
  </si>
  <si>
    <t>&lt;p&gt;You channel a fell curse through your glare. If the target fails its saving throw, it begins to obsessively second-guess its actions and attract bad luck. Whenever the target attempts an attack roll or saving throw while the curse lasts, it must roll twice and take the lower result. While you cast this spell, an ally within range of the subject can attempt an Intimidate check as a move action (DC = save DC of this spell); on a success, the ally adds its own glare to yours, granting you a +2 bonus on your caster level check to overcome spell resistance (if any). Multiple allies can attempt Intimidate checks; this bonus stacks.&lt;/p&gt;</t>
  </si>
  <si>
    <t>Blood Of The Moon</t>
  </si>
  <si>
    <t>&lt;link rel="stylesheet"href="PF.css"&gt;&lt;div class="heading"&gt;&lt;p class="alignleft"&gt;Accursed Glare&lt;/p&gt;&lt;div style="clear: both;"&gt;&lt;/div&gt;&lt;/div&gt;&lt;div&gt;&lt;h5&gt;&lt;b&gt;School &lt;/b&gt;necromancy [curse]; &lt;b&gt;Level &lt;/b&gt;antipaladin 3, sorcerer/wizard 3, witch 3&lt;/h5&gt;&lt;/div&gt;&lt;hr/&gt;&lt;div&gt;&lt;h5&gt;&lt;b&gt;CASTING&lt;/b&gt;&lt;/h5&gt;&lt;/div&gt;&lt;hr/&gt;&lt;div&gt;&lt;h5&gt;&lt;b&gt;Casting Time &lt;/b&gt;1 round&lt;/h5&gt;&lt;h5&gt;&lt;b&gt;Components &lt;/b&gt;V, S&lt;/h5&gt;&lt;/div&gt;&lt;hr/&gt;&lt;div&gt;&lt;h5&gt;&lt;b&gt;EFFECT&lt;/b&gt;&lt;/h5&gt;&lt;/div&gt;&lt;hr/&gt;&lt;div&gt;&lt;h5&gt;&lt;b&gt;Range &lt;/b&gt;close (25 ft. + 5 ft./2 levels)&lt;/h5&gt;&lt;h5&gt;&lt;b&gt;Targets &lt;/b&gt;one creature&lt;/h5&gt;&lt;h5&gt;&lt;b&gt;Duration &lt;/b&gt;1 day/level&lt;/h5&gt;&lt;h5&gt;&lt;b&gt;Saving Throw &lt;/b&gt;Will negates; &lt;b&gt;Spell Resistance &lt;/b&gt;yes&lt;/h5&gt;&lt;/div&gt;&lt;hr/&gt;&lt;div&gt;&lt;h5&gt;&lt;b&gt;DESCRIPTION&lt;/b&gt;&lt;/h5&gt;&lt;/div&gt;&lt;hr/&gt;&lt;div&gt;&lt;h4&gt;&lt;p&gt;You channel a fell curse through your glare. If the target fails its saving throw, it begins to obsessively second-guess its actions and attract bad luck. Whenever the target attempts an attack roll or saving throw while the curse lasts, it must roll twice and take the lower result. While you cast this spell, an ally within range of the subject can attempt an Intimidate check as a move action (DC = save DC of this spell); on a success, the ally adds its own glare to yours, granting you a +2 bonus on your caster level check to overcome spell resistance (if any). Multiple allies can attempt Intimidate checks; this bonus stacks.&lt;/p&gt;&lt;/h4&gt;&lt;/div&gt;</t>
  </si>
  <si>
    <t>Share Skin</t>
  </si>
  <si>
    <t>one animal touched</t>
  </si>
  <si>
    <t>Duration 1 minute/level or until you return to your body You can possess an animal's body in a manner that functions like magic jar, except as noted here. Your body vanishes while the effect lasts and you don't require a receptacle.</t>
  </si>
  <si>
    <t>&lt;p&gt;&lt;b&gt;Duration&lt;/b&gt; 1 minute/level or until you return to your body You can possess an animal's body in a manner that functions like &lt;i&gt;magic jar&lt;/i&gt;, except as noted here. Your body vanishes while the effect lasts and you don't require a receptacle.&lt;/p&gt;</t>
  </si>
  <si>
    <t>&lt;link rel="stylesheet"href="PF.css"&gt;&lt;div class="heading"&gt;&lt;p class="alignleft"&gt;Share Skin&lt;/p&gt;&lt;div style="clear: both;"&gt;&lt;/div&gt;&lt;/div&gt;&lt;div&gt;&lt;h5&gt;&lt;b&gt;School &lt;/b&gt;necromancy; &lt;b&gt;Level &lt;/b&gt;druid 6, witch 6&lt;/h5&gt;&lt;/div&gt;&lt;hr/&gt;&lt;div&gt;&lt;h5&gt;&lt;b&gt;CASTING&lt;/b&gt;&lt;/h5&gt;&lt;/div&gt;&lt;hr/&gt;&lt;div&gt;&lt;h5&gt;&lt;b&gt;Casting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&lt;/b&gt;one animal touched&lt;/h5&gt;&lt;h5&gt;&lt;b&gt;Duration &lt;/b&gt;1 hour/level or until you return to your body&lt;/h5&gt;&lt;h5&gt;&lt;b&gt;Saving Throw &lt;/b&gt;Will negates; see text; &lt;b&gt;Spell Resistance &lt;/b&gt;yes&lt;/h5&gt;&lt;/div&gt;&lt;hr/&gt;&lt;div&gt;&lt;h5&gt;&lt;b&gt;DESCRIPTION&lt;/b&gt;&lt;/h5&gt;&lt;/div&gt;&lt;hr/&gt;&lt;div&gt;&lt;h4&gt;&lt;p&gt;&lt;b&gt;Duration&lt;/b&gt; 1 minute/level or until you return to your body You can possess an animal's body in a manner that functions like &lt;i&gt;magic jar&lt;/i&gt;, except as noted here. Your body vanishes while the effect lasts and you don't require a receptacle.&lt;/p&gt;&lt;/h4&gt;&lt;/div&gt;</t>
  </si>
  <si>
    <t>Share Skin, Greater</t>
  </si>
  <si>
    <t>witch 8</t>
  </si>
  <si>
    <t>This spell functions like share skin, except as noted here.</t>
  </si>
  <si>
    <t>&lt;p&gt;This spell functions like &lt;i&gt;share skin&lt;/i&gt;, except as noted here.&lt;/p&gt;</t>
  </si>
  <si>
    <t>&lt;link rel="stylesheet"href="PF.css"&gt;&lt;div class="heading"&gt;&lt;p class="alignleft"&gt;Share Skin, Greater&lt;/p&gt;&lt;div style="clear: both;"&gt;&lt;/div&gt;&lt;/div&gt;&lt;div&gt;&lt;h5&gt;&lt;b&gt;School &lt;/b&gt;necromancy; &lt;b&gt;Level &lt;/b&gt;witch 8&lt;/h5&gt;&lt;/div&gt;&lt;hr/&gt;&lt;div&gt;&lt;h5&gt;&lt;b&gt;CASTING&lt;/b&gt;&lt;/h5&gt;&lt;/div&gt;&lt;hr/&gt;&lt;div&gt;&lt;h5&gt;&lt;b&gt;Casting Time &lt;/b&gt;1 standard action&lt;/h5&gt;&lt;h5&gt;&lt;b&gt;Components &lt;/b&gt;V, S&lt;/h5&gt;&lt;/div&gt;&lt;hr/&gt;&lt;div&gt;&lt;h5&gt;&lt;b&gt;EFFECT&lt;/b&gt;&lt;/h5&gt;&lt;/div&gt;&lt;hr/&gt;&lt;div&gt;&lt;h5&gt;&lt;b&gt;Range &lt;/b&gt;touch&lt;/h5&gt;&lt;h5&gt;&lt;b&gt;Targets &lt;/b&gt;one creature touched&lt;/h5&gt;&lt;h5&gt;&lt;b&gt;Duration &lt;/b&gt;1 hour/level or until you return to your body&lt;/h5&gt;&lt;h5&gt;&lt;b&gt;Saving Throw &lt;/b&gt;Will negates; see text; &lt;b&gt;Spell Resistance &lt;/b&gt;yes&lt;/h5&gt;&lt;/div&gt;&lt;hr/&gt;&lt;div&gt;&lt;h5&gt;&lt;b&gt;DESCRIPTION&lt;/b&gt;&lt;/h5&gt;&lt;/div&gt;&lt;hr/&gt;&lt;div&gt;&lt;h4&gt;&lt;p&gt;This spell functions like &lt;i&gt;share skin&lt;/i&gt;, except as noted here.&lt;/p&gt;&lt;/h4&gt;&lt;/div&gt;</t>
  </si>
  <si>
    <t>Heavy Water</t>
  </si>
  <si>
    <t>cleric/oracle 4, druid 4, ranger 4</t>
  </si>
  <si>
    <t>cylinder of water (5-ft. radius/level, 30 ft. deep)</t>
  </si>
  <si>
    <t>You cause a volume of water to become heavier than normal. Swimming in or through such water requires a Swim check with a DC equal to the saving throw DC of this spell; even creatures with a swim speed must attempt this check. Success allows a creature to swim at up to half its speed as a full-round action; a creature cannot swim as a move action while in an area of heavy water. If a creature fails its Swim check by 4 or less, it makes no progress. If it fails by 5 or more, it goes underwater. All Perception checks to see through the affected water take a -10 penalty. All ships sailing through an area of heavy water move at half speed.</t>
  </si>
  <si>
    <t>&lt;p&gt;You cause a volume of water to become heavier than normal.&lt;/p&gt;&lt;p&gt;Swimming in or through such water requires a Swim check with a DC equal to the saving throw DC of this spell; even creatures with a swim speed must attempt this check. Success allows a creature to swim at up to half its speed as a full-round action; a creature cannot swim as a move action while in an area of &lt;i&gt;heavy water&lt;/i&gt;. If a creature fails its Swim check by 4 or less, it makes no progress.&lt;/p&gt;&lt;p&gt;If it fails by 5 or more, it goes underwater.&lt;/p&gt;&lt;p&gt;All Perception checks to see through the affected water take a -10 penalty. All ships sailing through an area of &lt;i&gt;heavy water&lt;/i&gt; move at half speed.&lt;/p&gt;</t>
  </si>
  <si>
    <t>Magical Marketplace</t>
  </si>
  <si>
    <t>&lt;link rel="stylesheet"href="PF.css"&gt;&lt;div class="heading"&gt;&lt;p class="alignleft"&gt;Heavy Water&lt;/p&gt;&lt;div style="clear: both;"&gt;&lt;/div&gt;&lt;/div&gt;&lt;div&gt;&lt;h5&gt;&lt;b&gt;School &lt;/b&gt;transmutation [water]; &lt;b&gt;Level &lt;/b&gt;cleric/oracle 4, druid 4, ranger 4&lt;/h5&gt;&lt;/div&gt;&lt;hr/&gt;&lt;div&gt;&lt;h5&gt;&lt;b&gt;CASTING&lt;/b&gt;&lt;/h5&gt;&lt;/div&gt;&lt;hr/&gt;&lt;div&gt;&lt;h5&gt;&lt;b&gt;Casting Time &lt;/b&gt;1 standard action&lt;/h5&gt;&lt;h5&gt;&lt;b&gt;Components &lt;/b&gt;V, S, DF&lt;/h5&gt;&lt;/div&gt;&lt;hr/&gt;&lt;div&gt;&lt;h5&gt;&lt;b&gt;EFFECT&lt;/b&gt;&lt;/h5&gt;&lt;/div&gt;&lt;hr/&gt;&lt;div&gt;&lt;h5&gt;&lt;b&gt;Range &lt;/b&gt;medium (100 ft. + 10 ft./level)&lt;/h5&gt;&lt;h5&gt;&lt;b&gt;Area &lt;/b&gt;cylinder of water (5-ft. radius/level, 30 ft. deep)&lt;/h5&gt;&lt;h5&gt;&lt;b&gt;Duration &lt;/b&gt;1 minute/level (D)&lt;/h5&gt;&lt;h5&gt;&lt;b&gt;Saving Throw &lt;/b&gt;none (see text); &lt;b&gt;Spell Resistance &lt;/b&gt;no&lt;/h5&gt;&lt;/div&gt;&lt;hr/&gt;&lt;div&gt;&lt;h5&gt;&lt;b&gt;DESCRIPTION&lt;/b&gt;&lt;/h5&gt;&lt;/div&gt;&lt;hr/&gt;&lt;div&gt;&lt;h4&gt;&lt;p&gt;You cause a volume of water to become heavier than normal.&lt;/p&gt;&lt;p&gt;Swimming in or through such water requires a Swim check with a DC equal to the saving throw DC of this spell; even creatures with a swim speed must attempt this check. Success allows a creature to swim at up to half its speed as a full-round action; a creature cannot swim as a move action while in an area of &lt;i&gt;heavy water&lt;/i&gt;. If a creature fails its Swim check by 4 or less, it makes no progress.&lt;/p&gt;&lt;p&gt;If it fails by 5 or more, it goes underwater.&lt;/p&gt;&lt;p&gt;All Perception checks to see through the affected water take a -10 penalty. All ships sailing through an area of &lt;i&gt;heavy water&lt;/i&gt; move at half speed.&lt;/p&gt;&lt;/h4&gt;&lt;/div&gt;</t>
  </si>
  <si>
    <t>Hydrophobia</t>
  </si>
  <si>
    <t>bard 2, cleric/oracle 3, druid 3, sorcerer/wizard 3, witch 3</t>
  </si>
  <si>
    <t>Targets in the area must succeed at a Will save or become deathly afraid of drowning. If the target is swimming or otherwise submerged in water, it must spend all of its efforts attempting to escape from the water. As long as an affected target remains in water, it takes 1d6 points of nonlethal damage each round as it thrashes about and swallows water. Even out of water, targets cannot imbibe potions or willingly interact with any fluids for the duration of this spell.</t>
  </si>
  <si>
    <t>&lt;p&gt;Targets in the area must succeed at a Will save or become deathly afraid of drowning. If the target is swimming or otherwise submerged in water, it must spend all of its efforts attempting to escape from the water. As long as an affected target remains in water, it takes 1d6 points of nonlethal damage each round as it thrashes about and swallows water. Even out of water, targets cannot imbibe potions or willingly interact with any fluids for the duration of this spell.&lt;/p&gt;</t>
  </si>
  <si>
    <t>&lt;link rel="stylesheet"href="PF.css"&gt;&lt;div class="heading"&gt;&lt;p class="alignleft"&gt;Hydrophobia&lt;/p&gt;&lt;div style="clear: both;"&gt;&lt;/div&gt;&lt;/div&gt;&lt;div&gt;&lt;h5&gt;&lt;b&gt;School &lt;/b&gt;necromancy [emotion, fear, mind-affecting]; &lt;b&gt;Level &lt;/b&gt;bard 2, cleric/oracle 3, druid 3, sorcerer/wizard 3, witch 3&lt;/h5&gt;&lt;/div&gt;&lt;hr/&gt;&lt;div&gt;&lt;h5&gt;&lt;b&gt;CASTING&lt;/b&gt;&lt;/h5&gt;&lt;/div&gt;&lt;hr/&gt;&lt;div&gt;&lt;h5&gt;&lt;b&gt;Casting Time &lt;/b&gt;1 standard action&lt;/h5&gt;&lt;h5&gt;&lt;b&gt;Components &lt;/b&gt;V, S&lt;/h5&gt;&lt;/div&gt;&lt;hr/&gt;&lt;div&gt;&lt;h5&gt;&lt;b&gt;EFFECT&lt;/b&gt;&lt;/h5&gt;&lt;/div&gt;&lt;hr/&gt;&lt;div&gt;&lt;h5&gt;&lt;b&gt;Range &lt;/b&gt;close (25 ft. + 5 ft./2 levels)&lt;/h5&gt;&lt;h5&gt;&lt;b&gt;Area &lt;/b&gt;30-ft.-radius burst&lt;/h5&gt;&lt;h5&gt;&lt;b&gt;Duration &lt;/b&gt;1 round/level&lt;/h5&gt;&lt;h5&gt;&lt;b&gt;Saving Throw &lt;/b&gt;Will negates; &lt;b&gt;Spell Resistance &lt;/b&gt;yes&lt;/h5&gt;&lt;/div&gt;&lt;hr/&gt;&lt;div&gt;&lt;h5&gt;&lt;b&gt;DESCRIPTION&lt;/b&gt;&lt;/h5&gt;&lt;/div&gt;&lt;hr/&gt;&lt;div&gt;&lt;h4&gt;&lt;p&gt;Targets in the area must succeed at a Will save or become deathly afraid of drowning. If the target is swimming or otherwise submerged in water, it must spend all of its efforts attempting to escape from the water. As long as an affected target remains in water, it takes 1d6 points of nonlethal damage each round as it thrashes about and swallows water. Even out of water, targets cannot imbibe potions or willingly interact with any fluids for the duration of this spell.&lt;/p&gt;&lt;/h4&gt;&lt;/div&gt;</t>
  </si>
  <si>
    <t>Blood Boil</t>
  </si>
  <si>
    <t>magus 5, sorcerer/wizard 5, witch 5</t>
  </si>
  <si>
    <t>The temperature of the target creature's blood (or other similar body fluid) begins to rise over the next 3 rounds during the caster's turn. Each round starting with the first, the target creature attempts a new saving throw at the start of the caster's turn to resist that round's effect. A successful save does not end the spell effect, but does prevent that round's effect. On the round that this spell is cast, the target becomes fatigued. On the next round, as the blood temperature begins to rise, the target's capillaries burst, dealing 1d6 points of Constitution damage to the target. On the third and final round, the target's blood begins to boil; the spell deals 1d6 points of damage per caster level (to a maximum of 15d6), and-if the target is still alive-the target becomes exhausted rather than fatigued.</t>
  </si>
  <si>
    <t>&lt;p&gt;The temperature of the target creature's blood (or other similar body fluid) begins to rise over the next 3 rounds during the caster's turn. Each round starting with the first, the target creature attempts a new saving throw at the start of the caster's turn to resist that round's effect. A successful save does not end the spell effect, but does prevent that round's effect. On the round that this spell is cast, the target becomes fatigued. On the next round, as the blood temperature begins to rise, the target's capillaries burst, dealing 1d6 points of Constitution damage to the target. On the third and final round, the target's blood begins to boil; the spell deals 1d6 points of damage per caster level (to a maximum of 15d6), and-if the target is still alive-the target becomes exhausted rather than fatigued.&lt;/p&gt;</t>
  </si>
  <si>
    <t>&lt;link rel="stylesheet"href="PF.css"&gt;&lt;div class="heading"&gt;&lt;p class="alignleft"&gt;Blood Boil&lt;/p&gt;&lt;div style="clear: both;"&gt;&lt;/div&gt;&lt;/div&gt;&lt;div&gt;&lt;h5&gt;&lt;b&gt;School &lt;/b&gt;necromancy; &lt;b&gt;Level &lt;/b&gt;magus 5, sorcerer/wizard 5, witch 5&lt;/h5&gt;&lt;/div&gt;&lt;hr/&gt;&lt;div&gt;&lt;h5&gt;&lt;b&gt;CASTING&lt;/b&gt;&lt;/h5&gt;&lt;/div&gt;&lt;hr/&gt;&lt;div&gt;&lt;h5&gt;&lt;b&gt;Casting Time &lt;/b&gt;1 standard action&lt;/h5&gt;&lt;h5&gt;&lt;b&gt;Components &lt;/b&gt;V, S, M (a drop of mercury)&lt;/h5&gt;&lt;/div&gt;&lt;hr/&gt;&lt;div&gt;&lt;h5&gt;&lt;b&gt;EFFECT&lt;/b&gt;&lt;/h5&gt;&lt;/div&gt;&lt;hr/&gt;&lt;div&gt;&lt;h5&gt;&lt;b&gt;Range &lt;/b&gt;touch&lt;/h5&gt;&lt;h5&gt;&lt;b&gt;Targets &lt;/b&gt;one living creature&lt;/h5&gt;&lt;h5&gt;&lt;b&gt;Duration &lt;/b&gt;3 rounds&lt;/h5&gt;&lt;h5&gt;&lt;b&gt;Saving Throw &lt;/b&gt;Fortitude negates (see text); &lt;b&gt;Spell Resistance &lt;/b&gt;yes&lt;/h5&gt;&lt;/div&gt;&lt;hr/&gt;&lt;div&gt;&lt;h5&gt;&lt;b&gt;DESCRIPTION&lt;/b&gt;&lt;/h5&gt;&lt;/div&gt;&lt;hr/&gt;&lt;div&gt;&lt;h4&gt;&lt;p&gt;The temperature of the target creature's blood (or other similar body fluid) begins to rise over the next 3 rounds during the caster's turn. Each round starting with the first, the target creature attempts a new saving throw at the start of the caster's turn to resist that round's effect. A successful save does not end the spell effect, but does prevent that round's effect. On the round that this spell is cast, the target becomes fatigued. On the next round, as the blood temperature begins to rise, the target's capillaries burst, dealing 1d6 points of Constitution damage to the target. On the third and final round, the target's blood begins to boil; the spell deals 1d6 points of damage per caster level (to a maximum of 15d6), and-if the target is still alive-the target becomes exhausted rather than fatigued.&lt;/p&gt;&lt;/h4&gt;&lt;/div&gt;</t>
  </si>
  <si>
    <t>Imbue With Addiction</t>
  </si>
  <si>
    <t>alchemist 2, sorcerer/wizard 3, witch 3</t>
  </si>
  <si>
    <t>V, S, M (a dose of an addictive drug or substance)</t>
  </si>
  <si>
    <t>The target immediately becomes addicted to the drug used during the casting of the spell (see pages 236-237 of the Pathfinder RPG GameMastery Guide for rules on drugs and addiction). If the target was ever addicted to the drug at any point in the past, it takes a -4 penalty on its saving throw.</t>
  </si>
  <si>
    <t>&lt;p&gt;The target immediately becomes addicted to the drug used during the casting of the spell (see pages 236-237 of the &lt;i&gt;Pathfinder RPG GameMastery Guide&lt;/i&gt; for rules on drugs and addiction). If the target was ever addicted to the drug at any point in the past, it takes a -4 penalty on its saving throw.&lt;/p&gt;</t>
  </si>
  <si>
    <t>&lt;link rel="stylesheet"href="PF.css"&gt;&lt;div class="heading"&gt;&lt;p class="alignleft"&gt;Imbue With Addiction&lt;/p&gt;&lt;div style="clear: both;"&gt;&lt;/div&gt;&lt;/div&gt;&lt;div&gt;&lt;h5&gt;&lt;b&gt;School &lt;/b&gt;transmutation; &lt;b&gt;Level &lt;/b&gt;alchemist 2, sorcerer/wizard 3, witch 3&lt;/h5&gt;&lt;/div&gt;&lt;hr/&gt;&lt;div&gt;&lt;h5&gt;&lt;b&gt;CASTING&lt;/b&gt;&lt;/h5&gt;&lt;/div&gt;&lt;hr/&gt;&lt;div&gt;&lt;h5&gt;&lt;b&gt;Casting Time &lt;/b&gt;1 standard action&lt;/h5&gt;&lt;h5&gt;&lt;b&gt;Components &lt;/b&gt;V, S, M (a dose of an addictive drug or substance)&lt;/h5&gt;&lt;/div&gt;&lt;hr/&gt;&lt;div&gt;&lt;h5&gt;&lt;b&gt;EFFECT&lt;/b&gt;&lt;/h5&gt;&lt;/div&gt;&lt;hr/&gt;&lt;div&gt;&lt;h5&gt;&lt;b&gt;Range &lt;/b&gt;touch&lt;/h5&gt;&lt;h5&gt;&lt;b&gt;Targets &lt;/b&gt;one living creature&lt;/h5&gt;&lt;h5&gt;&lt;b&gt;Duration &lt;/b&gt;instantaneous&lt;/h5&gt;&lt;h5&gt;&lt;b&gt;Saving Throw &lt;/b&gt;Fortitude negates; &lt;b&gt;Spell Resistance &lt;/b&gt;yes&lt;/h5&gt;&lt;/div&gt;&lt;hr/&gt;&lt;div&gt;&lt;h5&gt;&lt;b&gt;DESCRIPTION&lt;/b&gt;&lt;/h5&gt;&lt;/div&gt;&lt;hr/&gt;&lt;div&gt;&lt;h4&gt;&lt;p&gt;The target immediately becomes addicted to the drug used during the casting of the spell (see pages 236-237 of the &lt;i&gt;Pathfinder RPG GameMastery Guide&lt;/i&gt; for rules on drugs and addiction). If the target was ever addicted to the drug at any point in the past, it takes a -4 penalty on its saving throw.&lt;/p&gt;&lt;/h4&gt;&lt;/div&gt;</t>
  </si>
  <si>
    <t>Section 15: Copyright Notice - Paizo Spells Database</t>
  </si>
  <si>
    <t>28 Dec 2013: updated for Wardens Of The Reborn Forge</t>
  </si>
  <si>
    <t>17 Nov 2013: updated for Blood Of The Moon</t>
  </si>
  <si>
    <t>06 Oct 2013: updated all older spells for mthic data</t>
  </si>
  <si>
    <t>29 Sep 2013: updated for AP 74, Mythic Origins, Mythic Realms. Updated older spells for new mythic data up to start of Ps</t>
  </si>
  <si>
    <t>02 Sept 2013: updated for AP 73,Wrath Of The Righteous, Faiths &amp; Philosophies, Demon Hunter's Handbook, Demons Revisited, Mythic Adventures</t>
  </si>
  <si>
    <t>28 Jul 2013: updated for AP 72,Dragonslayer's Handbook, The Worldwound,Pathfinder Society Primer, The Dragon's Demand</t>
  </si>
  <si>
    <t>29 Jun 2013: Updated for Kobolds Of Golarion &amp; Quests and Campaigns, AP 71. Added new field Patron, comma delim field of witch patron spells</t>
  </si>
  <si>
    <t>02 jun 2013: updated for Chronicle Of The Righteous. Doamin field cleanup (includes sub-domains) blodline field added. New Core rule errata applied.</t>
  </si>
  <si>
    <t>21 Apr 2013: Updated for Champions Of Purity &amp; AP 69. Updated oracle spell level and text to match cleric spell level</t>
  </si>
  <si>
    <t>24 Mar 2013: updated for AP 68 and Dungeoneers Handbook. Reimported some spells due to parsing issues: Telekinetic Assembly , Groundswell ,Ironbeard ,Death From Below ,Jitterbugs ,Major Phantom Object,Minor Dream , Minor Phantom Object,Battle Trance ,Spawn Ward , Sow Thought ,Fins To Feet , Karmic Blessing , Strong Wings ,Imbue With Elemental Might,Squeeze,Shadow Anchor, Magic Stone, Resist Energy, Snake Staff,Gorum's Armor,Bowstaff,Brow Gasher. And over the years some spells were missied in getting nto the DB in the place, her they are now : Corpse Hammer,Oath of Justice,Soothing Word,Tactical Formation.</t>
  </si>
  <si>
    <t>06 Mar 2013: Updated 2 spells, change blindness-deafness to blindness/deafness and Smug Narcissism to have only one Duration value.</t>
  </si>
  <si>
    <t>23 Feb 2013: updated for Animal Archive &amp; AP 67. Fixed the following spells for school,subschool,descriptor issues: breeze, Burning Disarm, Frost Fall, Martyr's Bargain, Sheet Lightning, Jolting Portent, Blast Barrier, Seducer's Eyes, Fairness, Genius Avaricious, Heroes' Feast, Curse Of Disgust</t>
  </si>
  <si>
    <t>06 Feb 2013: updated for People Of The North</t>
  </si>
  <si>
    <t>24 Dec 2012: updated for AP 65 and Blood Of The Night</t>
  </si>
  <si>
    <t>02 Dec 2012: updated for AP 64</t>
  </si>
  <si>
    <t>30 Sep 2012: Updated for AP 62, Artifacts &amp; Legends and Knights Of The Inner Sea</t>
  </si>
  <si>
    <t>19 Aug 2012: updated for RotRL-AE-Appendix</t>
  </si>
  <si>
    <t>22 JUl 2012: Updated AP 58 &amp; 59, Magnimar City Of Monuments, RotRL-AE-Burnt Offerings, started RotRL-AE-The Skinsaw Murders , name field is now just name, added linkedtext and id fields</t>
  </si>
  <si>
    <t>21 Jun 2012: Updated with AP 57, Lost Kingdoms, Advanced Race Guide</t>
  </si>
  <si>
    <t>04 Jun2012: Added Hero Spells from APG</t>
  </si>
  <si>
    <t>27 May 2012: Updated for AP 56</t>
  </si>
  <si>
    <t>22 Apr 2012 Updated for AP 55</t>
  </si>
  <si>
    <t>01Apr2012: update for Ultimate Magic errata</t>
  </si>
  <si>
    <t>18 Mar 2012: updated Spark to be Magnus 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</si>
</sst>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7">
    <font>
      <b val="0"/>
      <i val="0"/>
      <strike val="0"/>
      <u val="none"/>
      <sz val="10.0"/>
      <color rgb="FF000000"/>
      <name val="Arial"/>
    </font>
    <font>
      <b val="0"/>
      <i val="0"/>
      <strike val="0"/>
      <u val="none"/>
      <sz val="10.0"/>
      <color rgb="FF0000FF"/>
      <name val="Arial"/>
    </font>
    <font>
      <b val="0"/>
      <i val="0"/>
      <strike val="0"/>
      <u val="none"/>
      <sz val="10.0"/>
      <color rgb="FF000000"/>
      <name val="Arial"/>
    </font>
    <font>
      <b val="0"/>
      <i val="0"/>
      <strike val="0"/>
      <u/>
      <sz val="10.0"/>
      <color rgb="FF0000FF"/>
      <name val="Arial"/>
    </font>
    <font>
      <b val="0"/>
      <i val="0"/>
      <strike val="0"/>
      <u val="none"/>
      <sz val="11.0"/>
      <color rgb="FF000000"/>
      <name val="Arial"/>
    </font>
    <font>
      <b val="0"/>
      <i val="0"/>
      <strike val="0"/>
      <u val="none"/>
      <sz val="10.0"/>
      <color rgb="FF000000"/>
      <name val="Arial"/>
    </font>
    <font>
      <b val="0"/>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7">
    <xf applyAlignment="1" fillId="0" xfId="0" numFmtId="0" borderId="0" fontId="0">
      <alignment vertical="bottom" horizontal="general" wrapText="1"/>
    </xf>
    <xf applyAlignment="1" fillId="0" xfId="0" numFmtId="0" borderId="0" applyFont="1" fontId="1">
      <alignment vertical="bottom" horizontal="general" wrapText="1"/>
    </xf>
    <xf applyAlignment="1" fillId="0" xfId="0" numFmtId="164" borderId="0" applyFont="1" fontId="2" applyNumberFormat="1">
      <alignment vertical="center" horizontal="general"/>
    </xf>
    <xf applyAlignment="1" fillId="0" xfId="0" numFmtId="0" borderId="0" applyFont="1" fontId="3">
      <alignment vertical="bottom" horizontal="general" wrapText="1"/>
    </xf>
    <xf applyAlignment="1" fillId="0" xfId="0" numFmtId="0" borderId="0" applyFont="1" fontId="4">
      <alignment vertical="bottom" horizontal="general" wrapText="1"/>
    </xf>
    <xf applyAlignment="1" fillId="0" xfId="0" numFmtId="0" borderId="0" applyFont="1" fontId="5">
      <alignment vertical="bottom" horizontal="general" wrapText="1"/>
    </xf>
    <xf applyAlignment="1" fillId="0" xfId="0" numFmtId="0" borderId="0" applyFont="1" fontId="6">
      <alignment vertical="center" horizontal="general"/>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9.57" defaultRowHeight="15.0"/>
  <cols>
    <col min="2" customWidth="1" max="4" width="8.86"/>
    <col min="5" customWidth="1" max="5" width="96.14"/>
    <col min="6" customWidth="1" max="6" width="15.29"/>
    <col min="7" customWidth="1" max="77" width="8.86"/>
  </cols>
  <sheetData>
    <row customHeight="1" r="1" ht="14.25">
      <c t="s" s="6" r="A1">
        <v>0</v>
      </c>
      <c t="s" s="6" r="B1">
        <v>1</v>
      </c>
      <c t="s" s="6" r="C1">
        <v>2</v>
      </c>
      <c t="s" s="6" r="D1">
        <v>3</v>
      </c>
      <c t="s" s="6" r="E1">
        <v>4</v>
      </c>
      <c t="s" s="6" r="F1">
        <v>5</v>
      </c>
      <c t="s" s="6" r="G1">
        <v>6</v>
      </c>
      <c t="s" s="6" r="H1">
        <v>7</v>
      </c>
      <c t="s" s="6" r="I1">
        <v>8</v>
      </c>
      <c t="s" s="6" r="J1">
        <v>9</v>
      </c>
      <c t="s" s="6" r="K1">
        <v>10</v>
      </c>
      <c t="s" s="6" r="L1">
        <v>11</v>
      </c>
      <c t="s" s="6" r="M1">
        <v>12</v>
      </c>
      <c t="s" s="6" r="N1">
        <v>13</v>
      </c>
      <c t="s" s="6" r="O1">
        <v>14</v>
      </c>
      <c t="s" s="6" r="P1">
        <v>15</v>
      </c>
      <c t="s" s="6" r="Q1">
        <v>16</v>
      </c>
      <c t="s" s="6" r="R1">
        <v>17</v>
      </c>
      <c t="s" s="6" r="S1">
        <v>18</v>
      </c>
      <c t="s" s="6" r="T1">
        <v>19</v>
      </c>
      <c t="s" s="6" r="U1">
        <v>20</v>
      </c>
      <c t="s" s="6" r="V1">
        <v>21</v>
      </c>
      <c t="s" s="6" r="W1">
        <v>22</v>
      </c>
      <c t="s" s="6" r="X1">
        <v>23</v>
      </c>
      <c t="s" s="6" r="Y1">
        <v>24</v>
      </c>
      <c t="s" s="6" r="Z1">
        <v>25</v>
      </c>
      <c t="s" s="6" r="AA1">
        <v>26</v>
      </c>
      <c t="s" s="6" r="AB1">
        <v>27</v>
      </c>
      <c t="s" s="6" r="AC1">
        <v>28</v>
      </c>
      <c t="s" s="6" r="AD1">
        <v>29</v>
      </c>
      <c t="s" s="6" r="AE1">
        <v>30</v>
      </c>
      <c t="s" s="6" r="AF1">
        <v>31</v>
      </c>
      <c t="s" s="6" r="AG1">
        <v>32</v>
      </c>
      <c t="s" s="6" r="AH1">
        <v>33</v>
      </c>
      <c t="s" s="6" r="AI1">
        <v>34</v>
      </c>
      <c t="s" s="6" r="AJ1">
        <v>35</v>
      </c>
      <c t="s" s="6" r="AK1">
        <v>36</v>
      </c>
      <c t="s" s="6" r="AL1">
        <v>37</v>
      </c>
      <c t="s" s="6" r="AM1">
        <v>38</v>
      </c>
      <c t="s" s="6" r="AN1">
        <v>39</v>
      </c>
      <c t="s" s="6" r="AO1">
        <v>40</v>
      </c>
      <c t="s" s="6" r="AP1">
        <v>41</v>
      </c>
      <c t="s" s="6" r="AQ1">
        <v>42</v>
      </c>
      <c t="s" s="6" r="AR1">
        <v>43</v>
      </c>
      <c t="s" s="6" r="AS1">
        <v>44</v>
      </c>
      <c t="s" s="6" r="AT1">
        <v>45</v>
      </c>
      <c t="s" s="6" r="AU1">
        <v>46</v>
      </c>
      <c t="s" s="6" r="AV1">
        <v>47</v>
      </c>
      <c t="s" s="6" r="AW1">
        <v>48</v>
      </c>
      <c t="s" s="6" r="AX1">
        <v>49</v>
      </c>
      <c t="s" s="6" r="AY1">
        <v>50</v>
      </c>
      <c t="s" s="6" r="AZ1">
        <v>51</v>
      </c>
      <c t="s" s="6" r="BA1">
        <v>52</v>
      </c>
      <c t="s" s="6" r="BB1">
        <v>53</v>
      </c>
      <c t="s" s="6" r="BC1">
        <v>54</v>
      </c>
      <c t="s" s="6" r="BD1">
        <v>55</v>
      </c>
      <c t="s" s="6" r="BE1">
        <v>56</v>
      </c>
      <c t="s" s="6" r="BF1">
        <v>57</v>
      </c>
      <c t="s" s="6" r="BG1">
        <v>58</v>
      </c>
      <c t="s" s="6" r="BH1">
        <v>59</v>
      </c>
      <c t="s" s="6" r="BI1">
        <v>60</v>
      </c>
      <c t="s" s="6" r="BJ1">
        <v>61</v>
      </c>
      <c t="s" s="6" r="BK1">
        <v>62</v>
      </c>
      <c t="s" s="6" r="BL1">
        <v>63</v>
      </c>
      <c t="s" s="6" r="BM1">
        <v>64</v>
      </c>
      <c t="s" s="6" r="BN1">
        <v>65</v>
      </c>
      <c t="s" s="6" r="BO1">
        <v>66</v>
      </c>
      <c t="s" s="6" r="BP1">
        <v>67</v>
      </c>
      <c t="s" s="6" r="BQ1">
        <v>68</v>
      </c>
      <c t="s" s="6" r="BR1">
        <v>69</v>
      </c>
      <c t="s" s="6" r="BS1">
        <v>70</v>
      </c>
      <c t="s" s="6" r="BT1">
        <v>71</v>
      </c>
      <c t="s" s="6" r="BU1">
        <v>72</v>
      </c>
      <c t="s" s="6" r="BV1">
        <v>73</v>
      </c>
      <c t="s" s="6" r="BW1">
        <v>74</v>
      </c>
      <c t="s" s="6" r="BX1">
        <v>75</v>
      </c>
      <c t="s" s="6" r="BY1">
        <v>76</v>
      </c>
    </row>
    <row customHeight="1" r="2" ht="14.25">
      <c t="s" s="6" r="A2">
        <v>77</v>
      </c>
      <c t="s" s="6" r="B2">
        <v>78</v>
      </c>
      <c t="s" s="6" r="C2">
        <v>79</v>
      </c>
      <c t="s" s="6" r="D2">
        <v>44</v>
      </c>
      <c t="s" s="6" r="E2">
        <v>80</v>
      </c>
      <c t="s" s="6" r="F2">
        <v>81</v>
      </c>
      <c t="s" s="6" r="G2">
        <v>82</v>
      </c>
      <c s="6" r="H2">
        <v>0</v>
      </c>
      <c t="s" s="6" r="I2">
        <v>83</v>
      </c>
      <c t="s" s="6" r="K2">
        <v>84</v>
      </c>
      <c t="s" s="6" r="M2">
        <v>85</v>
      </c>
      <c s="6" r="N2">
        <v>0</v>
      </c>
      <c s="6" r="O2">
        <v>0</v>
      </c>
      <c t="s" s="6" r="P2">
        <v>86</v>
      </c>
      <c t="s" s="6" r="Q2">
        <v>87</v>
      </c>
      <c t="s" s="6" r="R2">
        <v>88</v>
      </c>
      <c t="s" s="6" r="S2">
        <v>89</v>
      </c>
      <c t="s" s="6" r="T2">
        <v>90</v>
      </c>
      <c t="s" s="6" r="U2">
        <v>91</v>
      </c>
      <c s="6" r="V2">
        <v>1</v>
      </c>
      <c s="6" r="W2">
        <v>1</v>
      </c>
      <c s="6" r="X2">
        <v>1</v>
      </c>
      <c s="6" r="Y2">
        <v>1</v>
      </c>
      <c s="6" r="Z2">
        <v>0</v>
      </c>
      <c s="6" r="AA2">
        <v>2</v>
      </c>
      <c s="6" r="AB2">
        <v>2</v>
      </c>
      <c t="s" s="6" r="AC2">
        <v>92</v>
      </c>
      <c t="s" s="6" r="AD2">
        <v>92</v>
      </c>
      <c t="s" s="6" r="AE2">
        <v>92</v>
      </c>
      <c t="s" s="6" r="AF2">
        <v>92</v>
      </c>
      <c t="s" s="6" r="AG2">
        <v>92</v>
      </c>
      <c t="s" s="6" r="AH2">
        <v>92</v>
      </c>
      <c t="s" s="6" r="AI2">
        <v>92</v>
      </c>
      <c t="s" s="6" r="AJ2">
        <v>92</v>
      </c>
      <c t="s" s="6" r="AK2">
        <v>92</v>
      </c>
      <c t="s" s="6" r="AL2">
        <v>92</v>
      </c>
      <c t="s" s="6" r="AM2">
        <v>92</v>
      </c>
      <c s="6" r="AN2">
        <v>2</v>
      </c>
      <c s="6" r="AP2">
        <v>2</v>
      </c>
      <c t="s" s="6" r="AR2">
        <v>93</v>
      </c>
      <c s="6" r="AS2">
        <v>1</v>
      </c>
      <c s="6" r="AT2">
        <v>0</v>
      </c>
      <c s="6" r="AU2">
        <v>0</v>
      </c>
      <c s="6" r="AV2">
        <v>0</v>
      </c>
      <c s="6" r="AW2">
        <v>0</v>
      </c>
      <c s="6" r="AX2">
        <v>0</v>
      </c>
      <c s="6" r="AY2">
        <v>0</v>
      </c>
      <c s="6" r="AZ2">
        <v>0</v>
      </c>
      <c s="6" r="BA2">
        <v>0</v>
      </c>
      <c s="6" r="BB2">
        <v>0</v>
      </c>
      <c s="6" r="BC2">
        <v>0</v>
      </c>
      <c s="6" r="BD2">
        <v>0</v>
      </c>
      <c s="6" r="BE2">
        <v>0</v>
      </c>
      <c s="6" r="BF2">
        <v>0</v>
      </c>
      <c s="6" r="BG2">
        <v>0</v>
      </c>
      <c s="6" r="BH2">
        <v>0</v>
      </c>
      <c s="6" r="BI2">
        <v>0</v>
      </c>
      <c s="6" r="BJ2">
        <v>0</v>
      </c>
      <c s="6" r="BK2">
        <v>0</v>
      </c>
      <c s="6" r="BL2">
        <v>0</v>
      </c>
      <c s="6" r="BM2">
        <v>0</v>
      </c>
      <c s="6" r="BN2">
        <v>0</v>
      </c>
      <c s="6" r="BO2">
        <v>0</v>
      </c>
      <c s="6" r="BP2">
        <v>0</v>
      </c>
      <c s="6" r="BQ2">
        <v>0</v>
      </c>
      <c t="str" s="6" r="BR2">
        <f>HYPERLINK("http://www.d20pfsrd.com/magic/all-spells/a/acid-arrow","Acid Arrow")</f>
        <v>Acid Arrow</v>
      </c>
      <c s="6" r="BS2">
        <v>1</v>
      </c>
      <c t="s" s="6" r="BT2">
        <v>92</v>
      </c>
      <c s="6" r="BY2">
        <v>0</v>
      </c>
    </row>
    <row customHeight="1" r="3" ht="14.25">
      <c t="s" s="6" r="A3">
        <v>94</v>
      </c>
      <c t="s" s="6" r="B3">
        <v>78</v>
      </c>
      <c t="s" s="6" r="C3">
        <v>79</v>
      </c>
      <c t="s" s="6" r="D3">
        <v>44</v>
      </c>
      <c t="s" s="6" r="E3">
        <v>95</v>
      </c>
      <c t="s" s="6" r="F3">
        <v>81</v>
      </c>
      <c t="s" s="6" r="G3">
        <v>96</v>
      </c>
      <c s="6" r="H3">
        <v>0</v>
      </c>
      <c t="s" s="6" r="I3">
        <v>97</v>
      </c>
      <c t="s" s="6" r="K3">
        <v>98</v>
      </c>
      <c t="s" s="6" r="M3">
        <v>99</v>
      </c>
      <c s="6" r="N3">
        <v>0</v>
      </c>
      <c s="6" r="O3">
        <v>0</v>
      </c>
      <c t="s" s="6" r="P3">
        <v>86</v>
      </c>
      <c t="s" s="6" r="Q3">
        <v>87</v>
      </c>
      <c t="s" s="6" r="R3">
        <v>100</v>
      </c>
      <c t="s" s="6" r="S3">
        <v>101</v>
      </c>
      <c t="s" s="6" r="T3">
        <v>90</v>
      </c>
      <c t="s" s="6" r="U3">
        <v>102</v>
      </c>
      <c s="6" r="V3">
        <v>1</v>
      </c>
      <c s="6" r="W3">
        <v>1</v>
      </c>
      <c s="6" r="X3">
        <v>1</v>
      </c>
      <c s="6" r="Y3">
        <v>0</v>
      </c>
      <c s="6" r="Z3">
        <v>0</v>
      </c>
      <c s="6" r="AA3">
        <v>6</v>
      </c>
      <c s="6" r="AB3">
        <v>6</v>
      </c>
      <c t="s" s="6" r="AC3">
        <v>92</v>
      </c>
      <c t="s" s="6" r="AD3">
        <v>92</v>
      </c>
      <c t="s" s="6" r="AE3">
        <v>92</v>
      </c>
      <c t="s" s="6" r="AF3">
        <v>92</v>
      </c>
      <c t="s" s="6" r="AG3">
        <v>92</v>
      </c>
      <c t="s" s="6" r="AH3">
        <v>92</v>
      </c>
      <c t="s" s="6" r="AI3">
        <v>92</v>
      </c>
      <c t="s" s="6" r="AJ3">
        <v>92</v>
      </c>
      <c t="s" s="6" r="AK3">
        <v>92</v>
      </c>
      <c t="s" s="6" r="AL3">
        <v>92</v>
      </c>
      <c t="s" s="6" r="AM3">
        <v>92</v>
      </c>
      <c s="6" r="AN3">
        <v>6</v>
      </c>
      <c s="6" r="AP3">
        <v>6</v>
      </c>
      <c t="s" s="6" r="AR3">
        <v>103</v>
      </c>
      <c s="6" r="AS3">
        <v>1</v>
      </c>
      <c s="6" r="AT3">
        <v>0</v>
      </c>
      <c s="6" r="AU3">
        <v>0</v>
      </c>
      <c s="6" r="AV3">
        <v>0</v>
      </c>
      <c s="6" r="AW3">
        <v>0</v>
      </c>
      <c s="6" r="AX3">
        <v>0</v>
      </c>
      <c s="6" r="AY3">
        <v>0</v>
      </c>
      <c s="6" r="AZ3">
        <v>0</v>
      </c>
      <c s="6" r="BA3">
        <v>0</v>
      </c>
      <c s="6" r="BB3">
        <v>0</v>
      </c>
      <c s="6" r="BC3">
        <v>0</v>
      </c>
      <c s="6" r="BD3">
        <v>0</v>
      </c>
      <c s="6" r="BE3">
        <v>0</v>
      </c>
      <c s="6" r="BF3">
        <v>0</v>
      </c>
      <c s="6" r="BG3">
        <v>0</v>
      </c>
      <c s="6" r="BH3">
        <v>0</v>
      </c>
      <c s="6" r="BI3">
        <v>0</v>
      </c>
      <c s="6" r="BJ3">
        <v>0</v>
      </c>
      <c s="6" r="BK3">
        <v>0</v>
      </c>
      <c s="6" r="BL3">
        <v>0</v>
      </c>
      <c s="6" r="BM3">
        <v>0</v>
      </c>
      <c s="6" r="BN3">
        <v>0</v>
      </c>
      <c s="6" r="BO3">
        <v>0</v>
      </c>
      <c s="6" r="BP3">
        <v>0</v>
      </c>
      <c s="6" r="BQ3">
        <v>0</v>
      </c>
      <c t="str" s="6" r="BR3">
        <f>HYPERLINK("http://www.d20pfsrd.com/magic/all-spells/a/acid-fog","Acid Fog")</f>
        <v>Acid Fog</v>
      </c>
      <c s="6" r="BS3">
        <v>2</v>
      </c>
      <c t="s" s="6" r="BT3">
        <v>92</v>
      </c>
      <c s="6" r="BY3">
        <v>0</v>
      </c>
    </row>
    <row customHeight="1" r="4" ht="14.25">
      <c t="s" s="6" r="A4">
        <v>104</v>
      </c>
      <c t="s" s="6" r="B4">
        <v>78</v>
      </c>
      <c t="s" s="6" r="C4">
        <v>79</v>
      </c>
      <c t="s" s="6" r="D4">
        <v>44</v>
      </c>
      <c t="s" s="6" r="E4">
        <v>105</v>
      </c>
      <c t="s" s="6" r="F4">
        <v>81</v>
      </c>
      <c t="s" s="6" r="G4">
        <v>106</v>
      </c>
      <c s="6" r="H4">
        <v>0</v>
      </c>
      <c t="s" s="6" r="I4">
        <v>107</v>
      </c>
      <c t="s" s="6" r="K4">
        <v>108</v>
      </c>
      <c t="s" s="6" r="M4">
        <v>109</v>
      </c>
      <c s="6" r="N4">
        <v>0</v>
      </c>
      <c s="6" r="O4">
        <v>0</v>
      </c>
      <c t="s" s="6" r="P4">
        <v>86</v>
      </c>
      <c t="s" s="6" r="Q4">
        <v>87</v>
      </c>
      <c t="s" s="6" r="R4">
        <v>110</v>
      </c>
      <c t="s" s="6" r="S4">
        <v>111</v>
      </c>
      <c t="s" s="6" r="T4">
        <v>90</v>
      </c>
      <c t="s" s="6" r="U4">
        <v>112</v>
      </c>
      <c s="6" r="V4">
        <v>1</v>
      </c>
      <c s="6" r="W4">
        <v>1</v>
      </c>
      <c s="6" r="X4">
        <v>0</v>
      </c>
      <c s="6" r="Y4">
        <v>0</v>
      </c>
      <c s="6" r="Z4">
        <v>0</v>
      </c>
      <c s="6" r="AA4">
        <v>0</v>
      </c>
      <c s="6" r="AB4">
        <v>0</v>
      </c>
      <c t="s" s="6" r="AC4">
        <v>92</v>
      </c>
      <c t="s" s="6" r="AD4">
        <v>92</v>
      </c>
      <c t="s" s="6" r="AE4">
        <v>92</v>
      </c>
      <c t="s" s="6" r="AF4">
        <v>92</v>
      </c>
      <c t="s" s="6" r="AG4">
        <v>92</v>
      </c>
      <c t="s" s="6" r="AH4">
        <v>92</v>
      </c>
      <c s="6" r="AI4">
        <v>0</v>
      </c>
      <c t="s" s="6" r="AJ4">
        <v>92</v>
      </c>
      <c s="6" r="AK4">
        <v>0</v>
      </c>
      <c t="s" s="6" r="AL4">
        <v>92</v>
      </c>
      <c t="s" s="6" r="AM4">
        <v>92</v>
      </c>
      <c s="6" r="AN4">
        <v>0</v>
      </c>
      <c s="6" r="AP4">
        <v>0</v>
      </c>
      <c t="s" s="6" r="AR4">
        <v>113</v>
      </c>
      <c s="6" r="AS4">
        <v>1</v>
      </c>
      <c s="6" r="AT4">
        <v>0</v>
      </c>
      <c s="6" r="AU4">
        <v>0</v>
      </c>
      <c s="6" r="AV4">
        <v>0</v>
      </c>
      <c s="6" r="AW4">
        <v>0</v>
      </c>
      <c s="6" r="AX4">
        <v>0</v>
      </c>
      <c s="6" r="AY4">
        <v>0</v>
      </c>
      <c s="6" r="AZ4">
        <v>0</v>
      </c>
      <c s="6" r="BA4">
        <v>0</v>
      </c>
      <c s="6" r="BB4">
        <v>0</v>
      </c>
      <c s="6" r="BC4">
        <v>0</v>
      </c>
      <c s="6" r="BD4">
        <v>0</v>
      </c>
      <c s="6" r="BE4">
        <v>0</v>
      </c>
      <c s="6" r="BF4">
        <v>0</v>
      </c>
      <c s="6" r="BG4">
        <v>0</v>
      </c>
      <c s="6" r="BH4">
        <v>0</v>
      </c>
      <c s="6" r="BI4">
        <v>0</v>
      </c>
      <c s="6" r="BJ4">
        <v>0</v>
      </c>
      <c s="6" r="BK4">
        <v>0</v>
      </c>
      <c s="6" r="BL4">
        <v>0</v>
      </c>
      <c s="6" r="BM4">
        <v>0</v>
      </c>
      <c s="6" r="BN4">
        <v>0</v>
      </c>
      <c s="6" r="BO4">
        <v>0</v>
      </c>
      <c s="6" r="BP4">
        <v>0</v>
      </c>
      <c s="6" r="BQ4">
        <v>0</v>
      </c>
      <c t="str" s="6" r="BR4">
        <f>HYPERLINK("http://www.d20pfsrd.com/magic/all-spells/a/acid-splash","Acid Splash")</f>
        <v>Acid Splash</v>
      </c>
      <c s="6" r="BS4">
        <v>3</v>
      </c>
      <c t="s" s="6" r="BT4">
        <v>92</v>
      </c>
      <c s="6" r="BY4">
        <v>0</v>
      </c>
    </row>
    <row customHeight="1" r="5" ht="14.25">
      <c t="s" s="6" r="A5">
        <v>114</v>
      </c>
      <c t="s" s="6" r="B5">
        <v>115</v>
      </c>
      <c t="s" s="6" r="C5">
        <v>116</v>
      </c>
      <c t="s" s="6" r="D5">
        <v>117</v>
      </c>
      <c t="s" s="6" r="E5">
        <v>118</v>
      </c>
      <c t="s" s="6" r="F5">
        <v>81</v>
      </c>
      <c t="s" s="6" r="G5">
        <v>119</v>
      </c>
      <c s="6" r="H5">
        <v>0</v>
      </c>
      <c t="s" s="6" r="I5">
        <v>120</v>
      </c>
      <c t="s" s="6" r="L5">
        <v>121</v>
      </c>
      <c t="s" s="6" r="M5">
        <v>122</v>
      </c>
      <c s="6" r="N5">
        <v>0</v>
      </c>
      <c s="6" r="O5">
        <v>0</v>
      </c>
      <c t="s" s="6" r="P5">
        <v>86</v>
      </c>
      <c t="s" s="6" r="Q5">
        <v>123</v>
      </c>
      <c t="s" s="6" r="R5">
        <v>124</v>
      </c>
      <c t="s" s="6" r="S5">
        <v>125</v>
      </c>
      <c t="s" s="6" r="T5">
        <v>90</v>
      </c>
      <c t="s" s="6" r="U5">
        <v>126</v>
      </c>
      <c s="6" r="V5">
        <v>1</v>
      </c>
      <c s="6" r="W5">
        <v>1</v>
      </c>
      <c s="6" r="X5">
        <v>0</v>
      </c>
      <c s="6" r="Y5">
        <v>0</v>
      </c>
      <c s="6" r="Z5">
        <v>1</v>
      </c>
      <c t="s" s="6" r="AA5">
        <v>92</v>
      </c>
      <c t="s" s="6" r="AB5">
        <v>92</v>
      </c>
      <c s="6" r="AC5">
        <v>2</v>
      </c>
      <c t="s" s="6" r="AD5">
        <v>92</v>
      </c>
      <c t="s" s="6" r="AE5">
        <v>92</v>
      </c>
      <c t="s" s="6" r="AF5">
        <v>92</v>
      </c>
      <c t="s" s="6" r="AG5">
        <v>92</v>
      </c>
      <c s="6" r="AH5">
        <v>2</v>
      </c>
      <c t="s" s="6" r="AI5">
        <v>92</v>
      </c>
      <c t="s" s="6" r="AJ5">
        <v>92</v>
      </c>
      <c s="6" r="AK5">
        <v>2</v>
      </c>
      <c s="6" r="AL5">
        <v>2</v>
      </c>
      <c t="s" s="6" r="AM5">
        <v>92</v>
      </c>
      <c t="s" s="6" r="AN5">
        <v>92</v>
      </c>
      <c s="6" r="AP5">
        <v>2</v>
      </c>
      <c t="s" s="6" r="AQ5">
        <v>127</v>
      </c>
      <c t="s" s="6" r="AR5">
        <v>128</v>
      </c>
      <c s="6" r="AS5">
        <v>0</v>
      </c>
      <c s="6" r="AT5">
        <v>0</v>
      </c>
      <c s="6" r="AU5">
        <v>0</v>
      </c>
      <c s="6" r="AV5">
        <v>0</v>
      </c>
      <c s="6" r="AW5">
        <v>0</v>
      </c>
      <c s="6" r="AX5">
        <v>0</v>
      </c>
      <c s="6" r="AY5">
        <v>0</v>
      </c>
      <c s="6" r="AZ5">
        <v>0</v>
      </c>
      <c s="6" r="BA5">
        <v>0</v>
      </c>
      <c s="6" r="BB5">
        <v>0</v>
      </c>
      <c s="6" r="BC5">
        <v>0</v>
      </c>
      <c s="6" r="BD5">
        <v>0</v>
      </c>
      <c s="6" r="BE5">
        <v>0</v>
      </c>
      <c s="6" r="BF5">
        <v>0</v>
      </c>
      <c s="6" r="BG5">
        <v>0</v>
      </c>
      <c s="6" r="BH5">
        <v>0</v>
      </c>
      <c s="6" r="BI5">
        <v>0</v>
      </c>
      <c s="6" r="BJ5">
        <v>0</v>
      </c>
      <c s="6" r="BK5">
        <v>0</v>
      </c>
      <c s="6" r="BL5">
        <v>1</v>
      </c>
      <c s="6" r="BM5">
        <v>0</v>
      </c>
      <c s="6" r="BN5">
        <v>0</v>
      </c>
      <c s="6" r="BO5">
        <v>0</v>
      </c>
      <c s="6" r="BP5">
        <v>0</v>
      </c>
      <c s="6" r="BQ5">
        <v>0</v>
      </c>
      <c t="str" s="6" r="BR5">
        <f>HYPERLINK("http://www.d20pfsrd.com/magic/all-spells/a/aid","Aid")</f>
        <v>Aid</v>
      </c>
      <c s="6" r="BS5">
        <v>4</v>
      </c>
      <c t="s" s="6" r="BT5">
        <v>92</v>
      </c>
      <c t="s" s="6" r="BV5">
        <v>129</v>
      </c>
      <c s="6" r="BY5">
        <v>0</v>
      </c>
    </row>
    <row customHeight="1" r="6" ht="14.25">
      <c t="s" s="6" r="A6">
        <v>130</v>
      </c>
      <c t="s" s="6" r="B6">
        <v>131</v>
      </c>
      <c t="s" s="6" r="D6">
        <v>45</v>
      </c>
      <c t="s" s="6" r="E6">
        <v>132</v>
      </c>
      <c t="s" s="6" r="F6">
        <v>81</v>
      </c>
      <c t="s" s="6" r="G6">
        <v>119</v>
      </c>
      <c s="6" r="H6">
        <v>0</v>
      </c>
      <c t="s" s="6" r="I6">
        <v>120</v>
      </c>
      <c t="s" s="6" r="L6">
        <v>133</v>
      </c>
      <c t="s" s="6" r="M6">
        <v>134</v>
      </c>
      <c s="6" r="N6">
        <v>0</v>
      </c>
      <c s="6" r="O6">
        <v>0</v>
      </c>
      <c t="s" s="6" r="P6">
        <v>86</v>
      </c>
      <c t="s" s="6" r="Q6">
        <v>123</v>
      </c>
      <c t="s" s="6" r="R6">
        <v>135</v>
      </c>
      <c t="s" s="6" r="S6">
        <v>136</v>
      </c>
      <c t="s" s="6" r="T6">
        <v>90</v>
      </c>
      <c t="s" s="6" r="U6">
        <v>137</v>
      </c>
      <c s="6" r="V6">
        <v>1</v>
      </c>
      <c s="6" r="W6">
        <v>1</v>
      </c>
      <c s="6" r="X6">
        <v>0</v>
      </c>
      <c s="6" r="Y6">
        <v>0</v>
      </c>
      <c s="6" r="Z6">
        <v>1</v>
      </c>
      <c t="s" s="6" r="AA6">
        <v>92</v>
      </c>
      <c t="s" s="6" r="AB6">
        <v>92</v>
      </c>
      <c s="6" r="AC6">
        <v>4</v>
      </c>
      <c s="6" r="AD6">
        <v>4</v>
      </c>
      <c t="s" s="6" r="AE6">
        <v>92</v>
      </c>
      <c t="s" s="6" r="AF6">
        <v>92</v>
      </c>
      <c t="s" s="6" r="AG6">
        <v>92</v>
      </c>
      <c s="6" r="AH6">
        <v>4</v>
      </c>
      <c t="s" s="6" r="AI6">
        <v>92</v>
      </c>
      <c t="s" s="6" r="AJ6">
        <v>92</v>
      </c>
      <c t="s" s="6" r="AK6">
        <v>92</v>
      </c>
      <c s="6" r="AL6">
        <v>4</v>
      </c>
      <c t="s" s="6" r="AM6">
        <v>92</v>
      </c>
      <c t="s" s="6" r="AN6">
        <v>92</v>
      </c>
      <c s="6" r="AP6">
        <v>4</v>
      </c>
      <c t="s" s="6" r="AQ6">
        <v>138</v>
      </c>
      <c t="s" s="6" r="AR6">
        <v>139</v>
      </c>
      <c s="6" r="AS6">
        <v>0</v>
      </c>
      <c s="6" r="AT6">
        <v>1</v>
      </c>
      <c s="6" r="AU6">
        <v>0</v>
      </c>
      <c s="6" r="AV6">
        <v>0</v>
      </c>
      <c s="6" r="AW6">
        <v>0</v>
      </c>
      <c s="6" r="AX6">
        <v>0</v>
      </c>
      <c s="6" r="AY6">
        <v>0</v>
      </c>
      <c s="6" r="AZ6">
        <v>0</v>
      </c>
      <c s="6" r="BA6">
        <v>0</v>
      </c>
      <c s="6" r="BB6">
        <v>0</v>
      </c>
      <c s="6" r="BC6">
        <v>0</v>
      </c>
      <c s="6" r="BD6">
        <v>0</v>
      </c>
      <c s="6" r="BE6">
        <v>0</v>
      </c>
      <c s="6" r="BF6">
        <v>0</v>
      </c>
      <c s="6" r="BG6">
        <v>0</v>
      </c>
      <c s="6" r="BH6">
        <v>0</v>
      </c>
      <c s="6" r="BI6">
        <v>0</v>
      </c>
      <c s="6" r="BJ6">
        <v>0</v>
      </c>
      <c s="6" r="BK6">
        <v>0</v>
      </c>
      <c s="6" r="BL6">
        <v>0</v>
      </c>
      <c s="6" r="BM6">
        <v>0</v>
      </c>
      <c s="6" r="BN6">
        <v>0</v>
      </c>
      <c s="6" r="BO6">
        <v>0</v>
      </c>
      <c s="6" r="BP6">
        <v>0</v>
      </c>
      <c s="6" r="BQ6">
        <v>0</v>
      </c>
      <c t="str" s="6" r="BR6">
        <f>HYPERLINK("http://www.d20pfsrd.com/magic/all-spells/a/air-walk","Air Walk")</f>
        <v>Air Walk</v>
      </c>
      <c s="6" r="BS6">
        <v>5</v>
      </c>
      <c t="s" s="6" r="BT6">
        <v>92</v>
      </c>
      <c s="6" r="BY6">
        <v>0</v>
      </c>
    </row>
    <row customHeight="1" r="7" ht="14.25">
      <c t="s" s="6" r="A7">
        <v>140</v>
      </c>
      <c t="s" s="6" r="B7">
        <v>131</v>
      </c>
      <c t="s" s="6" r="D7">
        <v>141</v>
      </c>
      <c t="s" s="6" r="E7">
        <v>142</v>
      </c>
      <c t="s" s="6" r="F7">
        <v>81</v>
      </c>
      <c t="s" s="6" r="G7">
        <v>119</v>
      </c>
      <c s="6" r="H7">
        <v>0</v>
      </c>
      <c t="s" s="6" r="I7">
        <v>120</v>
      </c>
      <c t="s" s="6" r="L7">
        <v>143</v>
      </c>
      <c t="s" s="6" r="M7">
        <v>122</v>
      </c>
      <c s="6" r="N7">
        <v>0</v>
      </c>
      <c s="6" r="O7">
        <v>0</v>
      </c>
      <c t="s" s="6" r="P7">
        <v>144</v>
      </c>
      <c t="s" s="6" r="Q7">
        <v>145</v>
      </c>
      <c t="s" s="6" r="R7">
        <v>146</v>
      </c>
      <c t="s" s="6" r="S7">
        <v>147</v>
      </c>
      <c t="s" s="6" r="T7">
        <v>90</v>
      </c>
      <c t="s" s="6" r="U7">
        <v>148</v>
      </c>
      <c s="6" r="V7">
        <v>1</v>
      </c>
      <c s="6" r="W7">
        <v>1</v>
      </c>
      <c s="6" r="X7">
        <v>0</v>
      </c>
      <c s="6" r="Y7">
        <v>0</v>
      </c>
      <c s="6" r="Z7">
        <v>1</v>
      </c>
      <c t="s" s="6" r="AA7">
        <v>92</v>
      </c>
      <c t="s" s="6" r="AB7">
        <v>92</v>
      </c>
      <c s="6" r="AC7">
        <v>2</v>
      </c>
      <c t="s" s="6" r="AD7">
        <v>92</v>
      </c>
      <c t="s" s="6" r="AE7">
        <v>92</v>
      </c>
      <c t="s" s="6" r="AF7">
        <v>92</v>
      </c>
      <c t="s" s="6" r="AG7">
        <v>92</v>
      </c>
      <c t="s" s="6" r="AH7">
        <v>92</v>
      </c>
      <c t="s" s="6" r="AI7">
        <v>92</v>
      </c>
      <c t="s" s="6" r="AJ7">
        <v>92</v>
      </c>
      <c s="6" r="AK7">
        <v>2</v>
      </c>
      <c s="6" r="AL7">
        <v>2</v>
      </c>
      <c t="s" s="6" r="AM7">
        <v>92</v>
      </c>
      <c t="s" s="6" r="AN7">
        <v>92</v>
      </c>
      <c s="6" r="AP7">
        <v>2</v>
      </c>
      <c t="s" s="6" r="AQ7">
        <v>149</v>
      </c>
      <c t="s" s="6" r="AR7">
        <v>150</v>
      </c>
      <c s="6" r="AS7">
        <v>0</v>
      </c>
      <c s="6" r="AT7">
        <v>0</v>
      </c>
      <c s="6" r="AU7">
        <v>0</v>
      </c>
      <c s="6" r="AV7">
        <v>0</v>
      </c>
      <c s="6" r="AW7">
        <v>0</v>
      </c>
      <c s="6" r="AX7">
        <v>0</v>
      </c>
      <c s="6" r="AY7">
        <v>0</v>
      </c>
      <c s="6" r="AZ7">
        <v>0</v>
      </c>
      <c s="6" r="BA7">
        <v>0</v>
      </c>
      <c s="6" r="BB7">
        <v>0</v>
      </c>
      <c s="6" r="BC7">
        <v>0</v>
      </c>
      <c s="6" r="BD7">
        <v>0</v>
      </c>
      <c s="6" r="BE7">
        <v>0</v>
      </c>
      <c s="6" r="BF7">
        <v>0</v>
      </c>
      <c s="6" r="BG7">
        <v>0</v>
      </c>
      <c s="6" r="BH7">
        <v>0</v>
      </c>
      <c s="6" r="BI7">
        <v>0</v>
      </c>
      <c s="6" r="BJ7">
        <v>0</v>
      </c>
      <c s="6" r="BK7">
        <v>0</v>
      </c>
      <c s="6" r="BL7">
        <v>0</v>
      </c>
      <c s="6" r="BM7">
        <v>0</v>
      </c>
      <c s="6" r="BN7">
        <v>0</v>
      </c>
      <c s="6" r="BO7">
        <v>0</v>
      </c>
      <c s="6" r="BP7">
        <v>0</v>
      </c>
      <c s="6" r="BQ7">
        <v>0</v>
      </c>
      <c t="str" s="6" r="BR7">
        <f>HYPERLINK("http://www.d20pfsrd.com/magic/all-spells/a/align-weapon","Align Weapon")</f>
        <v>Align Weapon</v>
      </c>
      <c s="6" r="BS7">
        <v>6</v>
      </c>
      <c t="s" s="6" r="BT7">
        <v>92</v>
      </c>
      <c s="6" r="BY7">
        <v>0</v>
      </c>
    </row>
    <row customHeight="1" r="8" ht="14.25">
      <c t="s" s="6" r="A8">
        <v>151</v>
      </c>
      <c t="s" s="6" r="B8">
        <v>131</v>
      </c>
      <c t="s" s="6" r="C8">
        <v>152</v>
      </c>
      <c t="s" s="6" r="E8">
        <v>153</v>
      </c>
      <c t="s" s="6" r="F8">
        <v>81</v>
      </c>
      <c t="s" s="6" r="G8">
        <v>154</v>
      </c>
      <c s="6" r="H8">
        <v>0</v>
      </c>
      <c t="s" s="6" r="I8">
        <v>155</v>
      </c>
      <c t="s" s="6" r="L8">
        <v>156</v>
      </c>
      <c t="s" s="6" r="M8">
        <v>122</v>
      </c>
      <c s="6" r="N8">
        <v>1</v>
      </c>
      <c s="6" r="O8">
        <v>0</v>
      </c>
      <c t="s" s="6" r="R8">
        <v>157</v>
      </c>
      <c t="s" s="6" r="S8">
        <v>158</v>
      </c>
      <c t="s" s="6" r="T8">
        <v>90</v>
      </c>
      <c t="s" s="6" r="U8">
        <v>159</v>
      </c>
      <c s="6" r="V8">
        <v>1</v>
      </c>
      <c s="6" r="W8">
        <v>1</v>
      </c>
      <c s="6" r="X8">
        <v>1</v>
      </c>
      <c s="6" r="Y8">
        <v>0</v>
      </c>
      <c s="6" r="Z8">
        <v>0</v>
      </c>
      <c s="6" r="AA8">
        <v>2</v>
      </c>
      <c s="6" r="AB8">
        <v>2</v>
      </c>
      <c t="s" s="6" r="AC8">
        <v>92</v>
      </c>
      <c t="s" s="6" r="AD8">
        <v>92</v>
      </c>
      <c t="s" s="6" r="AE8">
        <v>92</v>
      </c>
      <c s="6" r="AF8">
        <v>2</v>
      </c>
      <c t="s" s="6" r="AG8">
        <v>92</v>
      </c>
      <c s="6" r="AH8">
        <v>2</v>
      </c>
      <c s="6" r="AI8">
        <v>2</v>
      </c>
      <c s="6" r="AJ8">
        <v>2</v>
      </c>
      <c t="s" s="6" r="AK8">
        <v>92</v>
      </c>
      <c t="s" s="6" r="AL8">
        <v>92</v>
      </c>
      <c t="s" s="6" r="AM8">
        <v>92</v>
      </c>
      <c s="6" r="AN8">
        <v>2</v>
      </c>
      <c s="6" r="AP8">
        <v>2</v>
      </c>
      <c t="s" s="6" r="AR8">
        <v>160</v>
      </c>
      <c s="6" r="AS8">
        <v>0</v>
      </c>
      <c s="6" r="AT8">
        <v>0</v>
      </c>
      <c s="6" r="AU8">
        <v>0</v>
      </c>
      <c s="6" r="AV8">
        <v>0</v>
      </c>
      <c s="6" r="AW8">
        <v>0</v>
      </c>
      <c s="6" r="AX8">
        <v>0</v>
      </c>
      <c s="6" r="AY8">
        <v>0</v>
      </c>
      <c s="6" r="AZ8">
        <v>0</v>
      </c>
      <c s="6" r="BA8">
        <v>0</v>
      </c>
      <c s="6" r="BB8">
        <v>0</v>
      </c>
      <c s="6" r="BC8">
        <v>0</v>
      </c>
      <c s="6" r="BD8">
        <v>0</v>
      </c>
      <c s="6" r="BE8">
        <v>0</v>
      </c>
      <c s="6" r="BF8">
        <v>0</v>
      </c>
      <c s="6" r="BG8">
        <v>0</v>
      </c>
      <c s="6" r="BH8">
        <v>0</v>
      </c>
      <c s="6" r="BI8">
        <v>0</v>
      </c>
      <c s="6" r="BJ8">
        <v>0</v>
      </c>
      <c s="6" r="BK8">
        <v>0</v>
      </c>
      <c s="6" r="BL8">
        <v>0</v>
      </c>
      <c s="6" r="BM8">
        <v>0</v>
      </c>
      <c s="6" r="BN8">
        <v>0</v>
      </c>
      <c s="6" r="BO8">
        <v>0</v>
      </c>
      <c s="6" r="BP8">
        <v>0</v>
      </c>
      <c s="6" r="BQ8">
        <v>0</v>
      </c>
      <c t="str" s="6" r="BR8">
        <f>HYPERLINK("http://www.d20pfsrd.com/magic/all-spells/a/alter-self","Alter Self")</f>
        <v>Alter Self</v>
      </c>
      <c s="6" r="BS8">
        <v>7</v>
      </c>
      <c t="s" s="6" r="BT8">
        <v>92</v>
      </c>
      <c s="6" r="BY8">
        <v>0</v>
      </c>
    </row>
    <row customHeight="1" r="9" ht="14.25">
      <c t="s" s="6" r="A9">
        <v>161</v>
      </c>
      <c t="s" s="6" r="B9">
        <v>162</v>
      </c>
      <c t="s" s="6" r="E9">
        <v>163</v>
      </c>
      <c t="s" s="6" r="F9">
        <v>81</v>
      </c>
      <c t="s" s="6" r="G9">
        <v>164</v>
      </c>
      <c s="6" r="H9">
        <v>0</v>
      </c>
      <c t="s" s="6" r="I9">
        <v>107</v>
      </c>
      <c t="s" s="6" r="J9">
        <v>165</v>
      </c>
      <c t="s" s="6" r="M9">
        <v>166</v>
      </c>
      <c s="6" r="N9">
        <v>1</v>
      </c>
      <c s="6" r="O9">
        <v>0</v>
      </c>
      <c t="s" s="6" r="P9">
        <v>86</v>
      </c>
      <c t="s" s="6" r="Q9">
        <v>87</v>
      </c>
      <c t="s" s="6" r="R9">
        <v>167</v>
      </c>
      <c t="s" s="6" r="S9">
        <v>168</v>
      </c>
      <c t="s" s="6" r="T9">
        <v>90</v>
      </c>
      <c t="s" s="6" r="U9">
        <v>169</v>
      </c>
      <c s="6" r="V9">
        <v>1</v>
      </c>
      <c s="6" r="W9">
        <v>1</v>
      </c>
      <c s="6" r="X9">
        <v>0</v>
      </c>
      <c s="6" r="Y9">
        <v>1</v>
      </c>
      <c s="6" r="Z9">
        <v>1</v>
      </c>
      <c s="6" r="AA9">
        <v>1</v>
      </c>
      <c s="6" r="AB9">
        <v>1</v>
      </c>
      <c t="s" s="6" r="AC9">
        <v>92</v>
      </c>
      <c t="s" s="6" r="AD9">
        <v>92</v>
      </c>
      <c s="6" r="AE9">
        <v>1</v>
      </c>
      <c s="6" r="AF9">
        <v>1</v>
      </c>
      <c t="s" s="6" r="AG9">
        <v>92</v>
      </c>
      <c t="s" s="6" r="AH9">
        <v>92</v>
      </c>
      <c s="6" r="AI9">
        <v>1</v>
      </c>
      <c t="s" s="6" r="AJ9">
        <v>92</v>
      </c>
      <c s="6" r="AK9">
        <v>1</v>
      </c>
      <c t="s" s="6" r="AL9">
        <v>92</v>
      </c>
      <c t="s" s="6" r="AM9">
        <v>92</v>
      </c>
      <c t="s" s="6" r="AN9">
        <v>92</v>
      </c>
      <c s="6" r="AP9">
        <v>1</v>
      </c>
      <c t="s" s="6" r="AQ9">
        <v>170</v>
      </c>
      <c t="s" s="6" r="AR9">
        <v>171</v>
      </c>
      <c s="6" r="AS9">
        <v>0</v>
      </c>
      <c s="6" r="AT9">
        <v>0</v>
      </c>
      <c s="6" r="AU9">
        <v>0</v>
      </c>
      <c s="6" r="AV9">
        <v>0</v>
      </c>
      <c s="6" r="AW9">
        <v>0</v>
      </c>
      <c s="6" r="AX9">
        <v>0</v>
      </c>
      <c s="6" r="AY9">
        <v>0</v>
      </c>
      <c s="6" r="AZ9">
        <v>0</v>
      </c>
      <c s="6" r="BA9">
        <v>0</v>
      </c>
      <c s="6" r="BB9">
        <v>0</v>
      </c>
      <c s="6" r="BC9">
        <v>0</v>
      </c>
      <c s="6" r="BD9">
        <v>0</v>
      </c>
      <c s="6" r="BE9">
        <v>0</v>
      </c>
      <c s="6" r="BF9">
        <v>0</v>
      </c>
      <c s="6" r="BG9">
        <v>0</v>
      </c>
      <c s="6" r="BH9">
        <v>0</v>
      </c>
      <c s="6" r="BI9">
        <v>0</v>
      </c>
      <c s="6" r="BJ9">
        <v>0</v>
      </c>
      <c s="6" r="BK9">
        <v>0</v>
      </c>
      <c s="6" r="BL9">
        <v>0</v>
      </c>
      <c s="6" r="BM9">
        <v>0</v>
      </c>
      <c s="6" r="BN9">
        <v>0</v>
      </c>
      <c s="6" r="BO9">
        <v>0</v>
      </c>
      <c s="6" r="BP9">
        <v>0</v>
      </c>
      <c s="6" r="BQ9">
        <v>0</v>
      </c>
      <c t="str" s="6" r="BR9">
        <f>HYPERLINK("http://www.d20pfsrd.com/magic/all-spells/a/alarm","Alarm")</f>
        <v>Alarm</v>
      </c>
      <c s="6" r="BS9">
        <v>8</v>
      </c>
      <c t="s" s="6" r="BT9">
        <v>92</v>
      </c>
      <c t="s" s="6" r="BU9">
        <v>172</v>
      </c>
      <c s="6" r="BY9">
        <v>0</v>
      </c>
    </row>
    <row customHeight="1" r="10" ht="14.25">
      <c t="s" s="6" r="A10">
        <v>173</v>
      </c>
      <c t="s" s="6" r="B10">
        <v>174</v>
      </c>
      <c t="s" s="6" r="E10">
        <v>175</v>
      </c>
      <c t="s" s="6" r="F10">
        <v>81</v>
      </c>
      <c t="s" s="6" r="G10">
        <v>176</v>
      </c>
      <c s="6" r="H10">
        <v>1</v>
      </c>
      <c t="s" s="6" r="I10">
        <v>107</v>
      </c>
      <c t="s" s="6" r="L10">
        <v>177</v>
      </c>
      <c t="s" s="6" r="M10">
        <v>99</v>
      </c>
      <c s="6" r="N10">
        <v>1</v>
      </c>
      <c s="6" r="O10">
        <v>0</v>
      </c>
      <c t="s" s="6" r="P10">
        <v>178</v>
      </c>
      <c t="s" s="6" r="Q10">
        <v>87</v>
      </c>
      <c t="s" s="6" r="R10">
        <v>179</v>
      </c>
      <c t="s" s="6" r="S10">
        <v>180</v>
      </c>
      <c t="s" s="6" r="T10">
        <v>90</v>
      </c>
      <c t="s" s="6" r="U10">
        <v>181</v>
      </c>
      <c s="6" r="V10">
        <v>1</v>
      </c>
      <c s="6" r="W10">
        <v>1</v>
      </c>
      <c s="6" r="X10">
        <v>0</v>
      </c>
      <c s="6" r="Y10">
        <v>1</v>
      </c>
      <c s="6" r="Z10">
        <v>0</v>
      </c>
      <c s="6" r="AA10">
        <v>6</v>
      </c>
      <c s="6" r="AB10">
        <v>6</v>
      </c>
      <c t="s" s="6" r="AC10">
        <v>92</v>
      </c>
      <c t="s" s="6" r="AD10">
        <v>92</v>
      </c>
      <c t="s" s="6" r="AE10">
        <v>92</v>
      </c>
      <c s="6" r="AF10">
        <v>6</v>
      </c>
      <c t="s" s="6" r="AG10">
        <v>92</v>
      </c>
      <c s="6" r="AH10">
        <v>6</v>
      </c>
      <c t="s" s="6" r="AI10">
        <v>92</v>
      </c>
      <c s="6" r="AJ10">
        <v>6</v>
      </c>
      <c t="s" s="6" r="AK10">
        <v>92</v>
      </c>
      <c t="s" s="6" r="AL10">
        <v>92</v>
      </c>
      <c t="s" s="6" r="AM10">
        <v>92</v>
      </c>
      <c t="s" s="6" r="AN10">
        <v>92</v>
      </c>
      <c s="6" r="AP10">
        <v>6</v>
      </c>
      <c t="s" s="6" r="AQ10">
        <v>182</v>
      </c>
      <c t="s" s="6" r="AR10">
        <v>183</v>
      </c>
      <c s="6" r="AS10">
        <v>0</v>
      </c>
      <c s="6" r="AT10">
        <v>0</v>
      </c>
      <c s="6" r="AU10">
        <v>0</v>
      </c>
      <c s="6" r="AV10">
        <v>0</v>
      </c>
      <c s="6" r="AW10">
        <v>0</v>
      </c>
      <c s="6" r="AX10">
        <v>0</v>
      </c>
      <c s="6" r="AY10">
        <v>0</v>
      </c>
      <c s="6" r="AZ10">
        <v>0</v>
      </c>
      <c s="6" r="BA10">
        <v>0</v>
      </c>
      <c s="6" r="BB10">
        <v>0</v>
      </c>
      <c s="6" r="BC10">
        <v>0</v>
      </c>
      <c s="6" r="BD10">
        <v>0</v>
      </c>
      <c s="6" r="BE10">
        <v>0</v>
      </c>
      <c s="6" r="BF10">
        <v>0</v>
      </c>
      <c s="6" r="BG10">
        <v>0</v>
      </c>
      <c s="6" r="BH10">
        <v>0</v>
      </c>
      <c s="6" r="BI10">
        <v>0</v>
      </c>
      <c s="6" r="BJ10">
        <v>0</v>
      </c>
      <c s="6" r="BK10">
        <v>0</v>
      </c>
      <c s="6" r="BL10">
        <v>0</v>
      </c>
      <c s="6" r="BM10">
        <v>0</v>
      </c>
      <c s="6" r="BN10">
        <v>0</v>
      </c>
      <c s="6" r="BO10">
        <v>0</v>
      </c>
      <c s="6" r="BP10">
        <v>0</v>
      </c>
      <c s="6" r="BQ10">
        <v>0</v>
      </c>
      <c t="str" s="6" r="BR10">
        <f>HYPERLINK("http://www.d20pfsrd.com/magic/all-spells/a/analyze-dweomer","Analyze Dweomer")</f>
        <v>Analyze Dweomer</v>
      </c>
      <c s="6" r="BS10">
        <v>9</v>
      </c>
      <c s="6" r="BT10">
        <v>1500</v>
      </c>
      <c s="6" r="BY10">
        <v>0</v>
      </c>
    </row>
    <row customHeight="1" r="11" ht="14.25">
      <c t="s" s="6" r="A11">
        <v>184</v>
      </c>
      <c t="s" s="6" r="B11">
        <v>131</v>
      </c>
      <c t="s" s="6" r="E11">
        <v>185</v>
      </c>
      <c t="s" s="6" r="F11">
        <v>81</v>
      </c>
      <c t="s" s="6" r="G11">
        <v>106</v>
      </c>
      <c s="6" r="H11">
        <v>0</v>
      </c>
      <c t="s" s="6" r="I11">
        <v>97</v>
      </c>
      <c t="s" s="6" r="L11">
        <v>186</v>
      </c>
      <c t="s" s="6" r="M11">
        <v>122</v>
      </c>
      <c s="6" r="N11">
        <v>0</v>
      </c>
      <c s="6" r="O11">
        <v>0</v>
      </c>
      <c t="s" s="6" r="P11">
        <v>187</v>
      </c>
      <c t="s" s="6" r="Q11">
        <v>188</v>
      </c>
      <c t="s" s="6" r="R11">
        <v>189</v>
      </c>
      <c t="s" s="6" r="S11">
        <v>190</v>
      </c>
      <c t="s" s="6" r="T11">
        <v>90</v>
      </c>
      <c t="s" s="6" r="U11">
        <v>191</v>
      </c>
      <c s="6" r="V11">
        <v>1</v>
      </c>
      <c s="6" r="W11">
        <v>1</v>
      </c>
      <c s="6" r="X11">
        <v>0</v>
      </c>
      <c s="6" r="Y11">
        <v>0</v>
      </c>
      <c s="6" r="Z11">
        <v>0</v>
      </c>
      <c s="6" r="AA11">
        <v>5</v>
      </c>
      <c s="6" r="AB11">
        <v>5</v>
      </c>
      <c t="s" s="6" r="AC11">
        <v>92</v>
      </c>
      <c s="6" r="AD11">
        <v>5</v>
      </c>
      <c s="6" r="AE11">
        <v>4</v>
      </c>
      <c t="s" s="6" r="AF11">
        <v>92</v>
      </c>
      <c t="s" s="6" r="AG11">
        <v>92</v>
      </c>
      <c t="s" s="6" r="AH11">
        <v>92</v>
      </c>
      <c t="s" s="6" r="AI11">
        <v>92</v>
      </c>
      <c t="s" s="6" r="AJ11">
        <v>92</v>
      </c>
      <c t="s" s="6" r="AK11">
        <v>92</v>
      </c>
      <c t="s" s="6" r="AL11">
        <v>92</v>
      </c>
      <c t="s" s="6" r="AM11">
        <v>92</v>
      </c>
      <c t="s" s="6" r="AN11">
        <v>92</v>
      </c>
      <c s="6" r="AP11">
        <v>5</v>
      </c>
      <c t="s" s="6" r="AQ11">
        <v>192</v>
      </c>
      <c t="s" s="6" r="AR11">
        <v>193</v>
      </c>
      <c s="6" r="AS11">
        <v>0</v>
      </c>
      <c s="6" r="AT11">
        <v>0</v>
      </c>
      <c s="6" r="AU11">
        <v>0</v>
      </c>
      <c s="6" r="AV11">
        <v>0</v>
      </c>
      <c s="6" r="AW11">
        <v>0</v>
      </c>
      <c s="6" r="AX11">
        <v>0</v>
      </c>
      <c s="6" r="AY11">
        <v>0</v>
      </c>
      <c s="6" r="AZ11">
        <v>0</v>
      </c>
      <c s="6" r="BA11">
        <v>0</v>
      </c>
      <c s="6" r="BB11">
        <v>0</v>
      </c>
      <c s="6" r="BC11">
        <v>0</v>
      </c>
      <c s="6" r="BD11">
        <v>0</v>
      </c>
      <c s="6" r="BE11">
        <v>0</v>
      </c>
      <c s="6" r="BF11">
        <v>0</v>
      </c>
      <c s="6" r="BG11">
        <v>0</v>
      </c>
      <c s="6" r="BH11">
        <v>0</v>
      </c>
      <c s="6" r="BI11">
        <v>0</v>
      </c>
      <c s="6" r="BJ11">
        <v>0</v>
      </c>
      <c s="6" r="BK11">
        <v>0</v>
      </c>
      <c s="6" r="BL11">
        <v>0</v>
      </c>
      <c s="6" r="BM11">
        <v>0</v>
      </c>
      <c s="6" r="BN11">
        <v>0</v>
      </c>
      <c s="6" r="BO11">
        <v>0</v>
      </c>
      <c s="6" r="BP11">
        <v>0</v>
      </c>
      <c s="6" r="BQ11">
        <v>0</v>
      </c>
      <c t="str" s="6" r="BR11">
        <f>HYPERLINK("http://www.d20pfsrd.com/magic/all-spells/a/animal-growth","Animal Growth")</f>
        <v>Animal Growth</v>
      </c>
      <c s="6" r="BS11">
        <v>10</v>
      </c>
      <c t="s" s="6" r="BT11">
        <v>92</v>
      </c>
      <c t="s" s="6" r="BV11">
        <v>194</v>
      </c>
      <c s="6" r="BY11">
        <v>0</v>
      </c>
    </row>
    <row customHeight="1" r="12" ht="14.25">
      <c t="s" s="6" r="A12">
        <v>195</v>
      </c>
      <c t="s" s="6" r="B12">
        <v>115</v>
      </c>
      <c t="s" s="6" r="C12">
        <v>116</v>
      </c>
      <c t="s" s="6" r="D12">
        <v>117</v>
      </c>
      <c t="s" s="6" r="E12">
        <v>196</v>
      </c>
      <c t="s" s="6" r="F12">
        <v>197</v>
      </c>
      <c t="s" s="6" r="G12">
        <v>198</v>
      </c>
      <c s="6" r="H12">
        <v>0</v>
      </c>
      <c t="s" s="6" r="I12">
        <v>107</v>
      </c>
      <c t="s" s="6" r="L12">
        <v>199</v>
      </c>
      <c t="s" s="6" r="M12">
        <v>200</v>
      </c>
      <c s="6" r="N12">
        <v>0</v>
      </c>
      <c s="6" r="O12">
        <v>0</v>
      </c>
      <c t="s" s="6" r="P12">
        <v>201</v>
      </c>
      <c t="s" s="6" r="Q12">
        <v>188</v>
      </c>
      <c t="s" s="6" r="R12">
        <v>202</v>
      </c>
      <c t="s" s="6" r="S12">
        <v>203</v>
      </c>
      <c t="s" s="6" r="T12">
        <v>90</v>
      </c>
      <c t="s" s="6" r="U12">
        <v>204</v>
      </c>
      <c s="6" r="V12">
        <v>1</v>
      </c>
      <c s="6" r="W12">
        <v>1</v>
      </c>
      <c s="6" r="X12">
        <v>1</v>
      </c>
      <c s="6" r="Y12">
        <v>0</v>
      </c>
      <c s="6" r="Z12">
        <v>0</v>
      </c>
      <c t="s" s="6" r="AA12">
        <v>92</v>
      </c>
      <c t="s" s="6" r="AB12">
        <v>92</v>
      </c>
      <c t="s" s="6" r="AC12">
        <v>92</v>
      </c>
      <c s="6" r="AD12">
        <v>2</v>
      </c>
      <c s="6" r="AE12">
        <v>1</v>
      </c>
      <c s="6" r="AF12">
        <v>2</v>
      </c>
      <c t="s" s="6" r="AG12">
        <v>92</v>
      </c>
      <c t="s" s="6" r="AH12">
        <v>92</v>
      </c>
      <c t="s" s="6" r="AI12">
        <v>92</v>
      </c>
      <c t="s" s="6" r="AJ12">
        <v>92</v>
      </c>
      <c t="s" s="6" r="AK12">
        <v>92</v>
      </c>
      <c t="s" s="6" r="AL12">
        <v>92</v>
      </c>
      <c t="s" s="6" r="AM12">
        <v>92</v>
      </c>
      <c t="s" s="6" r="AN12">
        <v>92</v>
      </c>
      <c s="6" r="AP12">
        <v>2</v>
      </c>
      <c t="s" s="6" r="AR12">
        <v>205</v>
      </c>
      <c s="6" r="AS12">
        <v>0</v>
      </c>
      <c s="6" r="AT12">
        <v>0</v>
      </c>
      <c s="6" r="AU12">
        <v>0</v>
      </c>
      <c s="6" r="AV12">
        <v>0</v>
      </c>
      <c s="6" r="AW12">
        <v>0</v>
      </c>
      <c s="6" r="AX12">
        <v>0</v>
      </c>
      <c s="6" r="AY12">
        <v>0</v>
      </c>
      <c s="6" r="AZ12">
        <v>0</v>
      </c>
      <c s="6" r="BA12">
        <v>0</v>
      </c>
      <c s="6" r="BB12">
        <v>0</v>
      </c>
      <c s="6" r="BC12">
        <v>0</v>
      </c>
      <c s="6" r="BD12">
        <v>0</v>
      </c>
      <c s="6" r="BE12">
        <v>0</v>
      </c>
      <c s="6" r="BF12">
        <v>0</v>
      </c>
      <c s="6" r="BG12">
        <v>0</v>
      </c>
      <c s="6" r="BH12">
        <v>0</v>
      </c>
      <c s="6" r="BI12">
        <v>0</v>
      </c>
      <c s="6" r="BJ12">
        <v>0</v>
      </c>
      <c s="6" r="BK12">
        <v>0</v>
      </c>
      <c s="6" r="BL12">
        <v>1</v>
      </c>
      <c s="6" r="BM12">
        <v>0</v>
      </c>
      <c s="6" r="BN12">
        <v>0</v>
      </c>
      <c s="6" r="BO12">
        <v>0</v>
      </c>
      <c s="6" r="BP12">
        <v>0</v>
      </c>
      <c s="6" r="BQ12">
        <v>0</v>
      </c>
      <c t="str" s="6" r="BR12">
        <f>HYPERLINK("http://www.d20pfsrd.com/magic/all-spells/a/animal-messenger","Animal Messenger")</f>
        <v>Animal Messenger</v>
      </c>
      <c s="6" r="BS12">
        <v>11</v>
      </c>
      <c t="s" s="6" r="BT12">
        <v>92</v>
      </c>
      <c s="6" r="BY12">
        <v>0</v>
      </c>
    </row>
    <row customHeight="1" r="13" ht="14.25">
      <c t="s" s="6" r="A13">
        <v>206</v>
      </c>
      <c t="s" s="6" r="B13">
        <v>131</v>
      </c>
      <c t="s" s="6" r="C13">
        <v>152</v>
      </c>
      <c t="s" s="6" r="E13">
        <v>207</v>
      </c>
      <c t="s" s="6" r="F13">
        <v>81</v>
      </c>
      <c t="s" s="6" r="G13">
        <v>119</v>
      </c>
      <c s="6" r="H13">
        <v>0</v>
      </c>
      <c t="s" s="6" r="I13">
        <v>107</v>
      </c>
      <c t="s" s="6" r="L13">
        <v>208</v>
      </c>
      <c t="s" s="6" r="M13">
        <v>209</v>
      </c>
      <c s="6" r="N13">
        <v>1</v>
      </c>
      <c s="6" r="O13">
        <v>0</v>
      </c>
      <c t="s" s="6" r="P13">
        <v>201</v>
      </c>
      <c t="s" s="6" r="Q13">
        <v>123</v>
      </c>
      <c t="s" s="6" r="R13">
        <v>210</v>
      </c>
      <c t="s" s="6" r="S13">
        <v>211</v>
      </c>
      <c t="s" s="6" r="T13">
        <v>90</v>
      </c>
      <c t="s" s="6" r="U13">
        <v>212</v>
      </c>
      <c s="6" r="V13">
        <v>1</v>
      </c>
      <c s="6" r="W13">
        <v>1</v>
      </c>
      <c s="6" r="X13">
        <v>0</v>
      </c>
      <c s="6" r="Y13">
        <v>0</v>
      </c>
      <c s="6" r="Z13">
        <v>1</v>
      </c>
      <c t="s" s="6" r="AA13">
        <v>92</v>
      </c>
      <c t="s" s="6" r="AB13">
        <v>92</v>
      </c>
      <c t="s" s="6" r="AC13">
        <v>92</v>
      </c>
      <c s="6" r="AD13">
        <v>8</v>
      </c>
      <c t="s" s="6" r="AE13">
        <v>92</v>
      </c>
      <c t="s" s="6" r="AF13">
        <v>92</v>
      </c>
      <c t="s" s="6" r="AG13">
        <v>92</v>
      </c>
      <c t="s" s="6" r="AH13">
        <v>92</v>
      </c>
      <c t="s" s="6" r="AI13">
        <v>92</v>
      </c>
      <c t="s" s="6" r="AJ13">
        <v>92</v>
      </c>
      <c t="s" s="6" r="AK13">
        <v>92</v>
      </c>
      <c t="s" s="6" r="AL13">
        <v>92</v>
      </c>
      <c t="s" s="6" r="AM13">
        <v>92</v>
      </c>
      <c t="s" s="6" r="AN13">
        <v>92</v>
      </c>
      <c s="6" r="AP13">
        <v>8</v>
      </c>
      <c t="s" s="6" r="AQ13">
        <v>213</v>
      </c>
      <c t="s" s="6" r="AR13">
        <v>214</v>
      </c>
      <c s="6" r="AS13">
        <v>0</v>
      </c>
      <c s="6" r="AT13">
        <v>0</v>
      </c>
      <c s="6" r="AU13">
        <v>0</v>
      </c>
      <c s="6" r="AV13">
        <v>0</v>
      </c>
      <c s="6" r="AW13">
        <v>0</v>
      </c>
      <c s="6" r="AX13">
        <v>0</v>
      </c>
      <c s="6" r="AY13">
        <v>0</v>
      </c>
      <c s="6" r="AZ13">
        <v>0</v>
      </c>
      <c s="6" r="BA13">
        <v>0</v>
      </c>
      <c s="6" r="BB13">
        <v>0</v>
      </c>
      <c s="6" r="BC13">
        <v>0</v>
      </c>
      <c s="6" r="BD13">
        <v>0</v>
      </c>
      <c s="6" r="BE13">
        <v>0</v>
      </c>
      <c s="6" r="BF13">
        <v>0</v>
      </c>
      <c s="6" r="BG13">
        <v>0</v>
      </c>
      <c s="6" r="BH13">
        <v>0</v>
      </c>
      <c s="6" r="BI13">
        <v>0</v>
      </c>
      <c s="6" r="BJ13">
        <v>0</v>
      </c>
      <c s="6" r="BK13">
        <v>0</v>
      </c>
      <c s="6" r="BL13">
        <v>0</v>
      </c>
      <c s="6" r="BM13">
        <v>0</v>
      </c>
      <c s="6" r="BN13">
        <v>0</v>
      </c>
      <c s="6" r="BO13">
        <v>0</v>
      </c>
      <c s="6" r="BP13">
        <v>0</v>
      </c>
      <c s="6" r="BQ13">
        <v>0</v>
      </c>
      <c t="str" s="6" r="BR13">
        <f>HYPERLINK("http://www.d20pfsrd.com/magic/all-spells/a/animal-shapes","Animal Shapes")</f>
        <v>Animal Shapes</v>
      </c>
      <c s="6" r="BS13">
        <v>12</v>
      </c>
      <c t="s" s="6" r="BT13">
        <v>92</v>
      </c>
      <c t="s" s="6" r="BV13">
        <v>215</v>
      </c>
      <c s="6" r="BY13">
        <v>0</v>
      </c>
    </row>
    <row customHeight="1" r="14" ht="14.25">
      <c t="s" s="6" r="A14">
        <v>216</v>
      </c>
      <c t="s" s="6" r="B14">
        <v>115</v>
      </c>
      <c t="s" s="6" r="C14">
        <v>116</v>
      </c>
      <c t="s" s="6" r="D14">
        <v>217</v>
      </c>
      <c t="s" s="6" r="E14">
        <v>218</v>
      </c>
      <c t="s" s="6" r="F14">
        <v>81</v>
      </c>
      <c t="s" s="6" r="G14">
        <v>106</v>
      </c>
      <c s="6" r="H14">
        <v>0</v>
      </c>
      <c t="s" s="6" r="I14">
        <v>107</v>
      </c>
      <c t="s" s="6" r="L14">
        <v>219</v>
      </c>
      <c t="s" s="6" r="M14">
        <v>220</v>
      </c>
      <c s="6" r="N14">
        <v>0</v>
      </c>
      <c s="6" r="O14">
        <v>0</v>
      </c>
      <c t="s" s="6" r="P14">
        <v>221</v>
      </c>
      <c t="s" s="6" r="Q14">
        <v>188</v>
      </c>
      <c t="s" s="6" r="R14">
        <v>222</v>
      </c>
      <c t="s" s="6" r="S14">
        <v>223</v>
      </c>
      <c t="s" s="6" r="T14">
        <v>90</v>
      </c>
      <c t="s" s="6" r="U14">
        <v>224</v>
      </c>
      <c s="6" r="V14">
        <v>1</v>
      </c>
      <c s="6" r="W14">
        <v>1</v>
      </c>
      <c s="6" r="X14">
        <v>0</v>
      </c>
      <c s="6" r="Y14">
        <v>0</v>
      </c>
      <c s="6" r="Z14">
        <v>0</v>
      </c>
      <c t="s" s="6" r="AA14">
        <v>92</v>
      </c>
      <c t="s" s="6" r="AB14">
        <v>92</v>
      </c>
      <c t="s" s="6" r="AC14">
        <v>92</v>
      </c>
      <c s="6" r="AD14">
        <v>2</v>
      </c>
      <c t="s" s="6" r="AE14">
        <v>92</v>
      </c>
      <c s="6" r="AF14">
        <v>2</v>
      </c>
      <c t="s" s="6" r="AG14">
        <v>92</v>
      </c>
      <c t="s" s="6" r="AH14">
        <v>92</v>
      </c>
      <c t="s" s="6" r="AI14">
        <v>92</v>
      </c>
      <c t="s" s="6" r="AJ14">
        <v>92</v>
      </c>
      <c t="s" s="6" r="AK14">
        <v>92</v>
      </c>
      <c t="s" s="6" r="AL14">
        <v>92</v>
      </c>
      <c t="s" s="6" r="AM14">
        <v>92</v>
      </c>
      <c t="s" s="6" r="AN14">
        <v>92</v>
      </c>
      <c s="6" r="AP14">
        <v>2</v>
      </c>
      <c t="s" s="6" r="AQ14">
        <v>192</v>
      </c>
      <c t="s" s="6" r="AR14">
        <v>225</v>
      </c>
      <c s="6" r="AS14">
        <v>0</v>
      </c>
      <c s="6" r="AT14">
        <v>0</v>
      </c>
      <c s="6" r="AU14">
        <v>0</v>
      </c>
      <c s="6" r="AV14">
        <v>0</v>
      </c>
      <c s="6" r="AW14">
        <v>0</v>
      </c>
      <c s="6" r="AX14">
        <v>0</v>
      </c>
      <c s="6" r="AY14">
        <v>0</v>
      </c>
      <c s="6" r="AZ14">
        <v>0</v>
      </c>
      <c s="6" r="BA14">
        <v>0</v>
      </c>
      <c s="6" r="BB14">
        <v>0</v>
      </c>
      <c s="6" r="BC14">
        <v>0</v>
      </c>
      <c s="6" r="BD14">
        <v>0</v>
      </c>
      <c s="6" r="BE14">
        <v>0</v>
      </c>
      <c s="6" r="BF14">
        <v>0</v>
      </c>
      <c s="6" r="BG14">
        <v>0</v>
      </c>
      <c s="6" r="BH14">
        <v>0</v>
      </c>
      <c s="6" r="BI14">
        <v>0</v>
      </c>
      <c s="6" r="BJ14">
        <v>0</v>
      </c>
      <c s="6" r="BK14">
        <v>0</v>
      </c>
      <c s="6" r="BL14">
        <v>1</v>
      </c>
      <c s="6" r="BM14">
        <v>0</v>
      </c>
      <c s="6" r="BN14">
        <v>0</v>
      </c>
      <c s="6" r="BO14">
        <v>0</v>
      </c>
      <c s="6" r="BP14">
        <v>1</v>
      </c>
      <c s="6" r="BQ14">
        <v>0</v>
      </c>
      <c t="str" s="6" r="BR14">
        <f>HYPERLINK("http://www.d20pfsrd.com/magic/all-spells/a/animal-trance","Animal Trance")</f>
        <v>Animal Trance</v>
      </c>
      <c s="6" r="BS14">
        <v>13</v>
      </c>
      <c t="s" s="6" r="BT14">
        <v>92</v>
      </c>
      <c s="6" r="BY14">
        <v>0</v>
      </c>
    </row>
    <row customHeight="1" r="15" ht="14.25">
      <c t="s" s="6" r="A15">
        <v>226</v>
      </c>
      <c t="s" s="6" r="B15">
        <v>227</v>
      </c>
      <c t="s" s="6" r="D15">
        <v>55</v>
      </c>
      <c t="s" s="6" r="E15">
        <v>228</v>
      </c>
      <c t="s" s="6" r="F15">
        <v>81</v>
      </c>
      <c t="s" s="6" r="G15">
        <v>229</v>
      </c>
      <c s="6" r="H15">
        <v>1</v>
      </c>
      <c t="s" s="6" r="I15">
        <v>120</v>
      </c>
      <c t="s" s="6" r="L15">
        <v>230</v>
      </c>
      <c t="s" s="6" r="M15">
        <v>109</v>
      </c>
      <c s="6" r="N15">
        <v>0</v>
      </c>
      <c s="6" r="O15">
        <v>0</v>
      </c>
      <c t="s" s="6" r="P15">
        <v>86</v>
      </c>
      <c t="s" s="6" r="Q15">
        <v>87</v>
      </c>
      <c t="s" s="6" r="R15">
        <v>231</v>
      </c>
      <c t="s" s="6" r="S15">
        <v>232</v>
      </c>
      <c t="s" s="6" r="T15">
        <v>90</v>
      </c>
      <c t="s" s="6" r="U15">
        <v>233</v>
      </c>
      <c s="6" r="V15">
        <v>1</v>
      </c>
      <c s="6" r="W15">
        <v>1</v>
      </c>
      <c s="6" r="X15">
        <v>1</v>
      </c>
      <c s="6" r="Y15">
        <v>0</v>
      </c>
      <c s="6" r="Z15">
        <v>0</v>
      </c>
      <c s="6" r="AA15">
        <v>4</v>
      </c>
      <c s="6" r="AB15">
        <v>4</v>
      </c>
      <c s="6" r="AC15">
        <v>3</v>
      </c>
      <c t="s" s="6" r="AD15">
        <v>92</v>
      </c>
      <c t="s" s="6" r="AE15">
        <v>92</v>
      </c>
      <c t="s" s="6" r="AF15">
        <v>92</v>
      </c>
      <c t="s" s="6" r="AG15">
        <v>92</v>
      </c>
      <c t="s" s="6" r="AH15">
        <v>92</v>
      </c>
      <c t="s" s="6" r="AI15">
        <v>92</v>
      </c>
      <c t="s" s="6" r="AJ15">
        <v>92</v>
      </c>
      <c t="s" s="6" r="AK15">
        <v>92</v>
      </c>
      <c s="6" r="AL15">
        <v>3</v>
      </c>
      <c s="6" r="AM15">
        <v>3</v>
      </c>
      <c t="s" s="6" r="AN15">
        <v>92</v>
      </c>
      <c s="6" r="AP15">
        <v>4</v>
      </c>
      <c t="s" s="6" r="AQ15">
        <v>234</v>
      </c>
      <c t="s" s="6" r="AR15">
        <v>235</v>
      </c>
      <c s="6" r="AS15">
        <v>0</v>
      </c>
      <c s="6" r="AT15">
        <v>0</v>
      </c>
      <c s="6" r="AU15">
        <v>0</v>
      </c>
      <c s="6" r="AV15">
        <v>0</v>
      </c>
      <c s="6" r="AW15">
        <v>0</v>
      </c>
      <c s="6" r="AX15">
        <v>0</v>
      </c>
      <c s="6" r="AY15">
        <v>0</v>
      </c>
      <c s="6" r="AZ15">
        <v>0</v>
      </c>
      <c s="6" r="BA15">
        <v>0</v>
      </c>
      <c s="6" r="BB15">
        <v>0</v>
      </c>
      <c s="6" r="BC15">
        <v>0</v>
      </c>
      <c s="6" r="BD15">
        <v>1</v>
      </c>
      <c s="6" r="BE15">
        <v>0</v>
      </c>
      <c s="6" r="BF15">
        <v>0</v>
      </c>
      <c s="6" r="BG15">
        <v>0</v>
      </c>
      <c s="6" r="BH15">
        <v>0</v>
      </c>
      <c s="6" r="BI15">
        <v>0</v>
      </c>
      <c s="6" r="BJ15">
        <v>0</v>
      </c>
      <c s="6" r="BK15">
        <v>0</v>
      </c>
      <c s="6" r="BL15">
        <v>0</v>
      </c>
      <c s="6" r="BM15">
        <v>0</v>
      </c>
      <c s="6" r="BN15">
        <v>0</v>
      </c>
      <c s="6" r="BO15">
        <v>0</v>
      </c>
      <c s="6" r="BP15">
        <v>0</v>
      </c>
      <c s="6" r="BQ15">
        <v>0</v>
      </c>
      <c t="str" s="6" r="BR15">
        <f>HYPERLINK("http://www.d20pfsrd.com/magic/all-spells/a/animate-dead","Animate Dead")</f>
        <v>Animate Dead</v>
      </c>
      <c s="6" r="BS15">
        <v>14</v>
      </c>
      <c s="6" r="BT15">
        <v>25</v>
      </c>
      <c t="s" s="6" r="BU15">
        <v>236</v>
      </c>
      <c t="s" s="6" r="BV15">
        <v>237</v>
      </c>
      <c t="s" s="6" r="BW15">
        <v>238</v>
      </c>
      <c t="s" s="6" r="BX15">
        <v>239</v>
      </c>
      <c s="6" r="BY15">
        <v>1</v>
      </c>
    </row>
    <row customHeight="1" r="16" ht="14.25">
      <c t="s" s="6" r="A16">
        <v>240</v>
      </c>
      <c t="s" s="6" r="B16">
        <v>131</v>
      </c>
      <c t="s" s="6" r="E16">
        <v>241</v>
      </c>
      <c t="s" s="6" r="F16">
        <v>81</v>
      </c>
      <c t="s" s="6" r="G16">
        <v>106</v>
      </c>
      <c s="6" r="H16">
        <v>0</v>
      </c>
      <c t="s" s="6" r="I16">
        <v>97</v>
      </c>
      <c t="s" s="6" r="L16">
        <v>242</v>
      </c>
      <c t="s" s="6" r="M16">
        <v>99</v>
      </c>
      <c s="6" r="N16">
        <v>0</v>
      </c>
      <c s="6" r="O16">
        <v>0</v>
      </c>
      <c t="s" s="6" r="P16">
        <v>86</v>
      </c>
      <c t="s" s="6" r="Q16">
        <v>87</v>
      </c>
      <c t="s" s="6" r="R16">
        <v>243</v>
      </c>
      <c t="s" s="6" r="S16">
        <v>244</v>
      </c>
      <c t="s" s="6" r="T16">
        <v>90</v>
      </c>
      <c t="s" s="6" r="U16">
        <v>245</v>
      </c>
      <c s="6" r="V16">
        <v>1</v>
      </c>
      <c s="6" r="W16">
        <v>1</v>
      </c>
      <c s="6" r="X16">
        <v>0</v>
      </c>
      <c s="6" r="Y16">
        <v>0</v>
      </c>
      <c s="6" r="Z16">
        <v>0</v>
      </c>
      <c t="s" s="6" r="AA16">
        <v>92</v>
      </c>
      <c t="s" s="6" r="AB16">
        <v>92</v>
      </c>
      <c s="6" r="AC16">
        <v>6</v>
      </c>
      <c t="s" s="6" r="AD16">
        <v>92</v>
      </c>
      <c t="s" s="6" r="AE16">
        <v>92</v>
      </c>
      <c s="6" r="AF16">
        <v>6</v>
      </c>
      <c t="s" s="6" r="AG16">
        <v>92</v>
      </c>
      <c t="s" s="6" r="AH16">
        <v>92</v>
      </c>
      <c t="s" s="6" r="AI16">
        <v>92</v>
      </c>
      <c s="6" r="AJ16">
        <v>6</v>
      </c>
      <c t="s" s="6" r="AK16">
        <v>92</v>
      </c>
      <c s="6" r="AL16">
        <v>6</v>
      </c>
      <c t="s" s="6" r="AM16">
        <v>92</v>
      </c>
      <c t="s" s="6" r="AN16">
        <v>92</v>
      </c>
      <c s="6" r="AP16">
        <v>6</v>
      </c>
      <c t="s" s="6" r="AQ16">
        <v>246</v>
      </c>
      <c t="s" s="6" r="AR16">
        <v>247</v>
      </c>
      <c s="6" r="AS16">
        <v>0</v>
      </c>
      <c s="6" r="AT16">
        <v>0</v>
      </c>
      <c s="6" r="AU16">
        <v>0</v>
      </c>
      <c s="6" r="AV16">
        <v>0</v>
      </c>
      <c s="6" r="AW16">
        <v>0</v>
      </c>
      <c s="6" r="AX16">
        <v>0</v>
      </c>
      <c s="6" r="AY16">
        <v>0</v>
      </c>
      <c s="6" r="AZ16">
        <v>0</v>
      </c>
      <c s="6" r="BA16">
        <v>0</v>
      </c>
      <c s="6" r="BB16">
        <v>0</v>
      </c>
      <c s="6" r="BC16">
        <v>0</v>
      </c>
      <c s="6" r="BD16">
        <v>0</v>
      </c>
      <c s="6" r="BE16">
        <v>0</v>
      </c>
      <c s="6" r="BF16">
        <v>0</v>
      </c>
      <c s="6" r="BG16">
        <v>0</v>
      </c>
      <c s="6" r="BH16">
        <v>0</v>
      </c>
      <c s="6" r="BI16">
        <v>0</v>
      </c>
      <c s="6" r="BJ16">
        <v>0</v>
      </c>
      <c s="6" r="BK16">
        <v>0</v>
      </c>
      <c s="6" r="BL16">
        <v>0</v>
      </c>
      <c s="6" r="BM16">
        <v>0</v>
      </c>
      <c s="6" r="BN16">
        <v>0</v>
      </c>
      <c s="6" r="BO16">
        <v>0</v>
      </c>
      <c s="6" r="BP16">
        <v>0</v>
      </c>
      <c s="6" r="BQ16">
        <v>0</v>
      </c>
      <c t="str" s="6" r="BR16">
        <f>HYPERLINK("http://www.d20pfsrd.com/magic/all-spells/a/animate-objects","Animate Objects")</f>
        <v>Animate Objects</v>
      </c>
      <c s="6" r="BS16">
        <v>15</v>
      </c>
      <c t="s" s="6" r="BT16">
        <v>92</v>
      </c>
      <c t="s" s="6" r="BW16">
        <v>248</v>
      </c>
      <c s="6" r="BY16">
        <v>1</v>
      </c>
    </row>
    <row customHeight="1" r="17" ht="14.25">
      <c t="s" s="6" r="A17">
        <v>249</v>
      </c>
      <c t="s" s="6" r="B17">
        <v>131</v>
      </c>
      <c t="s" s="6" r="E17">
        <v>250</v>
      </c>
      <c t="s" s="6" r="F17">
        <v>81</v>
      </c>
      <c t="s" s="6" r="G17">
        <v>251</v>
      </c>
      <c s="6" r="H17">
        <v>0</v>
      </c>
      <c t="s" s="6" r="I17">
        <v>107</v>
      </c>
      <c t="s" s="6" r="L17">
        <v>252</v>
      </c>
      <c t="s" s="6" r="M17">
        <v>253</v>
      </c>
      <c s="6" r="N17">
        <v>0</v>
      </c>
      <c s="6" r="O17">
        <v>0</v>
      </c>
      <c t="s" s="6" r="P17">
        <v>86</v>
      </c>
      <c t="s" s="6" r="Q17">
        <v>87</v>
      </c>
      <c t="s" s="6" r="R17">
        <v>254</v>
      </c>
      <c t="s" s="6" r="S17">
        <v>255</v>
      </c>
      <c t="s" s="6" r="T17">
        <v>90</v>
      </c>
      <c t="s" s="6" r="U17">
        <v>256</v>
      </c>
      <c s="6" r="V17">
        <v>1</v>
      </c>
      <c s="6" r="W17">
        <v>0</v>
      </c>
      <c s="6" r="X17">
        <v>0</v>
      </c>
      <c s="6" r="Y17">
        <v>0</v>
      </c>
      <c s="6" r="Z17">
        <v>0</v>
      </c>
      <c t="s" s="6" r="AA17">
        <v>92</v>
      </c>
      <c t="s" s="6" r="AB17">
        <v>92</v>
      </c>
      <c t="s" s="6" r="AC17">
        <v>92</v>
      </c>
      <c s="6" r="AD17">
        <v>7</v>
      </c>
      <c t="s" s="6" r="AE17">
        <v>92</v>
      </c>
      <c t="s" s="6" r="AF17">
        <v>92</v>
      </c>
      <c t="s" s="6" r="AG17">
        <v>92</v>
      </c>
      <c t="s" s="6" r="AH17">
        <v>92</v>
      </c>
      <c t="s" s="6" r="AI17">
        <v>92</v>
      </c>
      <c t="s" s="6" r="AJ17">
        <v>92</v>
      </c>
      <c t="s" s="6" r="AK17">
        <v>92</v>
      </c>
      <c t="s" s="6" r="AL17">
        <v>92</v>
      </c>
      <c t="s" s="6" r="AM17">
        <v>92</v>
      </c>
      <c t="s" s="6" r="AN17">
        <v>92</v>
      </c>
      <c s="6" r="AP17">
        <v>7</v>
      </c>
      <c t="s" s="6" r="AQ17">
        <v>257</v>
      </c>
      <c t="s" s="6" r="AR17">
        <v>258</v>
      </c>
      <c s="6" r="AS17">
        <v>0</v>
      </c>
      <c s="6" r="AT17">
        <v>0</v>
      </c>
      <c s="6" r="AU17">
        <v>0</v>
      </c>
      <c s="6" r="AV17">
        <v>0</v>
      </c>
      <c s="6" r="AW17">
        <v>0</v>
      </c>
      <c s="6" r="AX17">
        <v>0</v>
      </c>
      <c s="6" r="AY17">
        <v>0</v>
      </c>
      <c s="6" r="AZ17">
        <v>0</v>
      </c>
      <c s="6" r="BA17">
        <v>0</v>
      </c>
      <c s="6" r="BB17">
        <v>0</v>
      </c>
      <c s="6" r="BC17">
        <v>0</v>
      </c>
      <c s="6" r="BD17">
        <v>0</v>
      </c>
      <c s="6" r="BE17">
        <v>0</v>
      </c>
      <c s="6" r="BF17">
        <v>0</v>
      </c>
      <c s="6" r="BG17">
        <v>0</v>
      </c>
      <c s="6" r="BH17">
        <v>0</v>
      </c>
      <c s="6" r="BI17">
        <v>0</v>
      </c>
      <c s="6" r="BJ17">
        <v>0</v>
      </c>
      <c s="6" r="BK17">
        <v>0</v>
      </c>
      <c s="6" r="BL17">
        <v>0</v>
      </c>
      <c s="6" r="BM17">
        <v>0</v>
      </c>
      <c s="6" r="BN17">
        <v>0</v>
      </c>
      <c s="6" r="BO17">
        <v>0</v>
      </c>
      <c s="6" r="BP17">
        <v>0</v>
      </c>
      <c s="6" r="BQ17">
        <v>0</v>
      </c>
      <c t="str" s="6" r="BR17">
        <f>HYPERLINK("http://www.d20pfsrd.com/magic/all-spells/a/animate-plants","Animate Plants")</f>
        <v>Animate Plants</v>
      </c>
      <c s="6" r="BS17">
        <v>16</v>
      </c>
      <c t="s" s="6" r="BT17">
        <v>92</v>
      </c>
      <c t="s" s="6" r="BU17">
        <v>259</v>
      </c>
      <c t="s" s="6" r="BW17">
        <v>260</v>
      </c>
      <c s="6" r="BY17">
        <v>1</v>
      </c>
    </row>
    <row customHeight="1" r="18" ht="14.25">
      <c t="s" s="6" r="A18">
        <v>261</v>
      </c>
      <c t="s" s="6" r="B18">
        <v>131</v>
      </c>
      <c t="s" s="6" r="E18">
        <v>262</v>
      </c>
      <c t="s" s="6" r="F18">
        <v>81</v>
      </c>
      <c t="s" s="6" r="G18">
        <v>106</v>
      </c>
      <c s="6" r="H18">
        <v>0</v>
      </c>
      <c t="s" s="6" r="I18">
        <v>97</v>
      </c>
      <c t="s" s="6" r="L18">
        <v>263</v>
      </c>
      <c t="s" s="6" r="M18">
        <v>99</v>
      </c>
      <c s="6" r="N18">
        <v>0</v>
      </c>
      <c s="6" r="O18">
        <v>0</v>
      </c>
      <c t="s" s="6" r="P18">
        <v>86</v>
      </c>
      <c t="s" s="6" r="Q18">
        <v>87</v>
      </c>
      <c t="s" s="6" r="R18">
        <v>264</v>
      </c>
      <c t="s" s="6" r="S18">
        <v>265</v>
      </c>
      <c t="s" s="6" r="T18">
        <v>90</v>
      </c>
      <c t="s" s="6" r="U18">
        <v>266</v>
      </c>
      <c s="6" r="V18">
        <v>1</v>
      </c>
      <c s="6" r="W18">
        <v>1</v>
      </c>
      <c s="6" r="X18">
        <v>0</v>
      </c>
      <c s="6" r="Y18">
        <v>0</v>
      </c>
      <c s="6" r="Z18">
        <v>0</v>
      </c>
      <c s="6" r="AA18">
        <v>1</v>
      </c>
      <c s="6" r="AB18">
        <v>1</v>
      </c>
      <c t="s" s="6" r="AC18">
        <v>92</v>
      </c>
      <c t="s" s="6" r="AD18">
        <v>92</v>
      </c>
      <c t="s" s="6" r="AE18">
        <v>92</v>
      </c>
      <c s="6" r="AF18">
        <v>1</v>
      </c>
      <c t="s" s="6" r="AG18">
        <v>92</v>
      </c>
      <c t="s" s="6" r="AH18">
        <v>92</v>
      </c>
      <c t="s" s="6" r="AI18">
        <v>92</v>
      </c>
      <c t="s" s="6" r="AJ18">
        <v>92</v>
      </c>
      <c t="s" s="6" r="AK18">
        <v>92</v>
      </c>
      <c t="s" s="6" r="AL18">
        <v>92</v>
      </c>
      <c t="s" s="6" r="AM18">
        <v>92</v>
      </c>
      <c t="s" s="6" r="AN18">
        <v>92</v>
      </c>
      <c s="6" r="AP18">
        <v>1</v>
      </c>
      <c t="s" s="6" r="AQ18">
        <v>267</v>
      </c>
      <c t="s" s="6" r="AR18">
        <v>268</v>
      </c>
      <c s="6" r="AS18">
        <v>0</v>
      </c>
      <c s="6" r="AT18">
        <v>0</v>
      </c>
      <c s="6" r="AU18">
        <v>0</v>
      </c>
      <c s="6" r="AV18">
        <v>0</v>
      </c>
      <c s="6" r="AW18">
        <v>0</v>
      </c>
      <c s="6" r="AX18">
        <v>0</v>
      </c>
      <c s="6" r="AY18">
        <v>0</v>
      </c>
      <c s="6" r="AZ18">
        <v>0</v>
      </c>
      <c s="6" r="BA18">
        <v>0</v>
      </c>
      <c s="6" r="BB18">
        <v>0</v>
      </c>
      <c s="6" r="BC18">
        <v>0</v>
      </c>
      <c s="6" r="BD18">
        <v>0</v>
      </c>
      <c s="6" r="BE18">
        <v>0</v>
      </c>
      <c s="6" r="BF18">
        <v>0</v>
      </c>
      <c s="6" r="BG18">
        <v>0</v>
      </c>
      <c s="6" r="BH18">
        <v>0</v>
      </c>
      <c s="6" r="BI18">
        <v>0</v>
      </c>
      <c s="6" r="BJ18">
        <v>0</v>
      </c>
      <c s="6" r="BK18">
        <v>0</v>
      </c>
      <c s="6" r="BL18">
        <v>0</v>
      </c>
      <c s="6" r="BM18">
        <v>0</v>
      </c>
      <c s="6" r="BN18">
        <v>0</v>
      </c>
      <c s="6" r="BO18">
        <v>0</v>
      </c>
      <c s="6" r="BP18">
        <v>0</v>
      </c>
      <c s="6" r="BQ18">
        <v>0</v>
      </c>
      <c t="str" s="6" r="BR18">
        <f>HYPERLINK("http://www.d20pfsrd.com/magic/all-spells/a/animate-rope","Animate Rope")</f>
        <v>Animate Rope</v>
      </c>
      <c s="6" r="BS18">
        <v>17</v>
      </c>
      <c t="s" s="6" r="BT18">
        <v>92</v>
      </c>
      <c t="s" s="6" r="BV18">
        <v>269</v>
      </c>
      <c s="6" r="BY18">
        <v>0</v>
      </c>
    </row>
    <row customHeight="1" r="19" ht="14.25">
      <c t="s" s="6" r="A19">
        <v>270</v>
      </c>
      <c t="s" s="6" r="B19">
        <v>162</v>
      </c>
      <c t="s" s="6" r="E19">
        <v>271</v>
      </c>
      <c t="s" s="6" r="F19">
        <v>272</v>
      </c>
      <c t="s" s="6" r="G19">
        <v>119</v>
      </c>
      <c s="6" r="H19">
        <v>0</v>
      </c>
      <c t="s" s="6" r="I19">
        <v>273</v>
      </c>
      <c t="s" s="6" r="J19">
        <v>274</v>
      </c>
      <c t="s" s="6" r="M19">
        <v>122</v>
      </c>
      <c s="6" r="N19">
        <v>1</v>
      </c>
      <c s="6" r="O19">
        <v>0</v>
      </c>
      <c t="s" s="6" r="P19">
        <v>86</v>
      </c>
      <c t="s" s="6" r="Q19">
        <v>188</v>
      </c>
      <c t="s" s="6" r="R19">
        <v>275</v>
      </c>
      <c t="s" s="6" r="S19">
        <v>276</v>
      </c>
      <c t="s" s="6" r="T19">
        <v>90</v>
      </c>
      <c t="s" s="6" r="U19">
        <v>277</v>
      </c>
      <c s="6" r="V19">
        <v>1</v>
      </c>
      <c s="6" r="W19">
        <v>1</v>
      </c>
      <c s="6" r="X19">
        <v>0</v>
      </c>
      <c s="6" r="Y19">
        <v>0</v>
      </c>
      <c s="6" r="Z19">
        <v>1</v>
      </c>
      <c t="s" s="6" r="AA19">
        <v>92</v>
      </c>
      <c t="s" s="6" r="AB19">
        <v>92</v>
      </c>
      <c s="6" r="AC19">
        <v>6</v>
      </c>
      <c s="6" r="AD19">
        <v>6</v>
      </c>
      <c t="s" s="6" r="AE19">
        <v>92</v>
      </c>
      <c t="s" s="6" r="AF19">
        <v>92</v>
      </c>
      <c t="s" s="6" r="AG19">
        <v>92</v>
      </c>
      <c t="s" s="6" r="AH19">
        <v>92</v>
      </c>
      <c t="s" s="6" r="AI19">
        <v>92</v>
      </c>
      <c t="s" s="6" r="AJ19">
        <v>92</v>
      </c>
      <c t="s" s="6" r="AK19">
        <v>92</v>
      </c>
      <c s="6" r="AL19">
        <v>6</v>
      </c>
      <c t="s" s="6" r="AM19">
        <v>92</v>
      </c>
      <c t="s" s="6" r="AN19">
        <v>92</v>
      </c>
      <c s="6" r="AP19">
        <v>6</v>
      </c>
      <c t="s" s="6" r="AQ19">
        <v>278</v>
      </c>
      <c t="s" s="6" r="AR19">
        <v>279</v>
      </c>
      <c s="6" r="AS19">
        <v>0</v>
      </c>
      <c s="6" r="AT19">
        <v>0</v>
      </c>
      <c s="6" r="AU19">
        <v>0</v>
      </c>
      <c s="6" r="AV19">
        <v>0</v>
      </c>
      <c s="6" r="AW19">
        <v>0</v>
      </c>
      <c s="6" r="AX19">
        <v>0</v>
      </c>
      <c s="6" r="AY19">
        <v>0</v>
      </c>
      <c s="6" r="AZ19">
        <v>0</v>
      </c>
      <c s="6" r="BA19">
        <v>0</v>
      </c>
      <c s="6" r="BB19">
        <v>0</v>
      </c>
      <c s="6" r="BC19">
        <v>0</v>
      </c>
      <c s="6" r="BD19">
        <v>0</v>
      </c>
      <c s="6" r="BE19">
        <v>0</v>
      </c>
      <c s="6" r="BF19">
        <v>0</v>
      </c>
      <c s="6" r="BG19">
        <v>0</v>
      </c>
      <c s="6" r="BH19">
        <v>0</v>
      </c>
      <c s="6" r="BI19">
        <v>0</v>
      </c>
      <c s="6" r="BJ19">
        <v>0</v>
      </c>
      <c s="6" r="BK19">
        <v>0</v>
      </c>
      <c s="6" r="BL19">
        <v>0</v>
      </c>
      <c s="6" r="BM19">
        <v>0</v>
      </c>
      <c s="6" r="BN19">
        <v>0</v>
      </c>
      <c s="6" r="BO19">
        <v>0</v>
      </c>
      <c s="6" r="BP19">
        <v>0</v>
      </c>
      <c s="6" r="BQ19">
        <v>0</v>
      </c>
      <c t="str" s="6" r="BR19">
        <f>HYPERLINK("http://www.d20pfsrd.com/magic/all-spells/a/antilife-shell","Antilife Shell")</f>
        <v>Antilife Shell</v>
      </c>
      <c s="6" r="BS19">
        <v>18</v>
      </c>
      <c t="s" s="6" r="BT19">
        <v>92</v>
      </c>
      <c t="s" s="6" r="BV19">
        <v>194</v>
      </c>
      <c s="6" r="BY19">
        <v>0</v>
      </c>
    </row>
    <row customHeight="1" r="20" ht="14.25">
      <c t="s" s="6" r="A20">
        <v>280</v>
      </c>
      <c t="s" s="6" r="B20">
        <v>162</v>
      </c>
      <c t="s" s="6" r="E20">
        <v>281</v>
      </c>
      <c t="s" s="6" r="F20">
        <v>81</v>
      </c>
      <c t="s" s="6" r="G20">
        <v>282</v>
      </c>
      <c s="6" r="H20">
        <v>0</v>
      </c>
      <c t="s" s="6" r="I20">
        <v>273</v>
      </c>
      <c t="s" s="6" r="J20">
        <v>274</v>
      </c>
      <c t="s" s="6" r="M20">
        <v>283</v>
      </c>
      <c s="6" r="N20">
        <v>1</v>
      </c>
      <c s="6" r="O20">
        <v>0</v>
      </c>
      <c t="s" s="6" r="P20">
        <v>86</v>
      </c>
      <c t="s" s="6" r="Q20">
        <v>141</v>
      </c>
      <c t="s" s="6" r="R20">
        <v>284</v>
      </c>
      <c t="s" s="6" r="S20">
        <v>285</v>
      </c>
      <c t="s" s="6" r="T20">
        <v>90</v>
      </c>
      <c t="s" s="6" r="U20">
        <v>286</v>
      </c>
      <c s="6" r="V20">
        <v>1</v>
      </c>
      <c s="6" r="W20">
        <v>1</v>
      </c>
      <c s="6" r="X20">
        <v>1</v>
      </c>
      <c s="6" r="Y20">
        <v>0</v>
      </c>
      <c s="6" r="Z20">
        <v>1</v>
      </c>
      <c s="6" r="AA20">
        <v>6</v>
      </c>
      <c s="6" r="AB20">
        <v>6</v>
      </c>
      <c s="6" r="AC20">
        <v>8</v>
      </c>
      <c t="s" s="6" r="AD20">
        <v>92</v>
      </c>
      <c t="s" s="6" r="AE20">
        <v>92</v>
      </c>
      <c t="s" s="6" r="AF20">
        <v>92</v>
      </c>
      <c t="s" s="6" r="AG20">
        <v>92</v>
      </c>
      <c t="s" s="6" r="AH20">
        <v>92</v>
      </c>
      <c t="s" s="6" r="AI20">
        <v>92</v>
      </c>
      <c t="s" s="6" r="AJ20">
        <v>92</v>
      </c>
      <c t="s" s="6" r="AK20">
        <v>92</v>
      </c>
      <c s="6" r="AL20">
        <v>8</v>
      </c>
      <c t="s" s="6" r="AM20">
        <v>92</v>
      </c>
      <c t="s" s="6" r="AN20">
        <v>92</v>
      </c>
      <c s="6" r="AP20">
        <v>6</v>
      </c>
      <c t="s" s="6" r="AQ20">
        <v>287</v>
      </c>
      <c t="s" s="6" r="AR20">
        <v>288</v>
      </c>
      <c s="6" r="AS20">
        <v>0</v>
      </c>
      <c s="6" r="AT20">
        <v>0</v>
      </c>
      <c s="6" r="AU20">
        <v>0</v>
      </c>
      <c s="6" r="AV20">
        <v>0</v>
      </c>
      <c s="6" r="AW20">
        <v>0</v>
      </c>
      <c s="6" r="AX20">
        <v>0</v>
      </c>
      <c s="6" r="AY20">
        <v>0</v>
      </c>
      <c s="6" r="AZ20">
        <v>0</v>
      </c>
      <c s="6" r="BA20">
        <v>0</v>
      </c>
      <c s="6" r="BB20">
        <v>0</v>
      </c>
      <c s="6" r="BC20">
        <v>0</v>
      </c>
      <c s="6" r="BD20">
        <v>0</v>
      </c>
      <c s="6" r="BE20">
        <v>0</v>
      </c>
      <c s="6" r="BF20">
        <v>0</v>
      </c>
      <c s="6" r="BG20">
        <v>0</v>
      </c>
      <c s="6" r="BH20">
        <v>0</v>
      </c>
      <c s="6" r="BI20">
        <v>0</v>
      </c>
      <c s="6" r="BJ20">
        <v>0</v>
      </c>
      <c s="6" r="BK20">
        <v>0</v>
      </c>
      <c s="6" r="BL20">
        <v>0</v>
      </c>
      <c s="6" r="BM20">
        <v>0</v>
      </c>
      <c s="6" r="BN20">
        <v>0</v>
      </c>
      <c s="6" r="BO20">
        <v>0</v>
      </c>
      <c s="6" r="BP20">
        <v>0</v>
      </c>
      <c s="6" r="BQ20">
        <v>0</v>
      </c>
      <c t="str" s="6" r="BR20">
        <f>HYPERLINK("http://www.d20pfsrd.com/magic/all-spells/a/antimagic-field","Antimagic Field")</f>
        <v>Antimagic Field</v>
      </c>
      <c s="6" r="BS20">
        <v>19</v>
      </c>
      <c t="s" s="6" r="BT20">
        <v>92</v>
      </c>
      <c t="s" s="6" r="BW20">
        <v>289</v>
      </c>
      <c s="6" r="BY20">
        <v>1</v>
      </c>
    </row>
    <row customHeight="1" r="21" ht="14.25">
      <c t="s" s="6" r="A21">
        <v>290</v>
      </c>
      <c t="s" s="6" r="B21">
        <v>115</v>
      </c>
      <c t="s" s="6" r="C21">
        <v>116</v>
      </c>
      <c t="s" s="6" r="D21">
        <v>291</v>
      </c>
      <c t="s" s="6" r="E21">
        <v>292</v>
      </c>
      <c t="s" s="6" r="F21">
        <v>293</v>
      </c>
      <c t="s" s="6" r="G21">
        <v>294</v>
      </c>
      <c s="6" r="H21">
        <v>0</v>
      </c>
      <c t="s" s="6" r="I21">
        <v>107</v>
      </c>
      <c t="s" s="6" r="L21">
        <v>295</v>
      </c>
      <c t="s" s="6" r="M21">
        <v>166</v>
      </c>
      <c s="6" r="N21">
        <v>1</v>
      </c>
      <c s="6" r="O21">
        <v>0</v>
      </c>
      <c t="s" s="6" r="P21">
        <v>296</v>
      </c>
      <c t="s" s="6" r="Q21">
        <v>188</v>
      </c>
      <c t="s" s="6" r="R21">
        <v>297</v>
      </c>
      <c t="s" s="6" r="S21">
        <v>298</v>
      </c>
      <c t="s" s="6" r="T21">
        <v>90</v>
      </c>
      <c t="s" s="6" r="U21">
        <v>299</v>
      </c>
      <c s="6" r="V21">
        <v>1</v>
      </c>
      <c s="6" r="W21">
        <v>1</v>
      </c>
      <c s="6" r="X21">
        <v>1</v>
      </c>
      <c s="6" r="Y21">
        <v>0</v>
      </c>
      <c s="6" r="Z21">
        <v>1</v>
      </c>
      <c s="6" r="AA21">
        <v>8</v>
      </c>
      <c s="6" r="AB21">
        <v>8</v>
      </c>
      <c t="s" s="6" r="AC21">
        <v>92</v>
      </c>
      <c s="6" r="AD21">
        <v>9</v>
      </c>
      <c t="s" s="6" r="AE21">
        <v>92</v>
      </c>
      <c t="s" s="6" r="AF21">
        <v>92</v>
      </c>
      <c t="s" s="6" r="AG21">
        <v>92</v>
      </c>
      <c t="s" s="6" r="AH21">
        <v>92</v>
      </c>
      <c s="6" r="AI21">
        <v>6</v>
      </c>
      <c s="6" r="AJ21">
        <v>8</v>
      </c>
      <c t="s" s="6" r="AK21">
        <v>92</v>
      </c>
      <c t="s" s="6" r="AL21">
        <v>92</v>
      </c>
      <c t="s" s="6" r="AM21">
        <v>92</v>
      </c>
      <c t="s" s="6" r="AN21">
        <v>92</v>
      </c>
      <c s="6" r="AP21">
        <v>8</v>
      </c>
      <c t="s" s="6" r="AR21">
        <v>300</v>
      </c>
      <c s="6" r="AS21">
        <v>0</v>
      </c>
      <c s="6" r="AT21">
        <v>0</v>
      </c>
      <c s="6" r="AU21">
        <v>0</v>
      </c>
      <c s="6" r="AV21">
        <v>0</v>
      </c>
      <c s="6" r="AW21">
        <v>0</v>
      </c>
      <c s="6" r="AX21">
        <v>0</v>
      </c>
      <c s="6" r="AY21">
        <v>0</v>
      </c>
      <c s="6" r="AZ21">
        <v>0</v>
      </c>
      <c s="6" r="BA21">
        <v>0</v>
      </c>
      <c s="6" r="BB21">
        <v>0</v>
      </c>
      <c s="6" r="BC21">
        <v>1</v>
      </c>
      <c s="6" r="BD21">
        <v>0</v>
      </c>
      <c s="6" r="BE21">
        <v>0</v>
      </c>
      <c s="6" r="BF21">
        <v>0</v>
      </c>
      <c s="6" r="BG21">
        <v>0</v>
      </c>
      <c s="6" r="BH21">
        <v>0</v>
      </c>
      <c s="6" r="BI21">
        <v>0</v>
      </c>
      <c s="6" r="BJ21">
        <v>0</v>
      </c>
      <c s="6" r="BK21">
        <v>0</v>
      </c>
      <c s="6" r="BL21">
        <v>1</v>
      </c>
      <c s="6" r="BM21">
        <v>0</v>
      </c>
      <c s="6" r="BN21">
        <v>0</v>
      </c>
      <c s="6" r="BO21">
        <v>0</v>
      </c>
      <c s="6" r="BP21">
        <v>0</v>
      </c>
      <c s="6" r="BQ21">
        <v>0</v>
      </c>
      <c t="str" s="6" r="BR21">
        <f>HYPERLINK("http://www.d20pfsrd.com/magic/all-spells/a/antipathy","Antipathy")</f>
        <v>Antipathy</v>
      </c>
      <c s="6" r="BS21">
        <v>20</v>
      </c>
      <c t="s" s="6" r="BT21">
        <v>92</v>
      </c>
      <c t="s" s="6" r="BV21">
        <v>301</v>
      </c>
      <c s="6" r="BY21">
        <v>0</v>
      </c>
    </row>
    <row customHeight="1" r="22" ht="14.25">
      <c t="s" s="6" r="A22">
        <v>302</v>
      </c>
      <c t="s" s="6" r="B22">
        <v>162</v>
      </c>
      <c t="s" s="6" r="E22">
        <v>303</v>
      </c>
      <c t="s" s="6" r="F22">
        <v>81</v>
      </c>
      <c t="s" s="6" r="G22">
        <v>119</v>
      </c>
      <c s="6" r="H22">
        <v>0</v>
      </c>
      <c t="s" s="6" r="I22">
        <v>273</v>
      </c>
      <c t="s" s="6" r="J22">
        <v>274</v>
      </c>
      <c t="s" s="6" r="M22">
        <v>122</v>
      </c>
      <c s="6" r="N22">
        <v>1</v>
      </c>
      <c s="6" r="O22">
        <v>0</v>
      </c>
      <c t="s" s="6" r="P22">
        <v>86</v>
      </c>
      <c t="s" s="6" r="Q22">
        <v>188</v>
      </c>
      <c t="s" s="6" r="R22">
        <v>304</v>
      </c>
      <c t="s" s="6" r="S22">
        <v>305</v>
      </c>
      <c t="s" s="6" r="T22">
        <v>90</v>
      </c>
      <c t="s" s="6" r="U22">
        <v>306</v>
      </c>
      <c s="6" r="V22">
        <v>1</v>
      </c>
      <c s="6" r="W22">
        <v>1</v>
      </c>
      <c s="6" r="X22">
        <v>0</v>
      </c>
      <c s="6" r="Y22">
        <v>0</v>
      </c>
      <c s="6" r="Z22">
        <v>1</v>
      </c>
      <c t="s" s="6" r="AA22">
        <v>92</v>
      </c>
      <c t="s" s="6" r="AB22">
        <v>92</v>
      </c>
      <c t="s" s="6" r="AC22">
        <v>92</v>
      </c>
      <c s="6" r="AD22">
        <v>4</v>
      </c>
      <c t="s" s="6" r="AE22">
        <v>92</v>
      </c>
      <c t="s" s="6" r="AF22">
        <v>92</v>
      </c>
      <c t="s" s="6" r="AG22">
        <v>92</v>
      </c>
      <c t="s" s="6" r="AH22">
        <v>92</v>
      </c>
      <c t="s" s="6" r="AI22">
        <v>92</v>
      </c>
      <c t="s" s="6" r="AJ22">
        <v>92</v>
      </c>
      <c t="s" s="6" r="AK22">
        <v>92</v>
      </c>
      <c t="s" s="6" r="AL22">
        <v>92</v>
      </c>
      <c t="s" s="6" r="AM22">
        <v>92</v>
      </c>
      <c t="s" s="6" r="AN22">
        <v>92</v>
      </c>
      <c s="6" r="AP22">
        <v>4</v>
      </c>
      <c t="s" s="6" r="AR22">
        <v>307</v>
      </c>
      <c s="6" r="AS22">
        <v>0</v>
      </c>
      <c s="6" r="AT22">
        <v>0</v>
      </c>
      <c s="6" r="AU22">
        <v>0</v>
      </c>
      <c s="6" r="AV22">
        <v>0</v>
      </c>
      <c s="6" r="AW22">
        <v>0</v>
      </c>
      <c s="6" r="AX22">
        <v>0</v>
      </c>
      <c s="6" r="AY22">
        <v>0</v>
      </c>
      <c s="6" r="AZ22">
        <v>0</v>
      </c>
      <c s="6" r="BA22">
        <v>0</v>
      </c>
      <c s="6" r="BB22">
        <v>0</v>
      </c>
      <c s="6" r="BC22">
        <v>0</v>
      </c>
      <c s="6" r="BD22">
        <v>0</v>
      </c>
      <c s="6" r="BE22">
        <v>0</v>
      </c>
      <c s="6" r="BF22">
        <v>0</v>
      </c>
      <c s="6" r="BG22">
        <v>0</v>
      </c>
      <c s="6" r="BH22">
        <v>0</v>
      </c>
      <c s="6" r="BI22">
        <v>0</v>
      </c>
      <c s="6" r="BJ22">
        <v>0</v>
      </c>
      <c s="6" r="BK22">
        <v>0</v>
      </c>
      <c s="6" r="BL22">
        <v>0</v>
      </c>
      <c s="6" r="BM22">
        <v>0</v>
      </c>
      <c s="6" r="BN22">
        <v>0</v>
      </c>
      <c s="6" r="BO22">
        <v>0</v>
      </c>
      <c s="6" r="BP22">
        <v>0</v>
      </c>
      <c s="6" r="BQ22">
        <v>0</v>
      </c>
      <c t="str" s="6" r="BR22">
        <f>HYPERLINK("http://www.d20pfsrd.com/magic/all-spells/a/antiplant-shell","Antiplant Shell")</f>
        <v>Antiplant Shell</v>
      </c>
      <c s="6" r="BS22">
        <v>21</v>
      </c>
      <c t="s" s="6" r="BT22">
        <v>92</v>
      </c>
      <c s="6" r="BY22">
        <v>0</v>
      </c>
    </row>
    <row customHeight="1" r="23" ht="14.25">
      <c t="s" s="6" r="A23">
        <v>308</v>
      </c>
      <c t="s" s="6" r="B23">
        <v>174</v>
      </c>
      <c t="s" s="6" r="C23">
        <v>309</v>
      </c>
      <c t="s" s="6" r="E23">
        <v>310</v>
      </c>
      <c t="s" s="6" r="F23">
        <v>311</v>
      </c>
      <c t="s" s="6" r="G23">
        <v>312</v>
      </c>
      <c s="6" r="H23">
        <v>0</v>
      </c>
      <c t="s" s="6" r="I23">
        <v>313</v>
      </c>
      <c t="s" s="6" r="K23">
        <v>314</v>
      </c>
      <c t="s" s="6" r="M23">
        <v>122</v>
      </c>
      <c s="6" r="N23">
        <v>1</v>
      </c>
      <c s="6" r="O23">
        <v>0</v>
      </c>
      <c t="s" s="6" r="P23">
        <v>86</v>
      </c>
      <c t="s" s="6" r="Q23">
        <v>87</v>
      </c>
      <c t="s" s="6" r="R23">
        <v>315</v>
      </c>
      <c t="s" s="6" r="S23">
        <v>316</v>
      </c>
      <c t="s" s="6" r="T23">
        <v>90</v>
      </c>
      <c t="s" s="6" r="U23">
        <v>317</v>
      </c>
      <c s="6" r="V23">
        <v>1</v>
      </c>
      <c s="6" r="W23">
        <v>1</v>
      </c>
      <c s="6" r="X23">
        <v>1</v>
      </c>
      <c s="6" r="Y23">
        <v>0</v>
      </c>
      <c s="6" r="Z23">
        <v>0</v>
      </c>
      <c s="6" r="AA23">
        <v>4</v>
      </c>
      <c s="6" r="AB23">
        <v>4</v>
      </c>
      <c t="s" s="6" r="AC23">
        <v>92</v>
      </c>
      <c t="s" s="6" r="AD23">
        <v>92</v>
      </c>
      <c t="s" s="6" r="AE23">
        <v>92</v>
      </c>
      <c t="s" s="6" r="AF23">
        <v>92</v>
      </c>
      <c t="s" s="6" r="AG23">
        <v>92</v>
      </c>
      <c s="6" r="AH23">
        <v>4</v>
      </c>
      <c t="s" s="6" r="AI23">
        <v>92</v>
      </c>
      <c s="6" r="AJ23">
        <v>4</v>
      </c>
      <c t="s" s="6" r="AK23">
        <v>92</v>
      </c>
      <c t="s" s="6" r="AL23">
        <v>92</v>
      </c>
      <c t="s" s="6" r="AM23">
        <v>92</v>
      </c>
      <c t="s" s="6" r="AN23">
        <v>92</v>
      </c>
      <c s="6" r="AP23">
        <v>4</v>
      </c>
      <c t="s" s="6" r="AQ23">
        <v>182</v>
      </c>
      <c t="s" s="6" r="AR23">
        <v>318</v>
      </c>
      <c s="6" r="AS23">
        <v>0</v>
      </c>
      <c s="6" r="AT23">
        <v>0</v>
      </c>
      <c s="6" r="AU23">
        <v>0</v>
      </c>
      <c s="6" r="AV23">
        <v>0</v>
      </c>
      <c s="6" r="AW23">
        <v>0</v>
      </c>
      <c s="6" r="AX23">
        <v>0</v>
      </c>
      <c s="6" r="AY23">
        <v>0</v>
      </c>
      <c s="6" r="AZ23">
        <v>0</v>
      </c>
      <c s="6" r="BA23">
        <v>0</v>
      </c>
      <c s="6" r="BB23">
        <v>0</v>
      </c>
      <c s="6" r="BC23">
        <v>0</v>
      </c>
      <c s="6" r="BD23">
        <v>0</v>
      </c>
      <c s="6" r="BE23">
        <v>0</v>
      </c>
      <c s="6" r="BF23">
        <v>0</v>
      </c>
      <c s="6" r="BG23">
        <v>0</v>
      </c>
      <c s="6" r="BH23">
        <v>0</v>
      </c>
      <c s="6" r="BI23">
        <v>0</v>
      </c>
      <c s="6" r="BJ23">
        <v>0</v>
      </c>
      <c s="6" r="BK23">
        <v>0</v>
      </c>
      <c s="6" r="BL23">
        <v>0</v>
      </c>
      <c s="6" r="BM23">
        <v>0</v>
      </c>
      <c s="6" r="BN23">
        <v>0</v>
      </c>
      <c s="6" r="BO23">
        <v>0</v>
      </c>
      <c s="6" r="BP23">
        <v>0</v>
      </c>
      <c s="6" r="BQ23">
        <v>0</v>
      </c>
      <c t="str" s="6" r="BR23">
        <f>HYPERLINK("http://www.d20pfsrd.com/magic/all-spells/a/arcane-eye","Arcane Eye")</f>
        <v>Arcane Eye</v>
      </c>
      <c s="6" r="BS23">
        <v>22</v>
      </c>
      <c t="s" s="6" r="BT23">
        <v>92</v>
      </c>
      <c s="6" r="BY23">
        <v>0</v>
      </c>
    </row>
    <row customHeight="1" r="24" ht="14.25">
      <c t="s" s="6" r="A24">
        <v>319</v>
      </c>
      <c t="s" s="6" r="B24">
        <v>162</v>
      </c>
      <c t="s" s="6" r="E24">
        <v>320</v>
      </c>
      <c t="s" s="6" r="F24">
        <v>81</v>
      </c>
      <c t="s" s="6" r="G24">
        <v>321</v>
      </c>
      <c s="6" r="H24">
        <v>1</v>
      </c>
      <c t="s" s="6" r="I24">
        <v>120</v>
      </c>
      <c t="s" s="6" r="L24">
        <v>322</v>
      </c>
      <c t="s" s="6" r="M24">
        <v>323</v>
      </c>
      <c s="6" r="N24">
        <v>0</v>
      </c>
      <c s="6" r="O24">
        <v>0</v>
      </c>
      <c t="s" s="6" r="P24">
        <v>86</v>
      </c>
      <c t="s" s="6" r="Q24">
        <v>87</v>
      </c>
      <c t="s" s="6" r="R24">
        <v>324</v>
      </c>
      <c t="s" s="6" r="S24">
        <v>325</v>
      </c>
      <c t="s" s="6" r="T24">
        <v>90</v>
      </c>
      <c t="s" s="6" r="U24">
        <v>326</v>
      </c>
      <c s="6" r="V24">
        <v>1</v>
      </c>
      <c s="6" r="W24">
        <v>1</v>
      </c>
      <c s="6" r="X24">
        <v>1</v>
      </c>
      <c s="6" r="Y24">
        <v>0</v>
      </c>
      <c s="6" r="Z24">
        <v>0</v>
      </c>
      <c s="6" r="AA24">
        <v>2</v>
      </c>
      <c s="6" r="AB24">
        <v>2</v>
      </c>
      <c t="s" s="6" r="AC24">
        <v>92</v>
      </c>
      <c t="s" s="6" r="AD24">
        <v>92</v>
      </c>
      <c t="s" s="6" r="AE24">
        <v>92</v>
      </c>
      <c t="s" s="6" r="AF24">
        <v>92</v>
      </c>
      <c t="s" s="6" r="AG24">
        <v>92</v>
      </c>
      <c t="s" s="6" r="AH24">
        <v>92</v>
      </c>
      <c t="s" s="6" r="AI24">
        <v>92</v>
      </c>
      <c t="s" s="6" r="AJ24">
        <v>92</v>
      </c>
      <c t="s" s="6" r="AK24">
        <v>92</v>
      </c>
      <c t="s" s="6" r="AL24">
        <v>92</v>
      </c>
      <c t="s" s="6" r="AM24">
        <v>92</v>
      </c>
      <c t="s" s="6" r="AN24">
        <v>92</v>
      </c>
      <c s="6" r="AP24">
        <v>2</v>
      </c>
      <c t="s" s="6" r="AQ24">
        <v>327</v>
      </c>
      <c t="s" s="6" r="AR24">
        <v>328</v>
      </c>
      <c s="6" r="AS24">
        <v>0</v>
      </c>
      <c s="6" r="AT24">
        <v>0</v>
      </c>
      <c s="6" r="AU24">
        <v>0</v>
      </c>
      <c s="6" r="AV24">
        <v>0</v>
      </c>
      <c s="6" r="AW24">
        <v>0</v>
      </c>
      <c s="6" r="AX24">
        <v>0</v>
      </c>
      <c s="6" r="AY24">
        <v>0</v>
      </c>
      <c s="6" r="AZ24">
        <v>0</v>
      </c>
      <c s="6" r="BA24">
        <v>0</v>
      </c>
      <c s="6" r="BB24">
        <v>0</v>
      </c>
      <c s="6" r="BC24">
        <v>0</v>
      </c>
      <c s="6" r="BD24">
        <v>0</v>
      </c>
      <c s="6" r="BE24">
        <v>0</v>
      </c>
      <c s="6" r="BF24">
        <v>0</v>
      </c>
      <c s="6" r="BG24">
        <v>0</v>
      </c>
      <c s="6" r="BH24">
        <v>0</v>
      </c>
      <c s="6" r="BI24">
        <v>0</v>
      </c>
      <c s="6" r="BJ24">
        <v>0</v>
      </c>
      <c s="6" r="BK24">
        <v>0</v>
      </c>
      <c s="6" r="BL24">
        <v>0</v>
      </c>
      <c s="6" r="BM24">
        <v>0</v>
      </c>
      <c s="6" r="BN24">
        <v>0</v>
      </c>
      <c s="6" r="BO24">
        <v>0</v>
      </c>
      <c s="6" r="BP24">
        <v>0</v>
      </c>
      <c s="6" r="BQ24">
        <v>0</v>
      </c>
      <c t="str" s="6" r="BR24">
        <f>HYPERLINK("http://www.d20pfsrd.com/magic/all-spells/a/arcane-lock","Arcane Lock")</f>
        <v>Arcane Lock</v>
      </c>
      <c s="6" r="BS24">
        <v>23</v>
      </c>
      <c s="6" r="BT24">
        <v>25</v>
      </c>
      <c s="6" r="BY24">
        <v>0</v>
      </c>
    </row>
    <row customHeight="1" r="25" ht="14.25">
      <c t="s" s="6" r="A25">
        <v>329</v>
      </c>
      <c t="s" s="6" r="B25">
        <v>330</v>
      </c>
      <c t="s" s="6" r="E25">
        <v>331</v>
      </c>
      <c t="s" s="6" r="F25">
        <v>81</v>
      </c>
      <c t="s" s="6" r="G25">
        <v>106</v>
      </c>
      <c s="6" r="H25">
        <v>0</v>
      </c>
      <c t="s" s="6" r="I25">
        <v>120</v>
      </c>
      <c t="s" s="6" r="K25">
        <v>332</v>
      </c>
      <c t="s" s="6" r="M25">
        <v>323</v>
      </c>
      <c s="6" r="N25">
        <v>0</v>
      </c>
      <c s="6" r="O25">
        <v>0</v>
      </c>
      <c t="s" s="6" r="P25">
        <v>86</v>
      </c>
      <c t="s" s="6" r="Q25">
        <v>87</v>
      </c>
      <c t="s" s="6" r="R25">
        <v>333</v>
      </c>
      <c t="s" s="6" r="S25">
        <v>334</v>
      </c>
      <c t="s" s="6" r="T25">
        <v>90</v>
      </c>
      <c t="s" s="6" r="U25">
        <v>335</v>
      </c>
      <c s="6" r="V25">
        <v>1</v>
      </c>
      <c s="6" r="W25">
        <v>1</v>
      </c>
      <c s="6" r="X25">
        <v>0</v>
      </c>
      <c s="6" r="Y25">
        <v>0</v>
      </c>
      <c s="6" r="Z25">
        <v>0</v>
      </c>
      <c s="6" r="AA25">
        <v>0</v>
      </c>
      <c s="6" r="AB25">
        <v>0</v>
      </c>
      <c t="s" s="6" r="AC25">
        <v>92</v>
      </c>
      <c t="s" s="6" r="AD25">
        <v>92</v>
      </c>
      <c t="s" s="6" r="AE25">
        <v>92</v>
      </c>
      <c t="s" s="6" r="AF25">
        <v>92</v>
      </c>
      <c t="s" s="6" r="AG25">
        <v>92</v>
      </c>
      <c t="s" s="6" r="AH25">
        <v>92</v>
      </c>
      <c s="6" r="AI25">
        <v>0</v>
      </c>
      <c t="s" s="6" r="AJ25">
        <v>92</v>
      </c>
      <c t="s" s="6" r="AK25">
        <v>92</v>
      </c>
      <c t="s" s="6" r="AL25">
        <v>92</v>
      </c>
      <c t="s" s="6" r="AM25">
        <v>92</v>
      </c>
      <c s="6" r="AN25">
        <v>0</v>
      </c>
      <c s="6" r="AP25">
        <v>0</v>
      </c>
      <c t="s" s="6" r="AR25">
        <v>336</v>
      </c>
      <c s="6" r="AS25">
        <v>0</v>
      </c>
      <c s="6" r="AT25">
        <v>0</v>
      </c>
      <c s="6" r="AU25">
        <v>0</v>
      </c>
      <c s="6" r="AV25">
        <v>0</v>
      </c>
      <c s="6" r="AW25">
        <v>0</v>
      </c>
      <c s="6" r="AX25">
        <v>0</v>
      </c>
      <c s="6" r="AY25">
        <v>0</v>
      </c>
      <c s="6" r="AZ25">
        <v>0</v>
      </c>
      <c s="6" r="BA25">
        <v>0</v>
      </c>
      <c s="6" r="BB25">
        <v>0</v>
      </c>
      <c s="6" r="BC25">
        <v>0</v>
      </c>
      <c s="6" r="BD25">
        <v>0</v>
      </c>
      <c s="6" r="BE25">
        <v>0</v>
      </c>
      <c s="6" r="BF25">
        <v>0</v>
      </c>
      <c s="6" r="BG25">
        <v>0</v>
      </c>
      <c s="6" r="BH25">
        <v>0</v>
      </c>
      <c s="6" r="BI25">
        <v>0</v>
      </c>
      <c s="6" r="BJ25">
        <v>0</v>
      </c>
      <c s="6" r="BK25">
        <v>0</v>
      </c>
      <c s="6" r="BL25">
        <v>0</v>
      </c>
      <c s="6" r="BM25">
        <v>0</v>
      </c>
      <c s="6" r="BN25">
        <v>0</v>
      </c>
      <c s="6" r="BO25">
        <v>0</v>
      </c>
      <c s="6" r="BP25">
        <v>0</v>
      </c>
      <c s="6" r="BQ25">
        <v>0</v>
      </c>
      <c t="str" s="6" r="BR25">
        <f>HYPERLINK("http://www.d20pfsrd.com/magic/all-spells/a/arcane-mark","Arcane Mark")</f>
        <v>Arcane Mark</v>
      </c>
      <c s="6" r="BS25">
        <v>24</v>
      </c>
      <c t="s" s="6" r="BT25">
        <v>92</v>
      </c>
      <c s="6" r="BY25">
        <v>0</v>
      </c>
    </row>
    <row customHeight="1" r="26" ht="14.25">
      <c t="s" s="6" r="A26">
        <v>337</v>
      </c>
      <c t="s" s="6" r="B26">
        <v>174</v>
      </c>
      <c t="s" s="6" r="E26">
        <v>338</v>
      </c>
      <c t="s" s="6" r="F26">
        <v>81</v>
      </c>
      <c t="s" s="6" r="G26">
        <v>106</v>
      </c>
      <c s="6" r="H26">
        <v>0</v>
      </c>
      <c t="s" s="6" r="I26">
        <v>155</v>
      </c>
      <c t="s" s="6" r="L26">
        <v>156</v>
      </c>
      <c t="s" s="6" r="M26">
        <v>122</v>
      </c>
      <c s="6" r="N26">
        <v>1</v>
      </c>
      <c s="6" r="O26">
        <v>0</v>
      </c>
      <c t="s" s="6" r="R26">
        <v>339</v>
      </c>
      <c t="s" s="6" r="S26">
        <v>340</v>
      </c>
      <c t="s" s="6" r="T26">
        <v>90</v>
      </c>
      <c t="s" s="6" r="U26">
        <v>341</v>
      </c>
      <c s="6" r="V26">
        <v>1</v>
      </c>
      <c s="6" r="W26">
        <v>1</v>
      </c>
      <c s="6" r="X26">
        <v>0</v>
      </c>
      <c s="6" r="Y26">
        <v>0</v>
      </c>
      <c s="6" r="Z26">
        <v>0</v>
      </c>
      <c s="6" r="AA26">
        <v>3</v>
      </c>
      <c s="6" r="AB26">
        <v>3</v>
      </c>
      <c t="s" s="6" r="AC26">
        <v>92</v>
      </c>
      <c t="s" s="6" r="AD26">
        <v>92</v>
      </c>
      <c t="s" s="6" r="AE26">
        <v>92</v>
      </c>
      <c t="s" s="6" r="AF26">
        <v>92</v>
      </c>
      <c t="s" s="6" r="AG26">
        <v>92</v>
      </c>
      <c s="6" r="AH26">
        <v>3</v>
      </c>
      <c t="s" s="6" r="AI26">
        <v>92</v>
      </c>
      <c s="6" r="AJ26">
        <v>3</v>
      </c>
      <c s="6" r="AK26">
        <v>3</v>
      </c>
      <c t="s" s="6" r="AL26">
        <v>92</v>
      </c>
      <c t="s" s="6" r="AM26">
        <v>92</v>
      </c>
      <c s="6" r="AN26">
        <v>3</v>
      </c>
      <c s="6" r="AP26">
        <v>3</v>
      </c>
      <c t="s" s="6" r="AR26">
        <v>342</v>
      </c>
      <c s="6" r="AS26">
        <v>0</v>
      </c>
      <c s="6" r="AT26">
        <v>0</v>
      </c>
      <c s="6" r="AU26">
        <v>0</v>
      </c>
      <c s="6" r="AV26">
        <v>0</v>
      </c>
      <c s="6" r="AW26">
        <v>0</v>
      </c>
      <c s="6" r="AX26">
        <v>0</v>
      </c>
      <c s="6" r="AY26">
        <v>0</v>
      </c>
      <c s="6" r="AZ26">
        <v>0</v>
      </c>
      <c s="6" r="BA26">
        <v>0</v>
      </c>
      <c s="6" r="BB26">
        <v>0</v>
      </c>
      <c s="6" r="BC26">
        <v>0</v>
      </c>
      <c s="6" r="BD26">
        <v>0</v>
      </c>
      <c s="6" r="BE26">
        <v>0</v>
      </c>
      <c s="6" r="BF26">
        <v>0</v>
      </c>
      <c s="6" r="BG26">
        <v>0</v>
      </c>
      <c s="6" r="BH26">
        <v>0</v>
      </c>
      <c s="6" r="BI26">
        <v>0</v>
      </c>
      <c s="6" r="BJ26">
        <v>0</v>
      </c>
      <c s="6" r="BK26">
        <v>0</v>
      </c>
      <c s="6" r="BL26">
        <v>0</v>
      </c>
      <c s="6" r="BM26">
        <v>0</v>
      </c>
      <c s="6" r="BN26">
        <v>0</v>
      </c>
      <c s="6" r="BO26">
        <v>0</v>
      </c>
      <c s="6" r="BP26">
        <v>0</v>
      </c>
      <c s="6" r="BQ26">
        <v>0</v>
      </c>
      <c t="str" s="6" r="BR26">
        <f>HYPERLINK("http://www.d20pfsrd.com/magic/all-spells/a/arcane-sight","Arcane Sight")</f>
        <v>Arcane Sight</v>
      </c>
      <c s="6" r="BS26">
        <v>25</v>
      </c>
      <c t="s" s="6" r="BT26">
        <v>92</v>
      </c>
      <c s="6" r="BY26">
        <v>0</v>
      </c>
    </row>
    <row customHeight="1" r="27" ht="14.25">
      <c t="s" s="6" r="A27">
        <v>343</v>
      </c>
      <c t="s" s="6" r="B27">
        <v>174</v>
      </c>
      <c t="s" s="6" r="E27">
        <v>344</v>
      </c>
      <c t="s" s="6" r="F27">
        <v>81</v>
      </c>
      <c t="s" s="6" r="G27">
        <v>106</v>
      </c>
      <c s="6" r="H27">
        <v>0</v>
      </c>
      <c t="s" s="6" r="I27">
        <v>155</v>
      </c>
      <c t="s" s="6" r="L27">
        <v>156</v>
      </c>
      <c t="s" s="6" r="M27">
        <v>122</v>
      </c>
      <c s="6" r="N27">
        <v>1</v>
      </c>
      <c s="6" r="O27">
        <v>0</v>
      </c>
      <c t="s" s="6" r="R27">
        <v>345</v>
      </c>
      <c t="s" s="6" r="S27">
        <v>346</v>
      </c>
      <c t="s" s="6" r="T27">
        <v>90</v>
      </c>
      <c t="s" s="6" r="U27">
        <v>347</v>
      </c>
      <c s="6" r="V27">
        <v>1</v>
      </c>
      <c s="6" r="W27">
        <v>1</v>
      </c>
      <c s="6" r="X27">
        <v>0</v>
      </c>
      <c s="6" r="Y27">
        <v>0</v>
      </c>
      <c s="6" r="Z27">
        <v>0</v>
      </c>
      <c s="6" r="AA27">
        <v>7</v>
      </c>
      <c s="6" r="AB27">
        <v>7</v>
      </c>
      <c t="s" s="6" r="AC27">
        <v>92</v>
      </c>
      <c t="s" s="6" r="AD27">
        <v>92</v>
      </c>
      <c t="s" s="6" r="AE27">
        <v>92</v>
      </c>
      <c t="s" s="6" r="AF27">
        <v>92</v>
      </c>
      <c t="s" s="6" r="AG27">
        <v>92</v>
      </c>
      <c t="s" s="6" r="AH27">
        <v>92</v>
      </c>
      <c t="s" s="6" r="AI27">
        <v>92</v>
      </c>
      <c s="6" r="AJ27">
        <v>7</v>
      </c>
      <c t="s" s="6" r="AK27">
        <v>92</v>
      </c>
      <c t="s" s="6" r="AL27">
        <v>92</v>
      </c>
      <c t="s" s="6" r="AM27">
        <v>92</v>
      </c>
      <c t="s" s="6" r="AN27">
        <v>92</v>
      </c>
      <c s="6" r="AP27">
        <v>7</v>
      </c>
      <c t="s" s="6" r="AR27">
        <v>348</v>
      </c>
      <c s="6" r="AS27">
        <v>0</v>
      </c>
      <c s="6" r="AT27">
        <v>0</v>
      </c>
      <c s="6" r="AU27">
        <v>0</v>
      </c>
      <c s="6" r="AV27">
        <v>0</v>
      </c>
      <c s="6" r="AW27">
        <v>0</v>
      </c>
      <c s="6" r="AX27">
        <v>0</v>
      </c>
      <c s="6" r="AY27">
        <v>0</v>
      </c>
      <c s="6" r="AZ27">
        <v>0</v>
      </c>
      <c s="6" r="BA27">
        <v>0</v>
      </c>
      <c s="6" r="BB27">
        <v>0</v>
      </c>
      <c s="6" r="BC27">
        <v>0</v>
      </c>
      <c s="6" r="BD27">
        <v>0</v>
      </c>
      <c s="6" r="BE27">
        <v>0</v>
      </c>
      <c s="6" r="BF27">
        <v>0</v>
      </c>
      <c s="6" r="BG27">
        <v>0</v>
      </c>
      <c s="6" r="BH27">
        <v>0</v>
      </c>
      <c s="6" r="BI27">
        <v>0</v>
      </c>
      <c s="6" r="BJ27">
        <v>0</v>
      </c>
      <c s="6" r="BK27">
        <v>0</v>
      </c>
      <c s="6" r="BL27">
        <v>0</v>
      </c>
      <c s="6" r="BM27">
        <v>0</v>
      </c>
      <c s="6" r="BN27">
        <v>0</v>
      </c>
      <c s="6" r="BO27">
        <v>0</v>
      </c>
      <c s="6" r="BP27">
        <v>0</v>
      </c>
      <c s="6" r="BQ27">
        <v>0</v>
      </c>
      <c t="str" s="6" r="BR27">
        <f>HYPERLINK("http://www.d20pfsrd.com/magic/all-spells/a/arcane-sight#TOC-Arcane-Sight-Greater","Arcane Sight, Greater")</f>
        <v>Arcane Sight, Greater</v>
      </c>
      <c s="6" r="BS27">
        <v>26</v>
      </c>
      <c t="s" s="6" r="BT27">
        <v>92</v>
      </c>
      <c s="6" r="BY27">
        <v>0</v>
      </c>
    </row>
    <row customHeight="1" r="28" ht="14.25">
      <c t="s" s="6" r="A28">
        <v>349</v>
      </c>
      <c t="s" s="6" r="B28">
        <v>227</v>
      </c>
      <c t="s" s="6" r="E28">
        <v>350</v>
      </c>
      <c t="s" s="6" r="F28">
        <v>351</v>
      </c>
      <c t="s" s="6" r="G28">
        <v>352</v>
      </c>
      <c s="6" r="H28">
        <v>1</v>
      </c>
      <c t="s" s="6" r="I28">
        <v>120</v>
      </c>
      <c t="s" s="6" r="L28">
        <v>353</v>
      </c>
      <c t="s" s="6" r="M28">
        <v>141</v>
      </c>
      <c s="6" r="N28">
        <v>0</v>
      </c>
      <c s="6" r="O28">
        <v>0</v>
      </c>
      <c t="s" s="6" r="P28">
        <v>86</v>
      </c>
      <c t="s" s="6" r="Q28">
        <v>188</v>
      </c>
      <c t="s" s="6" r="R28">
        <v>354</v>
      </c>
      <c t="s" s="6" r="S28">
        <v>355</v>
      </c>
      <c t="s" s="6" r="T28">
        <v>90</v>
      </c>
      <c t="s" s="6" r="U28">
        <v>356</v>
      </c>
      <c s="6" r="V28">
        <v>1</v>
      </c>
      <c s="6" r="W28">
        <v>1</v>
      </c>
      <c s="6" r="X28">
        <v>1</v>
      </c>
      <c s="6" r="Y28">
        <v>0</v>
      </c>
      <c s="6" r="Z28">
        <v>0</v>
      </c>
      <c s="6" r="AA28">
        <v>9</v>
      </c>
      <c s="6" r="AB28">
        <v>9</v>
      </c>
      <c s="6" r="AC28">
        <v>9</v>
      </c>
      <c t="s" s="6" r="AD28">
        <v>92</v>
      </c>
      <c t="s" s="6" r="AE28">
        <v>92</v>
      </c>
      <c t="s" s="6" r="AF28">
        <v>92</v>
      </c>
      <c t="s" s="6" r="AG28">
        <v>92</v>
      </c>
      <c t="s" s="6" r="AH28">
        <v>92</v>
      </c>
      <c t="s" s="6" r="AI28">
        <v>92</v>
      </c>
      <c s="6" r="AJ28">
        <v>9</v>
      </c>
      <c t="s" s="6" r="AK28">
        <v>92</v>
      </c>
      <c s="6" r="AL28">
        <v>9</v>
      </c>
      <c t="s" s="6" r="AM28">
        <v>92</v>
      </c>
      <c t="s" s="6" r="AN28">
        <v>92</v>
      </c>
      <c s="6" r="AP28">
        <v>9</v>
      </c>
      <c t="s" s="6" r="AQ28">
        <v>357</v>
      </c>
      <c t="s" s="6" r="AR28">
        <v>358</v>
      </c>
      <c s="6" r="AS28">
        <v>0</v>
      </c>
      <c s="6" r="AT28">
        <v>0</v>
      </c>
      <c s="6" r="AU28">
        <v>0</v>
      </c>
      <c s="6" r="AV28">
        <v>0</v>
      </c>
      <c s="6" r="AW28">
        <v>0</v>
      </c>
      <c s="6" r="AX28">
        <v>0</v>
      </c>
      <c s="6" r="AY28">
        <v>0</v>
      </c>
      <c s="6" r="AZ28">
        <v>0</v>
      </c>
      <c s="6" r="BA28">
        <v>0</v>
      </c>
      <c s="6" r="BB28">
        <v>0</v>
      </c>
      <c s="6" r="BC28">
        <v>0</v>
      </c>
      <c s="6" r="BD28">
        <v>0</v>
      </c>
      <c s="6" r="BE28">
        <v>0</v>
      </c>
      <c s="6" r="BF28">
        <v>0</v>
      </c>
      <c s="6" r="BG28">
        <v>0</v>
      </c>
      <c s="6" r="BH28">
        <v>0</v>
      </c>
      <c s="6" r="BI28">
        <v>0</v>
      </c>
      <c s="6" r="BJ28">
        <v>0</v>
      </c>
      <c s="6" r="BK28">
        <v>0</v>
      </c>
      <c s="6" r="BL28">
        <v>0</v>
      </c>
      <c s="6" r="BM28">
        <v>0</v>
      </c>
      <c s="6" r="BN28">
        <v>0</v>
      </c>
      <c s="6" r="BO28">
        <v>0</v>
      </c>
      <c s="6" r="BP28">
        <v>0</v>
      </c>
      <c s="6" r="BQ28">
        <v>0</v>
      </c>
      <c t="str" s="6" r="BR28">
        <f>HYPERLINK("http://www.d20pfsrd.com/magic/all-spells/a/astral-projection","Astral Projection")</f>
        <v>Astral Projection</v>
      </c>
      <c s="6" r="BS28">
        <v>27</v>
      </c>
      <c s="6" r="BT28">
        <v>1000</v>
      </c>
      <c t="s" s="6" r="BU28">
        <v>359</v>
      </c>
      <c t="s" s="6" r="BV28">
        <v>360</v>
      </c>
      <c s="6" r="BY28">
        <v>0</v>
      </c>
    </row>
    <row customHeight="1" r="29" ht="14.25">
      <c t="s" s="6" r="A29">
        <v>361</v>
      </c>
      <c t="s" s="6" r="B29">
        <v>162</v>
      </c>
      <c t="s" s="6" r="E29">
        <v>362</v>
      </c>
      <c t="s" s="6" r="F29">
        <v>293</v>
      </c>
      <c t="s" s="6" r="G29">
        <v>363</v>
      </c>
      <c s="6" r="H29">
        <v>1</v>
      </c>
      <c t="s" s="6" r="I29">
        <v>120</v>
      </c>
      <c t="s" s="6" r="L29">
        <v>121</v>
      </c>
      <c t="s" s="6" r="M29">
        <v>109</v>
      </c>
      <c s="6" r="N29">
        <v>0</v>
      </c>
      <c s="6" r="O29">
        <v>0</v>
      </c>
      <c t="s" s="6" r="P29">
        <v>86</v>
      </c>
      <c t="s" s="6" r="Q29">
        <v>188</v>
      </c>
      <c t="s" s="6" r="R29">
        <v>364</v>
      </c>
      <c t="s" s="6" r="S29">
        <v>365</v>
      </c>
      <c t="s" s="6" r="T29">
        <v>90</v>
      </c>
      <c t="s" s="6" r="U29">
        <v>366</v>
      </c>
      <c s="6" r="V29">
        <v>1</v>
      </c>
      <c s="6" r="W29">
        <v>1</v>
      </c>
      <c s="6" r="X29">
        <v>1</v>
      </c>
      <c s="6" r="Y29">
        <v>0</v>
      </c>
      <c s="6" r="Z29">
        <v>1</v>
      </c>
      <c t="s" s="6" r="AA29">
        <v>92</v>
      </c>
      <c t="s" s="6" r="AB29">
        <v>92</v>
      </c>
      <c s="6" r="AC29">
        <v>5</v>
      </c>
      <c s="6" r="AD29">
        <v>5</v>
      </c>
      <c t="s" s="6" r="AE29">
        <v>92</v>
      </c>
      <c t="s" s="6" r="AF29">
        <v>92</v>
      </c>
      <c t="s" s="6" r="AG29">
        <v>92</v>
      </c>
      <c t="s" s="6" r="AH29">
        <v>92</v>
      </c>
      <c t="s" s="6" r="AI29">
        <v>92</v>
      </c>
      <c t="s" s="6" r="AJ29">
        <v>92</v>
      </c>
      <c s="6" r="AK29">
        <v>5</v>
      </c>
      <c s="6" r="AL29">
        <v>5</v>
      </c>
      <c t="s" s="6" r="AM29">
        <v>92</v>
      </c>
      <c t="s" s="6" r="AN29">
        <v>92</v>
      </c>
      <c s="6" r="AP29">
        <v>5</v>
      </c>
      <c t="s" s="6" r="AQ29">
        <v>367</v>
      </c>
      <c t="s" s="6" r="AR29">
        <v>368</v>
      </c>
      <c s="6" r="AS29">
        <v>0</v>
      </c>
      <c s="6" r="AT29">
        <v>0</v>
      </c>
      <c s="6" r="AU29">
        <v>0</v>
      </c>
      <c s="6" r="AV29">
        <v>0</v>
      </c>
      <c s="6" r="AW29">
        <v>0</v>
      </c>
      <c s="6" r="AX29">
        <v>0</v>
      </c>
      <c s="6" r="AY29">
        <v>0</v>
      </c>
      <c s="6" r="AZ29">
        <v>0</v>
      </c>
      <c s="6" r="BA29">
        <v>0</v>
      </c>
      <c s="6" r="BB29">
        <v>0</v>
      </c>
      <c s="6" r="BC29">
        <v>0</v>
      </c>
      <c s="6" r="BD29">
        <v>0</v>
      </c>
      <c s="6" r="BE29">
        <v>0</v>
      </c>
      <c s="6" r="BF29">
        <v>0</v>
      </c>
      <c s="6" r="BG29">
        <v>0</v>
      </c>
      <c s="6" r="BH29">
        <v>0</v>
      </c>
      <c s="6" r="BI29">
        <v>0</v>
      </c>
      <c s="6" r="BJ29">
        <v>0</v>
      </c>
      <c s="6" r="BK29">
        <v>0</v>
      </c>
      <c s="6" r="BL29">
        <v>0</v>
      </c>
      <c s="6" r="BM29">
        <v>0</v>
      </c>
      <c s="6" r="BN29">
        <v>0</v>
      </c>
      <c s="6" r="BO29">
        <v>0</v>
      </c>
      <c s="6" r="BP29">
        <v>0</v>
      </c>
      <c s="6" r="BQ29">
        <v>0</v>
      </c>
      <c t="str" s="6" r="BR29">
        <f>HYPERLINK("http://www.d20pfsrd.com/magic/all-spells/a/atonement","Atonement")</f>
        <v>Atonement</v>
      </c>
      <c s="6" r="BS29">
        <v>28</v>
      </c>
      <c s="6" r="BT29">
        <v>500</v>
      </c>
      <c s="6" r="BY29">
        <v>0</v>
      </c>
    </row>
    <row customHeight="1" r="30" ht="14.25">
      <c t="s" s="6" r="A30">
        <v>369</v>
      </c>
      <c t="s" s="6" r="B30">
        <v>174</v>
      </c>
      <c t="s" s="6" r="E30">
        <v>370</v>
      </c>
      <c t="s" s="6" r="F30">
        <v>197</v>
      </c>
      <c t="s" s="6" r="G30">
        <v>371</v>
      </c>
      <c s="6" r="H30">
        <v>1</v>
      </c>
      <c t="s" s="6" r="I30">
        <v>155</v>
      </c>
      <c t="s" s="6" r="L30">
        <v>156</v>
      </c>
      <c t="s" s="6" r="M30">
        <v>109</v>
      </c>
      <c s="6" r="N30">
        <v>0</v>
      </c>
      <c s="6" r="O30">
        <v>0</v>
      </c>
      <c t="s" s="6" r="R30">
        <v>372</v>
      </c>
      <c t="s" s="6" r="S30">
        <v>373</v>
      </c>
      <c t="s" s="6" r="T30">
        <v>90</v>
      </c>
      <c t="s" s="6" r="U30">
        <v>374</v>
      </c>
      <c s="6" r="V30">
        <v>1</v>
      </c>
      <c s="6" r="W30">
        <v>1</v>
      </c>
      <c s="6" r="X30">
        <v>1</v>
      </c>
      <c s="6" r="Y30">
        <v>1</v>
      </c>
      <c s="6" r="Z30">
        <v>0</v>
      </c>
      <c t="s" s="6" r="AA30">
        <v>92</v>
      </c>
      <c t="s" s="6" r="AB30">
        <v>92</v>
      </c>
      <c s="6" r="AC30">
        <v>2</v>
      </c>
      <c t="s" s="6" r="AD30">
        <v>92</v>
      </c>
      <c t="s" s="6" r="AE30">
        <v>92</v>
      </c>
      <c t="s" s="6" r="AF30">
        <v>92</v>
      </c>
      <c t="s" s="6" r="AG30">
        <v>92</v>
      </c>
      <c t="s" s="6" r="AH30">
        <v>92</v>
      </c>
      <c t="s" s="6" r="AI30">
        <v>92</v>
      </c>
      <c s="6" r="AJ30">
        <v>2</v>
      </c>
      <c t="s" s="6" r="AK30">
        <v>92</v>
      </c>
      <c s="6" r="AL30">
        <v>2</v>
      </c>
      <c t="s" s="6" r="AM30">
        <v>92</v>
      </c>
      <c t="s" s="6" r="AN30">
        <v>92</v>
      </c>
      <c s="6" r="AP30">
        <v>2</v>
      </c>
      <c t="s" s="6" r="AQ30">
        <v>375</v>
      </c>
      <c t="s" s="6" r="AR30">
        <v>376</v>
      </c>
      <c s="6" r="AS30">
        <v>0</v>
      </c>
      <c s="6" r="AT30">
        <v>0</v>
      </c>
      <c s="6" r="AU30">
        <v>0</v>
      </c>
      <c s="6" r="AV30">
        <v>0</v>
      </c>
      <c s="6" r="AW30">
        <v>0</v>
      </c>
      <c s="6" r="AX30">
        <v>0</v>
      </c>
      <c s="6" r="AY30">
        <v>0</v>
      </c>
      <c s="6" r="AZ30">
        <v>0</v>
      </c>
      <c s="6" r="BA30">
        <v>0</v>
      </c>
      <c s="6" r="BB30">
        <v>0</v>
      </c>
      <c s="6" r="BC30">
        <v>0</v>
      </c>
      <c s="6" r="BD30">
        <v>0</v>
      </c>
      <c s="6" r="BE30">
        <v>0</v>
      </c>
      <c s="6" r="BF30">
        <v>0</v>
      </c>
      <c s="6" r="BG30">
        <v>0</v>
      </c>
      <c s="6" r="BH30">
        <v>0</v>
      </c>
      <c s="6" r="BI30">
        <v>0</v>
      </c>
      <c s="6" r="BJ30">
        <v>0</v>
      </c>
      <c s="6" r="BK30">
        <v>0</v>
      </c>
      <c s="6" r="BL30">
        <v>0</v>
      </c>
      <c s="6" r="BM30">
        <v>0</v>
      </c>
      <c s="6" r="BN30">
        <v>0</v>
      </c>
      <c s="6" r="BO30">
        <v>0</v>
      </c>
      <c s="6" r="BP30">
        <v>0</v>
      </c>
      <c s="6" r="BQ30">
        <v>0</v>
      </c>
      <c t="str" s="6" r="BR30">
        <f>HYPERLINK("http://www.d20pfsrd.com/magic/all-spells/a/augury","Augury")</f>
        <v>Augury</v>
      </c>
      <c s="6" r="BS30">
        <v>29</v>
      </c>
      <c s="6" r="BT30">
        <v>25</v>
      </c>
      <c t="s" s="6" r="BU30">
        <v>359</v>
      </c>
      <c s="6" r="BY30">
        <v>0</v>
      </c>
    </row>
    <row customHeight="1" r="31" ht="14.25">
      <c t="s" s="6" r="A31">
        <v>377</v>
      </c>
      <c t="s" s="6" r="B31">
        <v>131</v>
      </c>
      <c t="s" s="6" r="E31">
        <v>378</v>
      </c>
      <c t="s" s="6" r="F31">
        <v>379</v>
      </c>
      <c t="s" s="6" r="G31">
        <v>380</v>
      </c>
      <c s="6" r="H31">
        <v>1</v>
      </c>
      <c t="s" s="6" r="I31">
        <v>120</v>
      </c>
      <c t="s" s="6" r="L31">
        <v>381</v>
      </c>
      <c t="s" s="6" r="M31">
        <v>109</v>
      </c>
      <c s="6" r="N31">
        <v>0</v>
      </c>
      <c s="6" r="O31">
        <v>0</v>
      </c>
      <c t="s" s="6" r="P31">
        <v>221</v>
      </c>
      <c t="s" s="6" r="Q31">
        <v>188</v>
      </c>
      <c t="s" s="6" r="R31">
        <v>382</v>
      </c>
      <c t="s" s="6" r="S31">
        <v>383</v>
      </c>
      <c t="s" s="6" r="T31">
        <v>90</v>
      </c>
      <c t="s" s="6" r="U31">
        <v>384</v>
      </c>
      <c s="6" r="V31">
        <v>1</v>
      </c>
      <c s="6" r="W31">
        <v>1</v>
      </c>
      <c s="6" r="X31">
        <v>1</v>
      </c>
      <c s="6" r="Y31">
        <v>0</v>
      </c>
      <c s="6" r="Z31">
        <v>1</v>
      </c>
      <c t="s" s="6" r="AA31">
        <v>92</v>
      </c>
      <c t="s" s="6" r="AB31">
        <v>92</v>
      </c>
      <c t="s" s="6" r="AC31">
        <v>92</v>
      </c>
      <c s="6" r="AD31">
        <v>5</v>
      </c>
      <c t="s" s="6" r="AE31">
        <v>92</v>
      </c>
      <c t="s" s="6" r="AF31">
        <v>92</v>
      </c>
      <c t="s" s="6" r="AG31">
        <v>92</v>
      </c>
      <c t="s" s="6" r="AH31">
        <v>92</v>
      </c>
      <c t="s" s="6" r="AI31">
        <v>92</v>
      </c>
      <c t="s" s="6" r="AJ31">
        <v>92</v>
      </c>
      <c t="s" s="6" r="AK31">
        <v>92</v>
      </c>
      <c t="s" s="6" r="AL31">
        <v>92</v>
      </c>
      <c t="s" s="6" r="AM31">
        <v>92</v>
      </c>
      <c t="s" s="6" r="AN31">
        <v>92</v>
      </c>
      <c s="6" r="AP31">
        <v>5</v>
      </c>
      <c t="s" s="6" r="AR31">
        <v>385</v>
      </c>
      <c s="6" r="AS31">
        <v>0</v>
      </c>
      <c s="6" r="AT31">
        <v>0</v>
      </c>
      <c s="6" r="AU31">
        <v>0</v>
      </c>
      <c s="6" r="AV31">
        <v>0</v>
      </c>
      <c s="6" r="AW31">
        <v>0</v>
      </c>
      <c s="6" r="AX31">
        <v>0</v>
      </c>
      <c s="6" r="AY31">
        <v>0</v>
      </c>
      <c s="6" r="AZ31">
        <v>0</v>
      </c>
      <c s="6" r="BA31">
        <v>0</v>
      </c>
      <c s="6" r="BB31">
        <v>0</v>
      </c>
      <c s="6" r="BC31">
        <v>0</v>
      </c>
      <c s="6" r="BD31">
        <v>0</v>
      </c>
      <c s="6" r="BE31">
        <v>0</v>
      </c>
      <c s="6" r="BF31">
        <v>0</v>
      </c>
      <c s="6" r="BG31">
        <v>0</v>
      </c>
      <c s="6" r="BH31">
        <v>0</v>
      </c>
      <c s="6" r="BI31">
        <v>0</v>
      </c>
      <c s="6" r="BJ31">
        <v>0</v>
      </c>
      <c s="6" r="BK31">
        <v>0</v>
      </c>
      <c s="6" r="BL31">
        <v>0</v>
      </c>
      <c s="6" r="BM31">
        <v>0</v>
      </c>
      <c s="6" r="BN31">
        <v>0</v>
      </c>
      <c s="6" r="BO31">
        <v>0</v>
      </c>
      <c s="6" r="BP31">
        <v>0</v>
      </c>
      <c s="6" r="BQ31">
        <v>0</v>
      </c>
      <c t="str" s="6" r="BR31">
        <f>HYPERLINK("http://www.d20pfsrd.com/magic/all-spells/a/awaken","Awaken")</f>
        <v>Awaken</v>
      </c>
      <c s="6" r="BS31">
        <v>30</v>
      </c>
      <c s="6" r="BT31">
        <v>2000</v>
      </c>
      <c s="6" r="BY31">
        <v>0</v>
      </c>
    </row>
    <row customHeight="1" r="32" ht="14.25">
      <c t="s" s="6" r="A32">
        <v>386</v>
      </c>
      <c t="s" s="6" r="B32">
        <v>115</v>
      </c>
      <c t="s" s="6" r="C32">
        <v>116</v>
      </c>
      <c t="s" s="6" r="D32">
        <v>387</v>
      </c>
      <c t="s" s="6" r="E32">
        <v>388</v>
      </c>
      <c t="s" s="6" r="F32">
        <v>81</v>
      </c>
      <c t="s" s="6" r="G32">
        <v>119</v>
      </c>
      <c s="6" r="H32">
        <v>0</v>
      </c>
      <c t="s" s="6" r="I32">
        <v>389</v>
      </c>
      <c t="s" s="6" r="J32">
        <v>390</v>
      </c>
      <c t="s" s="6" r="M32">
        <v>122</v>
      </c>
      <c s="6" r="N32">
        <v>0</v>
      </c>
      <c s="6" r="O32">
        <v>0</v>
      </c>
      <c t="s" s="6" r="P32">
        <v>221</v>
      </c>
      <c t="s" s="6" r="Q32">
        <v>188</v>
      </c>
      <c t="s" s="6" r="R32">
        <v>391</v>
      </c>
      <c t="s" s="6" r="S32">
        <v>392</v>
      </c>
      <c t="s" s="6" r="T32">
        <v>90</v>
      </c>
      <c t="s" s="6" r="U32">
        <v>393</v>
      </c>
      <c s="6" r="V32">
        <v>1</v>
      </c>
      <c s="6" r="W32">
        <v>1</v>
      </c>
      <c s="6" r="X32">
        <v>0</v>
      </c>
      <c s="6" r="Y32">
        <v>0</v>
      </c>
      <c s="6" r="Z32">
        <v>1</v>
      </c>
      <c t="s" s="6" r="AA32">
        <v>92</v>
      </c>
      <c t="s" s="6" r="AB32">
        <v>92</v>
      </c>
      <c s="6" r="AC32">
        <v>1</v>
      </c>
      <c t="s" s="6" r="AD32">
        <v>92</v>
      </c>
      <c t="s" s="6" r="AE32">
        <v>92</v>
      </c>
      <c t="s" s="6" r="AF32">
        <v>92</v>
      </c>
      <c t="s" s="6" r="AG32">
        <v>92</v>
      </c>
      <c t="s" s="6" r="AH32">
        <v>92</v>
      </c>
      <c t="s" s="6" r="AI32">
        <v>92</v>
      </c>
      <c t="s" s="6" r="AJ32">
        <v>92</v>
      </c>
      <c s="6" r="AK32">
        <v>1</v>
      </c>
      <c s="6" r="AL32">
        <v>1</v>
      </c>
      <c s="6" r="AM32">
        <v>1</v>
      </c>
      <c t="s" s="6" r="AN32">
        <v>92</v>
      </c>
      <c s="6" r="AP32">
        <v>1</v>
      </c>
      <c t="s" s="6" r="AQ32">
        <v>394</v>
      </c>
      <c t="s" s="6" r="AR32">
        <v>395</v>
      </c>
      <c s="6" r="AS32">
        <v>0</v>
      </c>
      <c s="6" r="AT32">
        <v>0</v>
      </c>
      <c s="6" r="AU32">
        <v>0</v>
      </c>
      <c s="6" r="AV32">
        <v>0</v>
      </c>
      <c s="6" r="AW32">
        <v>0</v>
      </c>
      <c s="6" r="AX32">
        <v>0</v>
      </c>
      <c s="6" r="AY32">
        <v>0</v>
      </c>
      <c s="6" r="AZ32">
        <v>0</v>
      </c>
      <c s="6" r="BA32">
        <v>0</v>
      </c>
      <c s="6" r="BB32">
        <v>0</v>
      </c>
      <c s="6" r="BC32">
        <v>0</v>
      </c>
      <c s="6" r="BD32">
        <v>0</v>
      </c>
      <c s="6" r="BE32">
        <v>1</v>
      </c>
      <c s="6" r="BF32">
        <v>0</v>
      </c>
      <c s="6" r="BG32">
        <v>0</v>
      </c>
      <c s="6" r="BH32">
        <v>0</v>
      </c>
      <c s="6" r="BI32">
        <v>0</v>
      </c>
      <c s="6" r="BJ32">
        <v>0</v>
      </c>
      <c s="6" r="BK32">
        <v>0</v>
      </c>
      <c s="6" r="BL32">
        <v>1</v>
      </c>
      <c s="6" r="BM32">
        <v>0</v>
      </c>
      <c s="6" r="BN32">
        <v>0</v>
      </c>
      <c s="6" r="BO32">
        <v>0</v>
      </c>
      <c s="6" r="BP32">
        <v>0</v>
      </c>
      <c s="6" r="BQ32">
        <v>0</v>
      </c>
      <c t="str" s="6" r="BR32">
        <f>HYPERLINK("http://www.d20pfsrd.com/magic/all-spells/b/bane","Bane")</f>
        <v>Bane</v>
      </c>
      <c s="6" r="BS32">
        <v>31</v>
      </c>
      <c t="s" s="6" r="BT32">
        <v>92</v>
      </c>
      <c t="s" s="6" r="BW32">
        <v>396</v>
      </c>
      <c t="s" s="6" r="BX32">
        <v>397</v>
      </c>
      <c s="6" r="BY32">
        <v>1</v>
      </c>
    </row>
    <row customHeight="1" r="33" ht="14.25">
      <c t="s" s="6" r="A33">
        <v>398</v>
      </c>
      <c t="s" s="6" r="B33">
        <v>162</v>
      </c>
      <c t="s" s="6" r="E33">
        <v>399</v>
      </c>
      <c t="s" s="6" r="F33">
        <v>81</v>
      </c>
      <c t="s" s="6" r="G33">
        <v>400</v>
      </c>
      <c s="6" r="H33">
        <v>0</v>
      </c>
      <c t="s" s="6" r="I33">
        <v>107</v>
      </c>
      <c t="s" s="6" r="L33">
        <v>401</v>
      </c>
      <c t="s" s="6" r="M33">
        <v>109</v>
      </c>
      <c s="6" r="N33">
        <v>0</v>
      </c>
      <c s="6" r="O33">
        <v>0</v>
      </c>
      <c t="s" s="6" r="P33">
        <v>221</v>
      </c>
      <c t="s" s="6" r="Q33">
        <v>188</v>
      </c>
      <c t="s" s="6" r="R33">
        <v>402</v>
      </c>
      <c t="s" s="6" r="S33">
        <v>403</v>
      </c>
      <c t="s" s="6" r="T33">
        <v>90</v>
      </c>
      <c t="s" s="6" r="U33">
        <v>404</v>
      </c>
      <c s="6" r="V33">
        <v>1</v>
      </c>
      <c s="6" r="W33">
        <v>1</v>
      </c>
      <c s="6" r="X33">
        <v>0</v>
      </c>
      <c s="6" r="Y33">
        <v>1</v>
      </c>
      <c s="6" r="Z33">
        <v>0</v>
      </c>
      <c s="6" r="AA33">
        <v>7</v>
      </c>
      <c s="6" r="AB33">
        <v>7</v>
      </c>
      <c s="6" r="AC33">
        <v>6</v>
      </c>
      <c t="s" s="6" r="AD33">
        <v>92</v>
      </c>
      <c t="s" s="6" r="AE33">
        <v>92</v>
      </c>
      <c t="s" s="6" r="AF33">
        <v>92</v>
      </c>
      <c t="s" s="6" r="AG33">
        <v>92</v>
      </c>
      <c t="s" s="6" r="AH33">
        <v>92</v>
      </c>
      <c s="6" r="AI33">
        <v>5</v>
      </c>
      <c t="s" s="6" r="AJ33">
        <v>92</v>
      </c>
      <c s="6" r="AK33">
        <v>5</v>
      </c>
      <c s="6" r="AL33">
        <v>6</v>
      </c>
      <c t="s" s="6" r="AM33">
        <v>92</v>
      </c>
      <c t="s" s="6" r="AN33">
        <v>92</v>
      </c>
      <c s="6" r="AP33">
        <v>7</v>
      </c>
      <c t="s" s="6" r="AR33">
        <v>405</v>
      </c>
      <c s="6" r="AS33">
        <v>0</v>
      </c>
      <c s="6" r="AT33">
        <v>0</v>
      </c>
      <c s="6" r="AU33">
        <v>0</v>
      </c>
      <c s="6" r="AV33">
        <v>0</v>
      </c>
      <c s="6" r="AW33">
        <v>0</v>
      </c>
      <c s="6" r="AX33">
        <v>0</v>
      </c>
      <c s="6" r="AY33">
        <v>0</v>
      </c>
      <c s="6" r="AZ33">
        <v>0</v>
      </c>
      <c s="6" r="BA33">
        <v>0</v>
      </c>
      <c s="6" r="BB33">
        <v>0</v>
      </c>
      <c s="6" r="BC33">
        <v>0</v>
      </c>
      <c s="6" r="BD33">
        <v>0</v>
      </c>
      <c s="6" r="BE33">
        <v>0</v>
      </c>
      <c s="6" r="BF33">
        <v>0</v>
      </c>
      <c s="6" r="BG33">
        <v>0</v>
      </c>
      <c s="6" r="BH33">
        <v>0</v>
      </c>
      <c s="6" r="BI33">
        <v>0</v>
      </c>
      <c s="6" r="BJ33">
        <v>0</v>
      </c>
      <c s="6" r="BK33">
        <v>0</v>
      </c>
      <c s="6" r="BL33">
        <v>0</v>
      </c>
      <c s="6" r="BM33">
        <v>0</v>
      </c>
      <c s="6" r="BN33">
        <v>0</v>
      </c>
      <c s="6" r="BO33">
        <v>0</v>
      </c>
      <c s="6" r="BP33">
        <v>0</v>
      </c>
      <c s="6" r="BQ33">
        <v>0</v>
      </c>
      <c t="str" s="6" r="BR33">
        <f>HYPERLINK("http://www.d20pfsrd.com/magic/all-spells/b/banishment","Banishment")</f>
        <v>Banishment</v>
      </c>
      <c s="6" r="BS33">
        <v>32</v>
      </c>
      <c t="s" s="6" r="BT33">
        <v>92</v>
      </c>
      <c t="s" s="6" r="BU33">
        <v>406</v>
      </c>
      <c t="s" s="6" r="BV33">
        <v>407</v>
      </c>
      <c s="6" r="BY33">
        <v>0</v>
      </c>
    </row>
    <row customHeight="1" r="34" ht="14.25">
      <c t="s" s="6" r="A34">
        <v>408</v>
      </c>
      <c t="s" s="6" r="B34">
        <v>131</v>
      </c>
      <c t="s" s="6" r="E34">
        <v>409</v>
      </c>
      <c t="s" s="6" r="F34">
        <v>81</v>
      </c>
      <c t="s" s="6" r="G34">
        <v>119</v>
      </c>
      <c s="6" r="H34">
        <v>0</v>
      </c>
      <c t="s" s="6" r="I34">
        <v>120</v>
      </c>
      <c t="s" s="6" r="L34">
        <v>121</v>
      </c>
      <c t="s" s="6" r="M34">
        <v>134</v>
      </c>
      <c s="6" r="N34">
        <v>0</v>
      </c>
      <c s="6" r="O34">
        <v>0</v>
      </c>
      <c t="s" s="6" r="P34">
        <v>86</v>
      </c>
      <c t="s" s="6" r="Q34">
        <v>123</v>
      </c>
      <c t="s" s="6" r="R34">
        <v>410</v>
      </c>
      <c t="s" s="6" r="S34">
        <v>411</v>
      </c>
      <c t="s" s="6" r="T34">
        <v>90</v>
      </c>
      <c t="s" s="6" r="U34">
        <v>412</v>
      </c>
      <c s="6" r="V34">
        <v>1</v>
      </c>
      <c s="6" r="W34">
        <v>1</v>
      </c>
      <c s="6" r="X34">
        <v>0</v>
      </c>
      <c s="6" r="Y34">
        <v>0</v>
      </c>
      <c s="6" r="Z34">
        <v>1</v>
      </c>
      <c t="s" s="6" r="AA34">
        <v>92</v>
      </c>
      <c t="s" s="6" r="AB34">
        <v>92</v>
      </c>
      <c t="s" s="6" r="AC34">
        <v>92</v>
      </c>
      <c s="6" r="AD34">
        <v>2</v>
      </c>
      <c s="6" r="AE34">
        <v>2</v>
      </c>
      <c t="s" s="6" r="AF34">
        <v>92</v>
      </c>
      <c t="s" s="6" r="AG34">
        <v>92</v>
      </c>
      <c s="6" r="AH34">
        <v>2</v>
      </c>
      <c s="6" r="AI34">
        <v>2</v>
      </c>
      <c t="s" s="6" r="AJ34">
        <v>92</v>
      </c>
      <c t="s" s="6" r="AK34">
        <v>92</v>
      </c>
      <c t="s" s="6" r="AL34">
        <v>92</v>
      </c>
      <c t="s" s="6" r="AM34">
        <v>92</v>
      </c>
      <c t="s" s="6" r="AN34">
        <v>92</v>
      </c>
      <c s="6" r="AP34">
        <v>2</v>
      </c>
      <c t="s" s="6" r="AQ34">
        <v>413</v>
      </c>
      <c t="s" s="6" r="AR34">
        <v>414</v>
      </c>
      <c s="6" r="AS34">
        <v>0</v>
      </c>
      <c s="6" r="AT34">
        <v>0</v>
      </c>
      <c s="6" r="AU34">
        <v>0</v>
      </c>
      <c s="6" r="AV34">
        <v>0</v>
      </c>
      <c s="6" r="AW34">
        <v>0</v>
      </c>
      <c s="6" r="AX34">
        <v>0</v>
      </c>
      <c s="6" r="AY34">
        <v>0</v>
      </c>
      <c s="6" r="AZ34">
        <v>0</v>
      </c>
      <c s="6" r="BA34">
        <v>0</v>
      </c>
      <c s="6" r="BB34">
        <v>0</v>
      </c>
      <c s="6" r="BC34">
        <v>0</v>
      </c>
      <c s="6" r="BD34">
        <v>0</v>
      </c>
      <c s="6" r="BE34">
        <v>0</v>
      </c>
      <c s="6" r="BF34">
        <v>0</v>
      </c>
      <c s="6" r="BG34">
        <v>0</v>
      </c>
      <c s="6" r="BH34">
        <v>0</v>
      </c>
      <c s="6" r="BI34">
        <v>0</v>
      </c>
      <c s="6" r="BJ34">
        <v>0</v>
      </c>
      <c s="6" r="BK34">
        <v>0</v>
      </c>
      <c s="6" r="BL34">
        <v>0</v>
      </c>
      <c s="6" r="BM34">
        <v>0</v>
      </c>
      <c s="6" r="BN34">
        <v>0</v>
      </c>
      <c s="6" r="BO34">
        <v>0</v>
      </c>
      <c s="6" r="BP34">
        <v>0</v>
      </c>
      <c s="6" r="BQ34">
        <v>0</v>
      </c>
      <c t="str" s="6" r="BR34">
        <f>HYPERLINK("http://www.d20pfsrd.com/magic/all-spells/b/barkskin","Barkskin")</f>
        <v>Barkskin</v>
      </c>
      <c s="6" r="BS34">
        <v>33</v>
      </c>
      <c t="s" s="6" r="BT34">
        <v>92</v>
      </c>
      <c t="s" s="6" r="BU34">
        <v>259</v>
      </c>
      <c t="s" s="6" r="BW34">
        <v>415</v>
      </c>
      <c t="s" s="6" r="BX34">
        <v>416</v>
      </c>
      <c s="6" r="BY34">
        <v>1</v>
      </c>
    </row>
    <row customHeight="1" r="35" ht="14.25">
      <c t="s" s="6" r="A35">
        <v>417</v>
      </c>
      <c t="s" s="6" r="B35">
        <v>131</v>
      </c>
      <c t="s" s="6" r="E35">
        <v>418</v>
      </c>
      <c t="s" s="6" r="F35">
        <v>81</v>
      </c>
      <c t="s" s="6" r="G35">
        <v>419</v>
      </c>
      <c s="6" r="H35">
        <v>0</v>
      </c>
      <c t="s" s="6" r="I35">
        <v>120</v>
      </c>
      <c t="s" s="6" r="L35">
        <v>420</v>
      </c>
      <c t="s" s="6" r="M35">
        <v>122</v>
      </c>
      <c s="6" r="N35">
        <v>0</v>
      </c>
      <c s="6" r="O35">
        <v>0</v>
      </c>
      <c t="s" s="6" r="P35">
        <v>421</v>
      </c>
      <c t="s" s="6" r="Q35">
        <v>188</v>
      </c>
      <c t="s" s="6" r="R35">
        <v>422</v>
      </c>
      <c t="s" s="6" r="S35">
        <v>423</v>
      </c>
      <c t="s" s="6" r="T35">
        <v>90</v>
      </c>
      <c t="s" s="6" r="U35">
        <v>424</v>
      </c>
      <c s="6" r="V35">
        <v>1</v>
      </c>
      <c s="6" r="W35">
        <v>1</v>
      </c>
      <c s="6" r="X35">
        <v>1</v>
      </c>
      <c s="6" r="Y35">
        <v>0</v>
      </c>
      <c s="6" r="Z35">
        <v>1</v>
      </c>
      <c s="6" r="AA35">
        <v>2</v>
      </c>
      <c s="6" r="AB35">
        <v>2</v>
      </c>
      <c s="6" r="AC35">
        <v>2</v>
      </c>
      <c s="6" r="AD35">
        <v>2</v>
      </c>
      <c s="6" r="AE35">
        <v>2</v>
      </c>
      <c t="s" s="6" r="AF35">
        <v>92</v>
      </c>
      <c t="s" s="6" r="AG35">
        <v>92</v>
      </c>
      <c s="6" r="AH35">
        <v>2</v>
      </c>
      <c s="6" r="AI35">
        <v>2</v>
      </c>
      <c t="s" s="6" r="AJ35">
        <v>92</v>
      </c>
      <c t="s" s="6" r="AK35">
        <v>92</v>
      </c>
      <c s="6" r="AL35">
        <v>2</v>
      </c>
      <c t="s" s="6" r="AM35">
        <v>92</v>
      </c>
      <c s="6" r="AN35">
        <v>2</v>
      </c>
      <c s="6" r="AP35">
        <v>2</v>
      </c>
      <c t="s" s="6" r="AR35">
        <v>425</v>
      </c>
      <c s="6" r="AS35">
        <v>0</v>
      </c>
      <c s="6" r="AT35">
        <v>0</v>
      </c>
      <c s="6" r="AU35">
        <v>0</v>
      </c>
      <c s="6" r="AV35">
        <v>0</v>
      </c>
      <c s="6" r="AW35">
        <v>0</v>
      </c>
      <c s="6" r="AX35">
        <v>0</v>
      </c>
      <c s="6" r="AY35">
        <v>0</v>
      </c>
      <c s="6" r="AZ35">
        <v>0</v>
      </c>
      <c s="6" r="BA35">
        <v>0</v>
      </c>
      <c s="6" r="BB35">
        <v>0</v>
      </c>
      <c s="6" r="BC35">
        <v>0</v>
      </c>
      <c s="6" r="BD35">
        <v>0</v>
      </c>
      <c s="6" r="BE35">
        <v>0</v>
      </c>
      <c s="6" r="BF35">
        <v>0</v>
      </c>
      <c s="6" r="BG35">
        <v>0</v>
      </c>
      <c s="6" r="BH35">
        <v>0</v>
      </c>
      <c s="6" r="BI35">
        <v>0</v>
      </c>
      <c s="6" r="BJ35">
        <v>0</v>
      </c>
      <c s="6" r="BK35">
        <v>0</v>
      </c>
      <c s="6" r="BL35">
        <v>0</v>
      </c>
      <c s="6" r="BM35">
        <v>0</v>
      </c>
      <c s="6" r="BN35">
        <v>0</v>
      </c>
      <c s="6" r="BO35">
        <v>0</v>
      </c>
      <c s="6" r="BP35">
        <v>0</v>
      </c>
      <c s="6" r="BQ35">
        <v>0</v>
      </c>
      <c t="str" s="6" r="BR35">
        <f>HYPERLINK("http://www.d20pfsrd.com/magic/all-spells/b/bear-s-endurance","Bear's Endurance")</f>
        <v>Bear's Endurance</v>
      </c>
      <c s="6" r="BS35">
        <v>34</v>
      </c>
      <c t="s" s="6" r="BT35">
        <v>92</v>
      </c>
      <c t="s" s="6" r="BV35">
        <v>426</v>
      </c>
      <c s="6" r="BY35">
        <v>0</v>
      </c>
    </row>
    <row customHeight="1" r="36" ht="14.25">
      <c t="s" s="6" r="A36">
        <v>427</v>
      </c>
      <c t="s" s="6" r="B36">
        <v>131</v>
      </c>
      <c t="s" s="6" r="E36">
        <v>428</v>
      </c>
      <c t="s" s="6" r="F36">
        <v>81</v>
      </c>
      <c t="s" s="6" r="G36">
        <v>419</v>
      </c>
      <c s="6" r="H36">
        <v>0</v>
      </c>
      <c t="s" s="6" r="I36">
        <v>107</v>
      </c>
      <c t="s" s="6" r="L36">
        <v>429</v>
      </c>
      <c t="s" s="6" r="M36">
        <v>122</v>
      </c>
      <c s="6" r="N36">
        <v>0</v>
      </c>
      <c s="6" r="O36">
        <v>0</v>
      </c>
      <c t="s" s="6" r="P36">
        <v>421</v>
      </c>
      <c t="s" s="6" r="Q36">
        <v>188</v>
      </c>
      <c t="s" s="6" r="R36">
        <v>430</v>
      </c>
      <c t="s" s="6" r="S36">
        <v>431</v>
      </c>
      <c t="s" s="6" r="T36">
        <v>90</v>
      </c>
      <c t="s" s="6" r="U36">
        <v>432</v>
      </c>
      <c s="6" r="V36">
        <v>1</v>
      </c>
      <c s="6" r="W36">
        <v>1</v>
      </c>
      <c s="6" r="X36">
        <v>1</v>
      </c>
      <c s="6" r="Y36">
        <v>0</v>
      </c>
      <c s="6" r="Z36">
        <v>1</v>
      </c>
      <c s="6" r="AA36">
        <v>6</v>
      </c>
      <c s="6" r="AB36">
        <v>6</v>
      </c>
      <c s="6" r="AC36">
        <v>6</v>
      </c>
      <c s="6" r="AD36">
        <v>6</v>
      </c>
      <c t="s" s="6" r="AE36">
        <v>92</v>
      </c>
      <c t="s" s="6" r="AF36">
        <v>92</v>
      </c>
      <c t="s" s="6" r="AG36">
        <v>92</v>
      </c>
      <c t="s" s="6" r="AH36">
        <v>92</v>
      </c>
      <c s="6" r="AI36">
        <v>4</v>
      </c>
      <c t="s" s="6" r="AJ36">
        <v>92</v>
      </c>
      <c t="s" s="6" r="AK36">
        <v>92</v>
      </c>
      <c s="6" r="AL36">
        <v>6</v>
      </c>
      <c t="s" s="6" r="AM36">
        <v>92</v>
      </c>
      <c s="6" r="AN36">
        <v>6</v>
      </c>
      <c s="6" r="AP36">
        <v>6</v>
      </c>
      <c t="s" s="6" r="AR36">
        <v>433</v>
      </c>
      <c s="6" r="AS36">
        <v>0</v>
      </c>
      <c s="6" r="AT36">
        <v>0</v>
      </c>
      <c s="6" r="AU36">
        <v>0</v>
      </c>
      <c s="6" r="AV36">
        <v>0</v>
      </c>
      <c s="6" r="AW36">
        <v>0</v>
      </c>
      <c s="6" r="AX36">
        <v>0</v>
      </c>
      <c s="6" r="AY36">
        <v>0</v>
      </c>
      <c s="6" r="AZ36">
        <v>0</v>
      </c>
      <c s="6" r="BA36">
        <v>0</v>
      </c>
      <c s="6" r="BB36">
        <v>0</v>
      </c>
      <c s="6" r="BC36">
        <v>0</v>
      </c>
      <c s="6" r="BD36">
        <v>0</v>
      </c>
      <c s="6" r="BE36">
        <v>0</v>
      </c>
      <c s="6" r="BF36">
        <v>0</v>
      </c>
      <c s="6" r="BG36">
        <v>0</v>
      </c>
      <c s="6" r="BH36">
        <v>0</v>
      </c>
      <c s="6" r="BI36">
        <v>0</v>
      </c>
      <c s="6" r="BJ36">
        <v>0</v>
      </c>
      <c s="6" r="BK36">
        <v>0</v>
      </c>
      <c s="6" r="BL36">
        <v>0</v>
      </c>
      <c s="6" r="BM36">
        <v>0</v>
      </c>
      <c s="6" r="BN36">
        <v>0</v>
      </c>
      <c s="6" r="BO36">
        <v>0</v>
      </c>
      <c s="6" r="BP36">
        <v>0</v>
      </c>
      <c s="6" r="BQ36">
        <v>0</v>
      </c>
      <c t="str" s="6" r="BR36">
        <f>HYPERLINK("http://www.d20pfsrd.com/magic/all-spells/b/bear-s-endurance","Bear's Endurance, Mass")</f>
        <v>Bear's Endurance, Mass</v>
      </c>
      <c s="6" r="BS36">
        <v>35</v>
      </c>
      <c t="s" s="6" r="BT36">
        <v>92</v>
      </c>
      <c t="s" s="6" r="BV36">
        <v>434</v>
      </c>
      <c s="6" r="BY36">
        <v>0</v>
      </c>
    </row>
    <row customHeight="1" r="37" ht="14.25">
      <c t="s" s="6" r="A37">
        <v>435</v>
      </c>
      <c t="s" s="6" r="B37">
        <v>131</v>
      </c>
      <c t="s" s="6" r="C37">
        <v>152</v>
      </c>
      <c t="s" s="6" r="E37">
        <v>436</v>
      </c>
      <c t="s" s="6" r="F37">
        <v>81</v>
      </c>
      <c t="s" s="6" r="G37">
        <v>154</v>
      </c>
      <c s="6" r="H37">
        <v>0</v>
      </c>
      <c t="s" s="6" r="I37">
        <v>155</v>
      </c>
      <c t="s" s="6" r="L37">
        <v>156</v>
      </c>
      <c t="s" s="6" r="M37">
        <v>122</v>
      </c>
      <c s="6" r="N37">
        <v>1</v>
      </c>
      <c s="6" r="O37">
        <v>0</v>
      </c>
      <c t="s" s="6" r="R37">
        <v>437</v>
      </c>
      <c t="s" s="6" r="S37">
        <v>438</v>
      </c>
      <c t="s" s="6" r="T37">
        <v>90</v>
      </c>
      <c t="s" s="6" r="U37">
        <v>439</v>
      </c>
      <c s="6" r="V37">
        <v>1</v>
      </c>
      <c s="6" r="W37">
        <v>1</v>
      </c>
      <c s="6" r="X37">
        <v>1</v>
      </c>
      <c s="6" r="Y37">
        <v>0</v>
      </c>
      <c s="6" r="Z37">
        <v>0</v>
      </c>
      <c s="6" r="AA37">
        <v>3</v>
      </c>
      <c s="6" r="AB37">
        <v>3</v>
      </c>
      <c t="s" s="6" r="AC37">
        <v>92</v>
      </c>
      <c t="s" s="6" r="AD37">
        <v>92</v>
      </c>
      <c t="s" s="6" r="AE37">
        <v>92</v>
      </c>
      <c t="s" s="6" r="AF37">
        <v>92</v>
      </c>
      <c t="s" s="6" r="AG37">
        <v>92</v>
      </c>
      <c s="6" r="AH37">
        <v>3</v>
      </c>
      <c t="s" s="6" r="AI37">
        <v>92</v>
      </c>
      <c t="s" s="6" r="AJ37">
        <v>92</v>
      </c>
      <c t="s" s="6" r="AK37">
        <v>92</v>
      </c>
      <c t="s" s="6" r="AL37">
        <v>92</v>
      </c>
      <c t="s" s="6" r="AM37">
        <v>92</v>
      </c>
      <c s="6" r="AN37">
        <v>3</v>
      </c>
      <c s="6" r="AP37">
        <v>3</v>
      </c>
      <c t="s" s="6" r="AQ37">
        <v>440</v>
      </c>
      <c t="s" s="6" r="AR37">
        <v>441</v>
      </c>
      <c s="6" r="AS37">
        <v>0</v>
      </c>
      <c s="6" r="AT37">
        <v>0</v>
      </c>
      <c s="6" r="AU37">
        <v>0</v>
      </c>
      <c s="6" r="AV37">
        <v>0</v>
      </c>
      <c s="6" r="AW37">
        <v>0</v>
      </c>
      <c s="6" r="AX37">
        <v>0</v>
      </c>
      <c s="6" r="AY37">
        <v>0</v>
      </c>
      <c s="6" r="AZ37">
        <v>0</v>
      </c>
      <c s="6" r="BA37">
        <v>0</v>
      </c>
      <c s="6" r="BB37">
        <v>0</v>
      </c>
      <c s="6" r="BC37">
        <v>0</v>
      </c>
      <c s="6" r="BD37">
        <v>0</v>
      </c>
      <c s="6" r="BE37">
        <v>0</v>
      </c>
      <c s="6" r="BF37">
        <v>0</v>
      </c>
      <c s="6" r="BG37">
        <v>0</v>
      </c>
      <c s="6" r="BH37">
        <v>0</v>
      </c>
      <c s="6" r="BI37">
        <v>0</v>
      </c>
      <c s="6" r="BJ37">
        <v>0</v>
      </c>
      <c s="6" r="BK37">
        <v>0</v>
      </c>
      <c s="6" r="BL37">
        <v>0</v>
      </c>
      <c s="6" r="BM37">
        <v>0</v>
      </c>
      <c s="6" r="BN37">
        <v>0</v>
      </c>
      <c s="6" r="BO37">
        <v>0</v>
      </c>
      <c s="6" r="BP37">
        <v>0</v>
      </c>
      <c s="6" r="BQ37">
        <v>0</v>
      </c>
      <c t="str" s="6" r="BR37">
        <f>HYPERLINK("http://www.d20pfsrd.com/magic/all-spells/b/beast-shape-i#TOC-Beast-Shape-I","Beast Shape I")</f>
        <v>Beast Shape I</v>
      </c>
      <c s="6" r="BS37">
        <v>36</v>
      </c>
      <c t="s" s="6" r="BT37">
        <v>92</v>
      </c>
      <c t="s" s="6" r="BV37">
        <v>442</v>
      </c>
      <c s="6" r="BY37">
        <v>0</v>
      </c>
    </row>
    <row customHeight="1" r="38" ht="14.25">
      <c t="s" s="6" r="A38">
        <v>443</v>
      </c>
      <c t="s" s="6" r="B38">
        <v>131</v>
      </c>
      <c t="s" s="6" r="C38">
        <v>152</v>
      </c>
      <c t="s" s="6" r="E38">
        <v>444</v>
      </c>
      <c t="s" s="6" r="F38">
        <v>81</v>
      </c>
      <c t="s" s="6" r="G38">
        <v>154</v>
      </c>
      <c s="6" r="H38">
        <v>0</v>
      </c>
      <c t="s" s="6" r="I38">
        <v>155</v>
      </c>
      <c t="s" s="6" r="L38">
        <v>156</v>
      </c>
      <c t="s" s="6" r="M38">
        <v>122</v>
      </c>
      <c s="6" r="N38">
        <v>1</v>
      </c>
      <c s="6" r="O38">
        <v>0</v>
      </c>
      <c t="s" s="6" r="R38">
        <v>445</v>
      </c>
      <c t="s" s="6" r="S38">
        <v>446</v>
      </c>
      <c t="s" s="6" r="T38">
        <v>90</v>
      </c>
      <c t="s" s="6" r="U38">
        <v>447</v>
      </c>
      <c s="6" r="V38">
        <v>1</v>
      </c>
      <c s="6" r="W38">
        <v>1</v>
      </c>
      <c s="6" r="X38">
        <v>1</v>
      </c>
      <c s="6" r="Y38">
        <v>0</v>
      </c>
      <c s="6" r="Z38">
        <v>0</v>
      </c>
      <c s="6" r="AA38">
        <v>4</v>
      </c>
      <c s="6" r="AB38">
        <v>4</v>
      </c>
      <c t="s" s="6" r="AC38">
        <v>92</v>
      </c>
      <c t="s" s="6" r="AD38">
        <v>92</v>
      </c>
      <c t="s" s="6" r="AE38">
        <v>92</v>
      </c>
      <c t="s" s="6" r="AF38">
        <v>92</v>
      </c>
      <c t="s" s="6" r="AG38">
        <v>92</v>
      </c>
      <c s="6" r="AH38">
        <v>4</v>
      </c>
      <c t="s" s="6" r="AI38">
        <v>92</v>
      </c>
      <c t="s" s="6" r="AJ38">
        <v>92</v>
      </c>
      <c t="s" s="6" r="AK38">
        <v>92</v>
      </c>
      <c t="s" s="6" r="AL38">
        <v>92</v>
      </c>
      <c t="s" s="6" r="AM38">
        <v>92</v>
      </c>
      <c s="6" r="AN38">
        <v>4</v>
      </c>
      <c s="6" r="AP38">
        <v>4</v>
      </c>
      <c t="s" s="6" r="AR38">
        <v>448</v>
      </c>
      <c s="6" r="AS38">
        <v>0</v>
      </c>
      <c s="6" r="AT38">
        <v>0</v>
      </c>
      <c s="6" r="AU38">
        <v>0</v>
      </c>
      <c s="6" r="AV38">
        <v>0</v>
      </c>
      <c s="6" r="AW38">
        <v>0</v>
      </c>
      <c s="6" r="AX38">
        <v>0</v>
      </c>
      <c s="6" r="AY38">
        <v>0</v>
      </c>
      <c s="6" r="AZ38">
        <v>0</v>
      </c>
      <c s="6" r="BA38">
        <v>0</v>
      </c>
      <c s="6" r="BB38">
        <v>0</v>
      </c>
      <c s="6" r="BC38">
        <v>0</v>
      </c>
      <c s="6" r="BD38">
        <v>0</v>
      </c>
      <c s="6" r="BE38">
        <v>0</v>
      </c>
      <c s="6" r="BF38">
        <v>0</v>
      </c>
      <c s="6" r="BG38">
        <v>0</v>
      </c>
      <c s="6" r="BH38">
        <v>0</v>
      </c>
      <c s="6" r="BI38">
        <v>0</v>
      </c>
      <c s="6" r="BJ38">
        <v>0</v>
      </c>
      <c s="6" r="BK38">
        <v>0</v>
      </c>
      <c s="6" r="BL38">
        <v>0</v>
      </c>
      <c s="6" r="BM38">
        <v>0</v>
      </c>
      <c s="6" r="BN38">
        <v>0</v>
      </c>
      <c s="6" r="BO38">
        <v>0</v>
      </c>
      <c s="6" r="BP38">
        <v>0</v>
      </c>
      <c s="6" r="BQ38">
        <v>0</v>
      </c>
      <c t="str" s="6" r="BR38">
        <f>HYPERLINK("http://www.d20pfsrd.com/magic/all-spells/b/beast-shape-i#TOC-Beast-Shape-II","Beast Shape II")</f>
        <v>Beast Shape II</v>
      </c>
      <c s="6" r="BS38">
        <v>37</v>
      </c>
      <c t="s" s="6" r="BT38">
        <v>92</v>
      </c>
      <c t="s" s="6" r="BV38">
        <v>442</v>
      </c>
      <c s="6" r="BY38">
        <v>0</v>
      </c>
    </row>
    <row customHeight="1" r="39" ht="14.25">
      <c t="s" s="6" r="A39">
        <v>449</v>
      </c>
      <c t="s" s="6" r="B39">
        <v>131</v>
      </c>
      <c t="s" s="6" r="C39">
        <v>152</v>
      </c>
      <c t="s" s="6" r="E39">
        <v>450</v>
      </c>
      <c t="s" s="6" r="F39">
        <v>81</v>
      </c>
      <c t="s" s="6" r="G39">
        <v>154</v>
      </c>
      <c s="6" r="H39">
        <v>0</v>
      </c>
      <c t="s" s="6" r="I39">
        <v>155</v>
      </c>
      <c t="s" s="6" r="L39">
        <v>156</v>
      </c>
      <c t="s" s="6" r="M39">
        <v>122</v>
      </c>
      <c s="6" r="N39">
        <v>1</v>
      </c>
      <c s="6" r="O39">
        <v>0</v>
      </c>
      <c t="s" s="6" r="R39">
        <v>451</v>
      </c>
      <c t="s" s="6" r="S39">
        <v>452</v>
      </c>
      <c t="s" s="6" r="T39">
        <v>90</v>
      </c>
      <c t="s" s="6" r="U39">
        <v>453</v>
      </c>
      <c s="6" r="V39">
        <v>1</v>
      </c>
      <c s="6" r="W39">
        <v>1</v>
      </c>
      <c s="6" r="X39">
        <v>1</v>
      </c>
      <c s="6" r="Y39">
        <v>0</v>
      </c>
      <c s="6" r="Z39">
        <v>0</v>
      </c>
      <c s="6" r="AA39">
        <v>5</v>
      </c>
      <c s="6" r="AB39">
        <v>5</v>
      </c>
      <c t="s" s="6" r="AC39">
        <v>92</v>
      </c>
      <c t="s" s="6" r="AD39">
        <v>92</v>
      </c>
      <c t="s" s="6" r="AE39">
        <v>92</v>
      </c>
      <c t="s" s="6" r="AF39">
        <v>92</v>
      </c>
      <c t="s" s="6" r="AG39">
        <v>92</v>
      </c>
      <c s="6" r="AH39">
        <v>5</v>
      </c>
      <c t="s" s="6" r="AI39">
        <v>92</v>
      </c>
      <c t="s" s="6" r="AJ39">
        <v>92</v>
      </c>
      <c t="s" s="6" r="AK39">
        <v>92</v>
      </c>
      <c t="s" s="6" r="AL39">
        <v>92</v>
      </c>
      <c t="s" s="6" r="AM39">
        <v>92</v>
      </c>
      <c s="6" r="AN39">
        <v>5</v>
      </c>
      <c s="6" r="AP39">
        <v>5</v>
      </c>
      <c t="s" s="6" r="AQ39">
        <v>454</v>
      </c>
      <c t="s" s="6" r="AR39">
        <v>455</v>
      </c>
      <c s="6" r="AS39">
        <v>0</v>
      </c>
      <c s="6" r="AT39">
        <v>0</v>
      </c>
      <c s="6" r="AU39">
        <v>0</v>
      </c>
      <c s="6" r="AV39">
        <v>0</v>
      </c>
      <c s="6" r="AW39">
        <v>0</v>
      </c>
      <c s="6" r="AX39">
        <v>0</v>
      </c>
      <c s="6" r="AY39">
        <v>0</v>
      </c>
      <c s="6" r="AZ39">
        <v>0</v>
      </c>
      <c s="6" r="BA39">
        <v>0</v>
      </c>
      <c s="6" r="BB39">
        <v>0</v>
      </c>
      <c s="6" r="BC39">
        <v>0</v>
      </c>
      <c s="6" r="BD39">
        <v>0</v>
      </c>
      <c s="6" r="BE39">
        <v>0</v>
      </c>
      <c s="6" r="BF39">
        <v>0</v>
      </c>
      <c s="6" r="BG39">
        <v>0</v>
      </c>
      <c s="6" r="BH39">
        <v>0</v>
      </c>
      <c s="6" r="BI39">
        <v>0</v>
      </c>
      <c s="6" r="BJ39">
        <v>0</v>
      </c>
      <c s="6" r="BK39">
        <v>0</v>
      </c>
      <c s="6" r="BL39">
        <v>0</v>
      </c>
      <c s="6" r="BM39">
        <v>0</v>
      </c>
      <c s="6" r="BN39">
        <v>0</v>
      </c>
      <c s="6" r="BO39">
        <v>0</v>
      </c>
      <c s="6" r="BP39">
        <v>0</v>
      </c>
      <c s="6" r="BQ39">
        <v>0</v>
      </c>
      <c t="str" s="6" r="BR39">
        <f>HYPERLINK("http://www.d20pfsrd.com/magic/all-spells/b/beast-shape-i#TOC-Beast-Shape-III","Beast Shape III")</f>
        <v>Beast Shape III</v>
      </c>
      <c s="6" r="BS39">
        <v>38</v>
      </c>
      <c t="s" s="6" r="BT39">
        <v>92</v>
      </c>
      <c t="s" s="6" r="BV39">
        <v>442</v>
      </c>
      <c s="6" r="BY39">
        <v>0</v>
      </c>
    </row>
    <row customHeight="1" r="40" ht="14.25">
      <c t="s" s="6" r="A40">
        <v>456</v>
      </c>
      <c t="s" s="6" r="B40">
        <v>131</v>
      </c>
      <c t="s" s="6" r="C40">
        <v>152</v>
      </c>
      <c t="s" s="6" r="E40">
        <v>457</v>
      </c>
      <c t="s" s="6" r="F40">
        <v>81</v>
      </c>
      <c t="s" s="6" r="G40">
        <v>154</v>
      </c>
      <c s="6" r="H40">
        <v>0</v>
      </c>
      <c t="s" s="6" r="I40">
        <v>155</v>
      </c>
      <c t="s" s="6" r="L40">
        <v>156</v>
      </c>
      <c t="s" s="6" r="M40">
        <v>122</v>
      </c>
      <c s="6" r="N40">
        <v>1</v>
      </c>
      <c s="6" r="O40">
        <v>0</v>
      </c>
      <c t="s" s="6" r="R40">
        <v>458</v>
      </c>
      <c t="s" s="6" r="S40">
        <v>459</v>
      </c>
      <c t="s" s="6" r="T40">
        <v>90</v>
      </c>
      <c t="s" s="6" r="U40">
        <v>460</v>
      </c>
      <c s="6" r="V40">
        <v>1</v>
      </c>
      <c s="6" r="W40">
        <v>1</v>
      </c>
      <c s="6" r="X40">
        <v>1</v>
      </c>
      <c s="6" r="Y40">
        <v>0</v>
      </c>
      <c s="6" r="Z40">
        <v>0</v>
      </c>
      <c s="6" r="AA40">
        <v>6</v>
      </c>
      <c s="6" r="AB40">
        <v>6</v>
      </c>
      <c t="s" s="6" r="AC40">
        <v>92</v>
      </c>
      <c t="s" s="6" r="AD40">
        <v>92</v>
      </c>
      <c t="s" s="6" r="AE40">
        <v>92</v>
      </c>
      <c t="s" s="6" r="AF40">
        <v>92</v>
      </c>
      <c t="s" s="6" r="AG40">
        <v>92</v>
      </c>
      <c s="6" r="AH40">
        <v>6</v>
      </c>
      <c t="s" s="6" r="AI40">
        <v>92</v>
      </c>
      <c t="s" s="6" r="AJ40">
        <v>92</v>
      </c>
      <c t="s" s="6" r="AK40">
        <v>92</v>
      </c>
      <c t="s" s="6" r="AL40">
        <v>92</v>
      </c>
      <c t="s" s="6" r="AM40">
        <v>92</v>
      </c>
      <c s="6" r="AN40">
        <v>6</v>
      </c>
      <c s="6" r="AP40">
        <v>6</v>
      </c>
      <c t="s" s="6" r="AR40">
        <v>461</v>
      </c>
      <c s="6" r="AS40">
        <v>0</v>
      </c>
      <c s="6" r="AT40">
        <v>0</v>
      </c>
      <c s="6" r="AU40">
        <v>0</v>
      </c>
      <c s="6" r="AV40">
        <v>0</v>
      </c>
      <c s="6" r="AW40">
        <v>0</v>
      </c>
      <c s="6" r="AX40">
        <v>0</v>
      </c>
      <c s="6" r="AY40">
        <v>0</v>
      </c>
      <c s="6" r="AZ40">
        <v>0</v>
      </c>
      <c s="6" r="BA40">
        <v>0</v>
      </c>
      <c s="6" r="BB40">
        <v>0</v>
      </c>
      <c s="6" r="BC40">
        <v>0</v>
      </c>
      <c s="6" r="BD40">
        <v>0</v>
      </c>
      <c s="6" r="BE40">
        <v>0</v>
      </c>
      <c s="6" r="BF40">
        <v>0</v>
      </c>
      <c s="6" r="BG40">
        <v>0</v>
      </c>
      <c s="6" r="BH40">
        <v>0</v>
      </c>
      <c s="6" r="BI40">
        <v>0</v>
      </c>
      <c s="6" r="BJ40">
        <v>0</v>
      </c>
      <c s="6" r="BK40">
        <v>0</v>
      </c>
      <c s="6" r="BL40">
        <v>0</v>
      </c>
      <c s="6" r="BM40">
        <v>0</v>
      </c>
      <c s="6" r="BN40">
        <v>0</v>
      </c>
      <c s="6" r="BO40">
        <v>0</v>
      </c>
      <c s="6" r="BP40">
        <v>0</v>
      </c>
      <c s="6" r="BQ40">
        <v>0</v>
      </c>
      <c t="str" s="6" r="BR40">
        <f>HYPERLINK("http://www.d20pfsrd.com/magic/all-spells/b/beast-shape-i#TOC-Beast-Shape-IV","Beast Shape IV")</f>
        <v>Beast Shape IV</v>
      </c>
      <c s="6" r="BS40">
        <v>39</v>
      </c>
      <c t="s" s="6" r="BT40">
        <v>92</v>
      </c>
      <c t="s" s="6" r="BU40">
        <v>462</v>
      </c>
      <c t="s" s="6" r="BV40">
        <v>194</v>
      </c>
      <c s="6" r="BY40">
        <v>0</v>
      </c>
    </row>
    <row customHeight="1" r="41" ht="14.25">
      <c t="s" s="6" r="A41">
        <v>463</v>
      </c>
      <c t="s" s="6" r="B41">
        <v>227</v>
      </c>
      <c t="s" s="6" r="D41">
        <v>48</v>
      </c>
      <c t="s" s="6" r="E41">
        <v>464</v>
      </c>
      <c t="s" s="6" r="F41">
        <v>81</v>
      </c>
      <c t="s" s="6" r="G41">
        <v>106</v>
      </c>
      <c s="6" r="H41">
        <v>0</v>
      </c>
      <c t="s" s="6" r="I41">
        <v>120</v>
      </c>
      <c t="s" s="6" r="L41">
        <v>420</v>
      </c>
      <c t="s" s="6" r="M41">
        <v>323</v>
      </c>
      <c s="6" r="N41">
        <v>0</v>
      </c>
      <c s="6" r="O41">
        <v>0</v>
      </c>
      <c t="s" s="6" r="P41">
        <v>221</v>
      </c>
      <c t="s" s="6" r="Q41">
        <v>188</v>
      </c>
      <c t="s" s="6" r="R41">
        <v>465</v>
      </c>
      <c t="s" s="6" r="S41">
        <v>466</v>
      </c>
      <c t="s" s="6" r="T41">
        <v>90</v>
      </c>
      <c t="s" s="6" r="U41">
        <v>467</v>
      </c>
      <c s="6" r="V41">
        <v>1</v>
      </c>
      <c s="6" r="W41">
        <v>1</v>
      </c>
      <c s="6" r="X41">
        <v>0</v>
      </c>
      <c s="6" r="Y41">
        <v>0</v>
      </c>
      <c s="6" r="Z41">
        <v>0</v>
      </c>
      <c s="6" r="AA41">
        <v>4</v>
      </c>
      <c s="6" r="AB41">
        <v>4</v>
      </c>
      <c s="6" r="AC41">
        <v>3</v>
      </c>
      <c t="s" s="6" r="AD41">
        <v>92</v>
      </c>
      <c t="s" s="6" r="AE41">
        <v>92</v>
      </c>
      <c t="s" s="6" r="AF41">
        <v>92</v>
      </c>
      <c t="s" s="6" r="AG41">
        <v>92</v>
      </c>
      <c t="s" s="6" r="AH41">
        <v>92</v>
      </c>
      <c t="s" s="6" r="AI41">
        <v>92</v>
      </c>
      <c s="6" r="AJ41">
        <v>3</v>
      </c>
      <c t="s" s="6" r="AK41">
        <v>92</v>
      </c>
      <c s="6" r="AL41">
        <v>3</v>
      </c>
      <c s="6" r="AM41">
        <v>3</v>
      </c>
      <c t="s" s="6" r="AN41">
        <v>92</v>
      </c>
      <c s="6" r="AP41">
        <v>4</v>
      </c>
      <c t="s" s="6" r="AQ41">
        <v>394</v>
      </c>
      <c t="s" s="6" r="AR41">
        <v>468</v>
      </c>
      <c s="6" r="AS41">
        <v>0</v>
      </c>
      <c s="6" r="AT41">
        <v>0</v>
      </c>
      <c s="6" r="AU41">
        <v>0</v>
      </c>
      <c s="6" r="AV41">
        <v>0</v>
      </c>
      <c s="6" r="AW41">
        <v>1</v>
      </c>
      <c s="6" r="AX41">
        <v>0</v>
      </c>
      <c s="6" r="AY41">
        <v>0</v>
      </c>
      <c s="6" r="AZ41">
        <v>0</v>
      </c>
      <c s="6" r="BA41">
        <v>0</v>
      </c>
      <c s="6" r="BB41">
        <v>0</v>
      </c>
      <c s="6" r="BC41">
        <v>0</v>
      </c>
      <c s="6" r="BD41">
        <v>0</v>
      </c>
      <c s="6" r="BE41">
        <v>0</v>
      </c>
      <c s="6" r="BF41">
        <v>0</v>
      </c>
      <c s="6" r="BG41">
        <v>0</v>
      </c>
      <c s="6" r="BH41">
        <v>0</v>
      </c>
      <c s="6" r="BI41">
        <v>0</v>
      </c>
      <c s="6" r="BJ41">
        <v>0</v>
      </c>
      <c s="6" r="BK41">
        <v>0</v>
      </c>
      <c s="6" r="BL41">
        <v>0</v>
      </c>
      <c s="6" r="BM41">
        <v>0</v>
      </c>
      <c s="6" r="BN41">
        <v>0</v>
      </c>
      <c s="6" r="BO41">
        <v>0</v>
      </c>
      <c s="6" r="BP41">
        <v>0</v>
      </c>
      <c s="6" r="BQ41">
        <v>0</v>
      </c>
      <c t="str" s="6" r="BR41">
        <f>HYPERLINK("http://www.d20pfsrd.com/magic/all-spells/b/bestow-curse","Bestow Curse")</f>
        <v>Bestow Curse</v>
      </c>
      <c s="6" r="BS41">
        <v>40</v>
      </c>
      <c t="s" s="6" r="BT41">
        <v>92</v>
      </c>
      <c t="s" s="6" r="BU41">
        <v>469</v>
      </c>
      <c s="6" r="BY41">
        <v>0</v>
      </c>
    </row>
    <row customHeight="1" r="42" ht="14.25">
      <c t="s" s="6" r="A42">
        <v>470</v>
      </c>
      <c t="s" s="6" r="B42">
        <v>115</v>
      </c>
      <c t="s" s="6" r="C42">
        <v>116</v>
      </c>
      <c t="s" s="6" r="D42">
        <v>117</v>
      </c>
      <c t="s" s="6" r="E42">
        <v>471</v>
      </c>
      <c t="s" s="6" r="F42">
        <v>197</v>
      </c>
      <c t="s" s="6" r="G42">
        <v>472</v>
      </c>
      <c s="6" r="H42">
        <v>1</v>
      </c>
      <c t="s" s="6" r="I42">
        <v>107</v>
      </c>
      <c t="s" s="6" r="L42">
        <v>473</v>
      </c>
      <c t="s" s="6" r="M42">
        <v>141</v>
      </c>
      <c s="6" r="N42">
        <v>1</v>
      </c>
      <c s="6" r="O42">
        <v>0</v>
      </c>
      <c t="s" s="6" r="P42">
        <v>474</v>
      </c>
      <c t="s" s="6" r="Q42">
        <v>188</v>
      </c>
      <c t="s" s="6" r="R42">
        <v>475</v>
      </c>
      <c t="s" s="6" r="S42">
        <v>476</v>
      </c>
      <c t="s" s="6" r="T42">
        <v>90</v>
      </c>
      <c t="s" s="6" r="U42">
        <v>477</v>
      </c>
      <c s="6" r="V42">
        <v>1</v>
      </c>
      <c s="6" r="W42">
        <v>1</v>
      </c>
      <c s="6" r="X42">
        <v>1</v>
      </c>
      <c s="6" r="Y42">
        <v>0</v>
      </c>
      <c s="6" r="Z42">
        <v>0</v>
      </c>
      <c s="6" r="AA42">
        <v>8</v>
      </c>
      <c s="6" r="AB42">
        <v>8</v>
      </c>
      <c t="s" s="6" r="AC42">
        <v>92</v>
      </c>
      <c t="s" s="6" r="AD42">
        <v>92</v>
      </c>
      <c t="s" s="6" r="AE42">
        <v>92</v>
      </c>
      <c t="s" s="6" r="AF42">
        <v>92</v>
      </c>
      <c t="s" s="6" r="AG42">
        <v>92</v>
      </c>
      <c t="s" s="6" r="AH42">
        <v>92</v>
      </c>
      <c s="6" r="AI42">
        <v>6</v>
      </c>
      <c t="s" s="6" r="AJ42">
        <v>92</v>
      </c>
      <c t="s" s="6" r="AK42">
        <v>92</v>
      </c>
      <c t="s" s="6" r="AL42">
        <v>92</v>
      </c>
      <c t="s" s="6" r="AM42">
        <v>92</v>
      </c>
      <c t="s" s="6" r="AN42">
        <v>92</v>
      </c>
      <c s="6" r="AP42">
        <v>8</v>
      </c>
      <c t="s" s="6" r="AR42">
        <v>478</v>
      </c>
      <c s="6" r="AS42">
        <v>0</v>
      </c>
      <c s="6" r="AT42">
        <v>0</v>
      </c>
      <c s="6" r="AU42">
        <v>0</v>
      </c>
      <c s="6" r="AV42">
        <v>0</v>
      </c>
      <c s="6" r="AW42">
        <v>0</v>
      </c>
      <c s="6" r="AX42">
        <v>0</v>
      </c>
      <c s="6" r="AY42">
        <v>0</v>
      </c>
      <c s="6" r="AZ42">
        <v>0</v>
      </c>
      <c s="6" r="BA42">
        <v>0</v>
      </c>
      <c s="6" r="BB42">
        <v>0</v>
      </c>
      <c s="6" r="BC42">
        <v>0</v>
      </c>
      <c s="6" r="BD42">
        <v>0</v>
      </c>
      <c s="6" r="BE42">
        <v>0</v>
      </c>
      <c s="6" r="BF42">
        <v>0</v>
      </c>
      <c s="6" r="BG42">
        <v>0</v>
      </c>
      <c s="6" r="BH42">
        <v>0</v>
      </c>
      <c s="6" r="BI42">
        <v>0</v>
      </c>
      <c s="6" r="BJ42">
        <v>0</v>
      </c>
      <c s="6" r="BK42">
        <v>0</v>
      </c>
      <c s="6" r="BL42">
        <v>1</v>
      </c>
      <c s="6" r="BM42">
        <v>0</v>
      </c>
      <c s="6" r="BN42">
        <v>0</v>
      </c>
      <c s="6" r="BO42">
        <v>0</v>
      </c>
      <c s="6" r="BP42">
        <v>0</v>
      </c>
      <c s="6" r="BQ42">
        <v>0</v>
      </c>
      <c t="str" s="6" r="BR42">
        <f>HYPERLINK("http://www.d20pfsrd.com/magic/all-spells/b/binding","Binding")</f>
        <v>Binding</v>
      </c>
      <c s="6" r="BS42">
        <v>41</v>
      </c>
      <c s="6" r="BT42">
        <v>500</v>
      </c>
      <c s="6" r="BY42">
        <v>0</v>
      </c>
    </row>
    <row customHeight="1" r="43" ht="14.25">
      <c t="s" s="6" r="A43">
        <v>479</v>
      </c>
      <c t="s" s="6" r="B43">
        <v>78</v>
      </c>
      <c t="s" s="6" r="C43">
        <v>79</v>
      </c>
      <c t="s" s="6" r="E43">
        <v>480</v>
      </c>
      <c t="s" s="6" r="F43">
        <v>81</v>
      </c>
      <c t="s" s="6" r="G43">
        <v>481</v>
      </c>
      <c s="6" r="H43">
        <v>0</v>
      </c>
      <c t="s" s="6" r="I43">
        <v>97</v>
      </c>
      <c t="s" s="6" r="J43">
        <v>482</v>
      </c>
      <c t="s" s="6" r="M43">
        <v>483</v>
      </c>
      <c s="6" r="N43">
        <v>1</v>
      </c>
      <c s="6" r="O43">
        <v>0</v>
      </c>
      <c t="s" s="6" r="P43">
        <v>86</v>
      </c>
      <c t="s" s="6" r="Q43">
        <v>87</v>
      </c>
      <c t="s" s="6" r="R43">
        <v>484</v>
      </c>
      <c t="s" s="6" r="S43">
        <v>485</v>
      </c>
      <c t="s" s="6" r="T43">
        <v>90</v>
      </c>
      <c t="s" s="6" r="U43">
        <v>486</v>
      </c>
      <c s="6" r="V43">
        <v>1</v>
      </c>
      <c s="6" r="W43">
        <v>1</v>
      </c>
      <c s="6" r="X43">
        <v>1</v>
      </c>
      <c s="6" r="Y43">
        <v>0</v>
      </c>
      <c s="6" r="Z43">
        <v>0</v>
      </c>
      <c s="6" r="AA43">
        <v>4</v>
      </c>
      <c s="6" r="AB43">
        <v>4</v>
      </c>
      <c t="s" s="6" r="AC43">
        <v>92</v>
      </c>
      <c t="s" s="6" r="AD43">
        <v>92</v>
      </c>
      <c t="s" s="6" r="AE43">
        <v>92</v>
      </c>
      <c t="s" s="6" r="AF43">
        <v>92</v>
      </c>
      <c t="s" s="6" r="AG43">
        <v>92</v>
      </c>
      <c t="s" s="6" r="AH43">
        <v>92</v>
      </c>
      <c s="6" r="AI43">
        <v>3</v>
      </c>
      <c s="6" r="AJ43">
        <v>4</v>
      </c>
      <c t="s" s="6" r="AK43">
        <v>92</v>
      </c>
      <c t="s" s="6" r="AL43">
        <v>92</v>
      </c>
      <c t="s" s="6" r="AM43">
        <v>92</v>
      </c>
      <c s="6" r="AN43">
        <v>4</v>
      </c>
      <c s="6" r="AP43">
        <v>4</v>
      </c>
      <c t="s" s="6" r="AR43">
        <v>487</v>
      </c>
      <c s="6" r="AS43">
        <v>0</v>
      </c>
      <c s="6" r="AT43">
        <v>0</v>
      </c>
      <c s="6" r="AU43">
        <v>0</v>
      </c>
      <c s="6" r="AV43">
        <v>0</v>
      </c>
      <c s="6" r="AW43">
        <v>0</v>
      </c>
      <c s="6" r="AX43">
        <v>0</v>
      </c>
      <c s="6" r="AY43">
        <v>0</v>
      </c>
      <c s="6" r="AZ43">
        <v>0</v>
      </c>
      <c s="6" r="BA43">
        <v>0</v>
      </c>
      <c s="6" r="BB43">
        <v>0</v>
      </c>
      <c s="6" r="BC43">
        <v>0</v>
      </c>
      <c s="6" r="BD43">
        <v>0</v>
      </c>
      <c s="6" r="BE43">
        <v>0</v>
      </c>
      <c s="6" r="BF43">
        <v>0</v>
      </c>
      <c s="6" r="BG43">
        <v>0</v>
      </c>
      <c s="6" r="BH43">
        <v>0</v>
      </c>
      <c s="6" r="BI43">
        <v>0</v>
      </c>
      <c s="6" r="BJ43">
        <v>0</v>
      </c>
      <c s="6" r="BK43">
        <v>0</v>
      </c>
      <c s="6" r="BL43">
        <v>0</v>
      </c>
      <c s="6" r="BM43">
        <v>0</v>
      </c>
      <c s="6" r="BN43">
        <v>0</v>
      </c>
      <c s="6" r="BO43">
        <v>0</v>
      </c>
      <c s="6" r="BP43">
        <v>0</v>
      </c>
      <c s="6" r="BQ43">
        <v>0</v>
      </c>
      <c t="str" s="6" r="BR43">
        <f>HYPERLINK("http://www.d20pfsrd.com/magic/all-spells/b/black-tentacles","Black Tentacles")</f>
        <v>Black Tentacles</v>
      </c>
      <c s="6" r="BS43">
        <v>42</v>
      </c>
      <c t="s" s="6" r="BT43">
        <v>92</v>
      </c>
      <c t="s" s="6" r="BU43">
        <v>488</v>
      </c>
      <c t="s" s="6" r="BV43">
        <v>489</v>
      </c>
      <c t="s" s="6" r="BW43">
        <v>490</v>
      </c>
      <c t="s" s="6" r="BX43">
        <v>491</v>
      </c>
      <c s="6" r="BY43">
        <v>1</v>
      </c>
    </row>
    <row customHeight="1" r="44" ht="14.25">
      <c t="s" s="6" r="A44">
        <v>492</v>
      </c>
      <c t="s" s="6" r="B44">
        <v>493</v>
      </c>
      <c t="s" s="6" r="D44">
        <v>58</v>
      </c>
      <c t="s" s="6" r="E44">
        <v>494</v>
      </c>
      <c t="s" s="6" r="F44">
        <v>81</v>
      </c>
      <c t="s" s="6" r="G44">
        <v>106</v>
      </c>
      <c s="6" r="H44">
        <v>0</v>
      </c>
      <c t="s" s="6" r="I44">
        <v>97</v>
      </c>
      <c t="s" s="6" r="K44">
        <v>495</v>
      </c>
      <c t="s" s="6" r="M44">
        <v>496</v>
      </c>
      <c s="6" r="N44">
        <v>1</v>
      </c>
      <c s="6" r="O44">
        <v>0</v>
      </c>
      <c t="s" s="6" r="P44">
        <v>497</v>
      </c>
      <c t="s" s="6" r="Q44">
        <v>188</v>
      </c>
      <c t="s" s="6" r="R44">
        <v>498</v>
      </c>
      <c t="s" s="6" r="S44">
        <v>499</v>
      </c>
      <c t="s" s="6" r="T44">
        <v>90</v>
      </c>
      <c t="s" s="6" r="U44">
        <v>500</v>
      </c>
      <c s="6" r="V44">
        <v>1</v>
      </c>
      <c s="6" r="W44">
        <v>1</v>
      </c>
      <c s="6" r="X44">
        <v>0</v>
      </c>
      <c s="6" r="Y44">
        <v>0</v>
      </c>
      <c s="6" r="Z44">
        <v>0</v>
      </c>
      <c t="s" s="6" r="AA44">
        <v>92</v>
      </c>
      <c t="s" s="6" r="AB44">
        <v>92</v>
      </c>
      <c s="6" r="AC44">
        <v>6</v>
      </c>
      <c t="s" s="6" r="AD44">
        <v>92</v>
      </c>
      <c t="s" s="6" r="AE44">
        <v>92</v>
      </c>
      <c t="s" s="6" r="AF44">
        <v>92</v>
      </c>
      <c t="s" s="6" r="AG44">
        <v>92</v>
      </c>
      <c t="s" s="6" r="AH44">
        <v>92</v>
      </c>
      <c t="s" s="6" r="AI44">
        <v>92</v>
      </c>
      <c t="s" s="6" r="AJ44">
        <v>92</v>
      </c>
      <c s="6" r="AK44">
        <v>6</v>
      </c>
      <c s="6" r="AL44">
        <v>6</v>
      </c>
      <c t="s" s="6" r="AM44">
        <v>92</v>
      </c>
      <c t="s" s="6" r="AN44">
        <v>92</v>
      </c>
      <c s="6" r="AP44">
        <v>6</v>
      </c>
      <c t="s" s="6" r="AQ44">
        <v>501</v>
      </c>
      <c t="s" s="6" r="AR44">
        <v>502</v>
      </c>
      <c s="6" r="AS44">
        <v>0</v>
      </c>
      <c s="6" r="AT44">
        <v>0</v>
      </c>
      <c s="6" r="AU44">
        <v>0</v>
      </c>
      <c s="6" r="AV44">
        <v>0</v>
      </c>
      <c s="6" r="AW44">
        <v>0</v>
      </c>
      <c s="6" r="AX44">
        <v>0</v>
      </c>
      <c s="6" r="AY44">
        <v>0</v>
      </c>
      <c s="6" r="AZ44">
        <v>0</v>
      </c>
      <c s="6" r="BA44">
        <v>0</v>
      </c>
      <c s="6" r="BB44">
        <v>0</v>
      </c>
      <c s="6" r="BC44">
        <v>0</v>
      </c>
      <c s="6" r="BD44">
        <v>0</v>
      </c>
      <c s="6" r="BE44">
        <v>0</v>
      </c>
      <c s="6" r="BF44">
        <v>0</v>
      </c>
      <c s="6" r="BG44">
        <v>1</v>
      </c>
      <c s="6" r="BH44">
        <v>0</v>
      </c>
      <c s="6" r="BI44">
        <v>0</v>
      </c>
      <c s="6" r="BJ44">
        <v>0</v>
      </c>
      <c s="6" r="BK44">
        <v>0</v>
      </c>
      <c s="6" r="BL44">
        <v>0</v>
      </c>
      <c s="6" r="BM44">
        <v>0</v>
      </c>
      <c s="6" r="BN44">
        <v>0</v>
      </c>
      <c s="6" r="BO44">
        <v>0</v>
      </c>
      <c s="6" r="BP44">
        <v>0</v>
      </c>
      <c s="6" r="BQ44">
        <v>0</v>
      </c>
      <c t="str" s="6" r="BR44">
        <f>HYPERLINK("http://www.d20pfsrd.com/magic/all-spells/b/blade-barrier","Blade Barrier")</f>
        <v>Blade Barrier</v>
      </c>
      <c s="6" r="BS44">
        <v>43</v>
      </c>
      <c t="s" s="6" r="BT44">
        <v>92</v>
      </c>
      <c t="s" s="6" r="BW44">
        <v>503</v>
      </c>
      <c t="s" s="6" r="BX44">
        <v>504</v>
      </c>
      <c s="6" r="BY44">
        <v>1</v>
      </c>
    </row>
    <row customHeight="1" r="45" ht="14.25">
      <c t="s" s="6" r="A45">
        <v>505</v>
      </c>
      <c t="s" s="6" r="B45">
        <v>493</v>
      </c>
      <c t="s" s="6" r="D45">
        <v>506</v>
      </c>
      <c t="s" s="6" r="E45">
        <v>507</v>
      </c>
      <c t="s" s="6" r="F45">
        <v>81</v>
      </c>
      <c t="s" s="6" r="G45">
        <v>251</v>
      </c>
      <c s="6" r="H45">
        <v>0</v>
      </c>
      <c t="s" s="6" r="I45">
        <v>508</v>
      </c>
      <c t="s" s="6" r="J45">
        <v>509</v>
      </c>
      <c t="s" s="6" r="M45">
        <v>109</v>
      </c>
      <c s="6" r="N45">
        <v>0</v>
      </c>
      <c s="6" r="O45">
        <v>0</v>
      </c>
      <c t="s" s="6" r="P45">
        <v>296</v>
      </c>
      <c t="s" s="6" r="Q45">
        <v>188</v>
      </c>
      <c t="s" s="6" r="R45">
        <v>510</v>
      </c>
      <c t="s" s="6" r="S45">
        <v>511</v>
      </c>
      <c t="s" s="6" r="T45">
        <v>90</v>
      </c>
      <c t="s" s="6" r="U45">
        <v>512</v>
      </c>
      <c s="6" r="V45">
        <v>1</v>
      </c>
      <c s="6" r="W45">
        <v>0</v>
      </c>
      <c s="6" r="X45">
        <v>0</v>
      </c>
      <c s="6" r="Y45">
        <v>0</v>
      </c>
      <c s="6" r="Z45">
        <v>0</v>
      </c>
      <c t="s" s="6" r="AA45">
        <v>92</v>
      </c>
      <c t="s" s="6" r="AB45">
        <v>92</v>
      </c>
      <c s="6" r="AC45">
        <v>7</v>
      </c>
      <c t="s" s="6" r="AD45">
        <v>92</v>
      </c>
      <c t="s" s="6" r="AE45">
        <v>92</v>
      </c>
      <c t="s" s="6" r="AF45">
        <v>92</v>
      </c>
      <c t="s" s="6" r="AG45">
        <v>92</v>
      </c>
      <c t="s" s="6" r="AH45">
        <v>92</v>
      </c>
      <c t="s" s="6" r="AI45">
        <v>92</v>
      </c>
      <c t="s" s="6" r="AJ45">
        <v>92</v>
      </c>
      <c s="6" r="AK45">
        <v>6</v>
      </c>
      <c s="6" r="AL45">
        <v>7</v>
      </c>
      <c t="s" s="6" r="AM45">
        <v>92</v>
      </c>
      <c t="s" s="6" r="AN45">
        <v>92</v>
      </c>
      <c s="6" r="AP45">
        <v>7</v>
      </c>
      <c t="s" s="6" r="AQ45">
        <v>513</v>
      </c>
      <c t="s" s="6" r="AR45">
        <v>514</v>
      </c>
      <c s="6" r="AS45">
        <v>0</v>
      </c>
      <c s="6" r="AT45">
        <v>0</v>
      </c>
      <c s="6" r="AU45">
        <v>0</v>
      </c>
      <c s="6" r="AV45">
        <v>0</v>
      </c>
      <c s="6" r="AW45">
        <v>0</v>
      </c>
      <c s="6" r="AX45">
        <v>0</v>
      </c>
      <c s="6" r="AY45">
        <v>0</v>
      </c>
      <c s="6" r="AZ45">
        <v>0</v>
      </c>
      <c s="6" r="BA45">
        <v>0</v>
      </c>
      <c s="6" r="BB45">
        <v>0</v>
      </c>
      <c s="6" r="BC45">
        <v>0</v>
      </c>
      <c s="6" r="BD45">
        <v>1</v>
      </c>
      <c s="6" r="BE45">
        <v>0</v>
      </c>
      <c s="6" r="BF45">
        <v>0</v>
      </c>
      <c s="6" r="BG45">
        <v>0</v>
      </c>
      <c s="6" r="BH45">
        <v>0</v>
      </c>
      <c s="6" r="BI45">
        <v>0</v>
      </c>
      <c s="6" r="BJ45">
        <v>0</v>
      </c>
      <c s="6" r="BK45">
        <v>0</v>
      </c>
      <c s="6" r="BL45">
        <v>0</v>
      </c>
      <c s="6" r="BM45">
        <v>0</v>
      </c>
      <c s="6" r="BN45">
        <v>0</v>
      </c>
      <c s="6" r="BO45">
        <v>0</v>
      </c>
      <c s="6" r="BP45">
        <v>1</v>
      </c>
      <c s="6" r="BQ45">
        <v>0</v>
      </c>
      <c t="str" s="6" r="BR45">
        <f>HYPERLINK("http://www.d20pfsrd.com/magic/all-spells/b/blasphemy","Blasphemy")</f>
        <v>Blasphemy</v>
      </c>
      <c s="6" r="BS45">
        <v>44</v>
      </c>
      <c t="s" s="6" r="BT45">
        <v>92</v>
      </c>
      <c t="s" s="6" r="BW45">
        <v>515</v>
      </c>
      <c s="6" r="BY45">
        <v>1</v>
      </c>
    </row>
    <row customHeight="1" r="46" ht="14.25">
      <c t="s" s="6" r="A46">
        <v>516</v>
      </c>
      <c t="s" s="6" r="B46">
        <v>227</v>
      </c>
      <c t="s" s="6" r="E46">
        <v>517</v>
      </c>
      <c t="s" s="6" r="F46">
        <v>81</v>
      </c>
      <c t="s" s="6" r="G46">
        <v>106</v>
      </c>
      <c s="6" r="H46">
        <v>0</v>
      </c>
      <c t="s" s="6" r="I46">
        <v>107</v>
      </c>
      <c t="s" s="6" r="L46">
        <v>473</v>
      </c>
      <c t="s" s="6" r="M46">
        <v>109</v>
      </c>
      <c s="6" r="N46">
        <v>0</v>
      </c>
      <c s="6" r="O46">
        <v>0</v>
      </c>
      <c t="s" s="6" r="P46">
        <v>221</v>
      </c>
      <c t="s" s="6" r="Q46">
        <v>188</v>
      </c>
      <c t="s" s="6" r="R46">
        <v>518</v>
      </c>
      <c t="s" s="6" r="S46">
        <v>519</v>
      </c>
      <c t="s" s="6" r="T46">
        <v>90</v>
      </c>
      <c t="s" s="6" r="U46">
        <v>520</v>
      </c>
      <c s="6" r="V46">
        <v>1</v>
      </c>
      <c s="6" r="W46">
        <v>1</v>
      </c>
      <c s="6" r="X46">
        <v>0</v>
      </c>
      <c s="6" r="Y46">
        <v>0</v>
      </c>
      <c s="6" r="Z46">
        <v>0</v>
      </c>
      <c s="6" r="AA46">
        <v>0</v>
      </c>
      <c s="6" r="AB46">
        <v>0</v>
      </c>
      <c s="6" r="AC46">
        <v>0</v>
      </c>
      <c t="s" s="6" r="AD46">
        <v>92</v>
      </c>
      <c t="s" s="6" r="AE46">
        <v>92</v>
      </c>
      <c t="s" s="6" r="AF46">
        <v>92</v>
      </c>
      <c t="s" s="6" r="AG46">
        <v>92</v>
      </c>
      <c t="s" s="6" r="AH46">
        <v>92</v>
      </c>
      <c t="s" s="6" r="AI46">
        <v>92</v>
      </c>
      <c s="6" r="AJ46">
        <v>0</v>
      </c>
      <c s="6" r="AK46">
        <v>0</v>
      </c>
      <c s="6" r="AL46">
        <v>0</v>
      </c>
      <c t="s" s="6" r="AM46">
        <v>92</v>
      </c>
      <c t="s" s="6" r="AN46">
        <v>92</v>
      </c>
      <c s="6" r="AP46">
        <v>0</v>
      </c>
      <c t="s" s="6" r="AR46">
        <v>521</v>
      </c>
      <c s="6" r="AS46">
        <v>0</v>
      </c>
      <c s="6" r="AT46">
        <v>0</v>
      </c>
      <c s="6" r="AU46">
        <v>0</v>
      </c>
      <c s="6" r="AV46">
        <v>0</v>
      </c>
      <c s="6" r="AW46">
        <v>0</v>
      </c>
      <c s="6" r="AX46">
        <v>0</v>
      </c>
      <c s="6" r="AY46">
        <v>0</v>
      </c>
      <c s="6" r="AZ46">
        <v>0</v>
      </c>
      <c s="6" r="BA46">
        <v>0</v>
      </c>
      <c s="6" r="BB46">
        <v>0</v>
      </c>
      <c s="6" r="BC46">
        <v>0</v>
      </c>
      <c s="6" r="BD46">
        <v>0</v>
      </c>
      <c s="6" r="BE46">
        <v>0</v>
      </c>
      <c s="6" r="BF46">
        <v>0</v>
      </c>
      <c s="6" r="BG46">
        <v>0</v>
      </c>
      <c s="6" r="BH46">
        <v>0</v>
      </c>
      <c s="6" r="BI46">
        <v>0</v>
      </c>
      <c s="6" r="BJ46">
        <v>0</v>
      </c>
      <c s="6" r="BK46">
        <v>0</v>
      </c>
      <c s="6" r="BL46">
        <v>0</v>
      </c>
      <c s="6" r="BM46">
        <v>0</v>
      </c>
      <c s="6" r="BN46">
        <v>0</v>
      </c>
      <c s="6" r="BO46">
        <v>0</v>
      </c>
      <c s="6" r="BP46">
        <v>0</v>
      </c>
      <c s="6" r="BQ46">
        <v>0</v>
      </c>
      <c t="str" s="6" r="BR46">
        <f>HYPERLINK("http://www.d20pfsrd.com/magic/all-spells/b/bleed","Bleed")</f>
        <v>Bleed</v>
      </c>
      <c s="6" r="BS46">
        <v>45</v>
      </c>
      <c t="s" s="6" r="BT46">
        <v>92</v>
      </c>
      <c s="6" r="BY46">
        <v>0</v>
      </c>
    </row>
    <row customHeight="1" r="47" ht="14.25">
      <c t="s" s="6" r="A47">
        <v>522</v>
      </c>
      <c t="s" s="6" r="B47">
        <v>115</v>
      </c>
      <c t="s" s="6" r="C47">
        <v>116</v>
      </c>
      <c t="s" s="6" r="D47">
        <v>117</v>
      </c>
      <c t="s" s="6" r="E47">
        <v>523</v>
      </c>
      <c t="s" s="6" r="F47">
        <v>81</v>
      </c>
      <c t="s" s="6" r="G47">
        <v>119</v>
      </c>
      <c s="6" r="H47">
        <v>0</v>
      </c>
      <c t="s" s="6" r="I47">
        <v>389</v>
      </c>
      <c t="s" s="6" r="J47">
        <v>524</v>
      </c>
      <c t="s" s="6" r="M47">
        <v>122</v>
      </c>
      <c s="6" r="N47">
        <v>0</v>
      </c>
      <c s="6" r="O47">
        <v>0</v>
      </c>
      <c t="s" s="6" r="P47">
        <v>86</v>
      </c>
      <c t="s" s="6" r="Q47">
        <v>123</v>
      </c>
      <c t="s" s="6" r="R47">
        <v>525</v>
      </c>
      <c t="s" s="6" r="S47">
        <v>526</v>
      </c>
      <c t="s" s="6" r="T47">
        <v>90</v>
      </c>
      <c t="s" s="6" r="U47">
        <v>527</v>
      </c>
      <c s="6" r="V47">
        <v>1</v>
      </c>
      <c s="6" r="W47">
        <v>1</v>
      </c>
      <c s="6" r="X47">
        <v>0</v>
      </c>
      <c s="6" r="Y47">
        <v>0</v>
      </c>
      <c s="6" r="Z47">
        <v>1</v>
      </c>
      <c t="s" s="6" r="AA47">
        <v>92</v>
      </c>
      <c t="s" s="6" r="AB47">
        <v>92</v>
      </c>
      <c s="6" r="AC47">
        <v>1</v>
      </c>
      <c t="s" s="6" r="AD47">
        <v>92</v>
      </c>
      <c t="s" s="6" r="AE47">
        <v>92</v>
      </c>
      <c t="s" s="6" r="AF47">
        <v>92</v>
      </c>
      <c s="6" r="AG47">
        <v>1</v>
      </c>
      <c t="s" s="6" r="AH47">
        <v>92</v>
      </c>
      <c t="s" s="6" r="AI47">
        <v>92</v>
      </c>
      <c t="s" s="6" r="AJ47">
        <v>92</v>
      </c>
      <c s="6" r="AK47">
        <v>1</v>
      </c>
      <c s="6" r="AL47">
        <v>1</v>
      </c>
      <c t="s" s="6" r="AM47">
        <v>92</v>
      </c>
      <c t="s" s="6" r="AN47">
        <v>92</v>
      </c>
      <c s="6" r="AP47">
        <v>1</v>
      </c>
      <c t="s" s="6" r="AQ47">
        <v>528</v>
      </c>
      <c t="s" s="6" r="AR47">
        <v>529</v>
      </c>
      <c s="6" r="AS47">
        <v>0</v>
      </c>
      <c s="6" r="AT47">
        <v>0</v>
      </c>
      <c s="6" r="AU47">
        <v>0</v>
      </c>
      <c s="6" r="AV47">
        <v>0</v>
      </c>
      <c s="6" r="AW47">
        <v>0</v>
      </c>
      <c s="6" r="AX47">
        <v>0</v>
      </c>
      <c s="6" r="AY47">
        <v>0</v>
      </c>
      <c s="6" r="AZ47">
        <v>0</v>
      </c>
      <c s="6" r="BA47">
        <v>0</v>
      </c>
      <c s="6" r="BB47">
        <v>0</v>
      </c>
      <c s="6" r="BC47">
        <v>0</v>
      </c>
      <c s="6" r="BD47">
        <v>0</v>
      </c>
      <c s="6" r="BE47">
        <v>0</v>
      </c>
      <c s="6" r="BF47">
        <v>0</v>
      </c>
      <c s="6" r="BG47">
        <v>0</v>
      </c>
      <c s="6" r="BH47">
        <v>0</v>
      </c>
      <c s="6" r="BI47">
        <v>0</v>
      </c>
      <c s="6" r="BJ47">
        <v>0</v>
      </c>
      <c s="6" r="BK47">
        <v>0</v>
      </c>
      <c s="6" r="BL47">
        <v>1</v>
      </c>
      <c s="6" r="BM47">
        <v>0</v>
      </c>
      <c s="6" r="BN47">
        <v>0</v>
      </c>
      <c s="6" r="BO47">
        <v>0</v>
      </c>
      <c s="6" r="BP47">
        <v>0</v>
      </c>
      <c s="6" r="BQ47">
        <v>0</v>
      </c>
      <c t="str" s="6" r="BR47">
        <f>HYPERLINK("http://www.d20pfsrd.com/magic/all-spells/b/bless","Bless")</f>
        <v>Bless</v>
      </c>
      <c s="6" r="BS47">
        <v>46</v>
      </c>
      <c t="s" s="6" r="BT47">
        <v>92</v>
      </c>
      <c t="s" s="6" r="BU47">
        <v>406</v>
      </c>
      <c t="s" s="6" r="BV47">
        <v>129</v>
      </c>
      <c t="s" s="6" r="BW47">
        <v>530</v>
      </c>
      <c s="6" r="BY47">
        <v>1</v>
      </c>
    </row>
    <row customHeight="1" r="48" ht="14.25">
      <c t="s" s="6" r="A48">
        <v>531</v>
      </c>
      <c t="s" s="6" r="B48">
        <v>131</v>
      </c>
      <c t="s" s="6" r="D48">
        <v>59</v>
      </c>
      <c t="s" s="6" r="E48">
        <v>532</v>
      </c>
      <c t="s" s="6" r="F48">
        <v>197</v>
      </c>
      <c t="s" s="6" r="G48">
        <v>533</v>
      </c>
      <c s="6" r="H48">
        <v>1</v>
      </c>
      <c t="s" s="6" r="I48">
        <v>120</v>
      </c>
      <c t="s" s="6" r="L48">
        <v>534</v>
      </c>
      <c t="s" s="6" r="M48">
        <v>109</v>
      </c>
      <c s="6" r="N48">
        <v>0</v>
      </c>
      <c s="6" r="O48">
        <v>0</v>
      </c>
      <c t="s" s="6" r="P48">
        <v>535</v>
      </c>
      <c t="s" s="6" r="Q48">
        <v>536</v>
      </c>
      <c t="s" s="6" r="R48">
        <v>537</v>
      </c>
      <c t="s" s="6" r="S48">
        <v>538</v>
      </c>
      <c t="s" s="6" r="T48">
        <v>90</v>
      </c>
      <c t="s" s="6" r="U48">
        <v>539</v>
      </c>
      <c s="6" r="V48">
        <v>1</v>
      </c>
      <c s="6" r="W48">
        <v>1</v>
      </c>
      <c s="6" r="X48">
        <v>1</v>
      </c>
      <c s="6" r="Y48">
        <v>0</v>
      </c>
      <c s="6" r="Z48">
        <v>0</v>
      </c>
      <c t="s" s="6" r="AA48">
        <v>92</v>
      </c>
      <c t="s" s="6" r="AB48">
        <v>92</v>
      </c>
      <c s="6" r="AC48">
        <v>1</v>
      </c>
      <c t="s" s="6" r="AD48">
        <v>92</v>
      </c>
      <c t="s" s="6" r="AE48">
        <v>92</v>
      </c>
      <c t="s" s="6" r="AF48">
        <v>92</v>
      </c>
      <c s="6" r="AG48">
        <v>1</v>
      </c>
      <c t="s" s="6" r="AH48">
        <v>92</v>
      </c>
      <c t="s" s="6" r="AI48">
        <v>92</v>
      </c>
      <c t="s" s="6" r="AJ48">
        <v>92</v>
      </c>
      <c s="6" r="AK48">
        <v>1</v>
      </c>
      <c s="6" r="AL48">
        <v>1</v>
      </c>
      <c t="s" s="6" r="AM48">
        <v>92</v>
      </c>
      <c t="s" s="6" r="AN48">
        <v>92</v>
      </c>
      <c s="6" r="AP48">
        <v>1</v>
      </c>
      <c t="s" s="6" r="AQ48">
        <v>540</v>
      </c>
      <c t="s" s="6" r="AR48">
        <v>541</v>
      </c>
      <c s="6" r="AS48">
        <v>0</v>
      </c>
      <c s="6" r="AT48">
        <v>0</v>
      </c>
      <c s="6" r="AU48">
        <v>0</v>
      </c>
      <c s="6" r="AV48">
        <v>0</v>
      </c>
      <c s="6" r="AW48">
        <v>0</v>
      </c>
      <c s="6" r="AX48">
        <v>0</v>
      </c>
      <c s="6" r="AY48">
        <v>0</v>
      </c>
      <c s="6" r="AZ48">
        <v>0</v>
      </c>
      <c s="6" r="BA48">
        <v>0</v>
      </c>
      <c s="6" r="BB48">
        <v>0</v>
      </c>
      <c s="6" r="BC48">
        <v>0</v>
      </c>
      <c s="6" r="BD48">
        <v>0</v>
      </c>
      <c s="6" r="BE48">
        <v>0</v>
      </c>
      <c s="6" r="BF48">
        <v>0</v>
      </c>
      <c s="6" r="BG48">
        <v>0</v>
      </c>
      <c s="6" r="BH48">
        <v>1</v>
      </c>
      <c s="6" r="BI48">
        <v>0</v>
      </c>
      <c s="6" r="BJ48">
        <v>0</v>
      </c>
      <c s="6" r="BK48">
        <v>0</v>
      </c>
      <c s="6" r="BL48">
        <v>0</v>
      </c>
      <c s="6" r="BM48">
        <v>0</v>
      </c>
      <c s="6" r="BN48">
        <v>0</v>
      </c>
      <c s="6" r="BO48">
        <v>0</v>
      </c>
      <c s="6" r="BP48">
        <v>0</v>
      </c>
      <c s="6" r="BQ48">
        <v>0</v>
      </c>
      <c t="str" s="6" r="BR48">
        <f>HYPERLINK("http://www.d20pfsrd.com/magic/all-spells/b/bless-water","Bless Water")</f>
        <v>Bless Water</v>
      </c>
      <c s="6" r="BS48">
        <v>47</v>
      </c>
      <c s="6" r="BT48">
        <v>25</v>
      </c>
      <c t="s" s="6" r="BV48">
        <v>542</v>
      </c>
      <c s="6" r="BY48">
        <v>0</v>
      </c>
    </row>
    <row customHeight="1" r="49" ht="14.25">
      <c t="s" s="6" r="A49">
        <v>543</v>
      </c>
      <c t="s" s="6" r="B49">
        <v>131</v>
      </c>
      <c t="s" s="6" r="E49">
        <v>544</v>
      </c>
      <c t="s" s="6" r="F49">
        <v>81</v>
      </c>
      <c t="s" s="6" r="G49">
        <v>106</v>
      </c>
      <c s="6" r="H49">
        <v>0</v>
      </c>
      <c t="s" s="6" r="I49">
        <v>120</v>
      </c>
      <c t="s" s="6" r="L49">
        <v>545</v>
      </c>
      <c t="s" s="6" r="M49">
        <v>122</v>
      </c>
      <c s="6" r="N49">
        <v>0</v>
      </c>
      <c s="6" r="O49">
        <v>0</v>
      </c>
      <c t="s" s="6" r="P49">
        <v>86</v>
      </c>
      <c t="s" s="6" r="Q49">
        <v>87</v>
      </c>
      <c t="s" s="6" r="R49">
        <v>546</v>
      </c>
      <c t="s" s="6" r="S49">
        <v>547</v>
      </c>
      <c t="s" s="6" r="T49">
        <v>90</v>
      </c>
      <c t="s" s="6" r="U49">
        <v>548</v>
      </c>
      <c s="6" r="V49">
        <v>1</v>
      </c>
      <c s="6" r="W49">
        <v>1</v>
      </c>
      <c s="6" r="X49">
        <v>0</v>
      </c>
      <c s="6" r="Y49">
        <v>0</v>
      </c>
      <c s="6" r="Z49">
        <v>0</v>
      </c>
      <c t="s" s="6" r="AA49">
        <v>92</v>
      </c>
      <c t="s" s="6" r="AB49">
        <v>92</v>
      </c>
      <c t="s" s="6" r="AC49">
        <v>92</v>
      </c>
      <c t="s" s="6" r="AD49">
        <v>92</v>
      </c>
      <c t="s" s="6" r="AE49">
        <v>92</v>
      </c>
      <c t="s" s="6" r="AF49">
        <v>92</v>
      </c>
      <c s="6" r="AG49">
        <v>1</v>
      </c>
      <c t="s" s="6" r="AH49">
        <v>92</v>
      </c>
      <c t="s" s="6" r="AI49">
        <v>92</v>
      </c>
      <c t="s" s="6" r="AJ49">
        <v>92</v>
      </c>
      <c t="s" s="6" r="AK49">
        <v>92</v>
      </c>
      <c t="s" s="6" r="AL49">
        <v>92</v>
      </c>
      <c t="s" s="6" r="AM49">
        <v>92</v>
      </c>
      <c t="s" s="6" r="AN49">
        <v>92</v>
      </c>
      <c s="6" r="AP49">
        <v>1</v>
      </c>
      <c t="s" s="6" r="AQ49">
        <v>549</v>
      </c>
      <c t="s" s="6" r="AR49">
        <v>550</v>
      </c>
      <c s="6" r="AS49">
        <v>0</v>
      </c>
      <c s="6" r="AT49">
        <v>0</v>
      </c>
      <c s="6" r="AU49">
        <v>0</v>
      </c>
      <c s="6" r="AV49">
        <v>0</v>
      </c>
      <c s="6" r="AW49">
        <v>0</v>
      </c>
      <c s="6" r="AX49">
        <v>0</v>
      </c>
      <c s="6" r="AY49">
        <v>0</v>
      </c>
      <c s="6" r="AZ49">
        <v>0</v>
      </c>
      <c s="6" r="BA49">
        <v>0</v>
      </c>
      <c s="6" r="BB49">
        <v>0</v>
      </c>
      <c s="6" r="BC49">
        <v>0</v>
      </c>
      <c s="6" r="BD49">
        <v>0</v>
      </c>
      <c s="6" r="BE49">
        <v>0</v>
      </c>
      <c s="6" r="BF49">
        <v>0</v>
      </c>
      <c s="6" r="BG49">
        <v>0</v>
      </c>
      <c s="6" r="BH49">
        <v>0</v>
      </c>
      <c s="6" r="BI49">
        <v>0</v>
      </c>
      <c s="6" r="BJ49">
        <v>0</v>
      </c>
      <c s="6" r="BK49">
        <v>0</v>
      </c>
      <c s="6" r="BL49">
        <v>0</v>
      </c>
      <c s="6" r="BM49">
        <v>0</v>
      </c>
      <c s="6" r="BN49">
        <v>0</v>
      </c>
      <c s="6" r="BO49">
        <v>0</v>
      </c>
      <c s="6" r="BP49">
        <v>0</v>
      </c>
      <c s="6" r="BQ49">
        <v>0</v>
      </c>
      <c t="str" s="6" r="BR49">
        <f>HYPERLINK("http://www.d20pfsrd.com/magic/all-spells/b/bless-weapon","Bless Weapon")</f>
        <v>Bless Weapon</v>
      </c>
      <c s="6" r="BS49">
        <v>48</v>
      </c>
      <c t="s" s="6" r="BT49">
        <v>92</v>
      </c>
      <c s="6" r="BY49">
        <v>0</v>
      </c>
    </row>
    <row customHeight="1" r="50" ht="14.25">
      <c t="s" s="6" r="A50">
        <v>551</v>
      </c>
      <c t="s" s="6" r="B50">
        <v>227</v>
      </c>
      <c t="s" s="6" r="E50">
        <v>552</v>
      </c>
      <c t="s" s="6" r="F50">
        <v>81</v>
      </c>
      <c t="s" s="6" r="G50">
        <v>119</v>
      </c>
      <c s="6" r="H50">
        <v>0</v>
      </c>
      <c t="s" s="6" r="I50">
        <v>120</v>
      </c>
      <c t="s" s="6" r="M50">
        <v>109</v>
      </c>
      <c s="6" r="N50">
        <v>0</v>
      </c>
      <c s="6" r="O50">
        <v>0</v>
      </c>
      <c t="s" s="6" r="P50">
        <v>553</v>
      </c>
      <c t="s" s="6" r="Q50">
        <v>188</v>
      </c>
      <c t="s" s="6" r="R50">
        <v>554</v>
      </c>
      <c t="s" s="6" r="S50">
        <v>555</v>
      </c>
      <c t="s" s="6" r="T50">
        <v>90</v>
      </c>
      <c t="s" s="6" r="U50">
        <v>556</v>
      </c>
      <c s="6" r="V50">
        <v>1</v>
      </c>
      <c s="6" r="W50">
        <v>1</v>
      </c>
      <c s="6" r="X50">
        <v>0</v>
      </c>
      <c s="6" r="Y50">
        <v>0</v>
      </c>
      <c s="6" r="Z50">
        <v>1</v>
      </c>
      <c s="6" r="AA50">
        <v>5</v>
      </c>
      <c s="6" r="AB50">
        <v>5</v>
      </c>
      <c t="s" s="6" r="AC50">
        <v>92</v>
      </c>
      <c s="6" r="AD50">
        <v>4</v>
      </c>
      <c t="s" s="6" r="AE50">
        <v>92</v>
      </c>
      <c t="s" s="6" r="AF50">
        <v>92</v>
      </c>
      <c t="s" s="6" r="AG50">
        <v>92</v>
      </c>
      <c t="s" s="6" r="AH50">
        <v>92</v>
      </c>
      <c t="s" s="6" r="AI50">
        <v>92</v>
      </c>
      <c s="6" r="AJ50">
        <v>5</v>
      </c>
      <c t="s" s="6" r="AK50">
        <v>92</v>
      </c>
      <c t="s" s="6" r="AL50">
        <v>92</v>
      </c>
      <c t="s" s="6" r="AM50">
        <v>92</v>
      </c>
      <c t="s" s="6" r="AN50">
        <v>92</v>
      </c>
      <c s="6" r="AP50">
        <v>5</v>
      </c>
      <c t="s" s="6" r="AQ50">
        <v>557</v>
      </c>
      <c t="s" s="6" r="AR50">
        <v>558</v>
      </c>
      <c s="6" r="AS50">
        <v>0</v>
      </c>
      <c s="6" r="AT50">
        <v>0</v>
      </c>
      <c s="6" r="AU50">
        <v>0</v>
      </c>
      <c s="6" r="AV50">
        <v>0</v>
      </c>
      <c s="6" r="AW50">
        <v>0</v>
      </c>
      <c s="6" r="AX50">
        <v>0</v>
      </c>
      <c s="6" r="AY50">
        <v>0</v>
      </c>
      <c s="6" r="AZ50">
        <v>0</v>
      </c>
      <c s="6" r="BA50">
        <v>0</v>
      </c>
      <c s="6" r="BB50">
        <v>0</v>
      </c>
      <c s="6" r="BC50">
        <v>0</v>
      </c>
      <c s="6" r="BD50">
        <v>0</v>
      </c>
      <c s="6" r="BE50">
        <v>0</v>
      </c>
      <c s="6" r="BF50">
        <v>0</v>
      </c>
      <c s="6" r="BG50">
        <v>0</v>
      </c>
      <c s="6" r="BH50">
        <v>0</v>
      </c>
      <c s="6" r="BI50">
        <v>0</v>
      </c>
      <c s="6" r="BJ50">
        <v>0</v>
      </c>
      <c s="6" r="BK50">
        <v>0</v>
      </c>
      <c s="6" r="BL50">
        <v>0</v>
      </c>
      <c s="6" r="BM50">
        <v>0</v>
      </c>
      <c s="6" r="BN50">
        <v>0</v>
      </c>
      <c s="6" r="BO50">
        <v>0</v>
      </c>
      <c s="6" r="BP50">
        <v>0</v>
      </c>
      <c s="6" r="BQ50">
        <v>0</v>
      </c>
      <c t="str" s="6" r="BR50">
        <f>HYPERLINK("http://www.d20pfsrd.com/magic/all-spells/b/blight","Blight")</f>
        <v>Blight</v>
      </c>
      <c s="6" r="BS50">
        <v>49</v>
      </c>
      <c t="s" s="6" r="BT50">
        <v>92</v>
      </c>
      <c s="6" r="BY50">
        <v>0</v>
      </c>
    </row>
    <row customHeight="1" r="51" ht="14.25">
      <c t="s" s="6" r="A51">
        <v>559</v>
      </c>
      <c t="s" s="6" r="B51">
        <v>227</v>
      </c>
      <c t="s" s="6" r="E51">
        <v>560</v>
      </c>
      <c t="s" s="6" r="F51">
        <v>81</v>
      </c>
      <c t="s" s="6" r="G51">
        <v>251</v>
      </c>
      <c s="6" r="H51">
        <v>0</v>
      </c>
      <c t="s" s="6" r="I51">
        <v>97</v>
      </c>
      <c t="s" s="6" r="L51">
        <v>473</v>
      </c>
      <c t="s" s="6" r="M51">
        <v>561</v>
      </c>
      <c s="6" r="N51">
        <v>1</v>
      </c>
      <c s="6" r="O51">
        <v>0</v>
      </c>
      <c t="s" s="6" r="P51">
        <v>187</v>
      </c>
      <c t="s" s="6" r="Q51">
        <v>188</v>
      </c>
      <c t="s" s="6" r="R51">
        <v>562</v>
      </c>
      <c t="s" s="6" r="S51">
        <v>563</v>
      </c>
      <c t="s" s="6" r="T51">
        <v>90</v>
      </c>
      <c t="s" s="6" r="U51">
        <v>564</v>
      </c>
      <c s="6" r="V51">
        <v>1</v>
      </c>
      <c s="6" r="W51">
        <v>0</v>
      </c>
      <c s="6" r="X51">
        <v>0</v>
      </c>
      <c s="6" r="Y51">
        <v>0</v>
      </c>
      <c s="6" r="Z51">
        <v>0</v>
      </c>
      <c s="6" r="AA51">
        <v>2</v>
      </c>
      <c s="6" r="AB51">
        <v>2</v>
      </c>
      <c s="6" r="AC51">
        <v>3</v>
      </c>
      <c t="s" s="6" r="AD51">
        <v>92</v>
      </c>
      <c t="s" s="6" r="AE51">
        <v>92</v>
      </c>
      <c s="6" r="AF51">
        <v>2</v>
      </c>
      <c t="s" s="6" r="AG51">
        <v>92</v>
      </c>
      <c t="s" s="6" r="AH51">
        <v>92</v>
      </c>
      <c t="s" s="6" r="AI51">
        <v>92</v>
      </c>
      <c s="6" r="AJ51">
        <v>2</v>
      </c>
      <c t="s" s="6" r="AK51">
        <v>92</v>
      </c>
      <c s="6" r="AL51">
        <v>3</v>
      </c>
      <c s="6" r="AM51">
        <v>2</v>
      </c>
      <c t="s" s="6" r="AN51">
        <v>92</v>
      </c>
      <c s="6" r="AP51">
        <v>2</v>
      </c>
      <c t="s" s="6" r="AQ51">
        <v>565</v>
      </c>
      <c t="s" s="6" r="AR51">
        <v>566</v>
      </c>
      <c s="6" r="AS51">
        <v>0</v>
      </c>
      <c s="6" r="AT51">
        <v>0</v>
      </c>
      <c s="6" r="AU51">
        <v>0</v>
      </c>
      <c s="6" r="AV51">
        <v>0</v>
      </c>
      <c s="6" r="AW51">
        <v>0</v>
      </c>
      <c s="6" r="AX51">
        <v>0</v>
      </c>
      <c s="6" r="AY51">
        <v>0</v>
      </c>
      <c s="6" r="AZ51">
        <v>0</v>
      </c>
      <c s="6" r="BA51">
        <v>0</v>
      </c>
      <c s="6" r="BB51">
        <v>0</v>
      </c>
      <c s="6" r="BC51">
        <v>0</v>
      </c>
      <c s="6" r="BD51">
        <v>0</v>
      </c>
      <c s="6" r="BE51">
        <v>0</v>
      </c>
      <c s="6" r="BF51">
        <v>0</v>
      </c>
      <c s="6" r="BG51">
        <v>0</v>
      </c>
      <c s="6" r="BH51">
        <v>0</v>
      </c>
      <c s="6" r="BI51">
        <v>0</v>
      </c>
      <c s="6" r="BJ51">
        <v>0</v>
      </c>
      <c s="6" r="BK51">
        <v>0</v>
      </c>
      <c s="6" r="BL51">
        <v>0</v>
      </c>
      <c s="6" r="BM51">
        <v>0</v>
      </c>
      <c s="6" r="BN51">
        <v>0</v>
      </c>
      <c s="6" r="BO51">
        <v>0</v>
      </c>
      <c s="6" r="BP51">
        <v>0</v>
      </c>
      <c s="6" r="BQ51">
        <v>0</v>
      </c>
      <c t="str" s="6" r="BR51">
        <f>HYPERLINK("http://www.d20pfsrd.com/magic/all-spells/b/blindness-deafness","Blindness-Deafness")</f>
        <v>Blindness-Deafness</v>
      </c>
      <c s="6" r="BS51">
        <v>50</v>
      </c>
      <c t="s" s="6" r="BT51">
        <v>92</v>
      </c>
      <c t="s" s="6" r="BW51">
        <v>567</v>
      </c>
      <c s="6" r="BY51">
        <v>1</v>
      </c>
    </row>
    <row customHeight="1" r="52" ht="14.25">
      <c t="s" s="6" r="A52">
        <v>568</v>
      </c>
      <c t="s" s="6" r="B52">
        <v>131</v>
      </c>
      <c t="s" s="6" r="E52">
        <v>569</v>
      </c>
      <c t="s" s="6" r="F52">
        <v>81</v>
      </c>
      <c t="s" s="6" r="G52">
        <v>106</v>
      </c>
      <c s="6" r="H52">
        <v>0</v>
      </c>
      <c t="s" s="6" r="I52">
        <v>155</v>
      </c>
      <c t="s" s="6" r="L52">
        <v>156</v>
      </c>
      <c t="s" s="6" r="M52">
        <v>483</v>
      </c>
      <c s="6" r="N52">
        <v>1</v>
      </c>
      <c s="6" r="O52">
        <v>0</v>
      </c>
      <c t="s" s="6" r="R52">
        <v>570</v>
      </c>
      <c t="s" s="6" r="S52">
        <v>571</v>
      </c>
      <c t="s" s="6" r="T52">
        <v>90</v>
      </c>
      <c t="s" s="6" r="U52">
        <v>572</v>
      </c>
      <c s="6" r="V52">
        <v>1</v>
      </c>
      <c s="6" r="W52">
        <v>1</v>
      </c>
      <c s="6" r="X52">
        <v>0</v>
      </c>
      <c s="6" r="Y52">
        <v>0</v>
      </c>
      <c s="6" r="Z52">
        <v>0</v>
      </c>
      <c s="6" r="AA52">
        <v>3</v>
      </c>
      <c s="6" r="AB52">
        <v>3</v>
      </c>
      <c t="s" s="6" r="AC52">
        <v>92</v>
      </c>
      <c t="s" s="6" r="AD52">
        <v>92</v>
      </c>
      <c t="s" s="6" r="AE52">
        <v>92</v>
      </c>
      <c s="6" r="AF52">
        <v>3</v>
      </c>
      <c t="s" s="6" r="AG52">
        <v>92</v>
      </c>
      <c t="s" s="6" r="AH52">
        <v>92</v>
      </c>
      <c t="s" s="6" r="AI52">
        <v>92</v>
      </c>
      <c t="s" s="6" r="AJ52">
        <v>92</v>
      </c>
      <c t="s" s="6" r="AK52">
        <v>92</v>
      </c>
      <c t="s" s="6" r="AL52">
        <v>92</v>
      </c>
      <c t="s" s="6" r="AM52">
        <v>92</v>
      </c>
      <c s="6" r="AN52">
        <v>3</v>
      </c>
      <c s="6" r="AP52">
        <v>3</v>
      </c>
      <c t="s" s="6" r="AR52">
        <v>573</v>
      </c>
      <c s="6" r="AS52">
        <v>0</v>
      </c>
      <c s="6" r="AT52">
        <v>0</v>
      </c>
      <c s="6" r="AU52">
        <v>0</v>
      </c>
      <c s="6" r="AV52">
        <v>0</v>
      </c>
      <c s="6" r="AW52">
        <v>0</v>
      </c>
      <c s="6" r="AX52">
        <v>0</v>
      </c>
      <c s="6" r="AY52">
        <v>0</v>
      </c>
      <c s="6" r="AZ52">
        <v>0</v>
      </c>
      <c s="6" r="BA52">
        <v>0</v>
      </c>
      <c s="6" r="BB52">
        <v>0</v>
      </c>
      <c s="6" r="BC52">
        <v>0</v>
      </c>
      <c s="6" r="BD52">
        <v>0</v>
      </c>
      <c s="6" r="BE52">
        <v>0</v>
      </c>
      <c s="6" r="BF52">
        <v>0</v>
      </c>
      <c s="6" r="BG52">
        <v>0</v>
      </c>
      <c s="6" r="BH52">
        <v>0</v>
      </c>
      <c s="6" r="BI52">
        <v>0</v>
      </c>
      <c s="6" r="BJ52">
        <v>0</v>
      </c>
      <c s="6" r="BK52">
        <v>0</v>
      </c>
      <c s="6" r="BL52">
        <v>0</v>
      </c>
      <c s="6" r="BM52">
        <v>0</v>
      </c>
      <c s="6" r="BN52">
        <v>0</v>
      </c>
      <c s="6" r="BO52">
        <v>0</v>
      </c>
      <c s="6" r="BP52">
        <v>0</v>
      </c>
      <c s="6" r="BQ52">
        <v>0</v>
      </c>
      <c t="str" s="6" r="BR52">
        <f>HYPERLINK("http://www.d20pfsrd.com/magic/all-spells/b/blink","Blink")</f>
        <v>Blink</v>
      </c>
      <c s="6" r="BS52">
        <v>51</v>
      </c>
      <c t="s" s="6" r="BT52">
        <v>92</v>
      </c>
      <c t="s" s="6" r="BU52">
        <v>574</v>
      </c>
      <c t="s" s="6" r="BV52">
        <v>575</v>
      </c>
      <c t="s" s="6" r="BW52">
        <v>576</v>
      </c>
      <c t="s" s="6" r="BX52">
        <v>577</v>
      </c>
      <c s="6" r="BY52">
        <v>1</v>
      </c>
    </row>
    <row customHeight="1" r="53" ht="14.25">
      <c t="s" s="6" r="A53">
        <v>578</v>
      </c>
      <c t="s" s="6" r="B53">
        <v>579</v>
      </c>
      <c t="s" s="6" r="C53">
        <v>580</v>
      </c>
      <c t="s" s="6" r="E53">
        <v>581</v>
      </c>
      <c t="s" s="6" r="F53">
        <v>81</v>
      </c>
      <c t="s" s="6" r="G53">
        <v>251</v>
      </c>
      <c s="6" r="H53">
        <v>0</v>
      </c>
      <c t="s" s="6" r="I53">
        <v>120</v>
      </c>
      <c t="s" s="6" r="L53">
        <v>420</v>
      </c>
      <c t="s" s="6" r="M53">
        <v>122</v>
      </c>
      <c s="6" r="N53">
        <v>1</v>
      </c>
      <c s="6" r="O53">
        <v>0</v>
      </c>
      <c t="s" s="6" r="P53">
        <v>421</v>
      </c>
      <c t="s" s="6" r="Q53">
        <v>123</v>
      </c>
      <c t="s" s="6" r="R53">
        <v>582</v>
      </c>
      <c t="s" s="6" r="S53">
        <v>583</v>
      </c>
      <c t="s" s="6" r="T53">
        <v>90</v>
      </c>
      <c t="s" s="6" r="U53">
        <v>584</v>
      </c>
      <c s="6" r="V53">
        <v>1</v>
      </c>
      <c s="6" r="W53">
        <v>0</v>
      </c>
      <c s="6" r="X53">
        <v>0</v>
      </c>
      <c s="6" r="Y53">
        <v>0</v>
      </c>
      <c s="6" r="Z53">
        <v>0</v>
      </c>
      <c s="6" r="AA53">
        <v>2</v>
      </c>
      <c s="6" r="AB53">
        <v>2</v>
      </c>
      <c t="s" s="6" r="AC53">
        <v>92</v>
      </c>
      <c t="s" s="6" r="AD53">
        <v>92</v>
      </c>
      <c t="s" s="6" r="AE53">
        <v>92</v>
      </c>
      <c s="6" r="AF53">
        <v>2</v>
      </c>
      <c t="s" s="6" r="AG53">
        <v>92</v>
      </c>
      <c s="6" r="AH53">
        <v>2</v>
      </c>
      <c s="6" r="AI53">
        <v>2</v>
      </c>
      <c t="s" s="6" r="AJ53">
        <v>92</v>
      </c>
      <c t="s" s="6" r="AK53">
        <v>92</v>
      </c>
      <c t="s" s="6" r="AL53">
        <v>92</v>
      </c>
      <c t="s" s="6" r="AM53">
        <v>92</v>
      </c>
      <c s="6" r="AN53">
        <v>2</v>
      </c>
      <c s="6" r="AP53">
        <v>2</v>
      </c>
      <c t="s" s="6" r="AR53">
        <v>585</v>
      </c>
      <c s="6" r="AS53">
        <v>0</v>
      </c>
      <c s="6" r="AT53">
        <v>0</v>
      </c>
      <c s="6" r="AU53">
        <v>0</v>
      </c>
      <c s="6" r="AV53">
        <v>0</v>
      </c>
      <c s="6" r="AW53">
        <v>0</v>
      </c>
      <c s="6" r="AX53">
        <v>0</v>
      </c>
      <c s="6" r="AY53">
        <v>0</v>
      </c>
      <c s="6" r="AZ53">
        <v>0</v>
      </c>
      <c s="6" r="BA53">
        <v>0</v>
      </c>
      <c s="6" r="BB53">
        <v>0</v>
      </c>
      <c s="6" r="BC53">
        <v>0</v>
      </c>
      <c s="6" r="BD53">
        <v>0</v>
      </c>
      <c s="6" r="BE53">
        <v>0</v>
      </c>
      <c s="6" r="BF53">
        <v>0</v>
      </c>
      <c s="6" r="BG53">
        <v>0</v>
      </c>
      <c s="6" r="BH53">
        <v>0</v>
      </c>
      <c s="6" r="BI53">
        <v>0</v>
      </c>
      <c s="6" r="BJ53">
        <v>0</v>
      </c>
      <c s="6" r="BK53">
        <v>0</v>
      </c>
      <c s="6" r="BL53">
        <v>0</v>
      </c>
      <c s="6" r="BM53">
        <v>0</v>
      </c>
      <c s="6" r="BN53">
        <v>0</v>
      </c>
      <c s="6" r="BO53">
        <v>0</v>
      </c>
      <c s="6" r="BP53">
        <v>0</v>
      </c>
      <c s="6" r="BQ53">
        <v>0</v>
      </c>
      <c t="str" s="6" r="BR53">
        <f>HYPERLINK("http://www.d20pfsrd.com/magic/all-spells/b/blur","Blur")</f>
        <v>Blur</v>
      </c>
      <c s="6" r="BS53">
        <v>52</v>
      </c>
      <c t="s" s="6" r="BT53">
        <v>92</v>
      </c>
      <c t="s" s="6" r="BU53">
        <v>586</v>
      </c>
      <c s="6" r="BY53">
        <v>0</v>
      </c>
    </row>
    <row customHeight="1" r="54" ht="14.25">
      <c t="s" s="6" r="A54">
        <v>587</v>
      </c>
      <c t="s" s="6" r="B54">
        <v>162</v>
      </c>
      <c t="s" s="6" r="E54">
        <v>588</v>
      </c>
      <c t="s" s="6" r="F54">
        <v>197</v>
      </c>
      <c t="s" s="6" r="G54">
        <v>106</v>
      </c>
      <c s="6" r="H54">
        <v>0</v>
      </c>
      <c t="s" s="6" r="I54">
        <v>107</v>
      </c>
      <c t="s" s="6" r="L54">
        <v>589</v>
      </c>
      <c t="s" s="6" r="M54">
        <v>109</v>
      </c>
      <c s="6" r="N54">
        <v>0</v>
      </c>
      <c s="6" r="O54">
        <v>0</v>
      </c>
      <c t="s" s="6" r="P54">
        <v>141</v>
      </c>
      <c t="s" s="6" r="Q54">
        <v>87</v>
      </c>
      <c t="s" s="6" r="R54">
        <v>590</v>
      </c>
      <c t="s" s="6" r="S54">
        <v>591</v>
      </c>
      <c t="s" s="6" r="T54">
        <v>90</v>
      </c>
      <c t="s" s="6" r="U54">
        <v>592</v>
      </c>
      <c s="6" r="V54">
        <v>1</v>
      </c>
      <c s="6" r="W54">
        <v>1</v>
      </c>
      <c s="6" r="X54">
        <v>0</v>
      </c>
      <c s="6" r="Y54">
        <v>0</v>
      </c>
      <c s="6" r="Z54">
        <v>0</v>
      </c>
      <c s="6" r="AA54">
        <v>5</v>
      </c>
      <c s="6" r="AB54">
        <v>5</v>
      </c>
      <c s="6" r="AC54">
        <v>5</v>
      </c>
      <c t="s" s="6" r="AD54">
        <v>92</v>
      </c>
      <c t="s" s="6" r="AE54">
        <v>92</v>
      </c>
      <c s="6" r="AF54">
        <v>4</v>
      </c>
      <c s="6" r="AG54">
        <v>4</v>
      </c>
      <c t="s" s="6" r="AH54">
        <v>92</v>
      </c>
      <c t="s" s="6" r="AI54">
        <v>92</v>
      </c>
      <c s="6" r="AJ54">
        <v>5</v>
      </c>
      <c s="6" r="AK54">
        <v>5</v>
      </c>
      <c s="6" r="AL54">
        <v>5</v>
      </c>
      <c t="s" s="6" r="AM54">
        <v>92</v>
      </c>
      <c t="s" s="6" r="AN54">
        <v>92</v>
      </c>
      <c s="6" r="AP54">
        <v>5</v>
      </c>
      <c t="s" s="6" r="AQ54">
        <v>593</v>
      </c>
      <c t="s" s="6" r="AR54">
        <v>594</v>
      </c>
      <c s="6" r="AS54">
        <v>0</v>
      </c>
      <c s="6" r="AT54">
        <v>0</v>
      </c>
      <c s="6" r="AU54">
        <v>0</v>
      </c>
      <c s="6" r="AV54">
        <v>0</v>
      </c>
      <c s="6" r="AW54">
        <v>0</v>
      </c>
      <c s="6" r="AX54">
        <v>0</v>
      </c>
      <c s="6" r="AY54">
        <v>0</v>
      </c>
      <c s="6" r="AZ54">
        <v>0</v>
      </c>
      <c s="6" r="BA54">
        <v>0</v>
      </c>
      <c s="6" r="BB54">
        <v>0</v>
      </c>
      <c s="6" r="BC54">
        <v>0</v>
      </c>
      <c s="6" r="BD54">
        <v>0</v>
      </c>
      <c s="6" r="BE54">
        <v>0</v>
      </c>
      <c s="6" r="BF54">
        <v>0</v>
      </c>
      <c s="6" r="BG54">
        <v>0</v>
      </c>
      <c s="6" r="BH54">
        <v>0</v>
      </c>
      <c s="6" r="BI54">
        <v>0</v>
      </c>
      <c s="6" r="BJ54">
        <v>0</v>
      </c>
      <c s="6" r="BK54">
        <v>0</v>
      </c>
      <c s="6" r="BL54">
        <v>0</v>
      </c>
      <c s="6" r="BM54">
        <v>0</v>
      </c>
      <c s="6" r="BN54">
        <v>0</v>
      </c>
      <c s="6" r="BO54">
        <v>0</v>
      </c>
      <c s="6" r="BP54">
        <v>0</v>
      </c>
      <c s="6" r="BQ54">
        <v>0</v>
      </c>
      <c t="str" s="6" r="BR54">
        <f>HYPERLINK("http://www.d20pfsrd.com/magic/all-spells/b/break-enchantment","Break Enchantment")</f>
        <v>Break Enchantment</v>
      </c>
      <c s="6" r="BS54">
        <v>53</v>
      </c>
      <c t="s" s="6" r="BT54">
        <v>92</v>
      </c>
      <c t="s" s="6" r="BU54">
        <v>586</v>
      </c>
      <c t="s" s="6" r="BW54">
        <v>595</v>
      </c>
      <c t="s" s="6" r="BX54">
        <v>596</v>
      </c>
      <c s="6" r="BY54">
        <v>1</v>
      </c>
    </row>
    <row customHeight="1" r="55" ht="14.25">
      <c t="s" s="6" r="A55">
        <v>597</v>
      </c>
      <c t="s" s="6" r="B55">
        <v>78</v>
      </c>
      <c t="s" s="6" r="C55">
        <v>598</v>
      </c>
      <c t="s" s="6" r="E55">
        <v>599</v>
      </c>
      <c t="s" s="6" r="F55">
        <v>81</v>
      </c>
      <c t="s" s="6" r="G55">
        <v>106</v>
      </c>
      <c s="6" r="H55">
        <v>0</v>
      </c>
      <c t="s" s="6" r="I55">
        <v>120</v>
      </c>
      <c t="s" s="6" r="L55">
        <v>420</v>
      </c>
      <c t="s" s="6" r="M55">
        <v>109</v>
      </c>
      <c s="6" r="N55">
        <v>0</v>
      </c>
      <c s="6" r="O55">
        <v>0</v>
      </c>
      <c t="s" s="6" r="P55">
        <v>600</v>
      </c>
      <c t="s" s="6" r="Q55">
        <v>601</v>
      </c>
      <c t="s" s="6" r="R55">
        <v>602</v>
      </c>
      <c t="s" s="6" r="S55">
        <v>603</v>
      </c>
      <c t="s" s="6" r="T55">
        <v>90</v>
      </c>
      <c t="s" s="6" r="U55">
        <v>604</v>
      </c>
      <c s="6" r="V55">
        <v>1</v>
      </c>
      <c s="6" r="W55">
        <v>1</v>
      </c>
      <c s="6" r="X55">
        <v>0</v>
      </c>
      <c s="6" r="Y55">
        <v>0</v>
      </c>
      <c s="6" r="Z55">
        <v>0</v>
      </c>
      <c t="s" s="6" r="AA55">
        <v>92</v>
      </c>
      <c t="s" s="6" r="AB55">
        <v>92</v>
      </c>
      <c s="6" r="AC55">
        <v>5</v>
      </c>
      <c t="s" s="6" r="AD55">
        <v>92</v>
      </c>
      <c t="s" s="6" r="AE55">
        <v>92</v>
      </c>
      <c t="s" s="6" r="AF55">
        <v>92</v>
      </c>
      <c t="s" s="6" r="AG55">
        <v>92</v>
      </c>
      <c t="s" s="6" r="AH55">
        <v>92</v>
      </c>
      <c t="s" s="6" r="AI55">
        <v>92</v>
      </c>
      <c t="s" s="6" r="AJ55">
        <v>92</v>
      </c>
      <c t="s" s="6" r="AK55">
        <v>92</v>
      </c>
      <c s="6" r="AL55">
        <v>5</v>
      </c>
      <c t="s" s="6" r="AM55">
        <v>92</v>
      </c>
      <c t="s" s="6" r="AN55">
        <v>92</v>
      </c>
      <c s="6" r="AP55">
        <v>5</v>
      </c>
      <c t="s" s="6" r="AQ55">
        <v>605</v>
      </c>
      <c t="s" s="6" r="AR55">
        <v>606</v>
      </c>
      <c s="6" r="AS55">
        <v>0</v>
      </c>
      <c s="6" r="AT55">
        <v>0</v>
      </c>
      <c s="6" r="AU55">
        <v>0</v>
      </c>
      <c s="6" r="AV55">
        <v>0</v>
      </c>
      <c s="6" r="AW55">
        <v>0</v>
      </c>
      <c s="6" r="AX55">
        <v>0</v>
      </c>
      <c s="6" r="AY55">
        <v>0</v>
      </c>
      <c s="6" r="AZ55">
        <v>0</v>
      </c>
      <c s="6" r="BA55">
        <v>0</v>
      </c>
      <c s="6" r="BB55">
        <v>0</v>
      </c>
      <c s="6" r="BC55">
        <v>0</v>
      </c>
      <c s="6" r="BD55">
        <v>0</v>
      </c>
      <c s="6" r="BE55">
        <v>0</v>
      </c>
      <c s="6" r="BF55">
        <v>0</v>
      </c>
      <c s="6" r="BG55">
        <v>0</v>
      </c>
      <c s="6" r="BH55">
        <v>0</v>
      </c>
      <c s="6" r="BI55">
        <v>0</v>
      </c>
      <c s="6" r="BJ55">
        <v>0</v>
      </c>
      <c s="6" r="BK55">
        <v>0</v>
      </c>
      <c s="6" r="BL55">
        <v>0</v>
      </c>
      <c s="6" r="BM55">
        <v>0</v>
      </c>
      <c s="6" r="BN55">
        <v>0</v>
      </c>
      <c s="6" r="BO55">
        <v>0</v>
      </c>
      <c s="6" r="BP55">
        <v>0</v>
      </c>
      <c s="6" r="BQ55">
        <v>0</v>
      </c>
      <c t="str" s="6" r="BR55">
        <f>HYPERLINK("http://www.d20pfsrd.com/magic/all-spells/b/breath-of-life","Breath of Life")</f>
        <v>Breath of Life</v>
      </c>
      <c s="6" r="BS55">
        <v>54</v>
      </c>
      <c t="s" s="6" r="BT55">
        <v>92</v>
      </c>
      <c t="s" s="6" r="BW55">
        <v>607</v>
      </c>
      <c t="s" s="6" r="BX55">
        <v>608</v>
      </c>
      <c s="6" r="BY55">
        <v>1</v>
      </c>
    </row>
    <row customHeight="1" r="56" ht="14.25">
      <c t="s" s="6" r="A56">
        <v>609</v>
      </c>
      <c t="s" s="6" r="B56">
        <v>131</v>
      </c>
      <c t="s" s="6" r="E56">
        <v>610</v>
      </c>
      <c t="s" s="6" r="F56">
        <v>81</v>
      </c>
      <c t="s" s="6" r="G56">
        <v>611</v>
      </c>
      <c s="6" r="H56">
        <v>0</v>
      </c>
      <c t="s" s="6" r="I56">
        <v>120</v>
      </c>
      <c t="s" s="6" r="L56">
        <v>420</v>
      </c>
      <c t="s" s="6" r="M56">
        <v>122</v>
      </c>
      <c s="6" r="N56">
        <v>0</v>
      </c>
      <c s="6" r="O56">
        <v>0</v>
      </c>
      <c t="s" s="6" r="P56">
        <v>421</v>
      </c>
      <c t="s" s="6" r="Q56">
        <v>123</v>
      </c>
      <c t="s" s="6" r="R56">
        <v>612</v>
      </c>
      <c t="s" s="6" r="S56">
        <v>613</v>
      </c>
      <c t="s" s="6" r="T56">
        <v>90</v>
      </c>
      <c t="s" s="6" r="U56">
        <v>614</v>
      </c>
      <c s="6" r="V56">
        <v>1</v>
      </c>
      <c s="6" r="W56">
        <v>1</v>
      </c>
      <c s="6" r="X56">
        <v>1</v>
      </c>
      <c s="6" r="Y56">
        <v>0</v>
      </c>
      <c s="6" r="Z56">
        <v>1</v>
      </c>
      <c s="6" r="AA56">
        <v>2</v>
      </c>
      <c s="6" r="AB56">
        <v>2</v>
      </c>
      <c s="6" r="AC56">
        <v>2</v>
      </c>
      <c s="6" r="AD56">
        <v>2</v>
      </c>
      <c t="s" s="6" r="AE56">
        <v>92</v>
      </c>
      <c t="s" s="6" r="AF56">
        <v>92</v>
      </c>
      <c s="6" r="AG56">
        <v>2</v>
      </c>
      <c s="6" r="AH56">
        <v>2</v>
      </c>
      <c s="6" r="AI56">
        <v>2</v>
      </c>
      <c t="s" s="6" r="AJ56">
        <v>92</v>
      </c>
      <c t="s" s="6" r="AK56">
        <v>92</v>
      </c>
      <c s="6" r="AL56">
        <v>2</v>
      </c>
      <c s="6" r="AM56">
        <v>2</v>
      </c>
      <c s="6" r="AN56">
        <v>2</v>
      </c>
      <c s="6" r="AP56">
        <v>2</v>
      </c>
      <c t="s" s="6" r="AQ56">
        <v>615</v>
      </c>
      <c t="s" s="6" r="AR56">
        <v>616</v>
      </c>
      <c s="6" r="AS56">
        <v>0</v>
      </c>
      <c s="6" r="AT56">
        <v>0</v>
      </c>
      <c s="6" r="AU56">
        <v>0</v>
      </c>
      <c s="6" r="AV56">
        <v>0</v>
      </c>
      <c s="6" r="AW56">
        <v>0</v>
      </c>
      <c s="6" r="AX56">
        <v>0</v>
      </c>
      <c s="6" r="AY56">
        <v>0</v>
      </c>
      <c s="6" r="AZ56">
        <v>0</v>
      </c>
      <c s="6" r="BA56">
        <v>0</v>
      </c>
      <c s="6" r="BB56">
        <v>0</v>
      </c>
      <c s="6" r="BC56">
        <v>0</v>
      </c>
      <c s="6" r="BD56">
        <v>0</v>
      </c>
      <c s="6" r="BE56">
        <v>0</v>
      </c>
      <c s="6" r="BF56">
        <v>0</v>
      </c>
      <c s="6" r="BG56">
        <v>0</v>
      </c>
      <c s="6" r="BH56">
        <v>0</v>
      </c>
      <c s="6" r="BI56">
        <v>0</v>
      </c>
      <c s="6" r="BJ56">
        <v>0</v>
      </c>
      <c s="6" r="BK56">
        <v>0</v>
      </c>
      <c s="6" r="BL56">
        <v>0</v>
      </c>
      <c s="6" r="BM56">
        <v>0</v>
      </c>
      <c s="6" r="BN56">
        <v>0</v>
      </c>
      <c s="6" r="BO56">
        <v>0</v>
      </c>
      <c s="6" r="BP56">
        <v>0</v>
      </c>
      <c s="6" r="BQ56">
        <v>0</v>
      </c>
      <c t="str" s="6" r="BR56">
        <f>HYPERLINK("http://www.d20pfsrd.com/magic/all-spells/b/bull-s-strength","Bull's Strength")</f>
        <v>Bull's Strength</v>
      </c>
      <c s="6" r="BS56">
        <v>55</v>
      </c>
      <c t="s" s="6" r="BT56">
        <v>92</v>
      </c>
      <c t="s" s="6" r="BU56">
        <v>617</v>
      </c>
      <c t="s" s="6" r="BV56">
        <v>618</v>
      </c>
      <c s="6" r="BY56">
        <v>0</v>
      </c>
    </row>
    <row customHeight="1" r="57" ht="14.25">
      <c t="s" s="6" r="A57">
        <v>619</v>
      </c>
      <c t="s" s="6" r="B57">
        <v>131</v>
      </c>
      <c t="s" s="6" r="E57">
        <v>428</v>
      </c>
      <c t="s" s="6" r="F57">
        <v>81</v>
      </c>
      <c t="s" s="6" r="G57">
        <v>611</v>
      </c>
      <c s="6" r="H57">
        <v>0</v>
      </c>
      <c t="s" s="6" r="I57">
        <v>107</v>
      </c>
      <c t="s" s="6" r="L57">
        <v>620</v>
      </c>
      <c t="s" s="6" r="M57">
        <v>122</v>
      </c>
      <c s="6" r="N57">
        <v>0</v>
      </c>
      <c s="6" r="O57">
        <v>0</v>
      </c>
      <c t="s" s="6" r="P57">
        <v>421</v>
      </c>
      <c t="s" s="6" r="Q57">
        <v>123</v>
      </c>
      <c t="s" s="6" r="R57">
        <v>621</v>
      </c>
      <c t="s" s="6" r="S57">
        <v>622</v>
      </c>
      <c t="s" s="6" r="T57">
        <v>90</v>
      </c>
      <c t="s" s="6" r="U57">
        <v>623</v>
      </c>
      <c s="6" r="V57">
        <v>1</v>
      </c>
      <c s="6" r="W57">
        <v>1</v>
      </c>
      <c s="6" r="X57">
        <v>1</v>
      </c>
      <c s="6" r="Y57">
        <v>0</v>
      </c>
      <c s="6" r="Z57">
        <v>1</v>
      </c>
      <c s="6" r="AA57">
        <v>6</v>
      </c>
      <c s="6" r="AB57">
        <v>6</v>
      </c>
      <c s="6" r="AC57">
        <v>6</v>
      </c>
      <c s="6" r="AD57">
        <v>6</v>
      </c>
      <c t="s" s="6" r="AE57">
        <v>92</v>
      </c>
      <c t="s" s="6" r="AF57">
        <v>92</v>
      </c>
      <c t="s" s="6" r="AG57">
        <v>92</v>
      </c>
      <c t="s" s="6" r="AH57">
        <v>92</v>
      </c>
      <c s="6" r="AI57">
        <v>4</v>
      </c>
      <c t="s" s="6" r="AJ57">
        <v>92</v>
      </c>
      <c t="s" s="6" r="AK57">
        <v>92</v>
      </c>
      <c s="6" r="AL57">
        <v>6</v>
      </c>
      <c t="s" s="6" r="AM57">
        <v>92</v>
      </c>
      <c s="6" r="AN57">
        <v>6</v>
      </c>
      <c s="6" r="AP57">
        <v>6</v>
      </c>
      <c t="s" s="6" r="AQ57">
        <v>624</v>
      </c>
      <c t="s" s="6" r="AR57">
        <v>625</v>
      </c>
      <c s="6" r="AS57">
        <v>0</v>
      </c>
      <c s="6" r="AT57">
        <v>0</v>
      </c>
      <c s="6" r="AU57">
        <v>0</v>
      </c>
      <c s="6" r="AV57">
        <v>0</v>
      </c>
      <c s="6" r="AW57">
        <v>0</v>
      </c>
      <c s="6" r="AX57">
        <v>0</v>
      </c>
      <c s="6" r="AY57">
        <v>0</v>
      </c>
      <c s="6" r="AZ57">
        <v>0</v>
      </c>
      <c s="6" r="BA57">
        <v>0</v>
      </c>
      <c s="6" r="BB57">
        <v>0</v>
      </c>
      <c s="6" r="BC57">
        <v>0</v>
      </c>
      <c s="6" r="BD57">
        <v>0</v>
      </c>
      <c s="6" r="BE57">
        <v>0</v>
      </c>
      <c s="6" r="BF57">
        <v>0</v>
      </c>
      <c s="6" r="BG57">
        <v>0</v>
      </c>
      <c s="6" r="BH57">
        <v>0</v>
      </c>
      <c s="6" r="BI57">
        <v>0</v>
      </c>
      <c s="6" r="BJ57">
        <v>0</v>
      </c>
      <c s="6" r="BK57">
        <v>0</v>
      </c>
      <c s="6" r="BL57">
        <v>0</v>
      </c>
      <c s="6" r="BM57">
        <v>0</v>
      </c>
      <c s="6" r="BN57">
        <v>0</v>
      </c>
      <c s="6" r="BO57">
        <v>0</v>
      </c>
      <c s="6" r="BP57">
        <v>0</v>
      </c>
      <c s="6" r="BQ57">
        <v>0</v>
      </c>
      <c t="str" s="6" r="BR57">
        <f>HYPERLINK("http://www.d20pfsrd.com/magic/all-spells/b/bull-s-strength","Bull's Strength, Mass")</f>
        <v>Bull's Strength, Mass</v>
      </c>
      <c s="6" r="BS57">
        <v>56</v>
      </c>
      <c t="s" s="6" r="BT57">
        <v>92</v>
      </c>
      <c t="s" s="6" r="BV57">
        <v>626</v>
      </c>
      <c s="6" r="BY57">
        <v>0</v>
      </c>
    </row>
    <row customHeight="1" r="58" ht="14.25">
      <c t="s" s="6" r="A58">
        <v>627</v>
      </c>
      <c t="s" s="6" r="B58">
        <v>493</v>
      </c>
      <c t="s" s="6" r="D58">
        <v>57</v>
      </c>
      <c t="s" s="6" r="E58">
        <v>628</v>
      </c>
      <c t="s" s="6" r="F58">
        <v>81</v>
      </c>
      <c t="s" s="6" r="G58">
        <v>106</v>
      </c>
      <c s="6" r="H58">
        <v>0</v>
      </c>
      <c t="s" s="6" r="I58">
        <v>629</v>
      </c>
      <c t="s" s="6" r="J58">
        <v>630</v>
      </c>
      <c t="s" s="6" r="M58">
        <v>109</v>
      </c>
      <c s="6" r="N58">
        <v>0</v>
      </c>
      <c s="6" r="O58">
        <v>0</v>
      </c>
      <c t="s" s="6" r="P58">
        <v>631</v>
      </c>
      <c t="s" s="6" r="Q58">
        <v>188</v>
      </c>
      <c t="s" s="6" r="R58">
        <v>632</v>
      </c>
      <c t="s" s="6" r="S58">
        <v>633</v>
      </c>
      <c t="s" s="6" r="T58">
        <v>90</v>
      </c>
      <c t="s" s="6" r="U58">
        <v>634</v>
      </c>
      <c s="6" r="V58">
        <v>1</v>
      </c>
      <c s="6" r="W58">
        <v>1</v>
      </c>
      <c s="6" r="X58">
        <v>0</v>
      </c>
      <c s="6" r="Y58">
        <v>0</v>
      </c>
      <c s="6" r="Z58">
        <v>0</v>
      </c>
      <c s="6" r="AA58">
        <v>1</v>
      </c>
      <c s="6" r="AB58">
        <v>1</v>
      </c>
      <c t="s" s="6" r="AC58">
        <v>92</v>
      </c>
      <c t="s" s="6" r="AD58">
        <v>92</v>
      </c>
      <c t="s" s="6" r="AE58">
        <v>92</v>
      </c>
      <c t="s" s="6" r="AF58">
        <v>92</v>
      </c>
      <c t="s" s="6" r="AG58">
        <v>92</v>
      </c>
      <c t="s" s="6" r="AH58">
        <v>92</v>
      </c>
      <c t="s" s="6" r="AI58">
        <v>92</v>
      </c>
      <c s="6" r="AJ58">
        <v>1</v>
      </c>
      <c t="s" s="6" r="AK58">
        <v>92</v>
      </c>
      <c t="s" s="6" r="AL58">
        <v>92</v>
      </c>
      <c t="s" s="6" r="AM58">
        <v>92</v>
      </c>
      <c s="6" r="AN58">
        <v>1</v>
      </c>
      <c s="6" r="AP58">
        <v>1</v>
      </c>
      <c t="s" s="6" r="AQ58">
        <v>635</v>
      </c>
      <c t="s" s="6" r="AR58">
        <v>636</v>
      </c>
      <c s="6" r="AS58">
        <v>0</v>
      </c>
      <c s="6" r="AT58">
        <v>0</v>
      </c>
      <c s="6" r="AU58">
        <v>0</v>
      </c>
      <c s="6" r="AV58">
        <v>0</v>
      </c>
      <c s="6" r="AW58">
        <v>0</v>
      </c>
      <c s="6" r="AX58">
        <v>0</v>
      </c>
      <c s="6" r="AY58">
        <v>0</v>
      </c>
      <c s="6" r="AZ58">
        <v>0</v>
      </c>
      <c s="6" r="BA58">
        <v>0</v>
      </c>
      <c s="6" r="BB58">
        <v>0</v>
      </c>
      <c s="6" r="BC58">
        <v>0</v>
      </c>
      <c s="6" r="BD58">
        <v>0</v>
      </c>
      <c s="6" r="BE58">
        <v>0</v>
      </c>
      <c s="6" r="BF58">
        <v>1</v>
      </c>
      <c s="6" r="BG58">
        <v>0</v>
      </c>
      <c s="6" r="BH58">
        <v>0</v>
      </c>
      <c s="6" r="BI58">
        <v>0</v>
      </c>
      <c s="6" r="BJ58">
        <v>0</v>
      </c>
      <c s="6" r="BK58">
        <v>0</v>
      </c>
      <c s="6" r="BL58">
        <v>0</v>
      </c>
      <c s="6" r="BM58">
        <v>0</v>
      </c>
      <c s="6" r="BN58">
        <v>0</v>
      </c>
      <c s="6" r="BO58">
        <v>0</v>
      </c>
      <c s="6" r="BP58">
        <v>0</v>
      </c>
      <c s="6" r="BQ58">
        <v>0</v>
      </c>
      <c t="str" s="6" r="BR58">
        <f>HYPERLINK("http://www.d20pfsrd.com/magic/all-spells/b/burning-hands","Burning Hands")</f>
        <v>Burning Hands</v>
      </c>
      <c s="6" r="BS58">
        <v>57</v>
      </c>
      <c t="s" s="6" r="BT58">
        <v>92</v>
      </c>
      <c t="s" s="6" r="BU58">
        <v>637</v>
      </c>
      <c t="s" s="6" r="BV58">
        <v>638</v>
      </c>
      <c t="s" s="6" r="BW58">
        <v>639</v>
      </c>
      <c s="6" r="BY58">
        <v>1</v>
      </c>
    </row>
    <row customHeight="1" r="59" ht="14.25">
      <c t="s" s="6" r="A59">
        <v>640</v>
      </c>
      <c t="s" s="6" r="B59">
        <v>493</v>
      </c>
      <c t="s" s="6" r="D59">
        <v>53</v>
      </c>
      <c t="s" s="6" r="E59">
        <v>641</v>
      </c>
      <c t="s" s="6" r="F59">
        <v>272</v>
      </c>
      <c t="s" s="6" r="G59">
        <v>106</v>
      </c>
      <c s="6" r="H59">
        <v>0</v>
      </c>
      <c t="s" s="6" r="I59">
        <v>97</v>
      </c>
      <c t="s" s="6" r="K59">
        <v>642</v>
      </c>
      <c t="s" s="6" r="M59">
        <v>122</v>
      </c>
      <c s="6" r="N59">
        <v>0</v>
      </c>
      <c s="6" r="O59">
        <v>0</v>
      </c>
      <c t="s" s="6" r="P59">
        <v>631</v>
      </c>
      <c t="s" s="6" r="Q59">
        <v>188</v>
      </c>
      <c t="s" s="6" r="R59">
        <v>643</v>
      </c>
      <c t="s" s="6" r="S59">
        <v>644</v>
      </c>
      <c t="s" s="6" r="T59">
        <v>90</v>
      </c>
      <c t="s" s="6" r="U59">
        <v>645</v>
      </c>
      <c s="6" r="V59">
        <v>1</v>
      </c>
      <c s="6" r="W59">
        <v>1</v>
      </c>
      <c s="6" r="X59">
        <v>0</v>
      </c>
      <c s="6" r="Y59">
        <v>0</v>
      </c>
      <c s="6" r="Z59">
        <v>0</v>
      </c>
      <c t="s" s="6" r="AA59">
        <v>92</v>
      </c>
      <c t="s" s="6" r="AB59">
        <v>92</v>
      </c>
      <c t="s" s="6" r="AC59">
        <v>92</v>
      </c>
      <c s="6" r="AD59">
        <v>3</v>
      </c>
      <c t="s" s="6" r="AE59">
        <v>92</v>
      </c>
      <c t="s" s="6" r="AF59">
        <v>92</v>
      </c>
      <c t="s" s="6" r="AG59">
        <v>92</v>
      </c>
      <c t="s" s="6" r="AH59">
        <v>92</v>
      </c>
      <c t="s" s="6" r="AI59">
        <v>92</v>
      </c>
      <c t="s" s="6" r="AJ59">
        <v>92</v>
      </c>
      <c t="s" s="6" r="AK59">
        <v>92</v>
      </c>
      <c t="s" s="6" r="AL59">
        <v>92</v>
      </c>
      <c t="s" s="6" r="AM59">
        <v>92</v>
      </c>
      <c t="s" s="6" r="AN59">
        <v>92</v>
      </c>
      <c s="6" r="AP59">
        <v>3</v>
      </c>
      <c t="s" s="6" r="AQ59">
        <v>646</v>
      </c>
      <c t="s" s="6" r="AR59">
        <v>647</v>
      </c>
      <c s="6" r="AS59">
        <v>0</v>
      </c>
      <c s="6" r="AT59">
        <v>0</v>
      </c>
      <c s="6" r="AU59">
        <v>0</v>
      </c>
      <c s="6" r="AV59">
        <v>0</v>
      </c>
      <c s="6" r="AW59">
        <v>0</v>
      </c>
      <c s="6" r="AX59">
        <v>0</v>
      </c>
      <c s="6" r="AY59">
        <v>0</v>
      </c>
      <c s="6" r="AZ59">
        <v>0</v>
      </c>
      <c s="6" r="BA59">
        <v>0</v>
      </c>
      <c s="6" r="BB59">
        <v>1</v>
      </c>
      <c s="6" r="BC59">
        <v>0</v>
      </c>
      <c s="6" r="BD59">
        <v>0</v>
      </c>
      <c s="6" r="BE59">
        <v>0</v>
      </c>
      <c s="6" r="BF59">
        <v>0</v>
      </c>
      <c s="6" r="BG59">
        <v>0</v>
      </c>
      <c s="6" r="BH59">
        <v>0</v>
      </c>
      <c s="6" r="BI59">
        <v>0</v>
      </c>
      <c s="6" r="BJ59">
        <v>0</v>
      </c>
      <c s="6" r="BK59">
        <v>0</v>
      </c>
      <c s="6" r="BL59">
        <v>0</v>
      </c>
      <c s="6" r="BM59">
        <v>0</v>
      </c>
      <c s="6" r="BN59">
        <v>0</v>
      </c>
      <c s="6" r="BO59">
        <v>0</v>
      </c>
      <c s="6" r="BP59">
        <v>0</v>
      </c>
      <c s="6" r="BQ59">
        <v>0</v>
      </c>
      <c t="str" s="6" r="BR59">
        <f>HYPERLINK("http://www.d20pfsrd.com/magic/all-spells/c/call-lightning","Call Lightning")</f>
        <v>Call Lightning</v>
      </c>
      <c s="6" r="BS59">
        <v>58</v>
      </c>
      <c t="s" s="6" r="BT59">
        <v>92</v>
      </c>
      <c t="s" s="6" r="BW59">
        <v>648</v>
      </c>
      <c s="6" r="BY59">
        <v>1</v>
      </c>
    </row>
    <row customHeight="1" r="60" ht="14.25">
      <c t="s" s="6" r="A60">
        <v>649</v>
      </c>
      <c t="s" s="6" r="B60">
        <v>493</v>
      </c>
      <c t="s" s="6" r="D60">
        <v>53</v>
      </c>
      <c t="s" s="6" r="E60">
        <v>378</v>
      </c>
      <c t="s" s="6" r="F60">
        <v>272</v>
      </c>
      <c t="s" s="6" r="G60">
        <v>106</v>
      </c>
      <c s="6" r="H60">
        <v>0</v>
      </c>
      <c t="s" s="6" r="I60">
        <v>83</v>
      </c>
      <c t="s" s="6" r="K60">
        <v>642</v>
      </c>
      <c t="s" s="6" r="M60">
        <v>122</v>
      </c>
      <c s="6" r="N60">
        <v>0</v>
      </c>
      <c s="6" r="O60">
        <v>0</v>
      </c>
      <c t="s" s="6" r="P60">
        <v>631</v>
      </c>
      <c t="s" s="6" r="Q60">
        <v>188</v>
      </c>
      <c t="s" s="6" r="R60">
        <v>650</v>
      </c>
      <c t="s" s="6" r="S60">
        <v>651</v>
      </c>
      <c t="s" s="6" r="T60">
        <v>90</v>
      </c>
      <c t="s" s="6" r="U60">
        <v>652</v>
      </c>
      <c s="6" r="V60">
        <v>1</v>
      </c>
      <c s="6" r="W60">
        <v>1</v>
      </c>
      <c s="6" r="X60">
        <v>0</v>
      </c>
      <c s="6" r="Y60">
        <v>0</v>
      </c>
      <c s="6" r="Z60">
        <v>0</v>
      </c>
      <c t="s" s="6" r="AA60">
        <v>92</v>
      </c>
      <c t="s" s="6" r="AB60">
        <v>92</v>
      </c>
      <c t="s" s="6" r="AC60">
        <v>92</v>
      </c>
      <c s="6" r="AD60">
        <v>5</v>
      </c>
      <c t="s" s="6" r="AE60">
        <v>92</v>
      </c>
      <c t="s" s="6" r="AF60">
        <v>92</v>
      </c>
      <c t="s" s="6" r="AG60">
        <v>92</v>
      </c>
      <c t="s" s="6" r="AH60">
        <v>92</v>
      </c>
      <c t="s" s="6" r="AI60">
        <v>92</v>
      </c>
      <c t="s" s="6" r="AJ60">
        <v>92</v>
      </c>
      <c t="s" s="6" r="AK60">
        <v>92</v>
      </c>
      <c t="s" s="6" r="AL60">
        <v>92</v>
      </c>
      <c t="s" s="6" r="AM60">
        <v>92</v>
      </c>
      <c t="s" s="6" r="AN60">
        <v>92</v>
      </c>
      <c s="6" r="AP60">
        <v>5</v>
      </c>
      <c t="s" s="6" r="AQ60">
        <v>653</v>
      </c>
      <c t="s" s="6" r="AR60">
        <v>654</v>
      </c>
      <c s="6" r="AS60">
        <v>0</v>
      </c>
      <c s="6" r="AT60">
        <v>0</v>
      </c>
      <c s="6" r="AU60">
        <v>0</v>
      </c>
      <c s="6" r="AV60">
        <v>0</v>
      </c>
      <c s="6" r="AW60">
        <v>0</v>
      </c>
      <c s="6" r="AX60">
        <v>0</v>
      </c>
      <c s="6" r="AY60">
        <v>0</v>
      </c>
      <c s="6" r="AZ60">
        <v>0</v>
      </c>
      <c s="6" r="BA60">
        <v>0</v>
      </c>
      <c s="6" r="BB60">
        <v>1</v>
      </c>
      <c s="6" r="BC60">
        <v>0</v>
      </c>
      <c s="6" r="BD60">
        <v>0</v>
      </c>
      <c s="6" r="BE60">
        <v>0</v>
      </c>
      <c s="6" r="BF60">
        <v>0</v>
      </c>
      <c s="6" r="BG60">
        <v>0</v>
      </c>
      <c s="6" r="BH60">
        <v>0</v>
      </c>
      <c s="6" r="BI60">
        <v>0</v>
      </c>
      <c s="6" r="BJ60">
        <v>0</v>
      </c>
      <c s="6" r="BK60">
        <v>0</v>
      </c>
      <c s="6" r="BL60">
        <v>0</v>
      </c>
      <c s="6" r="BM60">
        <v>0</v>
      </c>
      <c s="6" r="BN60">
        <v>0</v>
      </c>
      <c s="6" r="BO60">
        <v>0</v>
      </c>
      <c s="6" r="BP60">
        <v>0</v>
      </c>
      <c s="6" r="BQ60">
        <v>0</v>
      </c>
      <c t="str" s="6" r="BR60">
        <f>HYPERLINK("http://www.d20pfsrd.com/magic/all-spells/c/call-lightning-storm","Call Lightning Storm")</f>
        <v>Call Lightning Storm</v>
      </c>
      <c s="6" r="BS60">
        <v>59</v>
      </c>
      <c t="s" s="6" r="BT60">
        <v>92</v>
      </c>
      <c t="s" s="6" r="BU60">
        <v>574</v>
      </c>
      <c s="6" r="BY60">
        <v>0</v>
      </c>
    </row>
    <row customHeight="1" r="61" ht="14.25">
      <c t="s" s="6" r="A61">
        <v>655</v>
      </c>
      <c t="s" s="6" r="B61">
        <v>115</v>
      </c>
      <c t="s" s="6" r="C61">
        <v>116</v>
      </c>
      <c t="s" s="6" r="D61">
        <v>291</v>
      </c>
      <c t="s" s="6" r="E61">
        <v>656</v>
      </c>
      <c t="s" s="6" r="F61">
        <v>81</v>
      </c>
      <c t="s" s="6" r="G61">
        <v>106</v>
      </c>
      <c s="6" r="H61">
        <v>0</v>
      </c>
      <c t="s" s="6" r="I61">
        <v>107</v>
      </c>
      <c t="s" s="6" r="L61">
        <v>657</v>
      </c>
      <c t="s" s="6" r="M61">
        <v>122</v>
      </c>
      <c s="6" r="N61">
        <v>0</v>
      </c>
      <c s="6" r="O61">
        <v>0</v>
      </c>
      <c t="s" s="6" r="P61">
        <v>221</v>
      </c>
      <c t="s" s="6" r="Q61">
        <v>188</v>
      </c>
      <c t="s" s="6" r="R61">
        <v>658</v>
      </c>
      <c t="s" s="6" r="S61">
        <v>659</v>
      </c>
      <c t="s" s="6" r="T61">
        <v>90</v>
      </c>
      <c t="s" s="6" r="U61">
        <v>660</v>
      </c>
      <c s="6" r="V61">
        <v>1</v>
      </c>
      <c s="6" r="W61">
        <v>1</v>
      </c>
      <c s="6" r="X61">
        <v>0</v>
      </c>
      <c s="6" r="Y61">
        <v>0</v>
      </c>
      <c s="6" r="Z61">
        <v>0</v>
      </c>
      <c t="s" s="6" r="AA61">
        <v>92</v>
      </c>
      <c t="s" s="6" r="AB61">
        <v>92</v>
      </c>
      <c t="s" s="6" r="AC61">
        <v>92</v>
      </c>
      <c s="6" r="AD61">
        <v>1</v>
      </c>
      <c s="6" r="AE61">
        <v>1</v>
      </c>
      <c t="s" s="6" r="AF61">
        <v>92</v>
      </c>
      <c t="s" s="6" r="AG61">
        <v>92</v>
      </c>
      <c t="s" s="6" r="AH61">
        <v>92</v>
      </c>
      <c t="s" s="6" r="AI61">
        <v>92</v>
      </c>
      <c t="s" s="6" r="AJ61">
        <v>92</v>
      </c>
      <c t="s" s="6" r="AK61">
        <v>92</v>
      </c>
      <c t="s" s="6" r="AL61">
        <v>92</v>
      </c>
      <c t="s" s="6" r="AM61">
        <v>92</v>
      </c>
      <c t="s" s="6" r="AN61">
        <v>92</v>
      </c>
      <c s="6" r="AP61">
        <v>1</v>
      </c>
      <c t="s" s="6" r="AQ61">
        <v>661</v>
      </c>
      <c t="s" s="6" r="AR61">
        <v>662</v>
      </c>
      <c s="6" r="AS61">
        <v>0</v>
      </c>
      <c s="6" r="AT61">
        <v>0</v>
      </c>
      <c s="6" r="AU61">
        <v>0</v>
      </c>
      <c s="6" r="AV61">
        <v>0</v>
      </c>
      <c s="6" r="AW61">
        <v>0</v>
      </c>
      <c s="6" r="AX61">
        <v>0</v>
      </c>
      <c s="6" r="AY61">
        <v>0</v>
      </c>
      <c s="6" r="AZ61">
        <v>0</v>
      </c>
      <c s="6" r="BA61">
        <v>0</v>
      </c>
      <c s="6" r="BB61">
        <v>0</v>
      </c>
      <c s="6" r="BC61">
        <v>1</v>
      </c>
      <c s="6" r="BD61">
        <v>0</v>
      </c>
      <c s="6" r="BE61">
        <v>0</v>
      </c>
      <c s="6" r="BF61">
        <v>0</v>
      </c>
      <c s="6" r="BG61">
        <v>0</v>
      </c>
      <c s="6" r="BH61">
        <v>0</v>
      </c>
      <c s="6" r="BI61">
        <v>0</v>
      </c>
      <c s="6" r="BJ61">
        <v>0</v>
      </c>
      <c s="6" r="BK61">
        <v>0</v>
      </c>
      <c s="6" r="BL61">
        <v>1</v>
      </c>
      <c s="6" r="BM61">
        <v>0</v>
      </c>
      <c s="6" r="BN61">
        <v>0</v>
      </c>
      <c s="6" r="BO61">
        <v>0</v>
      </c>
      <c s="6" r="BP61">
        <v>0</v>
      </c>
      <c s="6" r="BQ61">
        <v>0</v>
      </c>
      <c t="str" s="6" r="BR61">
        <f>HYPERLINK("http://www.d20pfsrd.com/magic/all-spells/c/calm-animals","Calm Animals")</f>
        <v>Calm Animals</v>
      </c>
      <c s="6" r="BS61">
        <v>60</v>
      </c>
      <c t="s" s="6" r="BT61">
        <v>92</v>
      </c>
      <c s="6" r="BY61">
        <v>0</v>
      </c>
    </row>
    <row customHeight="1" r="62" ht="14.25">
      <c t="s" s="6" r="A62">
        <v>663</v>
      </c>
      <c t="s" s="6" r="B62">
        <v>115</v>
      </c>
      <c t="s" s="6" r="C62">
        <v>116</v>
      </c>
      <c t="s" s="6" r="D62">
        <v>291</v>
      </c>
      <c t="s" s="6" r="E62">
        <v>664</v>
      </c>
      <c t="s" s="6" r="F62">
        <v>81</v>
      </c>
      <c t="s" s="6" r="G62">
        <v>119</v>
      </c>
      <c s="6" r="H62">
        <v>0</v>
      </c>
      <c t="s" s="6" r="I62">
        <v>97</v>
      </c>
      <c t="s" s="6" r="J62">
        <v>665</v>
      </c>
      <c t="s" s="6" r="M62">
        <v>666</v>
      </c>
      <c s="6" r="N62">
        <v>1</v>
      </c>
      <c s="6" r="O62">
        <v>0</v>
      </c>
      <c t="s" s="6" r="P62">
        <v>221</v>
      </c>
      <c t="s" s="6" r="Q62">
        <v>188</v>
      </c>
      <c t="s" s="6" r="R62">
        <v>667</v>
      </c>
      <c t="s" s="6" r="S62">
        <v>668</v>
      </c>
      <c t="s" s="6" r="T62">
        <v>90</v>
      </c>
      <c t="s" s="6" r="U62">
        <v>669</v>
      </c>
      <c s="6" r="V62">
        <v>1</v>
      </c>
      <c s="6" r="W62">
        <v>1</v>
      </c>
      <c s="6" r="X62">
        <v>0</v>
      </c>
      <c s="6" r="Y62">
        <v>0</v>
      </c>
      <c s="6" r="Z62">
        <v>1</v>
      </c>
      <c t="s" s="6" r="AA62">
        <v>92</v>
      </c>
      <c t="s" s="6" r="AB62">
        <v>92</v>
      </c>
      <c s="6" r="AC62">
        <v>2</v>
      </c>
      <c t="s" s="6" r="AD62">
        <v>92</v>
      </c>
      <c t="s" s="6" r="AE62">
        <v>92</v>
      </c>
      <c s="6" r="AF62">
        <v>2</v>
      </c>
      <c t="s" s="6" r="AG62">
        <v>92</v>
      </c>
      <c t="s" s="6" r="AH62">
        <v>92</v>
      </c>
      <c t="s" s="6" r="AI62">
        <v>92</v>
      </c>
      <c t="s" s="6" r="AJ62">
        <v>92</v>
      </c>
      <c s="6" r="AK62">
        <v>2</v>
      </c>
      <c s="6" r="AL62">
        <v>2</v>
      </c>
      <c t="s" s="6" r="AM62">
        <v>92</v>
      </c>
      <c t="s" s="6" r="AN62">
        <v>92</v>
      </c>
      <c s="6" r="AP62">
        <v>2</v>
      </c>
      <c t="s" s="6" r="AQ62">
        <v>670</v>
      </c>
      <c t="s" s="6" r="AR62">
        <v>671</v>
      </c>
      <c s="6" r="AS62">
        <v>0</v>
      </c>
      <c s="6" r="AT62">
        <v>0</v>
      </c>
      <c s="6" r="AU62">
        <v>0</v>
      </c>
      <c s="6" r="AV62">
        <v>0</v>
      </c>
      <c s="6" r="AW62">
        <v>0</v>
      </c>
      <c s="6" r="AX62">
        <v>0</v>
      </c>
      <c s="6" r="AY62">
        <v>0</v>
      </c>
      <c s="6" r="AZ62">
        <v>0</v>
      </c>
      <c s="6" r="BA62">
        <v>0</v>
      </c>
      <c s="6" r="BB62">
        <v>0</v>
      </c>
      <c s="6" r="BC62">
        <v>1</v>
      </c>
      <c s="6" r="BD62">
        <v>0</v>
      </c>
      <c s="6" r="BE62">
        <v>0</v>
      </c>
      <c s="6" r="BF62">
        <v>0</v>
      </c>
      <c s="6" r="BG62">
        <v>0</v>
      </c>
      <c s="6" r="BH62">
        <v>0</v>
      </c>
      <c s="6" r="BI62">
        <v>0</v>
      </c>
      <c s="6" r="BJ62">
        <v>0</v>
      </c>
      <c s="6" r="BK62">
        <v>0</v>
      </c>
      <c s="6" r="BL62">
        <v>1</v>
      </c>
      <c s="6" r="BM62">
        <v>0</v>
      </c>
      <c s="6" r="BN62">
        <v>0</v>
      </c>
      <c s="6" r="BO62">
        <v>0</v>
      </c>
      <c s="6" r="BP62">
        <v>0</v>
      </c>
      <c s="6" r="BQ62">
        <v>0</v>
      </c>
      <c t="str" s="6" r="BR62">
        <f>HYPERLINK("http://www.d20pfsrd.com/magic/all-spells/c/calm-emotions","Calm Emotions")</f>
        <v>Calm Emotions</v>
      </c>
      <c s="6" r="BS62">
        <v>61</v>
      </c>
      <c t="s" s="6" r="BT62">
        <v>92</v>
      </c>
      <c t="s" s="6" r="BV62">
        <v>672</v>
      </c>
      <c s="6" r="BY62">
        <v>0</v>
      </c>
    </row>
    <row customHeight="1" r="63" ht="14.25">
      <c t="s" s="6" r="A63">
        <v>673</v>
      </c>
      <c t="s" s="6" r="B63">
        <v>131</v>
      </c>
      <c t="s" s="6" r="E63">
        <v>674</v>
      </c>
      <c t="s" s="6" r="F63">
        <v>81</v>
      </c>
      <c t="s" s="6" r="G63">
        <v>675</v>
      </c>
      <c s="6" r="H63">
        <v>0</v>
      </c>
      <c t="s" s="6" r="I63">
        <v>120</v>
      </c>
      <c t="s" s="6" r="L63">
        <v>420</v>
      </c>
      <c t="s" s="6" r="M63">
        <v>122</v>
      </c>
      <c s="6" r="N63">
        <v>0</v>
      </c>
      <c s="6" r="O63">
        <v>0</v>
      </c>
      <c t="s" s="6" r="P63">
        <v>421</v>
      </c>
      <c t="s" s="6" r="Q63">
        <v>188</v>
      </c>
      <c t="s" s="6" r="R63">
        <v>676</v>
      </c>
      <c t="s" s="6" r="S63">
        <v>677</v>
      </c>
      <c t="s" s="6" r="T63">
        <v>90</v>
      </c>
      <c t="s" s="6" r="U63">
        <v>678</v>
      </c>
      <c s="6" r="V63">
        <v>1</v>
      </c>
      <c s="6" r="W63">
        <v>1</v>
      </c>
      <c s="6" r="X63">
        <v>1</v>
      </c>
      <c s="6" r="Y63">
        <v>0</v>
      </c>
      <c s="6" r="Z63">
        <v>0</v>
      </c>
      <c s="6" r="AA63">
        <v>2</v>
      </c>
      <c s="6" r="AB63">
        <v>2</v>
      </c>
      <c t="s" s="6" r="AC63">
        <v>92</v>
      </c>
      <c s="6" r="AD63">
        <v>2</v>
      </c>
      <c s="6" r="AE63">
        <v>2</v>
      </c>
      <c s="6" r="AF63">
        <v>2</v>
      </c>
      <c t="s" s="6" r="AG63">
        <v>92</v>
      </c>
      <c s="6" r="AH63">
        <v>2</v>
      </c>
      <c s="6" r="AI63">
        <v>2</v>
      </c>
      <c t="s" s="6" r="AJ63">
        <v>92</v>
      </c>
      <c t="s" s="6" r="AK63">
        <v>92</v>
      </c>
      <c t="s" s="6" r="AL63">
        <v>92</v>
      </c>
      <c t="s" s="6" r="AM63">
        <v>92</v>
      </c>
      <c s="6" r="AN63">
        <v>2</v>
      </c>
      <c s="6" r="AP63">
        <v>2</v>
      </c>
      <c t="s" s="6" r="AR63">
        <v>679</v>
      </c>
      <c s="6" r="AS63">
        <v>0</v>
      </c>
      <c s="6" r="AT63">
        <v>0</v>
      </c>
      <c s="6" r="AU63">
        <v>0</v>
      </c>
      <c s="6" r="AV63">
        <v>0</v>
      </c>
      <c s="6" r="AW63">
        <v>0</v>
      </c>
      <c s="6" r="AX63">
        <v>0</v>
      </c>
      <c s="6" r="AY63">
        <v>0</v>
      </c>
      <c s="6" r="AZ63">
        <v>0</v>
      </c>
      <c s="6" r="BA63">
        <v>0</v>
      </c>
      <c s="6" r="BB63">
        <v>0</v>
      </c>
      <c s="6" r="BC63">
        <v>0</v>
      </c>
      <c s="6" r="BD63">
        <v>0</v>
      </c>
      <c s="6" r="BE63">
        <v>0</v>
      </c>
      <c s="6" r="BF63">
        <v>0</v>
      </c>
      <c s="6" r="BG63">
        <v>0</v>
      </c>
      <c s="6" r="BH63">
        <v>0</v>
      </c>
      <c s="6" r="BI63">
        <v>0</v>
      </c>
      <c s="6" r="BJ63">
        <v>0</v>
      </c>
      <c s="6" r="BK63">
        <v>0</v>
      </c>
      <c s="6" r="BL63">
        <v>0</v>
      </c>
      <c s="6" r="BM63">
        <v>0</v>
      </c>
      <c s="6" r="BN63">
        <v>0</v>
      </c>
      <c s="6" r="BO63">
        <v>0</v>
      </c>
      <c s="6" r="BP63">
        <v>0</v>
      </c>
      <c s="6" r="BQ63">
        <v>0</v>
      </c>
      <c t="str" s="6" r="BR63">
        <f>HYPERLINK("http://www.d20pfsrd.com/magic/all-spells/c/cat-s-grace","Cat's Grace")</f>
        <v>Cat's Grace</v>
      </c>
      <c s="6" r="BS63">
        <v>62</v>
      </c>
      <c t="s" s="6" r="BT63">
        <v>92</v>
      </c>
      <c t="s" s="6" r="BV63">
        <v>680</v>
      </c>
      <c s="6" r="BY63">
        <v>0</v>
      </c>
    </row>
    <row customHeight="1" r="64" ht="14.25">
      <c t="s" s="6" r="A64">
        <v>681</v>
      </c>
      <c t="s" s="6" r="B64">
        <v>131</v>
      </c>
      <c t="s" s="6" r="E64">
        <v>682</v>
      </c>
      <c t="s" s="6" r="F64">
        <v>81</v>
      </c>
      <c t="s" s="6" r="G64">
        <v>675</v>
      </c>
      <c s="6" r="H64">
        <v>0</v>
      </c>
      <c t="s" s="6" r="I64">
        <v>107</v>
      </c>
      <c t="s" s="6" r="L64">
        <v>620</v>
      </c>
      <c t="s" s="6" r="M64">
        <v>122</v>
      </c>
      <c s="6" r="N64">
        <v>0</v>
      </c>
      <c s="6" r="O64">
        <v>0</v>
      </c>
      <c t="s" s="6" r="P64">
        <v>421</v>
      </c>
      <c t="s" s="6" r="Q64">
        <v>188</v>
      </c>
      <c t="s" s="6" r="R64">
        <v>683</v>
      </c>
      <c t="s" s="6" r="S64">
        <v>684</v>
      </c>
      <c t="s" s="6" r="T64">
        <v>90</v>
      </c>
      <c t="s" s="6" r="U64">
        <v>685</v>
      </c>
      <c s="6" r="V64">
        <v>1</v>
      </c>
      <c s="6" r="W64">
        <v>1</v>
      </c>
      <c s="6" r="X64">
        <v>1</v>
      </c>
      <c s="6" r="Y64">
        <v>0</v>
      </c>
      <c s="6" r="Z64">
        <v>0</v>
      </c>
      <c s="6" r="AA64">
        <v>6</v>
      </c>
      <c s="6" r="AB64">
        <v>6</v>
      </c>
      <c t="s" s="6" r="AC64">
        <v>92</v>
      </c>
      <c s="6" r="AD64">
        <v>6</v>
      </c>
      <c t="s" s="6" r="AE64">
        <v>92</v>
      </c>
      <c s="6" r="AF64">
        <v>6</v>
      </c>
      <c t="s" s="6" r="AG64">
        <v>92</v>
      </c>
      <c t="s" s="6" r="AH64">
        <v>92</v>
      </c>
      <c s="6" r="AI64">
        <v>4</v>
      </c>
      <c t="s" s="6" r="AJ64">
        <v>92</v>
      </c>
      <c t="s" s="6" r="AK64">
        <v>92</v>
      </c>
      <c t="s" s="6" r="AL64">
        <v>92</v>
      </c>
      <c t="s" s="6" r="AM64">
        <v>92</v>
      </c>
      <c s="6" r="AN64">
        <v>6</v>
      </c>
      <c s="6" r="AP64">
        <v>6</v>
      </c>
      <c t="s" s="6" r="AR64">
        <v>686</v>
      </c>
      <c s="6" r="AS64">
        <v>0</v>
      </c>
      <c s="6" r="AT64">
        <v>0</v>
      </c>
      <c s="6" r="AU64">
        <v>0</v>
      </c>
      <c s="6" r="AV64">
        <v>0</v>
      </c>
      <c s="6" r="AW64">
        <v>0</v>
      </c>
      <c s="6" r="AX64">
        <v>0</v>
      </c>
      <c s="6" r="AY64">
        <v>0</v>
      </c>
      <c s="6" r="AZ64">
        <v>0</v>
      </c>
      <c s="6" r="BA64">
        <v>0</v>
      </c>
      <c s="6" r="BB64">
        <v>0</v>
      </c>
      <c s="6" r="BC64">
        <v>0</v>
      </c>
      <c s="6" r="BD64">
        <v>0</v>
      </c>
      <c s="6" r="BE64">
        <v>0</v>
      </c>
      <c s="6" r="BF64">
        <v>0</v>
      </c>
      <c s="6" r="BG64">
        <v>0</v>
      </c>
      <c s="6" r="BH64">
        <v>0</v>
      </c>
      <c s="6" r="BI64">
        <v>0</v>
      </c>
      <c s="6" r="BJ64">
        <v>0</v>
      </c>
      <c s="6" r="BK64">
        <v>0</v>
      </c>
      <c s="6" r="BL64">
        <v>0</v>
      </c>
      <c s="6" r="BM64">
        <v>0</v>
      </c>
      <c s="6" r="BN64">
        <v>0</v>
      </c>
      <c s="6" r="BO64">
        <v>0</v>
      </c>
      <c s="6" r="BP64">
        <v>0</v>
      </c>
      <c s="6" r="BQ64">
        <v>0</v>
      </c>
      <c t="str" s="6" r="BR64">
        <f>HYPERLINK("http://www.d20pfsrd.com/magic/all-spells/c/cat-s-grace","Cat's Grace, Mass")</f>
        <v>Cat's Grace, Mass</v>
      </c>
      <c s="6" r="BS64">
        <v>63</v>
      </c>
      <c t="s" s="6" r="BT64">
        <v>92</v>
      </c>
      <c t="s" s="6" r="BV64">
        <v>680</v>
      </c>
      <c s="6" r="BY64">
        <v>0</v>
      </c>
    </row>
    <row customHeight="1" r="65" ht="14.25">
      <c t="s" s="6" r="A65">
        <v>687</v>
      </c>
      <c t="s" s="6" r="B65">
        <v>227</v>
      </c>
      <c t="s" s="6" r="D65">
        <v>688</v>
      </c>
      <c t="s" s="6" r="E65">
        <v>689</v>
      </c>
      <c t="s" s="6" r="F65">
        <v>81</v>
      </c>
      <c t="s" s="6" r="G65">
        <v>106</v>
      </c>
      <c s="6" r="H65">
        <v>0</v>
      </c>
      <c t="s" s="6" r="I65">
        <v>107</v>
      </c>
      <c t="s" s="6" r="L65">
        <v>690</v>
      </c>
      <c t="s" s="6" r="M65">
        <v>691</v>
      </c>
      <c s="6" r="N65">
        <v>0</v>
      </c>
      <c s="6" r="O65">
        <v>0</v>
      </c>
      <c t="s" s="6" r="P65">
        <v>296</v>
      </c>
      <c t="s" s="6" r="Q65">
        <v>188</v>
      </c>
      <c t="s" s="6" r="R65">
        <v>692</v>
      </c>
      <c t="s" s="6" r="S65">
        <v>693</v>
      </c>
      <c t="s" s="6" r="T65">
        <v>90</v>
      </c>
      <c t="s" s="6" r="U65">
        <v>694</v>
      </c>
      <c s="6" r="V65">
        <v>1</v>
      </c>
      <c s="6" r="W65">
        <v>1</v>
      </c>
      <c s="6" r="X65">
        <v>0</v>
      </c>
      <c s="6" r="Y65">
        <v>0</v>
      </c>
      <c s="6" r="Z65">
        <v>0</v>
      </c>
      <c s="6" r="AA65">
        <v>1</v>
      </c>
      <c s="6" r="AB65">
        <v>1</v>
      </c>
      <c s="6" r="AC65">
        <v>1</v>
      </c>
      <c t="s" s="6" r="AD65">
        <v>92</v>
      </c>
      <c t="s" s="6" r="AE65">
        <v>92</v>
      </c>
      <c s="6" r="AF65">
        <v>1</v>
      </c>
      <c t="s" s="6" r="AG65">
        <v>92</v>
      </c>
      <c t="s" s="6" r="AH65">
        <v>92</v>
      </c>
      <c t="s" s="6" r="AI65">
        <v>92</v>
      </c>
      <c s="6" r="AJ65">
        <v>1</v>
      </c>
      <c s="6" r="AK65">
        <v>1</v>
      </c>
      <c s="6" r="AL65">
        <v>1</v>
      </c>
      <c s="6" r="AM65">
        <v>1</v>
      </c>
      <c t="s" s="6" r="AN65">
        <v>92</v>
      </c>
      <c s="6" r="AP65">
        <v>1</v>
      </c>
      <c t="s" s="6" r="AQ65">
        <v>695</v>
      </c>
      <c t="s" s="6" r="AR65">
        <v>696</v>
      </c>
      <c s="6" r="AS65">
        <v>0</v>
      </c>
      <c s="6" r="AT65">
        <v>0</v>
      </c>
      <c s="6" r="AU65">
        <v>0</v>
      </c>
      <c s="6" r="AV65">
        <v>0</v>
      </c>
      <c s="6" r="AW65">
        <v>0</v>
      </c>
      <c s="6" r="AX65">
        <v>0</v>
      </c>
      <c s="6" r="AY65">
        <v>0</v>
      </c>
      <c s="6" r="AZ65">
        <v>0</v>
      </c>
      <c s="6" r="BA65">
        <v>0</v>
      </c>
      <c s="6" r="BB65">
        <v>0</v>
      </c>
      <c s="6" r="BC65">
        <v>1</v>
      </c>
      <c s="6" r="BD65">
        <v>0</v>
      </c>
      <c s="6" r="BE65">
        <v>1</v>
      </c>
      <c s="6" r="BF65">
        <v>0</v>
      </c>
      <c s="6" r="BG65">
        <v>0</v>
      </c>
      <c s="6" r="BH65">
        <v>0</v>
      </c>
      <c s="6" r="BI65">
        <v>0</v>
      </c>
      <c s="6" r="BJ65">
        <v>0</v>
      </c>
      <c s="6" r="BK65">
        <v>0</v>
      </c>
      <c s="6" r="BL65">
        <v>1</v>
      </c>
      <c s="6" r="BM65">
        <v>0</v>
      </c>
      <c s="6" r="BN65">
        <v>0</v>
      </c>
      <c s="6" r="BO65">
        <v>0</v>
      </c>
      <c s="6" r="BP65">
        <v>0</v>
      </c>
      <c s="6" r="BQ65">
        <v>0</v>
      </c>
      <c t="str" s="6" r="BR65">
        <f>HYPERLINK("http://www.d20pfsrd.com/magic/all-spells/c/cause-fear","Cause Fear")</f>
        <v>Cause Fear</v>
      </c>
      <c s="6" r="BS65">
        <v>64</v>
      </c>
      <c t="s" s="6" r="BT65">
        <v>92</v>
      </c>
      <c t="s" s="6" r="BU65">
        <v>697</v>
      </c>
      <c s="6" r="BY65">
        <v>0</v>
      </c>
    </row>
    <row customHeight="1" r="66" ht="14.25">
      <c t="s" s="6" r="A66">
        <v>698</v>
      </c>
      <c t="s" s="6" r="B66">
        <v>493</v>
      </c>
      <c t="s" s="6" r="D66">
        <v>53</v>
      </c>
      <c t="s" s="6" r="E66">
        <v>699</v>
      </c>
      <c t="s" s="6" r="F66">
        <v>81</v>
      </c>
      <c t="s" s="6" r="G66">
        <v>700</v>
      </c>
      <c s="6" r="H66">
        <v>0</v>
      </c>
      <c t="s" s="6" r="I66">
        <v>83</v>
      </c>
      <c t="s" s="6" r="L66">
        <v>701</v>
      </c>
      <c t="s" s="6" r="M66">
        <v>109</v>
      </c>
      <c s="6" r="N66">
        <v>0</v>
      </c>
      <c s="6" r="O66">
        <v>0</v>
      </c>
      <c t="s" s="6" r="P66">
        <v>631</v>
      </c>
      <c t="s" s="6" r="Q66">
        <v>188</v>
      </c>
      <c t="s" s="6" r="R66">
        <v>702</v>
      </c>
      <c t="s" s="6" r="S66">
        <v>703</v>
      </c>
      <c t="s" s="6" r="T66">
        <v>90</v>
      </c>
      <c t="s" s="6" r="U66">
        <v>704</v>
      </c>
      <c s="6" r="V66">
        <v>1</v>
      </c>
      <c s="6" r="W66">
        <v>1</v>
      </c>
      <c s="6" r="X66">
        <v>0</v>
      </c>
      <c s="6" r="Y66">
        <v>0</v>
      </c>
      <c s="6" r="Z66">
        <v>0</v>
      </c>
      <c s="6" r="AA66">
        <v>6</v>
      </c>
      <c s="6" r="AB66">
        <v>6</v>
      </c>
      <c t="s" s="6" r="AC66">
        <v>92</v>
      </c>
      <c t="s" s="6" r="AD66">
        <v>92</v>
      </c>
      <c t="s" s="6" r="AE66">
        <v>92</v>
      </c>
      <c t="s" s="6" r="AF66">
        <v>92</v>
      </c>
      <c t="s" s="6" r="AG66">
        <v>92</v>
      </c>
      <c t="s" s="6" r="AH66">
        <v>92</v>
      </c>
      <c t="s" s="6" r="AI66">
        <v>92</v>
      </c>
      <c s="6" r="AJ66">
        <v>7</v>
      </c>
      <c t="s" s="6" r="AK66">
        <v>92</v>
      </c>
      <c t="s" s="6" r="AL66">
        <v>92</v>
      </c>
      <c t="s" s="6" r="AM66">
        <v>92</v>
      </c>
      <c s="6" r="AN66">
        <v>6</v>
      </c>
      <c s="6" r="AP66">
        <v>6</v>
      </c>
      <c t="s" s="6" r="AQ66">
        <v>138</v>
      </c>
      <c t="s" s="6" r="AR66">
        <v>705</v>
      </c>
      <c s="6" r="AS66">
        <v>0</v>
      </c>
      <c s="6" r="AT66">
        <v>0</v>
      </c>
      <c s="6" r="AU66">
        <v>0</v>
      </c>
      <c s="6" r="AV66">
        <v>0</v>
      </c>
      <c s="6" r="AW66">
        <v>0</v>
      </c>
      <c s="6" r="AX66">
        <v>0</v>
      </c>
      <c s="6" r="AY66">
        <v>0</v>
      </c>
      <c s="6" r="AZ66">
        <v>0</v>
      </c>
      <c s="6" r="BA66">
        <v>0</v>
      </c>
      <c s="6" r="BB66">
        <v>1</v>
      </c>
      <c s="6" r="BC66">
        <v>0</v>
      </c>
      <c s="6" r="BD66">
        <v>0</v>
      </c>
      <c s="6" r="BE66">
        <v>0</v>
      </c>
      <c s="6" r="BF66">
        <v>0</v>
      </c>
      <c s="6" r="BG66">
        <v>0</v>
      </c>
      <c s="6" r="BH66">
        <v>0</v>
      </c>
      <c s="6" r="BI66">
        <v>0</v>
      </c>
      <c s="6" r="BJ66">
        <v>0</v>
      </c>
      <c s="6" r="BK66">
        <v>0</v>
      </c>
      <c s="6" r="BL66">
        <v>0</v>
      </c>
      <c s="6" r="BM66">
        <v>0</v>
      </c>
      <c s="6" r="BN66">
        <v>0</v>
      </c>
      <c s="6" r="BO66">
        <v>0</v>
      </c>
      <c s="6" r="BP66">
        <v>0</v>
      </c>
      <c s="6" r="BQ66">
        <v>0</v>
      </c>
      <c t="str" s="6" r="BR66">
        <f>HYPERLINK("http://www.d20pfsrd.com/magic/all-spells/c/chain-lightning","Chain Lightning")</f>
        <v>Chain Lightning</v>
      </c>
      <c s="6" r="BS66">
        <v>65</v>
      </c>
      <c t="s" s="6" r="BT66">
        <v>92</v>
      </c>
      <c t="s" s="6" r="BU66">
        <v>706</v>
      </c>
      <c t="s" s="6" r="BW66">
        <v>707</v>
      </c>
      <c s="6" r="BY66">
        <v>1</v>
      </c>
    </row>
    <row customHeight="1" r="67" ht="14.25">
      <c t="s" s="6" r="A67">
        <v>708</v>
      </c>
      <c t="s" s="6" r="B67">
        <v>131</v>
      </c>
      <c t="s" s="6" r="E67">
        <v>250</v>
      </c>
      <c t="s" s="6" r="F67">
        <v>272</v>
      </c>
      <c t="s" s="6" r="G67">
        <v>709</v>
      </c>
      <c s="6" r="H67">
        <v>0</v>
      </c>
      <c t="s" s="6" r="I67">
        <v>120</v>
      </c>
      <c t="s" s="6" r="L67">
        <v>710</v>
      </c>
      <c t="s" s="6" r="M67">
        <v>711</v>
      </c>
      <c s="6" r="N67">
        <v>1</v>
      </c>
      <c s="6" r="O67">
        <v>0</v>
      </c>
      <c t="s" s="6" r="P67">
        <v>86</v>
      </c>
      <c t="s" s="6" r="Q67">
        <v>87</v>
      </c>
      <c t="s" s="6" r="R67">
        <v>712</v>
      </c>
      <c t="s" s="6" r="S67">
        <v>713</v>
      </c>
      <c t="s" s="6" r="T67">
        <v>90</v>
      </c>
      <c t="s" s="6" r="U67">
        <v>714</v>
      </c>
      <c s="6" r="V67">
        <v>1</v>
      </c>
      <c s="6" r="W67">
        <v>1</v>
      </c>
      <c s="6" r="X67">
        <v>0</v>
      </c>
      <c s="6" r="Y67">
        <v>0</v>
      </c>
      <c s="6" r="Z67">
        <v>0</v>
      </c>
      <c t="s" s="6" r="AA67">
        <v>92</v>
      </c>
      <c t="s" s="6" r="AB67">
        <v>92</v>
      </c>
      <c t="s" s="6" r="AC67">
        <v>92</v>
      </c>
      <c s="6" r="AD67">
        <v>7</v>
      </c>
      <c t="s" s="6" r="AE67">
        <v>92</v>
      </c>
      <c t="s" s="6" r="AF67">
        <v>92</v>
      </c>
      <c t="s" s="6" r="AG67">
        <v>92</v>
      </c>
      <c t="s" s="6" r="AH67">
        <v>92</v>
      </c>
      <c t="s" s="6" r="AI67">
        <v>92</v>
      </c>
      <c t="s" s="6" r="AJ67">
        <v>92</v>
      </c>
      <c t="s" s="6" r="AK67">
        <v>92</v>
      </c>
      <c t="s" s="6" r="AL67">
        <v>92</v>
      </c>
      <c t="s" s="6" r="AM67">
        <v>92</v>
      </c>
      <c t="s" s="6" r="AN67">
        <v>92</v>
      </c>
      <c s="6" r="AP67">
        <v>7</v>
      </c>
      <c t="s" s="6" r="AR67">
        <v>715</v>
      </c>
      <c s="6" r="AS67">
        <v>0</v>
      </c>
      <c s="6" r="AT67">
        <v>0</v>
      </c>
      <c s="6" r="AU67">
        <v>0</v>
      </c>
      <c s="6" r="AV67">
        <v>0</v>
      </c>
      <c s="6" r="AW67">
        <v>0</v>
      </c>
      <c s="6" r="AX67">
        <v>0</v>
      </c>
      <c s="6" r="AY67">
        <v>0</v>
      </c>
      <c s="6" r="AZ67">
        <v>0</v>
      </c>
      <c s="6" r="BA67">
        <v>0</v>
      </c>
      <c s="6" r="BB67">
        <v>0</v>
      </c>
      <c s="6" r="BC67">
        <v>0</v>
      </c>
      <c s="6" r="BD67">
        <v>0</v>
      </c>
      <c s="6" r="BE67">
        <v>0</v>
      </c>
      <c s="6" r="BF67">
        <v>0</v>
      </c>
      <c s="6" r="BG67">
        <v>0</v>
      </c>
      <c s="6" r="BH67">
        <v>0</v>
      </c>
      <c s="6" r="BI67">
        <v>0</v>
      </c>
      <c s="6" r="BJ67">
        <v>0</v>
      </c>
      <c s="6" r="BK67">
        <v>0</v>
      </c>
      <c s="6" r="BL67">
        <v>0</v>
      </c>
      <c s="6" r="BM67">
        <v>0</v>
      </c>
      <c s="6" r="BN67">
        <v>0</v>
      </c>
      <c s="6" r="BO67">
        <v>0</v>
      </c>
      <c s="6" r="BP67">
        <v>0</v>
      </c>
      <c s="6" r="BQ67">
        <v>0</v>
      </c>
      <c t="str" s="6" r="BR67">
        <f>HYPERLINK("http://www.d20pfsrd.com/magic/all-spells/c/changestaff","Changestaff")</f>
        <v>Changestaff</v>
      </c>
      <c s="6" r="BS67">
        <v>66</v>
      </c>
      <c t="s" s="6" r="BT67">
        <v>92</v>
      </c>
      <c t="s" s="6" r="BW67">
        <v>716</v>
      </c>
      <c t="s" s="6" r="BX67">
        <v>717</v>
      </c>
      <c s="6" r="BY67">
        <v>1</v>
      </c>
    </row>
    <row customHeight="1" r="68" ht="14.25">
      <c t="s" s="6" r="A68">
        <v>718</v>
      </c>
      <c t="s" s="6" r="B68">
        <v>493</v>
      </c>
      <c t="s" s="6" r="D68">
        <v>46</v>
      </c>
      <c t="s" s="6" r="E68">
        <v>719</v>
      </c>
      <c t="s" s="6" r="F68">
        <v>81</v>
      </c>
      <c t="s" s="6" r="G68">
        <v>106</v>
      </c>
      <c s="6" r="H68">
        <v>0</v>
      </c>
      <c t="s" s="6" r="I68">
        <v>97</v>
      </c>
      <c t="s" s="6" r="J68">
        <v>720</v>
      </c>
      <c t="s" s="6" r="M68">
        <v>721</v>
      </c>
      <c s="6" r="N68">
        <v>0</v>
      </c>
      <c s="6" r="O68">
        <v>0</v>
      </c>
      <c t="s" s="6" r="P68">
        <v>722</v>
      </c>
      <c t="s" s="6" r="Q68">
        <v>188</v>
      </c>
      <c t="s" s="6" r="R68">
        <v>723</v>
      </c>
      <c t="s" s="6" r="S68">
        <v>724</v>
      </c>
      <c t="s" s="6" r="T68">
        <v>90</v>
      </c>
      <c t="s" s="6" r="U68">
        <v>725</v>
      </c>
      <c s="6" r="V68">
        <v>1</v>
      </c>
      <c s="6" r="W68">
        <v>1</v>
      </c>
      <c s="6" r="X68">
        <v>0</v>
      </c>
      <c s="6" r="Y68">
        <v>0</v>
      </c>
      <c s="6" r="Z68">
        <v>0</v>
      </c>
      <c t="s" s="6" r="AA68">
        <v>92</v>
      </c>
      <c t="s" s="6" r="AB68">
        <v>92</v>
      </c>
      <c s="6" r="AC68">
        <v>4</v>
      </c>
      <c t="s" s="6" r="AD68">
        <v>92</v>
      </c>
      <c t="s" s="6" r="AE68">
        <v>92</v>
      </c>
      <c t="s" s="6" r="AF68">
        <v>92</v>
      </c>
      <c t="s" s="6" r="AG68">
        <v>92</v>
      </c>
      <c t="s" s="6" r="AH68">
        <v>92</v>
      </c>
      <c t="s" s="6" r="AI68">
        <v>92</v>
      </c>
      <c t="s" s="6" r="AJ68">
        <v>92</v>
      </c>
      <c s="6" r="AK68">
        <v>4</v>
      </c>
      <c s="6" r="AL68">
        <v>4</v>
      </c>
      <c t="s" s="6" r="AM68">
        <v>92</v>
      </c>
      <c t="s" s="6" r="AN68">
        <v>92</v>
      </c>
      <c s="6" r="AP68">
        <v>4</v>
      </c>
      <c t="s" s="6" r="AQ68">
        <v>246</v>
      </c>
      <c t="s" s="6" r="AR68">
        <v>726</v>
      </c>
      <c s="6" r="AS68">
        <v>0</v>
      </c>
      <c s="6" r="AT68">
        <v>0</v>
      </c>
      <c s="6" r="AU68">
        <v>1</v>
      </c>
      <c s="6" r="AV68">
        <v>0</v>
      </c>
      <c s="6" r="AW68">
        <v>0</v>
      </c>
      <c s="6" r="AX68">
        <v>0</v>
      </c>
      <c s="6" r="AY68">
        <v>0</v>
      </c>
      <c s="6" r="AZ68">
        <v>0</v>
      </c>
      <c s="6" r="BA68">
        <v>0</v>
      </c>
      <c s="6" r="BB68">
        <v>0</v>
      </c>
      <c s="6" r="BC68">
        <v>0</v>
      </c>
      <c s="6" r="BD68">
        <v>0</v>
      </c>
      <c s="6" r="BE68">
        <v>0</v>
      </c>
      <c s="6" r="BF68">
        <v>0</v>
      </c>
      <c s="6" r="BG68">
        <v>0</v>
      </c>
      <c s="6" r="BH68">
        <v>0</v>
      </c>
      <c s="6" r="BI68">
        <v>0</v>
      </c>
      <c s="6" r="BJ68">
        <v>0</v>
      </c>
      <c s="6" r="BK68">
        <v>0</v>
      </c>
      <c s="6" r="BL68">
        <v>0</v>
      </c>
      <c s="6" r="BM68">
        <v>0</v>
      </c>
      <c s="6" r="BN68">
        <v>0</v>
      </c>
      <c s="6" r="BO68">
        <v>0</v>
      </c>
      <c s="6" r="BP68">
        <v>0</v>
      </c>
      <c s="6" r="BQ68">
        <v>0</v>
      </c>
      <c t="str" s="6" r="BR68">
        <f>HYPERLINK("http://www.d20pfsrd.com/magic/all-spells/c/chaos-hammer","Chaos Hammer")</f>
        <v>Chaos Hammer</v>
      </c>
      <c s="6" r="BS68">
        <v>67</v>
      </c>
      <c t="s" s="6" r="BT68">
        <v>92</v>
      </c>
      <c t="s" s="6" r="BW68">
        <v>727</v>
      </c>
      <c s="6" r="BY68">
        <v>1</v>
      </c>
    </row>
    <row customHeight="1" r="69" ht="14.25">
      <c t="s" s="6" r="A69">
        <v>728</v>
      </c>
      <c t="s" s="6" r="B69">
        <v>115</v>
      </c>
      <c t="s" s="6" r="C69">
        <v>729</v>
      </c>
      <c t="s" s="6" r="D69">
        <v>117</v>
      </c>
      <c t="s" s="6" r="E69">
        <v>730</v>
      </c>
      <c t="s" s="6" r="F69">
        <v>81</v>
      </c>
      <c t="s" s="6" r="G69">
        <v>106</v>
      </c>
      <c s="6" r="H69">
        <v>0</v>
      </c>
      <c t="s" s="6" r="I69">
        <v>107</v>
      </c>
      <c t="s" s="6" r="L69">
        <v>731</v>
      </c>
      <c t="s" s="6" r="M69">
        <v>209</v>
      </c>
      <c s="6" r="N69">
        <v>0</v>
      </c>
      <c s="6" r="O69">
        <v>0</v>
      </c>
      <c t="s" s="6" r="P69">
        <v>221</v>
      </c>
      <c t="s" s="6" r="Q69">
        <v>188</v>
      </c>
      <c t="s" s="6" r="R69">
        <v>732</v>
      </c>
      <c t="s" s="6" r="S69">
        <v>733</v>
      </c>
      <c t="s" s="6" r="T69">
        <v>90</v>
      </c>
      <c t="s" s="6" r="U69">
        <v>734</v>
      </c>
      <c s="6" r="V69">
        <v>1</v>
      </c>
      <c s="6" r="W69">
        <v>1</v>
      </c>
      <c s="6" r="X69">
        <v>0</v>
      </c>
      <c s="6" r="Y69">
        <v>0</v>
      </c>
      <c s="6" r="Z69">
        <v>0</v>
      </c>
      <c s="6" r="AA69">
        <v>1</v>
      </c>
      <c s="6" r="AB69">
        <v>1</v>
      </c>
      <c t="s" s="6" r="AC69">
        <v>92</v>
      </c>
      <c t="s" s="6" r="AD69">
        <v>92</v>
      </c>
      <c t="s" s="6" r="AE69">
        <v>92</v>
      </c>
      <c s="6" r="AF69">
        <v>1</v>
      </c>
      <c t="s" s="6" r="AG69">
        <v>92</v>
      </c>
      <c t="s" s="6" r="AH69">
        <v>92</v>
      </c>
      <c t="s" s="6" r="AI69">
        <v>92</v>
      </c>
      <c s="6" r="AJ69">
        <v>1</v>
      </c>
      <c t="s" s="6" r="AK69">
        <v>92</v>
      </c>
      <c t="s" s="6" r="AL69">
        <v>92</v>
      </c>
      <c t="s" s="6" r="AM69">
        <v>92</v>
      </c>
      <c t="s" s="6" r="AN69">
        <v>92</v>
      </c>
      <c s="6" r="AP69">
        <v>1</v>
      </c>
      <c t="s" s="6" r="AQ69">
        <v>735</v>
      </c>
      <c t="s" s="6" r="AR69">
        <v>736</v>
      </c>
      <c s="6" r="AS69">
        <v>0</v>
      </c>
      <c s="6" r="AT69">
        <v>0</v>
      </c>
      <c s="6" r="AU69">
        <v>0</v>
      </c>
      <c s="6" r="AV69">
        <v>0</v>
      </c>
      <c s="6" r="AW69">
        <v>0</v>
      </c>
      <c s="6" r="AX69">
        <v>0</v>
      </c>
      <c s="6" r="AY69">
        <v>0</v>
      </c>
      <c s="6" r="AZ69">
        <v>0</v>
      </c>
      <c s="6" r="BA69">
        <v>0</v>
      </c>
      <c s="6" r="BB69">
        <v>0</v>
      </c>
      <c s="6" r="BC69">
        <v>0</v>
      </c>
      <c s="6" r="BD69">
        <v>0</v>
      </c>
      <c s="6" r="BE69">
        <v>0</v>
      </c>
      <c s="6" r="BF69">
        <v>0</v>
      </c>
      <c s="6" r="BG69">
        <v>0</v>
      </c>
      <c s="6" r="BH69">
        <v>0</v>
      </c>
      <c s="6" r="BI69">
        <v>0</v>
      </c>
      <c s="6" r="BJ69">
        <v>0</v>
      </c>
      <c s="6" r="BK69">
        <v>0</v>
      </c>
      <c s="6" r="BL69">
        <v>1</v>
      </c>
      <c s="6" r="BM69">
        <v>0</v>
      </c>
      <c s="6" r="BN69">
        <v>0</v>
      </c>
      <c s="6" r="BO69">
        <v>0</v>
      </c>
      <c s="6" r="BP69">
        <v>0</v>
      </c>
      <c s="6" r="BQ69">
        <v>0</v>
      </c>
      <c t="str" s="6" r="BR69">
        <f>HYPERLINK("http://www.d20pfsrd.com/magic/all-spells/c/charm-person","Charm Person")</f>
        <v>Charm Person</v>
      </c>
      <c s="6" r="BS69">
        <v>68</v>
      </c>
      <c t="s" s="6" r="BT69">
        <v>92</v>
      </c>
      <c t="s" s="6" r="BU69">
        <v>737</v>
      </c>
      <c s="6" r="BY69">
        <v>0</v>
      </c>
    </row>
    <row customHeight="1" r="70" ht="14.25">
      <c t="s" s="6" r="A70">
        <v>738</v>
      </c>
      <c t="s" s="6" r="B70">
        <v>115</v>
      </c>
      <c t="s" s="6" r="C70">
        <v>729</v>
      </c>
      <c t="s" s="6" r="D70">
        <v>117</v>
      </c>
      <c t="s" s="6" r="E70">
        <v>656</v>
      </c>
      <c t="s" s="6" r="F70">
        <v>81</v>
      </c>
      <c t="s" s="6" r="G70">
        <v>106</v>
      </c>
      <c s="6" r="H70">
        <v>0</v>
      </c>
      <c t="s" s="6" r="I70">
        <v>107</v>
      </c>
      <c t="s" s="6" r="L70">
        <v>739</v>
      </c>
      <c t="s" s="6" r="M70">
        <v>209</v>
      </c>
      <c s="6" r="N70">
        <v>0</v>
      </c>
      <c s="6" r="O70">
        <v>0</v>
      </c>
      <c t="s" s="6" r="P70">
        <v>221</v>
      </c>
      <c t="s" s="6" r="Q70">
        <v>188</v>
      </c>
      <c t="s" s="6" r="R70">
        <v>740</v>
      </c>
      <c t="s" s="6" r="S70">
        <v>741</v>
      </c>
      <c t="s" s="6" r="T70">
        <v>90</v>
      </c>
      <c t="s" s="6" r="U70">
        <v>742</v>
      </c>
      <c s="6" r="V70">
        <v>1</v>
      </c>
      <c s="6" r="W70">
        <v>1</v>
      </c>
      <c s="6" r="X70">
        <v>0</v>
      </c>
      <c s="6" r="Y70">
        <v>0</v>
      </c>
      <c s="6" r="Z70">
        <v>0</v>
      </c>
      <c t="s" s="6" r="AA70">
        <v>92</v>
      </c>
      <c t="s" s="6" r="AB70">
        <v>92</v>
      </c>
      <c t="s" s="6" r="AC70">
        <v>92</v>
      </c>
      <c s="6" r="AD70">
        <v>1</v>
      </c>
      <c s="6" r="AE70">
        <v>1</v>
      </c>
      <c t="s" s="6" r="AF70">
        <v>92</v>
      </c>
      <c t="s" s="6" r="AG70">
        <v>92</v>
      </c>
      <c t="s" s="6" r="AH70">
        <v>92</v>
      </c>
      <c t="s" s="6" r="AI70">
        <v>92</v>
      </c>
      <c t="s" s="6" r="AJ70">
        <v>92</v>
      </c>
      <c t="s" s="6" r="AK70">
        <v>92</v>
      </c>
      <c t="s" s="6" r="AL70">
        <v>92</v>
      </c>
      <c t="s" s="6" r="AM70">
        <v>92</v>
      </c>
      <c t="s" s="6" r="AN70">
        <v>92</v>
      </c>
      <c s="6" r="AP70">
        <v>1</v>
      </c>
      <c t="s" s="6" r="AR70">
        <v>743</v>
      </c>
      <c s="6" r="AS70">
        <v>0</v>
      </c>
      <c s="6" r="AT70">
        <v>0</v>
      </c>
      <c s="6" r="AU70">
        <v>0</v>
      </c>
      <c s="6" r="AV70">
        <v>0</v>
      </c>
      <c s="6" r="AW70">
        <v>0</v>
      </c>
      <c s="6" r="AX70">
        <v>0</v>
      </c>
      <c s="6" r="AY70">
        <v>0</v>
      </c>
      <c s="6" r="AZ70">
        <v>0</v>
      </c>
      <c s="6" r="BA70">
        <v>0</v>
      </c>
      <c s="6" r="BB70">
        <v>0</v>
      </c>
      <c s="6" r="BC70">
        <v>0</v>
      </c>
      <c s="6" r="BD70">
        <v>0</v>
      </c>
      <c s="6" r="BE70">
        <v>0</v>
      </c>
      <c s="6" r="BF70">
        <v>0</v>
      </c>
      <c s="6" r="BG70">
        <v>0</v>
      </c>
      <c s="6" r="BH70">
        <v>0</v>
      </c>
      <c s="6" r="BI70">
        <v>0</v>
      </c>
      <c s="6" r="BJ70">
        <v>0</v>
      </c>
      <c s="6" r="BK70">
        <v>0</v>
      </c>
      <c s="6" r="BL70">
        <v>1</v>
      </c>
      <c s="6" r="BM70">
        <v>0</v>
      </c>
      <c s="6" r="BN70">
        <v>0</v>
      </c>
      <c s="6" r="BO70">
        <v>0</v>
      </c>
      <c s="6" r="BP70">
        <v>0</v>
      </c>
      <c s="6" r="BQ70">
        <v>0</v>
      </c>
      <c t="str" s="6" r="BR70">
        <f>HYPERLINK("http://www.d20pfsrd.com/magic/all-spells/c/charm-animal","Charm Animal")</f>
        <v>Charm Animal</v>
      </c>
      <c s="6" r="BS70">
        <v>69</v>
      </c>
      <c t="s" s="6" r="BT70">
        <v>92</v>
      </c>
      <c t="s" s="6" r="BU70">
        <v>744</v>
      </c>
      <c t="s" s="6" r="BV70">
        <v>194</v>
      </c>
      <c s="6" r="BY70">
        <v>0</v>
      </c>
    </row>
    <row customHeight="1" r="71" ht="14.25">
      <c t="s" s="6" r="A71">
        <v>745</v>
      </c>
      <c t="s" s="6" r="B71">
        <v>115</v>
      </c>
      <c t="s" s="6" r="C71">
        <v>729</v>
      </c>
      <c t="s" s="6" r="D71">
        <v>117</v>
      </c>
      <c t="s" s="6" r="E71">
        <v>746</v>
      </c>
      <c t="s" s="6" r="F71">
        <v>81</v>
      </c>
      <c t="s" s="6" r="G71">
        <v>106</v>
      </c>
      <c s="6" r="H71">
        <v>0</v>
      </c>
      <c t="s" s="6" r="I71">
        <v>107</v>
      </c>
      <c t="s" s="6" r="L71">
        <v>473</v>
      </c>
      <c t="s" s="6" r="M71">
        <v>200</v>
      </c>
      <c s="6" r="N71">
        <v>0</v>
      </c>
      <c s="6" r="O71">
        <v>0</v>
      </c>
      <c t="s" s="6" r="P71">
        <v>221</v>
      </c>
      <c t="s" s="6" r="Q71">
        <v>188</v>
      </c>
      <c t="s" s="6" r="R71">
        <v>747</v>
      </c>
      <c t="s" s="6" r="S71">
        <v>748</v>
      </c>
      <c t="s" s="6" r="T71">
        <v>90</v>
      </c>
      <c t="s" s="6" r="U71">
        <v>749</v>
      </c>
      <c s="6" r="V71">
        <v>1</v>
      </c>
      <c s="6" r="W71">
        <v>1</v>
      </c>
      <c s="6" r="X71">
        <v>0</v>
      </c>
      <c s="6" r="Y71">
        <v>0</v>
      </c>
      <c s="6" r="Z71">
        <v>0</v>
      </c>
      <c s="6" r="AA71">
        <v>4</v>
      </c>
      <c s="6" r="AB71">
        <v>4</v>
      </c>
      <c t="s" s="6" r="AC71">
        <v>92</v>
      </c>
      <c t="s" s="6" r="AD71">
        <v>92</v>
      </c>
      <c t="s" s="6" r="AE71">
        <v>92</v>
      </c>
      <c s="6" r="AF71">
        <v>3</v>
      </c>
      <c t="s" s="6" r="AG71">
        <v>92</v>
      </c>
      <c t="s" s="6" r="AH71">
        <v>92</v>
      </c>
      <c s="6" r="AI71">
        <v>3</v>
      </c>
      <c s="6" r="AJ71">
        <v>4</v>
      </c>
      <c t="s" s="6" r="AK71">
        <v>92</v>
      </c>
      <c t="s" s="6" r="AL71">
        <v>92</v>
      </c>
      <c t="s" s="6" r="AM71">
        <v>92</v>
      </c>
      <c t="s" s="6" r="AN71">
        <v>92</v>
      </c>
      <c s="6" r="AP71">
        <v>4</v>
      </c>
      <c t="s" s="6" r="AQ71">
        <v>735</v>
      </c>
      <c t="s" s="6" r="AR71">
        <v>750</v>
      </c>
      <c s="6" r="AS71">
        <v>0</v>
      </c>
      <c s="6" r="AT71">
        <v>0</v>
      </c>
      <c s="6" r="AU71">
        <v>0</v>
      </c>
      <c s="6" r="AV71">
        <v>0</v>
      </c>
      <c s="6" r="AW71">
        <v>0</v>
      </c>
      <c s="6" r="AX71">
        <v>0</v>
      </c>
      <c s="6" r="AY71">
        <v>0</v>
      </c>
      <c s="6" r="AZ71">
        <v>0</v>
      </c>
      <c s="6" r="BA71">
        <v>0</v>
      </c>
      <c s="6" r="BB71">
        <v>0</v>
      </c>
      <c s="6" r="BC71">
        <v>0</v>
      </c>
      <c s="6" r="BD71">
        <v>0</v>
      </c>
      <c s="6" r="BE71">
        <v>0</v>
      </c>
      <c s="6" r="BF71">
        <v>0</v>
      </c>
      <c s="6" r="BG71">
        <v>0</v>
      </c>
      <c s="6" r="BH71">
        <v>0</v>
      </c>
      <c s="6" r="BI71">
        <v>0</v>
      </c>
      <c s="6" r="BJ71">
        <v>0</v>
      </c>
      <c s="6" r="BK71">
        <v>0</v>
      </c>
      <c s="6" r="BL71">
        <v>1</v>
      </c>
      <c s="6" r="BM71">
        <v>0</v>
      </c>
      <c s="6" r="BN71">
        <v>0</v>
      </c>
      <c s="6" r="BO71">
        <v>0</v>
      </c>
      <c s="6" r="BP71">
        <v>0</v>
      </c>
      <c s="6" r="BQ71">
        <v>0</v>
      </c>
      <c t="str" s="6" r="BR71">
        <f>HYPERLINK("http://www.d20pfsrd.com/magic/all-spells/c/charm-monster","Charm Monster")</f>
        <v>Charm Monster</v>
      </c>
      <c s="6" r="BS71">
        <v>70</v>
      </c>
      <c t="s" s="6" r="BT71">
        <v>92</v>
      </c>
      <c t="s" s="6" r="BU71">
        <v>751</v>
      </c>
      <c s="6" r="BY71">
        <v>0</v>
      </c>
    </row>
    <row customHeight="1" r="72" ht="14.25">
      <c t="s" s="6" r="A72">
        <v>752</v>
      </c>
      <c t="s" s="6" r="B72">
        <v>115</v>
      </c>
      <c t="s" s="6" r="C72">
        <v>729</v>
      </c>
      <c t="s" s="6" r="D72">
        <v>117</v>
      </c>
      <c t="s" s="6" r="E72">
        <v>753</v>
      </c>
      <c t="s" s="6" r="F72">
        <v>81</v>
      </c>
      <c t="s" s="6" r="G72">
        <v>251</v>
      </c>
      <c s="6" r="H72">
        <v>0</v>
      </c>
      <c t="s" s="6" r="I72">
        <v>107</v>
      </c>
      <c t="s" s="6" r="L72">
        <v>754</v>
      </c>
      <c t="s" s="6" r="M72">
        <v>200</v>
      </c>
      <c s="6" r="N72">
        <v>0</v>
      </c>
      <c s="6" r="O72">
        <v>0</v>
      </c>
      <c t="s" s="6" r="P72">
        <v>221</v>
      </c>
      <c t="s" s="6" r="Q72">
        <v>188</v>
      </c>
      <c t="s" s="6" r="R72">
        <v>755</v>
      </c>
      <c t="s" s="6" r="S72">
        <v>756</v>
      </c>
      <c t="s" s="6" r="T72">
        <v>90</v>
      </c>
      <c t="s" s="6" r="U72">
        <v>757</v>
      </c>
      <c s="6" r="V72">
        <v>1</v>
      </c>
      <c s="6" r="W72">
        <v>0</v>
      </c>
      <c s="6" r="X72">
        <v>0</v>
      </c>
      <c s="6" r="Y72">
        <v>0</v>
      </c>
      <c s="6" r="Z72">
        <v>0</v>
      </c>
      <c s="6" r="AA72">
        <v>8</v>
      </c>
      <c s="6" r="AB72">
        <v>8</v>
      </c>
      <c t="s" s="6" r="AC72">
        <v>92</v>
      </c>
      <c t="s" s="6" r="AD72">
        <v>92</v>
      </c>
      <c t="s" s="6" r="AE72">
        <v>92</v>
      </c>
      <c s="6" r="AF72">
        <v>6</v>
      </c>
      <c t="s" s="6" r="AG72">
        <v>92</v>
      </c>
      <c t="s" s="6" r="AH72">
        <v>92</v>
      </c>
      <c s="6" r="AI72">
        <v>6</v>
      </c>
      <c s="6" r="AJ72">
        <v>8</v>
      </c>
      <c t="s" s="6" r="AK72">
        <v>92</v>
      </c>
      <c t="s" s="6" r="AL72">
        <v>92</v>
      </c>
      <c t="s" s="6" r="AM72">
        <v>92</v>
      </c>
      <c t="s" s="6" r="AN72">
        <v>92</v>
      </c>
      <c s="6" r="AP72">
        <v>8</v>
      </c>
      <c t="s" s="6" r="AR72">
        <v>758</v>
      </c>
      <c s="6" r="AS72">
        <v>0</v>
      </c>
      <c s="6" r="AT72">
        <v>0</v>
      </c>
      <c s="6" r="AU72">
        <v>0</v>
      </c>
      <c s="6" r="AV72">
        <v>0</v>
      </c>
      <c s="6" r="AW72">
        <v>0</v>
      </c>
      <c s="6" r="AX72">
        <v>0</v>
      </c>
      <c s="6" r="AY72">
        <v>0</v>
      </c>
      <c s="6" r="AZ72">
        <v>0</v>
      </c>
      <c s="6" r="BA72">
        <v>0</v>
      </c>
      <c s="6" r="BB72">
        <v>0</v>
      </c>
      <c s="6" r="BC72">
        <v>0</v>
      </c>
      <c s="6" r="BD72">
        <v>0</v>
      </c>
      <c s="6" r="BE72">
        <v>0</v>
      </c>
      <c s="6" r="BF72">
        <v>0</v>
      </c>
      <c s="6" r="BG72">
        <v>0</v>
      </c>
      <c s="6" r="BH72">
        <v>0</v>
      </c>
      <c s="6" r="BI72">
        <v>0</v>
      </c>
      <c s="6" r="BJ72">
        <v>0</v>
      </c>
      <c s="6" r="BK72">
        <v>0</v>
      </c>
      <c s="6" r="BL72">
        <v>1</v>
      </c>
      <c s="6" r="BM72">
        <v>0</v>
      </c>
      <c s="6" r="BN72">
        <v>0</v>
      </c>
      <c s="6" r="BO72">
        <v>0</v>
      </c>
      <c s="6" r="BP72">
        <v>0</v>
      </c>
      <c s="6" r="BQ72">
        <v>0</v>
      </c>
      <c t="str" s="6" r="BR72">
        <f>HYPERLINK("http://www.d20pfsrd.com/magic/all-spells/c/charm-monster","Charm Monster, Mass")</f>
        <v>Charm Monster, Mass</v>
      </c>
      <c s="6" r="BS72">
        <v>71</v>
      </c>
      <c t="s" s="6" r="BT72">
        <v>92</v>
      </c>
      <c s="6" r="BY72">
        <v>0</v>
      </c>
    </row>
    <row customHeight="1" r="73" ht="14.25">
      <c t="s" s="6" r="A73">
        <v>759</v>
      </c>
      <c t="s" s="6" r="B73">
        <v>131</v>
      </c>
      <c t="s" s="6" r="D73">
        <v>47</v>
      </c>
      <c t="s" s="6" r="E73">
        <v>760</v>
      </c>
      <c t="s" s="6" r="F73">
        <v>81</v>
      </c>
      <c t="s" s="6" r="G73">
        <v>119</v>
      </c>
      <c s="6" r="H73">
        <v>0</v>
      </c>
      <c t="s" s="6" r="I73">
        <v>107</v>
      </c>
      <c t="s" s="6" r="L73">
        <v>761</v>
      </c>
      <c t="s" s="6" r="M73">
        <v>762</v>
      </c>
      <c s="6" r="N73">
        <v>0</v>
      </c>
      <c s="6" r="O73">
        <v>0</v>
      </c>
      <c t="s" s="6" r="P73">
        <v>535</v>
      </c>
      <c t="s" s="6" r="Q73">
        <v>536</v>
      </c>
      <c t="s" s="6" r="R73">
        <v>763</v>
      </c>
      <c t="s" s="6" r="S73">
        <v>764</v>
      </c>
      <c t="s" s="6" r="T73">
        <v>90</v>
      </c>
      <c t="s" s="6" r="U73">
        <v>765</v>
      </c>
      <c s="6" r="V73">
        <v>1</v>
      </c>
      <c s="6" r="W73">
        <v>1</v>
      </c>
      <c s="6" r="X73">
        <v>0</v>
      </c>
      <c s="6" r="Y73">
        <v>0</v>
      </c>
      <c s="6" r="Z73">
        <v>1</v>
      </c>
      <c t="s" s="6" r="AA73">
        <v>92</v>
      </c>
      <c t="s" s="6" r="AB73">
        <v>92</v>
      </c>
      <c t="s" s="6" r="AC73">
        <v>92</v>
      </c>
      <c s="6" r="AD73">
        <v>2</v>
      </c>
      <c t="s" s="6" r="AE73">
        <v>92</v>
      </c>
      <c t="s" s="6" r="AF73">
        <v>92</v>
      </c>
      <c t="s" s="6" r="AG73">
        <v>92</v>
      </c>
      <c t="s" s="6" r="AH73">
        <v>92</v>
      </c>
      <c t="s" s="6" r="AI73">
        <v>92</v>
      </c>
      <c t="s" s="6" r="AJ73">
        <v>92</v>
      </c>
      <c t="s" s="6" r="AK73">
        <v>92</v>
      </c>
      <c t="s" s="6" r="AL73">
        <v>92</v>
      </c>
      <c t="s" s="6" r="AM73">
        <v>92</v>
      </c>
      <c t="s" s="6" r="AN73">
        <v>92</v>
      </c>
      <c s="6" r="AP73">
        <v>2</v>
      </c>
      <c t="s" s="6" r="AR73">
        <v>766</v>
      </c>
      <c s="6" r="AS73">
        <v>0</v>
      </c>
      <c s="6" r="AT73">
        <v>0</v>
      </c>
      <c s="6" r="AU73">
        <v>0</v>
      </c>
      <c s="6" r="AV73">
        <v>1</v>
      </c>
      <c s="6" r="AW73">
        <v>0</v>
      </c>
      <c s="6" r="AX73">
        <v>0</v>
      </c>
      <c s="6" r="AY73">
        <v>0</v>
      </c>
      <c s="6" r="AZ73">
        <v>0</v>
      </c>
      <c s="6" r="BA73">
        <v>0</v>
      </c>
      <c s="6" r="BB73">
        <v>0</v>
      </c>
      <c s="6" r="BC73">
        <v>0</v>
      </c>
      <c s="6" r="BD73">
        <v>0</v>
      </c>
      <c s="6" r="BE73">
        <v>0</v>
      </c>
      <c s="6" r="BF73">
        <v>0</v>
      </c>
      <c s="6" r="BG73">
        <v>0</v>
      </c>
      <c s="6" r="BH73">
        <v>0</v>
      </c>
      <c s="6" r="BI73">
        <v>0</v>
      </c>
      <c s="6" r="BJ73">
        <v>0</v>
      </c>
      <c s="6" r="BK73">
        <v>0</v>
      </c>
      <c s="6" r="BL73">
        <v>0</v>
      </c>
      <c s="6" r="BM73">
        <v>0</v>
      </c>
      <c s="6" r="BN73">
        <v>0</v>
      </c>
      <c s="6" r="BO73">
        <v>0</v>
      </c>
      <c s="6" r="BP73">
        <v>0</v>
      </c>
      <c s="6" r="BQ73">
        <v>0</v>
      </c>
      <c t="str" s="6" r="BR73">
        <f>HYPERLINK("http://www.d20pfsrd.com/magic/all-spells/c/chill-metal","Chill Metal")</f>
        <v>Chill Metal</v>
      </c>
      <c s="6" r="BS73">
        <v>72</v>
      </c>
      <c t="s" s="6" r="BT73">
        <v>92</v>
      </c>
      <c t="s" s="6" r="BW73">
        <v>767</v>
      </c>
      <c s="6" r="BY73">
        <v>1</v>
      </c>
    </row>
    <row customHeight="1" r="74" ht="14.25">
      <c t="s" s="6" r="A74">
        <v>768</v>
      </c>
      <c t="s" s="6" r="B74">
        <v>227</v>
      </c>
      <c t="s" s="6" r="E74">
        <v>628</v>
      </c>
      <c t="s" s="6" r="F74">
        <v>81</v>
      </c>
      <c t="s" s="6" r="G74">
        <v>106</v>
      </c>
      <c s="6" r="H74">
        <v>0</v>
      </c>
      <c t="s" s="6" r="I74">
        <v>120</v>
      </c>
      <c t="s" s="6" r="L74">
        <v>769</v>
      </c>
      <c t="s" s="6" r="M74">
        <v>109</v>
      </c>
      <c s="6" r="N74">
        <v>0</v>
      </c>
      <c s="6" r="O74">
        <v>0</v>
      </c>
      <c t="s" s="6" r="P74">
        <v>770</v>
      </c>
      <c t="s" s="6" r="Q74">
        <v>188</v>
      </c>
      <c t="s" s="6" r="R74">
        <v>771</v>
      </c>
      <c t="s" s="6" r="S74">
        <v>772</v>
      </c>
      <c t="s" s="6" r="T74">
        <v>90</v>
      </c>
      <c t="s" s="6" r="U74">
        <v>773</v>
      </c>
      <c s="6" r="V74">
        <v>1</v>
      </c>
      <c s="6" r="W74">
        <v>1</v>
      </c>
      <c s="6" r="X74">
        <v>0</v>
      </c>
      <c s="6" r="Y74">
        <v>0</v>
      </c>
      <c s="6" r="Z74">
        <v>0</v>
      </c>
      <c s="6" r="AA74">
        <v>1</v>
      </c>
      <c s="6" r="AB74">
        <v>1</v>
      </c>
      <c t="s" s="6" r="AC74">
        <v>92</v>
      </c>
      <c t="s" s="6" r="AD74">
        <v>92</v>
      </c>
      <c t="s" s="6" r="AE74">
        <v>92</v>
      </c>
      <c t="s" s="6" r="AF74">
        <v>92</v>
      </c>
      <c t="s" s="6" r="AG74">
        <v>92</v>
      </c>
      <c t="s" s="6" r="AH74">
        <v>92</v>
      </c>
      <c t="s" s="6" r="AI74">
        <v>92</v>
      </c>
      <c s="6" r="AJ74">
        <v>1</v>
      </c>
      <c t="s" s="6" r="AK74">
        <v>92</v>
      </c>
      <c t="s" s="6" r="AL74">
        <v>92</v>
      </c>
      <c t="s" s="6" r="AM74">
        <v>92</v>
      </c>
      <c s="6" r="AN74">
        <v>1</v>
      </c>
      <c s="6" r="AP74">
        <v>1</v>
      </c>
      <c t="s" s="6" r="AR74">
        <v>774</v>
      </c>
      <c s="6" r="AS74">
        <v>0</v>
      </c>
      <c s="6" r="AT74">
        <v>0</v>
      </c>
      <c s="6" r="AU74">
        <v>0</v>
      </c>
      <c s="6" r="AV74">
        <v>0</v>
      </c>
      <c s="6" r="AW74">
        <v>0</v>
      </c>
      <c s="6" r="AX74">
        <v>0</v>
      </c>
      <c s="6" r="AY74">
        <v>0</v>
      </c>
      <c s="6" r="AZ74">
        <v>0</v>
      </c>
      <c s="6" r="BA74">
        <v>0</v>
      </c>
      <c s="6" r="BB74">
        <v>0</v>
      </c>
      <c s="6" r="BC74">
        <v>0</v>
      </c>
      <c s="6" r="BD74">
        <v>0</v>
      </c>
      <c s="6" r="BE74">
        <v>0</v>
      </c>
      <c s="6" r="BF74">
        <v>0</v>
      </c>
      <c s="6" r="BG74">
        <v>0</v>
      </c>
      <c s="6" r="BH74">
        <v>0</v>
      </c>
      <c s="6" r="BI74">
        <v>0</v>
      </c>
      <c s="6" r="BJ74">
        <v>0</v>
      </c>
      <c s="6" r="BK74">
        <v>0</v>
      </c>
      <c s="6" r="BL74">
        <v>0</v>
      </c>
      <c s="6" r="BM74">
        <v>0</v>
      </c>
      <c s="6" r="BN74">
        <v>0</v>
      </c>
      <c s="6" r="BO74">
        <v>0</v>
      </c>
      <c s="6" r="BP74">
        <v>0</v>
      </c>
      <c s="6" r="BQ74">
        <v>0</v>
      </c>
      <c t="str" s="6" r="BR74">
        <f>HYPERLINK("http://www.d20pfsrd.com/magic/all-spells/c/chill-touch","Chill Touch")</f>
        <v>Chill Touch</v>
      </c>
      <c s="6" r="BS74">
        <v>73</v>
      </c>
      <c t="s" s="6" r="BT74">
        <v>92</v>
      </c>
      <c t="s" s="6" r="BU74">
        <v>236</v>
      </c>
      <c s="6" r="BY74">
        <v>0</v>
      </c>
    </row>
    <row customHeight="1" r="75" ht="14.25">
      <c t="s" s="6" r="A75">
        <v>775</v>
      </c>
      <c t="s" s="6" r="B75">
        <v>227</v>
      </c>
      <c t="s" s="6" r="D75">
        <v>50</v>
      </c>
      <c t="s" s="6" r="E75">
        <v>776</v>
      </c>
      <c t="s" s="6" r="F75">
        <v>81</v>
      </c>
      <c t="s" s="6" r="G75">
        <v>777</v>
      </c>
      <c s="6" r="H75">
        <v>1</v>
      </c>
      <c t="s" s="6" r="I75">
        <v>97</v>
      </c>
      <c t="s" s="6" r="J75">
        <v>778</v>
      </c>
      <c t="s" s="6" r="M75">
        <v>109</v>
      </c>
      <c s="6" r="N75">
        <v>0</v>
      </c>
      <c s="6" r="O75">
        <v>0</v>
      </c>
      <c t="s" s="6" r="P75">
        <v>187</v>
      </c>
      <c t="s" s="6" r="Q75">
        <v>188</v>
      </c>
      <c t="s" s="6" r="R75">
        <v>779</v>
      </c>
      <c t="s" s="6" r="S75">
        <v>780</v>
      </c>
      <c t="s" s="6" r="T75">
        <v>90</v>
      </c>
      <c t="s" s="6" r="U75">
        <v>781</v>
      </c>
      <c s="6" r="V75">
        <v>1</v>
      </c>
      <c s="6" r="W75">
        <v>1</v>
      </c>
      <c s="6" r="X75">
        <v>1</v>
      </c>
      <c s="6" r="Y75">
        <v>0</v>
      </c>
      <c s="6" r="Z75">
        <v>0</v>
      </c>
      <c s="6" r="AA75">
        <v>6</v>
      </c>
      <c s="6" r="AB75">
        <v>6</v>
      </c>
      <c t="s" s="6" r="AC75">
        <v>92</v>
      </c>
      <c t="s" s="6" r="AD75">
        <v>92</v>
      </c>
      <c t="s" s="6" r="AE75">
        <v>92</v>
      </c>
      <c t="s" s="6" r="AF75">
        <v>92</v>
      </c>
      <c t="s" s="6" r="AG75">
        <v>92</v>
      </c>
      <c t="s" s="6" r="AH75">
        <v>92</v>
      </c>
      <c t="s" s="6" r="AI75">
        <v>92</v>
      </c>
      <c t="s" s="6" r="AJ75">
        <v>92</v>
      </c>
      <c s="6" r="AK75">
        <v>6</v>
      </c>
      <c t="s" s="6" r="AL75">
        <v>92</v>
      </c>
      <c t="s" s="6" r="AM75">
        <v>92</v>
      </c>
      <c t="s" s="6" r="AN75">
        <v>92</v>
      </c>
      <c s="6" r="AP75">
        <v>6</v>
      </c>
      <c t="s" s="6" r="AR75">
        <v>782</v>
      </c>
      <c s="6" r="AS75">
        <v>0</v>
      </c>
      <c s="6" r="AT75">
        <v>0</v>
      </c>
      <c s="6" r="AU75">
        <v>0</v>
      </c>
      <c s="6" r="AV75">
        <v>0</v>
      </c>
      <c s="6" r="AW75">
        <v>0</v>
      </c>
      <c s="6" r="AX75">
        <v>1</v>
      </c>
      <c s="6" r="AY75">
        <v>0</v>
      </c>
      <c s="6" r="AZ75">
        <v>0</v>
      </c>
      <c s="6" r="BA75">
        <v>0</v>
      </c>
      <c s="6" r="BB75">
        <v>0</v>
      </c>
      <c s="6" r="BC75">
        <v>0</v>
      </c>
      <c s="6" r="BD75">
        <v>0</v>
      </c>
      <c s="6" r="BE75">
        <v>0</v>
      </c>
      <c s="6" r="BF75">
        <v>0</v>
      </c>
      <c s="6" r="BG75">
        <v>0</v>
      </c>
      <c s="6" r="BH75">
        <v>0</v>
      </c>
      <c s="6" r="BI75">
        <v>0</v>
      </c>
      <c s="6" r="BJ75">
        <v>0</v>
      </c>
      <c s="6" r="BK75">
        <v>0</v>
      </c>
      <c s="6" r="BL75">
        <v>0</v>
      </c>
      <c s="6" r="BM75">
        <v>0</v>
      </c>
      <c s="6" r="BN75">
        <v>0</v>
      </c>
      <c s="6" r="BO75">
        <v>0</v>
      </c>
      <c s="6" r="BP75">
        <v>0</v>
      </c>
      <c s="6" r="BQ75">
        <v>0</v>
      </c>
      <c t="str" s="6" r="BR75">
        <f>HYPERLINK("http://www.d20pfsrd.com/magic/all-spells/c/circle-of-death","Circle of Death")</f>
        <v>Circle of Death</v>
      </c>
      <c s="6" r="BS75">
        <v>74</v>
      </c>
      <c s="6" r="BT75">
        <v>500</v>
      </c>
      <c t="s" s="6" r="BV75">
        <v>783</v>
      </c>
      <c t="s" s="6" r="BW75">
        <v>784</v>
      </c>
      <c t="s" s="6" r="BX75">
        <v>785</v>
      </c>
      <c s="6" r="BY75">
        <v>1</v>
      </c>
    </row>
    <row customHeight="1" r="76" ht="14.25">
      <c t="s" s="6" r="A76">
        <v>786</v>
      </c>
      <c t="s" s="6" r="B76">
        <v>174</v>
      </c>
      <c t="s" s="6" r="C76">
        <v>309</v>
      </c>
      <c t="s" s="6" r="E76">
        <v>787</v>
      </c>
      <c t="s" s="6" r="F76">
        <v>311</v>
      </c>
      <c t="s" s="6" r="G76">
        <v>788</v>
      </c>
      <c s="6" r="H76">
        <v>0</v>
      </c>
      <c t="s" s="6" r="I76">
        <v>83</v>
      </c>
      <c t="s" s="6" r="K76">
        <v>314</v>
      </c>
      <c t="s" s="6" r="M76">
        <v>122</v>
      </c>
      <c s="6" r="N76">
        <v>1</v>
      </c>
      <c s="6" r="O76">
        <v>0</v>
      </c>
      <c t="s" s="6" r="P76">
        <v>86</v>
      </c>
      <c t="s" s="6" r="Q76">
        <v>87</v>
      </c>
      <c t="s" s="6" r="R76">
        <v>789</v>
      </c>
      <c t="s" s="6" r="S76">
        <v>790</v>
      </c>
      <c t="s" s="6" r="T76">
        <v>90</v>
      </c>
      <c t="s" s="6" r="U76">
        <v>791</v>
      </c>
      <c s="6" r="V76">
        <v>1</v>
      </c>
      <c s="6" r="W76">
        <v>1</v>
      </c>
      <c s="6" r="X76">
        <v>1</v>
      </c>
      <c s="6" r="Y76">
        <v>1</v>
      </c>
      <c s="6" r="Z76">
        <v>1</v>
      </c>
      <c s="6" r="AA76">
        <v>3</v>
      </c>
      <c s="6" r="AB76">
        <v>3</v>
      </c>
      <c t="s" s="6" r="AC76">
        <v>92</v>
      </c>
      <c t="s" s="6" r="AD76">
        <v>92</v>
      </c>
      <c t="s" s="6" r="AE76">
        <v>92</v>
      </c>
      <c s="6" r="AF76">
        <v>3</v>
      </c>
      <c t="s" s="6" r="AG76">
        <v>92</v>
      </c>
      <c t="s" s="6" r="AH76">
        <v>92</v>
      </c>
      <c t="s" s="6" r="AI76">
        <v>92</v>
      </c>
      <c s="6" r="AJ76">
        <v>3</v>
      </c>
      <c t="s" s="6" r="AK76">
        <v>92</v>
      </c>
      <c t="s" s="6" r="AL76">
        <v>92</v>
      </c>
      <c t="s" s="6" r="AM76">
        <v>92</v>
      </c>
      <c t="s" s="6" r="AN76">
        <v>92</v>
      </c>
      <c s="6" r="AP76">
        <v>3</v>
      </c>
      <c t="s" s="6" r="AR76">
        <v>792</v>
      </c>
      <c s="6" r="AS76">
        <v>0</v>
      </c>
      <c s="6" r="AT76">
        <v>0</v>
      </c>
      <c s="6" r="AU76">
        <v>0</v>
      </c>
      <c s="6" r="AV76">
        <v>0</v>
      </c>
      <c s="6" r="AW76">
        <v>0</v>
      </c>
      <c s="6" r="AX76">
        <v>0</v>
      </c>
      <c s="6" r="AY76">
        <v>0</v>
      </c>
      <c s="6" r="AZ76">
        <v>0</v>
      </c>
      <c s="6" r="BA76">
        <v>0</v>
      </c>
      <c s="6" r="BB76">
        <v>0</v>
      </c>
      <c s="6" r="BC76">
        <v>0</v>
      </c>
      <c s="6" r="BD76">
        <v>0</v>
      </c>
      <c s="6" r="BE76">
        <v>0</v>
      </c>
      <c s="6" r="BF76">
        <v>0</v>
      </c>
      <c s="6" r="BG76">
        <v>0</v>
      </c>
      <c s="6" r="BH76">
        <v>0</v>
      </c>
      <c s="6" r="BI76">
        <v>0</v>
      </c>
      <c s="6" r="BJ76">
        <v>0</v>
      </c>
      <c s="6" r="BK76">
        <v>0</v>
      </c>
      <c s="6" r="BL76">
        <v>0</v>
      </c>
      <c s="6" r="BM76">
        <v>0</v>
      </c>
      <c s="6" r="BN76">
        <v>0</v>
      </c>
      <c s="6" r="BO76">
        <v>0</v>
      </c>
      <c s="6" r="BP76">
        <v>0</v>
      </c>
      <c s="6" r="BQ76">
        <v>0</v>
      </c>
      <c t="str" s="6" r="BR76">
        <f>HYPERLINK("http://www.d20pfsrd.com/magic/all-spells/c/clairaudience-clairvoyance","Clairaudience/Clairvoyance")</f>
        <v>Clairaudience/Clairvoyance</v>
      </c>
      <c s="6" r="BS76">
        <v>75</v>
      </c>
      <c t="s" s="6" r="BT76">
        <v>92</v>
      </c>
      <c s="6" r="BY76">
        <v>0</v>
      </c>
    </row>
    <row customHeight="1" r="77" ht="14.25">
      <c t="s" s="6" r="A77">
        <v>793</v>
      </c>
      <c t="s" s="6" r="B77">
        <v>493</v>
      </c>
      <c t="s" s="6" r="D77">
        <v>58</v>
      </c>
      <c t="s" s="6" r="E77">
        <v>794</v>
      </c>
      <c t="s" s="6" r="F77">
        <v>81</v>
      </c>
      <c t="s" s="6" r="G77">
        <v>795</v>
      </c>
      <c s="6" r="H77">
        <v>0</v>
      </c>
      <c t="s" s="6" r="I77">
        <v>97</v>
      </c>
      <c t="s" s="6" r="K77">
        <v>796</v>
      </c>
      <c t="s" s="6" r="M77">
        <v>99</v>
      </c>
      <c s="6" r="N77">
        <v>1</v>
      </c>
      <c s="6" r="O77">
        <v>0</v>
      </c>
      <c t="s" s="6" r="P77">
        <v>86</v>
      </c>
      <c t="s" s="6" r="Q77">
        <v>188</v>
      </c>
      <c t="s" s="6" r="R77">
        <v>797</v>
      </c>
      <c t="s" s="6" r="S77">
        <v>798</v>
      </c>
      <c t="s" s="6" r="T77">
        <v>90</v>
      </c>
      <c t="s" s="6" r="U77">
        <v>799</v>
      </c>
      <c s="6" r="V77">
        <v>1</v>
      </c>
      <c s="6" r="W77">
        <v>1</v>
      </c>
      <c s="6" r="X77">
        <v>0</v>
      </c>
      <c s="6" r="Y77">
        <v>1</v>
      </c>
      <c s="6" r="Z77">
        <v>1</v>
      </c>
      <c s="6" r="AA77">
        <v>8</v>
      </c>
      <c s="6" r="AB77">
        <v>8</v>
      </c>
      <c t="s" s="6" r="AC77">
        <v>92</v>
      </c>
      <c t="s" s="6" r="AD77">
        <v>92</v>
      </c>
      <c t="s" s="6" r="AE77">
        <v>92</v>
      </c>
      <c t="s" s="6" r="AF77">
        <v>92</v>
      </c>
      <c t="s" s="6" r="AG77">
        <v>92</v>
      </c>
      <c t="s" s="6" r="AH77">
        <v>92</v>
      </c>
      <c t="s" s="6" r="AI77">
        <v>92</v>
      </c>
      <c t="s" s="6" r="AJ77">
        <v>92</v>
      </c>
      <c t="s" s="6" r="AK77">
        <v>92</v>
      </c>
      <c t="s" s="6" r="AL77">
        <v>92</v>
      </c>
      <c t="s" s="6" r="AM77">
        <v>92</v>
      </c>
      <c t="s" s="6" r="AN77">
        <v>92</v>
      </c>
      <c s="6" r="AP77">
        <v>8</v>
      </c>
      <c t="s" s="6" r="AQ77">
        <v>618</v>
      </c>
      <c t="s" s="6" r="AR77">
        <v>800</v>
      </c>
      <c s="6" r="AS77">
        <v>0</v>
      </c>
      <c s="6" r="AT77">
        <v>0</v>
      </c>
      <c s="6" r="AU77">
        <v>0</v>
      </c>
      <c s="6" r="AV77">
        <v>0</v>
      </c>
      <c s="6" r="AW77">
        <v>0</v>
      </c>
      <c s="6" r="AX77">
        <v>0</v>
      </c>
      <c s="6" r="AY77">
        <v>0</v>
      </c>
      <c s="6" r="AZ77">
        <v>0</v>
      </c>
      <c s="6" r="BA77">
        <v>0</v>
      </c>
      <c s="6" r="BB77">
        <v>0</v>
      </c>
      <c s="6" r="BC77">
        <v>0</v>
      </c>
      <c s="6" r="BD77">
        <v>0</v>
      </c>
      <c s="6" r="BE77">
        <v>0</v>
      </c>
      <c s="6" r="BF77">
        <v>0</v>
      </c>
      <c s="6" r="BG77">
        <v>1</v>
      </c>
      <c s="6" r="BH77">
        <v>0</v>
      </c>
      <c s="6" r="BI77">
        <v>0</v>
      </c>
      <c s="6" r="BJ77">
        <v>0</v>
      </c>
      <c s="6" r="BK77">
        <v>0</v>
      </c>
      <c s="6" r="BL77">
        <v>0</v>
      </c>
      <c s="6" r="BM77">
        <v>0</v>
      </c>
      <c s="6" r="BN77">
        <v>0</v>
      </c>
      <c s="6" r="BO77">
        <v>0</v>
      </c>
      <c s="6" r="BP77">
        <v>0</v>
      </c>
      <c s="6" r="BQ77">
        <v>0</v>
      </c>
      <c t="str" s="6" r="BR77">
        <f>HYPERLINK("http://www.d20pfsrd.com/magic/all-spells/c/clenched-fist","Clenched Fist")</f>
        <v>Clenched Fist</v>
      </c>
      <c s="6" r="BS77">
        <v>76</v>
      </c>
      <c t="s" s="6" r="BT77">
        <v>92</v>
      </c>
      <c s="6" r="BY77">
        <v>0</v>
      </c>
    </row>
    <row customHeight="1" r="78" ht="14.25">
      <c t="s" s="6" r="A78">
        <v>801</v>
      </c>
      <c t="s" s="6" r="B78">
        <v>162</v>
      </c>
      <c t="s" s="6" r="D78">
        <v>46</v>
      </c>
      <c t="s" s="6" r="E78">
        <v>802</v>
      </c>
      <c t="s" s="6" r="F78">
        <v>81</v>
      </c>
      <c t="s" s="6" r="G78">
        <v>803</v>
      </c>
      <c s="6" r="H78">
        <v>1</v>
      </c>
      <c t="s" s="6" r="I78">
        <v>804</v>
      </c>
      <c t="s" s="6" r="L78">
        <v>805</v>
      </c>
      <c t="s" s="6" r="M78">
        <v>99</v>
      </c>
      <c s="6" r="N78">
        <v>1</v>
      </c>
      <c s="6" r="O78">
        <v>0</v>
      </c>
      <c t="s" s="6" r="P78">
        <v>141</v>
      </c>
      <c t="s" s="6" r="Q78">
        <v>123</v>
      </c>
      <c t="s" s="6" r="R78">
        <v>806</v>
      </c>
      <c t="s" s="6" r="S78">
        <v>807</v>
      </c>
      <c t="s" s="6" r="T78">
        <v>90</v>
      </c>
      <c t="s" s="6" r="U78">
        <v>808</v>
      </c>
      <c s="6" r="V78">
        <v>1</v>
      </c>
      <c s="6" r="W78">
        <v>1</v>
      </c>
      <c s="6" r="X78">
        <v>0</v>
      </c>
      <c s="6" r="Y78">
        <v>1</v>
      </c>
      <c s="6" r="Z78">
        <v>0</v>
      </c>
      <c t="s" s="6" r="AA78">
        <v>92</v>
      </c>
      <c t="s" s="6" r="AB78">
        <v>92</v>
      </c>
      <c s="6" r="AC78">
        <v>8</v>
      </c>
      <c t="s" s="6" r="AD78">
        <v>92</v>
      </c>
      <c t="s" s="6" r="AE78">
        <v>92</v>
      </c>
      <c t="s" s="6" r="AF78">
        <v>92</v>
      </c>
      <c t="s" s="6" r="AG78">
        <v>92</v>
      </c>
      <c t="s" s="6" r="AH78">
        <v>92</v>
      </c>
      <c t="s" s="6" r="AI78">
        <v>92</v>
      </c>
      <c t="s" s="6" r="AJ78">
        <v>92</v>
      </c>
      <c t="s" s="6" r="AK78">
        <v>92</v>
      </c>
      <c s="6" r="AL78">
        <v>8</v>
      </c>
      <c t="s" s="6" r="AM78">
        <v>92</v>
      </c>
      <c t="s" s="6" r="AN78">
        <v>92</v>
      </c>
      <c s="6" r="AP78">
        <v>8</v>
      </c>
      <c t="s" s="6" r="AQ78">
        <v>246</v>
      </c>
      <c t="s" s="6" r="AR78">
        <v>809</v>
      </c>
      <c s="6" r="AS78">
        <v>0</v>
      </c>
      <c s="6" r="AT78">
        <v>0</v>
      </c>
      <c s="6" r="AU78">
        <v>1</v>
      </c>
      <c s="6" r="AV78">
        <v>0</v>
      </c>
      <c s="6" r="AW78">
        <v>0</v>
      </c>
      <c s="6" r="AX78">
        <v>0</v>
      </c>
      <c s="6" r="AY78">
        <v>0</v>
      </c>
      <c s="6" r="AZ78">
        <v>0</v>
      </c>
      <c s="6" r="BA78">
        <v>0</v>
      </c>
      <c s="6" r="BB78">
        <v>0</v>
      </c>
      <c s="6" r="BC78">
        <v>0</v>
      </c>
      <c s="6" r="BD78">
        <v>0</v>
      </c>
      <c s="6" r="BE78">
        <v>0</v>
      </c>
      <c s="6" r="BF78">
        <v>0</v>
      </c>
      <c s="6" r="BG78">
        <v>0</v>
      </c>
      <c s="6" r="BH78">
        <v>0</v>
      </c>
      <c s="6" r="BI78">
        <v>0</v>
      </c>
      <c s="6" r="BJ78">
        <v>0</v>
      </c>
      <c s="6" r="BK78">
        <v>0</v>
      </c>
      <c s="6" r="BL78">
        <v>0</v>
      </c>
      <c s="6" r="BM78">
        <v>0</v>
      </c>
      <c s="6" r="BN78">
        <v>0</v>
      </c>
      <c s="6" r="BO78">
        <v>0</v>
      </c>
      <c s="6" r="BP78">
        <v>0</v>
      </c>
      <c s="6" r="BQ78">
        <v>0</v>
      </c>
      <c t="str" s="6" r="BR78">
        <f>HYPERLINK("http://www.d20pfsrd.com/magic/all-spells/c/cloak-of-chaos","Cloak of Chaos")</f>
        <v>Cloak of Chaos</v>
      </c>
      <c s="6" r="BS78">
        <v>77</v>
      </c>
      <c s="6" r="BT78">
        <v>500</v>
      </c>
      <c s="6" r="BY78">
        <v>0</v>
      </c>
    </row>
    <row customHeight="1" r="79" ht="14.25">
      <c t="s" s="6" r="A79">
        <v>810</v>
      </c>
      <c t="s" s="6" r="B79">
        <v>227</v>
      </c>
      <c t="s" s="6" r="E79">
        <v>811</v>
      </c>
      <c t="s" s="6" r="F79">
        <v>311</v>
      </c>
      <c t="s" s="6" r="G79">
        <v>812</v>
      </c>
      <c s="6" r="H79">
        <v>1</v>
      </c>
      <c t="s" s="6" r="I79">
        <v>813</v>
      </c>
      <c t="s" s="6" r="K79">
        <v>814</v>
      </c>
      <c t="s" s="6" r="M79">
        <v>109</v>
      </c>
      <c s="6" r="N79">
        <v>0</v>
      </c>
      <c s="6" r="O79">
        <v>0</v>
      </c>
      <c t="s" s="6" r="P79">
        <v>86</v>
      </c>
      <c t="s" s="6" r="Q79">
        <v>87</v>
      </c>
      <c t="s" s="6" r="R79">
        <v>815</v>
      </c>
      <c t="s" s="6" r="S79">
        <v>816</v>
      </c>
      <c t="s" s="6" r="T79">
        <v>90</v>
      </c>
      <c t="s" s="6" r="U79">
        <v>817</v>
      </c>
      <c s="6" r="V79">
        <v>1</v>
      </c>
      <c s="6" r="W79">
        <v>1</v>
      </c>
      <c s="6" r="X79">
        <v>1</v>
      </c>
      <c s="6" r="Y79">
        <v>1</v>
      </c>
      <c s="6" r="Z79">
        <v>0</v>
      </c>
      <c s="6" r="AA79">
        <v>8</v>
      </c>
      <c s="6" r="AB79">
        <v>8</v>
      </c>
      <c t="s" s="6" r="AC79">
        <v>92</v>
      </c>
      <c t="s" s="6" r="AD79">
        <v>92</v>
      </c>
      <c t="s" s="6" r="AE79">
        <v>92</v>
      </c>
      <c t="s" s="6" r="AF79">
        <v>92</v>
      </c>
      <c t="s" s="6" r="AG79">
        <v>92</v>
      </c>
      <c t="s" s="6" r="AH79">
        <v>92</v>
      </c>
      <c t="s" s="6" r="AI79">
        <v>92</v>
      </c>
      <c s="6" r="AJ79">
        <v>8</v>
      </c>
      <c t="s" s="6" r="AK79">
        <v>92</v>
      </c>
      <c t="s" s="6" r="AL79">
        <v>92</v>
      </c>
      <c t="s" s="6" r="AM79">
        <v>92</v>
      </c>
      <c t="s" s="6" r="AN79">
        <v>92</v>
      </c>
      <c s="6" r="AP79">
        <v>8</v>
      </c>
      <c t="s" s="6" r="AR79">
        <v>818</v>
      </c>
      <c s="6" r="AS79">
        <v>0</v>
      </c>
      <c s="6" r="AT79">
        <v>0</v>
      </c>
      <c s="6" r="AU79">
        <v>0</v>
      </c>
      <c s="6" r="AV79">
        <v>0</v>
      </c>
      <c s="6" r="AW79">
        <v>0</v>
      </c>
      <c s="6" r="AX79">
        <v>0</v>
      </c>
      <c s="6" r="AY79">
        <v>0</v>
      </c>
      <c s="6" r="AZ79">
        <v>0</v>
      </c>
      <c s="6" r="BA79">
        <v>0</v>
      </c>
      <c s="6" r="BB79">
        <v>0</v>
      </c>
      <c s="6" r="BC79">
        <v>0</v>
      </c>
      <c s="6" r="BD79">
        <v>0</v>
      </c>
      <c s="6" r="BE79">
        <v>0</v>
      </c>
      <c s="6" r="BF79">
        <v>0</v>
      </c>
      <c s="6" r="BG79">
        <v>0</v>
      </c>
      <c s="6" r="BH79">
        <v>0</v>
      </c>
      <c s="6" r="BI79">
        <v>0</v>
      </c>
      <c s="6" r="BJ79">
        <v>0</v>
      </c>
      <c s="6" r="BK79">
        <v>0</v>
      </c>
      <c s="6" r="BL79">
        <v>0</v>
      </c>
      <c s="6" r="BM79">
        <v>0</v>
      </c>
      <c s="6" r="BN79">
        <v>0</v>
      </c>
      <c s="6" r="BO79">
        <v>0</v>
      </c>
      <c s="6" r="BP79">
        <v>0</v>
      </c>
      <c s="6" r="BQ79">
        <v>0</v>
      </c>
      <c t="str" s="6" r="BR79">
        <f>HYPERLINK("http://www.d20pfsrd.com/magic/all-spells/c/clone","Clone")</f>
        <v>Clone</v>
      </c>
      <c s="6" r="BS79">
        <v>78</v>
      </c>
      <c s="6" r="BT79">
        <v>1000</v>
      </c>
      <c s="6" r="BY79">
        <v>0</v>
      </c>
    </row>
    <row customHeight="1" r="80" ht="14.25">
      <c t="s" s="6" r="A80">
        <v>819</v>
      </c>
      <c t="s" s="6" r="B80">
        <v>78</v>
      </c>
      <c t="s" s="6" r="C80">
        <v>79</v>
      </c>
      <c t="s" s="6" r="E80">
        <v>820</v>
      </c>
      <c t="s" s="6" r="F80">
        <v>81</v>
      </c>
      <c t="s" s="6" r="G80">
        <v>106</v>
      </c>
      <c s="6" r="H80">
        <v>0</v>
      </c>
      <c t="s" s="6" r="I80">
        <v>97</v>
      </c>
      <c t="s" s="6" r="K80">
        <v>821</v>
      </c>
      <c t="s" s="6" r="M80">
        <v>122</v>
      </c>
      <c s="6" r="N80">
        <v>0</v>
      </c>
      <c s="6" r="O80">
        <v>0</v>
      </c>
      <c t="s" s="6" r="P80">
        <v>822</v>
      </c>
      <c t="s" s="6" r="Q80">
        <v>87</v>
      </c>
      <c t="s" s="6" r="R80">
        <v>823</v>
      </c>
      <c t="s" s="6" r="S80">
        <v>824</v>
      </c>
      <c t="s" s="6" r="T80">
        <v>90</v>
      </c>
      <c t="s" s="6" r="U80">
        <v>825</v>
      </c>
      <c s="6" r="V80">
        <v>1</v>
      </c>
      <c s="6" r="W80">
        <v>1</v>
      </c>
      <c s="6" r="X80">
        <v>0</v>
      </c>
      <c s="6" r="Y80">
        <v>0</v>
      </c>
      <c s="6" r="Z80">
        <v>0</v>
      </c>
      <c s="6" r="AA80">
        <v>5</v>
      </c>
      <c s="6" r="AB80">
        <v>5</v>
      </c>
      <c t="s" s="6" r="AC80">
        <v>92</v>
      </c>
      <c t="s" s="6" r="AD80">
        <v>92</v>
      </c>
      <c t="s" s="6" r="AE80">
        <v>92</v>
      </c>
      <c t="s" s="6" r="AF80">
        <v>92</v>
      </c>
      <c t="s" s="6" r="AG80">
        <v>92</v>
      </c>
      <c t="s" s="6" r="AH80">
        <v>92</v>
      </c>
      <c t="s" s="6" r="AI80">
        <v>92</v>
      </c>
      <c s="6" r="AJ80">
        <v>5</v>
      </c>
      <c t="s" s="6" r="AK80">
        <v>92</v>
      </c>
      <c t="s" s="6" r="AL80">
        <v>92</v>
      </c>
      <c t="s" s="6" r="AM80">
        <v>92</v>
      </c>
      <c s="6" r="AN80">
        <v>5</v>
      </c>
      <c s="6" r="AP80">
        <v>5</v>
      </c>
      <c t="s" s="6" r="AR80">
        <v>826</v>
      </c>
      <c s="6" r="AS80">
        <v>0</v>
      </c>
      <c s="6" r="AT80">
        <v>0</v>
      </c>
      <c s="6" r="AU80">
        <v>0</v>
      </c>
      <c s="6" r="AV80">
        <v>0</v>
      </c>
      <c s="6" r="AW80">
        <v>0</v>
      </c>
      <c s="6" r="AX80">
        <v>0</v>
      </c>
      <c s="6" r="AY80">
        <v>0</v>
      </c>
      <c s="6" r="AZ80">
        <v>0</v>
      </c>
      <c s="6" r="BA80">
        <v>0</v>
      </c>
      <c s="6" r="BB80">
        <v>0</v>
      </c>
      <c s="6" r="BC80">
        <v>0</v>
      </c>
      <c s="6" r="BD80">
        <v>0</v>
      </c>
      <c s="6" r="BE80">
        <v>0</v>
      </c>
      <c s="6" r="BF80">
        <v>0</v>
      </c>
      <c s="6" r="BG80">
        <v>0</v>
      </c>
      <c s="6" r="BH80">
        <v>0</v>
      </c>
      <c s="6" r="BI80">
        <v>0</v>
      </c>
      <c s="6" r="BJ80">
        <v>0</v>
      </c>
      <c s="6" r="BK80">
        <v>0</v>
      </c>
      <c s="6" r="BL80">
        <v>0</v>
      </c>
      <c s="6" r="BM80">
        <v>0</v>
      </c>
      <c s="6" r="BN80">
        <v>0</v>
      </c>
      <c s="6" r="BO80">
        <v>0</v>
      </c>
      <c s="6" r="BP80">
        <v>0</v>
      </c>
      <c s="6" r="BQ80">
        <v>0</v>
      </c>
      <c t="str" s="6" r="BR80">
        <f>HYPERLINK("http://www.d20pfsrd.com/magic/all-spells/c/cloudkill","Cloudkill")</f>
        <v>Cloudkill</v>
      </c>
      <c s="6" r="BS80">
        <v>79</v>
      </c>
      <c t="s" s="6" r="BT80">
        <v>92</v>
      </c>
      <c t="s" s="6" r="BU80">
        <v>827</v>
      </c>
      <c t="s" s="6" r="BW80">
        <v>828</v>
      </c>
      <c t="s" s="6" r="BX80">
        <v>829</v>
      </c>
      <c s="6" r="BY80">
        <v>1</v>
      </c>
    </row>
    <row customHeight="1" r="81" ht="14.25">
      <c t="s" s="6" r="A81">
        <v>830</v>
      </c>
      <c t="s" s="6" r="B81">
        <v>579</v>
      </c>
      <c t="s" s="6" r="C81">
        <v>831</v>
      </c>
      <c t="s" s="6" r="D81">
        <v>117</v>
      </c>
      <c t="s" s="6" r="E81">
        <v>832</v>
      </c>
      <c t="s" s="6" r="F81">
        <v>81</v>
      </c>
      <c t="s" s="6" r="G81">
        <v>833</v>
      </c>
      <c s="6" r="H81">
        <v>0</v>
      </c>
      <c t="s" s="6" r="I81">
        <v>629</v>
      </c>
      <c t="s" s="6" r="J81">
        <v>630</v>
      </c>
      <c t="s" s="6" r="M81">
        <v>834</v>
      </c>
      <c s="6" r="N81">
        <v>0</v>
      </c>
      <c s="6" r="O81">
        <v>0</v>
      </c>
      <c t="s" s="6" r="P81">
        <v>221</v>
      </c>
      <c t="s" s="6" r="Q81">
        <v>188</v>
      </c>
      <c t="s" s="6" r="R81">
        <v>835</v>
      </c>
      <c t="s" s="6" r="S81">
        <v>836</v>
      </c>
      <c t="s" s="6" r="T81">
        <v>90</v>
      </c>
      <c t="s" s="6" r="U81">
        <v>837</v>
      </c>
      <c s="6" r="V81">
        <v>1</v>
      </c>
      <c s="6" r="W81">
        <v>1</v>
      </c>
      <c s="6" r="X81">
        <v>1</v>
      </c>
      <c s="6" r="Y81">
        <v>0</v>
      </c>
      <c s="6" r="Z81">
        <v>0</v>
      </c>
      <c s="6" r="AA81">
        <v>1</v>
      </c>
      <c s="6" r="AB81">
        <v>1</v>
      </c>
      <c t="s" s="6" r="AC81">
        <v>92</v>
      </c>
      <c t="s" s="6" r="AD81">
        <v>92</v>
      </c>
      <c t="s" s="6" r="AE81">
        <v>92</v>
      </c>
      <c t="s" s="6" r="AF81">
        <v>92</v>
      </c>
      <c t="s" s="6" r="AG81">
        <v>92</v>
      </c>
      <c t="s" s="6" r="AH81">
        <v>92</v>
      </c>
      <c t="s" s="6" r="AI81">
        <v>92</v>
      </c>
      <c t="s" s="6" r="AJ81">
        <v>92</v>
      </c>
      <c t="s" s="6" r="AK81">
        <v>92</v>
      </c>
      <c t="s" s="6" r="AL81">
        <v>92</v>
      </c>
      <c t="s" s="6" r="AM81">
        <v>92</v>
      </c>
      <c s="6" r="AN81">
        <v>1</v>
      </c>
      <c s="6" r="AP81">
        <v>1</v>
      </c>
      <c t="s" s="6" r="AR81">
        <v>838</v>
      </c>
      <c s="6" r="AS81">
        <v>0</v>
      </c>
      <c s="6" r="AT81">
        <v>0</v>
      </c>
      <c s="6" r="AU81">
        <v>0</v>
      </c>
      <c s="6" r="AV81">
        <v>0</v>
      </c>
      <c s="6" r="AW81">
        <v>0</v>
      </c>
      <c s="6" r="AX81">
        <v>0</v>
      </c>
      <c s="6" r="AY81">
        <v>0</v>
      </c>
      <c s="6" r="AZ81">
        <v>0</v>
      </c>
      <c s="6" r="BA81">
        <v>0</v>
      </c>
      <c s="6" r="BB81">
        <v>0</v>
      </c>
      <c s="6" r="BC81">
        <v>0</v>
      </c>
      <c s="6" r="BD81">
        <v>0</v>
      </c>
      <c s="6" r="BE81">
        <v>0</v>
      </c>
      <c s="6" r="BF81">
        <v>0</v>
      </c>
      <c s="6" r="BG81">
        <v>0</v>
      </c>
      <c s="6" r="BH81">
        <v>0</v>
      </c>
      <c s="6" r="BI81">
        <v>0</v>
      </c>
      <c s="6" r="BJ81">
        <v>0</v>
      </c>
      <c s="6" r="BK81">
        <v>0</v>
      </c>
      <c s="6" r="BL81">
        <v>1</v>
      </c>
      <c s="6" r="BM81">
        <v>0</v>
      </c>
      <c s="6" r="BN81">
        <v>0</v>
      </c>
      <c s="6" r="BO81">
        <v>0</v>
      </c>
      <c s="6" r="BP81">
        <v>0</v>
      </c>
      <c s="6" r="BQ81">
        <v>0</v>
      </c>
      <c t="str" s="6" r="BR81">
        <f>HYPERLINK("http://www.d20pfsrd.com/magic/all-spells/c/color-spray","Color Spray")</f>
        <v>Color Spray</v>
      </c>
      <c s="6" r="BS81">
        <v>80</v>
      </c>
      <c t="s" s="6" r="BT81">
        <v>92</v>
      </c>
      <c t="s" s="6" r="BW81">
        <v>839</v>
      </c>
      <c s="6" r="BY81">
        <v>1</v>
      </c>
    </row>
    <row customHeight="1" r="82" ht="14.25">
      <c t="s" s="6" r="A82">
        <v>840</v>
      </c>
      <c t="s" s="6" r="B82">
        <v>115</v>
      </c>
      <c t="s" s="6" r="C82">
        <v>116</v>
      </c>
      <c t="s" s="6" r="D82">
        <v>841</v>
      </c>
      <c t="s" s="6" r="E82">
        <v>842</v>
      </c>
      <c t="s" s="6" r="F82">
        <v>81</v>
      </c>
      <c t="s" s="6" r="G82">
        <v>251</v>
      </c>
      <c s="6" r="H82">
        <v>0</v>
      </c>
      <c t="s" s="6" r="I82">
        <v>107</v>
      </c>
      <c t="s" s="6" r="L82">
        <v>473</v>
      </c>
      <c t="s" s="6" r="M82">
        <v>272</v>
      </c>
      <c s="6" r="N82">
        <v>0</v>
      </c>
      <c s="6" r="O82">
        <v>0</v>
      </c>
      <c t="s" s="6" r="P82">
        <v>221</v>
      </c>
      <c t="s" s="6" r="Q82">
        <v>188</v>
      </c>
      <c t="s" s="6" r="R82">
        <v>843</v>
      </c>
      <c t="s" s="6" r="S82">
        <v>844</v>
      </c>
      <c t="s" s="6" r="T82">
        <v>90</v>
      </c>
      <c t="s" s="6" r="U82">
        <v>845</v>
      </c>
      <c s="6" r="V82">
        <v>1</v>
      </c>
      <c s="6" r="W82">
        <v>0</v>
      </c>
      <c s="6" r="X82">
        <v>0</v>
      </c>
      <c s="6" r="Y82">
        <v>0</v>
      </c>
      <c s="6" r="Z82">
        <v>0</v>
      </c>
      <c t="s" s="6" r="AA82">
        <v>92</v>
      </c>
      <c t="s" s="6" r="AB82">
        <v>92</v>
      </c>
      <c s="6" r="AC82">
        <v>1</v>
      </c>
      <c t="s" s="6" r="AD82">
        <v>92</v>
      </c>
      <c t="s" s="6" r="AE82">
        <v>92</v>
      </c>
      <c t="s" s="6" r="AF82">
        <v>92</v>
      </c>
      <c t="s" s="6" r="AG82">
        <v>92</v>
      </c>
      <c t="s" s="6" r="AH82">
        <v>92</v>
      </c>
      <c t="s" s="6" r="AI82">
        <v>92</v>
      </c>
      <c s="6" r="AJ82">
        <v>1</v>
      </c>
      <c s="6" r="AK82">
        <v>1</v>
      </c>
      <c s="6" r="AL82">
        <v>1</v>
      </c>
      <c s="6" r="AM82">
        <v>1</v>
      </c>
      <c t="s" s="6" r="AN82">
        <v>92</v>
      </c>
      <c s="6" r="AP82">
        <v>1</v>
      </c>
      <c t="s" s="6" r="AQ82">
        <v>846</v>
      </c>
      <c t="s" s="6" r="AR82">
        <v>847</v>
      </c>
      <c s="6" r="AS82">
        <v>0</v>
      </c>
      <c s="6" r="AT82">
        <v>0</v>
      </c>
      <c s="6" r="AU82">
        <v>0</v>
      </c>
      <c s="6" r="AV82">
        <v>0</v>
      </c>
      <c s="6" r="AW82">
        <v>0</v>
      </c>
      <c s="6" r="AX82">
        <v>0</v>
      </c>
      <c s="6" r="AY82">
        <v>0</v>
      </c>
      <c s="6" r="AZ82">
        <v>0</v>
      </c>
      <c s="6" r="BA82">
        <v>0</v>
      </c>
      <c s="6" r="BB82">
        <v>0</v>
      </c>
      <c s="6" r="BC82">
        <v>0</v>
      </c>
      <c s="6" r="BD82">
        <v>0</v>
      </c>
      <c s="6" r="BE82">
        <v>0</v>
      </c>
      <c s="6" r="BF82">
        <v>0</v>
      </c>
      <c s="6" r="BG82">
        <v>0</v>
      </c>
      <c s="6" r="BH82">
        <v>0</v>
      </c>
      <c s="6" r="BI82">
        <v>1</v>
      </c>
      <c s="6" r="BJ82">
        <v>0</v>
      </c>
      <c s="6" r="BK82">
        <v>0</v>
      </c>
      <c s="6" r="BL82">
        <v>1</v>
      </c>
      <c s="6" r="BM82">
        <v>0</v>
      </c>
      <c s="6" r="BN82">
        <v>0</v>
      </c>
      <c s="6" r="BO82">
        <v>0</v>
      </c>
      <c s="6" r="BP82">
        <v>0</v>
      </c>
      <c s="6" r="BQ82">
        <v>0</v>
      </c>
      <c t="str" s="6" r="BR82">
        <f>HYPERLINK("http://www.d20pfsrd.com/magic/all-spells/c/command","Command")</f>
        <v>Command</v>
      </c>
      <c s="6" r="BS82">
        <v>81</v>
      </c>
      <c t="s" s="6" r="BT82">
        <v>92</v>
      </c>
      <c t="s" s="6" r="BV82">
        <v>848</v>
      </c>
      <c t="s" s="6" r="BW82">
        <v>849</v>
      </c>
      <c s="6" r="BY82">
        <v>1</v>
      </c>
    </row>
    <row customHeight="1" r="83" ht="14.25">
      <c t="s" s="6" r="A83">
        <v>850</v>
      </c>
      <c t="s" s="6" r="B83">
        <v>115</v>
      </c>
      <c t="s" s="6" r="C83">
        <v>116</v>
      </c>
      <c t="s" s="6" r="D83">
        <v>841</v>
      </c>
      <c t="s" s="6" r="E83">
        <v>851</v>
      </c>
      <c t="s" s="6" r="F83">
        <v>81</v>
      </c>
      <c t="s" s="6" r="G83">
        <v>251</v>
      </c>
      <c s="6" r="H83">
        <v>0</v>
      </c>
      <c t="s" s="6" r="I83">
        <v>107</v>
      </c>
      <c t="s" s="6" r="L83">
        <v>620</v>
      </c>
      <c t="s" s="6" r="M83">
        <v>99</v>
      </c>
      <c s="6" r="N83">
        <v>0</v>
      </c>
      <c s="6" r="O83">
        <v>0</v>
      </c>
      <c t="s" s="6" r="P83">
        <v>221</v>
      </c>
      <c t="s" s="6" r="Q83">
        <v>188</v>
      </c>
      <c t="s" s="6" r="R83">
        <v>852</v>
      </c>
      <c t="s" s="6" r="S83">
        <v>853</v>
      </c>
      <c t="s" s="6" r="T83">
        <v>90</v>
      </c>
      <c t="s" s="6" r="U83">
        <v>854</v>
      </c>
      <c s="6" r="V83">
        <v>1</v>
      </c>
      <c s="6" r="W83">
        <v>0</v>
      </c>
      <c s="6" r="X83">
        <v>0</v>
      </c>
      <c s="6" r="Y83">
        <v>0</v>
      </c>
      <c s="6" r="Z83">
        <v>0</v>
      </c>
      <c t="s" s="6" r="AA83">
        <v>92</v>
      </c>
      <c t="s" s="6" r="AB83">
        <v>92</v>
      </c>
      <c s="6" r="AC83">
        <v>5</v>
      </c>
      <c t="s" s="6" r="AD83">
        <v>92</v>
      </c>
      <c t="s" s="6" r="AE83">
        <v>92</v>
      </c>
      <c t="s" s="6" r="AF83">
        <v>92</v>
      </c>
      <c t="s" s="6" r="AG83">
        <v>92</v>
      </c>
      <c t="s" s="6" r="AH83">
        <v>92</v>
      </c>
      <c t="s" s="6" r="AI83">
        <v>92</v>
      </c>
      <c t="s" s="6" r="AJ83">
        <v>92</v>
      </c>
      <c s="6" r="AK83">
        <v>5</v>
      </c>
      <c s="6" r="AL83">
        <v>5</v>
      </c>
      <c t="s" s="6" r="AM83">
        <v>92</v>
      </c>
      <c t="s" s="6" r="AN83">
        <v>92</v>
      </c>
      <c s="6" r="AP83">
        <v>5</v>
      </c>
      <c t="s" s="6" r="AQ83">
        <v>855</v>
      </c>
      <c t="s" s="6" r="AR83">
        <v>856</v>
      </c>
      <c s="6" r="AS83">
        <v>0</v>
      </c>
      <c s="6" r="AT83">
        <v>0</v>
      </c>
      <c s="6" r="AU83">
        <v>0</v>
      </c>
      <c s="6" r="AV83">
        <v>0</v>
      </c>
      <c s="6" r="AW83">
        <v>0</v>
      </c>
      <c s="6" r="AX83">
        <v>0</v>
      </c>
      <c s="6" r="AY83">
        <v>0</v>
      </c>
      <c s="6" r="AZ83">
        <v>0</v>
      </c>
      <c s="6" r="BA83">
        <v>0</v>
      </c>
      <c s="6" r="BB83">
        <v>0</v>
      </c>
      <c s="6" r="BC83">
        <v>0</v>
      </c>
      <c s="6" r="BD83">
        <v>0</v>
      </c>
      <c s="6" r="BE83">
        <v>0</v>
      </c>
      <c s="6" r="BF83">
        <v>0</v>
      </c>
      <c s="6" r="BG83">
        <v>0</v>
      </c>
      <c s="6" r="BH83">
        <v>0</v>
      </c>
      <c s="6" r="BI83">
        <v>1</v>
      </c>
      <c s="6" r="BJ83">
        <v>0</v>
      </c>
      <c s="6" r="BK83">
        <v>0</v>
      </c>
      <c s="6" r="BL83">
        <v>1</v>
      </c>
      <c s="6" r="BM83">
        <v>0</v>
      </c>
      <c s="6" r="BN83">
        <v>0</v>
      </c>
      <c s="6" r="BO83">
        <v>0</v>
      </c>
      <c s="6" r="BP83">
        <v>0</v>
      </c>
      <c s="6" r="BQ83">
        <v>0</v>
      </c>
      <c t="str" s="6" r="BR83">
        <f>HYPERLINK("http://www.d20pfsrd.com/magic/all-spells/c/command","Command, Greater")</f>
        <v>Command, Greater</v>
      </c>
      <c s="6" r="BS83">
        <v>82</v>
      </c>
      <c t="s" s="6" r="BT83">
        <v>92</v>
      </c>
      <c t="s" s="6" r="BU83">
        <v>857</v>
      </c>
      <c s="6" r="BY83">
        <v>0</v>
      </c>
    </row>
    <row customHeight="1" r="84" ht="14.25">
      <c t="s" s="6" r="A84">
        <v>858</v>
      </c>
      <c t="s" s="6" r="B84">
        <v>131</v>
      </c>
      <c t="s" s="6" r="E84">
        <v>859</v>
      </c>
      <c t="s" s="6" r="F84">
        <v>81</v>
      </c>
      <c t="s" s="6" r="G84">
        <v>251</v>
      </c>
      <c s="6" r="H84">
        <v>0</v>
      </c>
      <c t="s" s="6" r="I84">
        <v>107</v>
      </c>
      <c t="s" s="6" r="L84">
        <v>860</v>
      </c>
      <c t="s" s="6" r="M84">
        <v>200</v>
      </c>
      <c s="6" r="N84">
        <v>0</v>
      </c>
      <c s="6" r="O84">
        <v>0</v>
      </c>
      <c t="s" s="6" r="P84">
        <v>221</v>
      </c>
      <c t="s" s="6" r="Q84">
        <v>188</v>
      </c>
      <c t="s" s="6" r="R84">
        <v>861</v>
      </c>
      <c t="s" s="6" r="S84">
        <v>862</v>
      </c>
      <c t="s" s="6" r="T84">
        <v>90</v>
      </c>
      <c t="s" s="6" r="U84">
        <v>863</v>
      </c>
      <c s="6" r="V84">
        <v>1</v>
      </c>
      <c s="6" r="W84">
        <v>0</v>
      </c>
      <c s="6" r="X84">
        <v>0</v>
      </c>
      <c s="6" r="Y84">
        <v>0</v>
      </c>
      <c s="6" r="Z84">
        <v>0</v>
      </c>
      <c t="s" s="6" r="AA84">
        <v>92</v>
      </c>
      <c t="s" s="6" r="AB84">
        <v>92</v>
      </c>
      <c t="s" s="6" r="AC84">
        <v>92</v>
      </c>
      <c s="6" r="AD84">
        <v>4</v>
      </c>
      <c s="6" r="AE84">
        <v>3</v>
      </c>
      <c t="s" s="6" r="AF84">
        <v>92</v>
      </c>
      <c t="s" s="6" r="AG84">
        <v>92</v>
      </c>
      <c t="s" s="6" r="AH84">
        <v>92</v>
      </c>
      <c t="s" s="6" r="AI84">
        <v>92</v>
      </c>
      <c t="s" s="6" r="AJ84">
        <v>92</v>
      </c>
      <c t="s" s="6" r="AK84">
        <v>92</v>
      </c>
      <c t="s" s="6" r="AL84">
        <v>92</v>
      </c>
      <c t="s" s="6" r="AM84">
        <v>92</v>
      </c>
      <c t="s" s="6" r="AN84">
        <v>92</v>
      </c>
      <c s="6" r="AP84">
        <v>4</v>
      </c>
      <c t="s" s="6" r="AQ84">
        <v>257</v>
      </c>
      <c t="s" s="6" r="AR84">
        <v>864</v>
      </c>
      <c s="6" r="AS84">
        <v>0</v>
      </c>
      <c s="6" r="AT84">
        <v>0</v>
      </c>
      <c s="6" r="AU84">
        <v>0</v>
      </c>
      <c s="6" r="AV84">
        <v>0</v>
      </c>
      <c s="6" r="AW84">
        <v>0</v>
      </c>
      <c s="6" r="AX84">
        <v>0</v>
      </c>
      <c s="6" r="AY84">
        <v>0</v>
      </c>
      <c s="6" r="AZ84">
        <v>0</v>
      </c>
      <c s="6" r="BA84">
        <v>0</v>
      </c>
      <c s="6" r="BB84">
        <v>0</v>
      </c>
      <c s="6" r="BC84">
        <v>0</v>
      </c>
      <c s="6" r="BD84">
        <v>0</v>
      </c>
      <c s="6" r="BE84">
        <v>0</v>
      </c>
      <c s="6" r="BF84">
        <v>0</v>
      </c>
      <c s="6" r="BG84">
        <v>0</v>
      </c>
      <c s="6" r="BH84">
        <v>0</v>
      </c>
      <c s="6" r="BI84">
        <v>0</v>
      </c>
      <c s="6" r="BJ84">
        <v>0</v>
      </c>
      <c s="6" r="BK84">
        <v>0</v>
      </c>
      <c s="6" r="BL84">
        <v>0</v>
      </c>
      <c s="6" r="BM84">
        <v>0</v>
      </c>
      <c s="6" r="BN84">
        <v>0</v>
      </c>
      <c s="6" r="BO84">
        <v>0</v>
      </c>
      <c s="6" r="BP84">
        <v>0</v>
      </c>
      <c s="6" r="BQ84">
        <v>0</v>
      </c>
      <c t="str" s="6" r="BR84">
        <f>HYPERLINK("http://www.d20pfsrd.com/magic/all-spells/c/command-plants","Command Plants")</f>
        <v>Command Plants</v>
      </c>
      <c s="6" r="BS84">
        <v>83</v>
      </c>
      <c t="s" s="6" r="BT84">
        <v>92</v>
      </c>
      <c t="s" s="6" r="BU84">
        <v>259</v>
      </c>
      <c s="6" r="BY84">
        <v>0</v>
      </c>
    </row>
    <row customHeight="1" r="85" ht="14.25">
      <c t="s" s="6" r="A85">
        <v>865</v>
      </c>
      <c t="s" s="6" r="B85">
        <v>227</v>
      </c>
      <c t="s" s="6" r="E85">
        <v>320</v>
      </c>
      <c t="s" s="6" r="F85">
        <v>81</v>
      </c>
      <c t="s" s="6" r="G85">
        <v>866</v>
      </c>
      <c s="6" r="H85">
        <v>0</v>
      </c>
      <c t="s" s="6" r="I85">
        <v>107</v>
      </c>
      <c t="s" s="6" r="L85">
        <v>867</v>
      </c>
      <c t="s" s="6" r="M85">
        <v>200</v>
      </c>
      <c s="6" r="N85">
        <v>0</v>
      </c>
      <c s="6" r="O85">
        <v>0</v>
      </c>
      <c t="s" s="6" r="P85">
        <v>474</v>
      </c>
      <c t="s" s="6" r="Q85">
        <v>188</v>
      </c>
      <c t="s" s="6" r="R85">
        <v>868</v>
      </c>
      <c t="s" s="6" r="S85">
        <v>869</v>
      </c>
      <c t="s" s="6" r="T85">
        <v>90</v>
      </c>
      <c t="s" s="6" r="U85">
        <v>870</v>
      </c>
      <c s="6" r="V85">
        <v>1</v>
      </c>
      <c s="6" r="W85">
        <v>1</v>
      </c>
      <c s="6" r="X85">
        <v>1</v>
      </c>
      <c s="6" r="Y85">
        <v>0</v>
      </c>
      <c s="6" r="Z85">
        <v>0</v>
      </c>
      <c s="6" r="AA85">
        <v>2</v>
      </c>
      <c s="6" r="AB85">
        <v>2</v>
      </c>
      <c t="s" s="6" r="AC85">
        <v>92</v>
      </c>
      <c t="s" s="6" r="AD85">
        <v>92</v>
      </c>
      <c t="s" s="6" r="AE85">
        <v>92</v>
      </c>
      <c t="s" s="6" r="AF85">
        <v>92</v>
      </c>
      <c t="s" s="6" r="AG85">
        <v>92</v>
      </c>
      <c t="s" s="6" r="AH85">
        <v>92</v>
      </c>
      <c t="s" s="6" r="AI85">
        <v>92</v>
      </c>
      <c t="s" s="6" r="AJ85">
        <v>92</v>
      </c>
      <c t="s" s="6" r="AK85">
        <v>92</v>
      </c>
      <c t="s" s="6" r="AL85">
        <v>92</v>
      </c>
      <c t="s" s="6" r="AM85">
        <v>92</v>
      </c>
      <c t="s" s="6" r="AN85">
        <v>92</v>
      </c>
      <c s="6" r="AP85">
        <v>2</v>
      </c>
      <c t="s" s="6" r="AQ85">
        <v>871</v>
      </c>
      <c t="s" s="6" r="AR85">
        <v>872</v>
      </c>
      <c s="6" r="AS85">
        <v>0</v>
      </c>
      <c s="6" r="AT85">
        <v>0</v>
      </c>
      <c s="6" r="AU85">
        <v>0</v>
      </c>
      <c s="6" r="AV85">
        <v>0</v>
      </c>
      <c s="6" r="AW85">
        <v>0</v>
      </c>
      <c s="6" r="AX85">
        <v>0</v>
      </c>
      <c s="6" r="AY85">
        <v>0</v>
      </c>
      <c s="6" r="AZ85">
        <v>0</v>
      </c>
      <c s="6" r="BA85">
        <v>0</v>
      </c>
      <c s="6" r="BB85">
        <v>0</v>
      </c>
      <c s="6" r="BC85">
        <v>0</v>
      </c>
      <c s="6" r="BD85">
        <v>0</v>
      </c>
      <c s="6" r="BE85">
        <v>0</v>
      </c>
      <c s="6" r="BF85">
        <v>0</v>
      </c>
      <c s="6" r="BG85">
        <v>0</v>
      </c>
      <c s="6" r="BH85">
        <v>0</v>
      </c>
      <c s="6" r="BI85">
        <v>0</v>
      </c>
      <c s="6" r="BJ85">
        <v>0</v>
      </c>
      <c s="6" r="BK85">
        <v>0</v>
      </c>
      <c s="6" r="BL85">
        <v>0</v>
      </c>
      <c s="6" r="BM85">
        <v>0</v>
      </c>
      <c s="6" r="BN85">
        <v>0</v>
      </c>
      <c s="6" r="BO85">
        <v>0</v>
      </c>
      <c s="6" r="BP85">
        <v>0</v>
      </c>
      <c s="6" r="BQ85">
        <v>0</v>
      </c>
      <c t="str" s="6" r="BR85">
        <f>HYPERLINK("http://www.d20pfsrd.com/magic/all-spells/c/command-undead","Command Undead")</f>
        <v>Command Undead</v>
      </c>
      <c s="6" r="BS85">
        <v>84</v>
      </c>
      <c t="s" s="6" r="BT85">
        <v>92</v>
      </c>
      <c t="s" s="6" r="BV85">
        <v>873</v>
      </c>
      <c s="6" r="BY85">
        <v>0</v>
      </c>
    </row>
    <row customHeight="1" r="86" ht="14.25">
      <c t="s" s="6" r="A86">
        <v>874</v>
      </c>
      <c t="s" s="6" r="B86">
        <v>174</v>
      </c>
      <c t="s" s="6" r="E86">
        <v>851</v>
      </c>
      <c t="s" s="6" r="F86">
        <v>311</v>
      </c>
      <c t="s" s="6" r="G86">
        <v>875</v>
      </c>
      <c s="6" r="H86">
        <v>1</v>
      </c>
      <c t="s" s="6" r="I86">
        <v>155</v>
      </c>
      <c t="s" s="6" r="L86">
        <v>156</v>
      </c>
      <c t="s" s="6" r="M86">
        <v>99</v>
      </c>
      <c s="6" r="N86">
        <v>0</v>
      </c>
      <c s="6" r="O86">
        <v>0</v>
      </c>
      <c t="s" s="6" r="R86">
        <v>876</v>
      </c>
      <c t="s" s="6" r="S86">
        <v>877</v>
      </c>
      <c t="s" s="6" r="T86">
        <v>90</v>
      </c>
      <c t="s" s="6" r="U86">
        <v>878</v>
      </c>
      <c s="6" r="V86">
        <v>1</v>
      </c>
      <c s="6" r="W86">
        <v>1</v>
      </c>
      <c s="6" r="X86">
        <v>1</v>
      </c>
      <c s="6" r="Y86">
        <v>0</v>
      </c>
      <c s="6" r="Z86">
        <v>1</v>
      </c>
      <c t="s" s="6" r="AA86">
        <v>92</v>
      </c>
      <c t="s" s="6" r="AB86">
        <v>92</v>
      </c>
      <c s="6" r="AC86">
        <v>5</v>
      </c>
      <c t="s" s="6" r="AD86">
        <v>92</v>
      </c>
      <c t="s" s="6" r="AE86">
        <v>92</v>
      </c>
      <c t="s" s="6" r="AF86">
        <v>92</v>
      </c>
      <c t="s" s="6" r="AG86">
        <v>92</v>
      </c>
      <c t="s" s="6" r="AH86">
        <v>92</v>
      </c>
      <c t="s" s="6" r="AI86">
        <v>92</v>
      </c>
      <c t="s" s="6" r="AJ86">
        <v>92</v>
      </c>
      <c s="6" r="AK86">
        <v>5</v>
      </c>
      <c s="6" r="AL86">
        <v>5</v>
      </c>
      <c t="s" s="6" r="AM86">
        <v>92</v>
      </c>
      <c t="s" s="6" r="AN86">
        <v>92</v>
      </c>
      <c s="6" r="AP86">
        <v>5</v>
      </c>
      <c t="s" s="6" r="AR86">
        <v>879</v>
      </c>
      <c s="6" r="AS86">
        <v>0</v>
      </c>
      <c s="6" r="AT86">
        <v>0</v>
      </c>
      <c s="6" r="AU86">
        <v>0</v>
      </c>
      <c s="6" r="AV86">
        <v>0</v>
      </c>
      <c s="6" r="AW86">
        <v>0</v>
      </c>
      <c s="6" r="AX86">
        <v>0</v>
      </c>
      <c s="6" r="AY86">
        <v>0</v>
      </c>
      <c s="6" r="AZ86">
        <v>0</v>
      </c>
      <c s="6" r="BA86">
        <v>0</v>
      </c>
      <c s="6" r="BB86">
        <v>0</v>
      </c>
      <c s="6" r="BC86">
        <v>0</v>
      </c>
      <c s="6" r="BD86">
        <v>0</v>
      </c>
      <c s="6" r="BE86">
        <v>0</v>
      </c>
      <c s="6" r="BF86">
        <v>0</v>
      </c>
      <c s="6" r="BG86">
        <v>0</v>
      </c>
      <c s="6" r="BH86">
        <v>0</v>
      </c>
      <c s="6" r="BI86">
        <v>0</v>
      </c>
      <c s="6" r="BJ86">
        <v>0</v>
      </c>
      <c s="6" r="BK86">
        <v>0</v>
      </c>
      <c s="6" r="BL86">
        <v>0</v>
      </c>
      <c s="6" r="BM86">
        <v>0</v>
      </c>
      <c s="6" r="BN86">
        <v>0</v>
      </c>
      <c s="6" r="BO86">
        <v>0</v>
      </c>
      <c s="6" r="BP86">
        <v>0</v>
      </c>
      <c s="6" r="BQ86">
        <v>0</v>
      </c>
      <c t="str" s="6" r="BR86">
        <f>HYPERLINK("http://www.d20pfsrd.com/magic/all-spells/c/commune","Commune")</f>
        <v>Commune</v>
      </c>
      <c s="6" r="BS86">
        <v>85</v>
      </c>
      <c s="6" r="BT86">
        <v>500</v>
      </c>
      <c t="s" s="6" r="BV86">
        <v>129</v>
      </c>
      <c s="6" r="BY86">
        <v>0</v>
      </c>
    </row>
    <row customHeight="1" r="87" ht="14.25">
      <c t="s" s="6" r="A87">
        <v>880</v>
      </c>
      <c t="s" s="6" r="B87">
        <v>174</v>
      </c>
      <c t="s" s="6" r="E87">
        <v>881</v>
      </c>
      <c t="s" s="6" r="F87">
        <v>311</v>
      </c>
      <c t="s" s="6" r="G87">
        <v>106</v>
      </c>
      <c s="6" r="H87">
        <v>0</v>
      </c>
      <c t="s" s="6" r="I87">
        <v>155</v>
      </c>
      <c t="s" s="6" r="L87">
        <v>156</v>
      </c>
      <c t="s" s="6" r="M87">
        <v>109</v>
      </c>
      <c s="6" r="N87">
        <v>0</v>
      </c>
      <c s="6" r="O87">
        <v>0</v>
      </c>
      <c t="s" s="6" r="R87">
        <v>882</v>
      </c>
      <c t="s" s="6" r="S87">
        <v>883</v>
      </c>
      <c t="s" s="6" r="T87">
        <v>90</v>
      </c>
      <c t="s" s="6" r="U87">
        <v>884</v>
      </c>
      <c s="6" r="V87">
        <v>1</v>
      </c>
      <c s="6" r="W87">
        <v>1</v>
      </c>
      <c s="6" r="X87">
        <v>0</v>
      </c>
      <c s="6" r="Y87">
        <v>0</v>
      </c>
      <c s="6" r="Z87">
        <v>0</v>
      </c>
      <c t="s" s="6" r="AA87">
        <v>92</v>
      </c>
      <c t="s" s="6" r="AB87">
        <v>92</v>
      </c>
      <c t="s" s="6" r="AC87">
        <v>92</v>
      </c>
      <c s="6" r="AD87">
        <v>5</v>
      </c>
      <c s="6" r="AE87">
        <v>4</v>
      </c>
      <c t="s" s="6" r="AF87">
        <v>92</v>
      </c>
      <c t="s" s="6" r="AG87">
        <v>92</v>
      </c>
      <c t="s" s="6" r="AH87">
        <v>92</v>
      </c>
      <c t="s" s="6" r="AI87">
        <v>92</v>
      </c>
      <c t="s" s="6" r="AJ87">
        <v>92</v>
      </c>
      <c t="s" s="6" r="AK87">
        <v>92</v>
      </c>
      <c t="s" s="6" r="AL87">
        <v>92</v>
      </c>
      <c t="s" s="6" r="AM87">
        <v>92</v>
      </c>
      <c t="s" s="6" r="AN87">
        <v>92</v>
      </c>
      <c s="6" r="AP87">
        <v>5</v>
      </c>
      <c t="s" s="6" r="AR87">
        <v>885</v>
      </c>
      <c s="6" r="AS87">
        <v>0</v>
      </c>
      <c s="6" r="AT87">
        <v>0</v>
      </c>
      <c s="6" r="AU87">
        <v>0</v>
      </c>
      <c s="6" r="AV87">
        <v>0</v>
      </c>
      <c s="6" r="AW87">
        <v>0</v>
      </c>
      <c s="6" r="AX87">
        <v>0</v>
      </c>
      <c s="6" r="AY87">
        <v>0</v>
      </c>
      <c s="6" r="AZ87">
        <v>0</v>
      </c>
      <c s="6" r="BA87">
        <v>0</v>
      </c>
      <c s="6" r="BB87">
        <v>0</v>
      </c>
      <c s="6" r="BC87">
        <v>0</v>
      </c>
      <c s="6" r="BD87">
        <v>0</v>
      </c>
      <c s="6" r="BE87">
        <v>0</v>
      </c>
      <c s="6" r="BF87">
        <v>0</v>
      </c>
      <c s="6" r="BG87">
        <v>0</v>
      </c>
      <c s="6" r="BH87">
        <v>0</v>
      </c>
      <c s="6" r="BI87">
        <v>0</v>
      </c>
      <c s="6" r="BJ87">
        <v>0</v>
      </c>
      <c s="6" r="BK87">
        <v>0</v>
      </c>
      <c s="6" r="BL87">
        <v>0</v>
      </c>
      <c s="6" r="BM87">
        <v>0</v>
      </c>
      <c s="6" r="BN87">
        <v>0</v>
      </c>
      <c s="6" r="BO87">
        <v>0</v>
      </c>
      <c s="6" r="BP87">
        <v>0</v>
      </c>
      <c s="6" r="BQ87">
        <v>0</v>
      </c>
      <c t="str" s="6" r="BR87">
        <f>HYPERLINK("http://www.d20pfsrd.com/magic/all-spells/c/commune-with-nature","Commune with Nature")</f>
        <v>Commune with Nature</v>
      </c>
      <c s="6" r="BS87">
        <v>86</v>
      </c>
      <c t="s" s="6" r="BT87">
        <v>92</v>
      </c>
      <c s="6" r="BY87">
        <v>0</v>
      </c>
    </row>
    <row customHeight="1" r="88" ht="14.25">
      <c t="s" s="6" r="A88">
        <v>886</v>
      </c>
      <c t="s" s="6" r="B88">
        <v>174</v>
      </c>
      <c t="s" s="6" r="E88">
        <v>887</v>
      </c>
      <c t="s" s="6" r="F88">
        <v>81</v>
      </c>
      <c t="s" s="6" r="G88">
        <v>888</v>
      </c>
      <c s="6" r="H88">
        <v>0</v>
      </c>
      <c t="s" s="6" r="I88">
        <v>155</v>
      </c>
      <c t="s" s="6" r="L88">
        <v>156</v>
      </c>
      <c t="s" s="6" r="M88">
        <v>134</v>
      </c>
      <c s="6" r="N88">
        <v>0</v>
      </c>
      <c s="6" r="O88">
        <v>0</v>
      </c>
      <c t="s" s="6" r="R88">
        <v>889</v>
      </c>
      <c t="s" s="6" r="S88">
        <v>890</v>
      </c>
      <c t="s" s="6" r="T88">
        <v>90</v>
      </c>
      <c t="s" s="6" r="U88">
        <v>891</v>
      </c>
      <c s="6" r="V88">
        <v>1</v>
      </c>
      <c s="6" r="W88">
        <v>1</v>
      </c>
      <c s="6" r="X88">
        <v>1</v>
      </c>
      <c s="6" r="Y88">
        <v>0</v>
      </c>
      <c s="6" r="Z88">
        <v>1</v>
      </c>
      <c s="6" r="AA88">
        <v>1</v>
      </c>
      <c s="6" r="AB88">
        <v>1</v>
      </c>
      <c s="6" r="AC88">
        <v>1</v>
      </c>
      <c t="s" s="6" r="AD88">
        <v>92</v>
      </c>
      <c t="s" s="6" r="AE88">
        <v>92</v>
      </c>
      <c s="6" r="AF88">
        <v>1</v>
      </c>
      <c t="s" s="6" r="AG88">
        <v>92</v>
      </c>
      <c s="6" r="AH88">
        <v>1</v>
      </c>
      <c t="s" s="6" r="AI88">
        <v>92</v>
      </c>
      <c s="6" r="AJ88">
        <v>1</v>
      </c>
      <c s="6" r="AK88">
        <v>1</v>
      </c>
      <c s="6" r="AL88">
        <v>1</v>
      </c>
      <c t="s" s="6" r="AM88">
        <v>92</v>
      </c>
      <c t="s" s="6" r="AN88">
        <v>92</v>
      </c>
      <c s="6" r="AP88">
        <v>1</v>
      </c>
      <c t="s" s="6" r="AQ88">
        <v>892</v>
      </c>
      <c t="s" s="6" r="AR88">
        <v>893</v>
      </c>
      <c s="6" r="AS88">
        <v>0</v>
      </c>
      <c s="6" r="AT88">
        <v>0</v>
      </c>
      <c s="6" r="AU88">
        <v>0</v>
      </c>
      <c s="6" r="AV88">
        <v>0</v>
      </c>
      <c s="6" r="AW88">
        <v>0</v>
      </c>
      <c s="6" r="AX88">
        <v>0</v>
      </c>
      <c s="6" r="AY88">
        <v>0</v>
      </c>
      <c s="6" r="AZ88">
        <v>0</v>
      </c>
      <c s="6" r="BA88">
        <v>0</v>
      </c>
      <c s="6" r="BB88">
        <v>0</v>
      </c>
      <c s="6" r="BC88">
        <v>0</v>
      </c>
      <c s="6" r="BD88">
        <v>0</v>
      </c>
      <c s="6" r="BE88">
        <v>0</v>
      </c>
      <c s="6" r="BF88">
        <v>0</v>
      </c>
      <c s="6" r="BG88">
        <v>0</v>
      </c>
      <c s="6" r="BH88">
        <v>0</v>
      </c>
      <c s="6" r="BI88">
        <v>0</v>
      </c>
      <c s="6" r="BJ88">
        <v>0</v>
      </c>
      <c s="6" r="BK88">
        <v>0</v>
      </c>
      <c s="6" r="BL88">
        <v>0</v>
      </c>
      <c s="6" r="BM88">
        <v>0</v>
      </c>
      <c s="6" r="BN88">
        <v>0</v>
      </c>
      <c s="6" r="BO88">
        <v>0</v>
      </c>
      <c s="6" r="BP88">
        <v>0</v>
      </c>
      <c s="6" r="BQ88">
        <v>0</v>
      </c>
      <c t="str" s="6" r="BR88">
        <f>HYPERLINK("http://www.d20pfsrd.com/magic/all-spells/c/comprehend-languages","Comprehend Languages")</f>
        <v>Comprehend Languages</v>
      </c>
      <c s="6" r="BS88">
        <v>87</v>
      </c>
      <c t="s" s="6" r="BT88">
        <v>92</v>
      </c>
      <c s="6" r="BY88">
        <v>0</v>
      </c>
    </row>
    <row customHeight="1" r="89" ht="14.25">
      <c t="s" s="6" r="A89">
        <v>894</v>
      </c>
      <c t="s" s="6" r="B89">
        <v>493</v>
      </c>
      <c t="s" s="6" r="D89">
        <v>47</v>
      </c>
      <c t="s" s="6" r="E89">
        <v>895</v>
      </c>
      <c t="s" s="6" r="F89">
        <v>81</v>
      </c>
      <c t="s" s="6" r="G89">
        <v>896</v>
      </c>
      <c s="6" r="H89">
        <v>0</v>
      </c>
      <c t="s" s="6" r="I89">
        <v>897</v>
      </c>
      <c t="s" s="6" r="J89">
        <v>630</v>
      </c>
      <c t="s" s="6" r="M89">
        <v>109</v>
      </c>
      <c s="6" r="N89">
        <v>0</v>
      </c>
      <c s="6" r="O89">
        <v>0</v>
      </c>
      <c t="s" s="6" r="P89">
        <v>631</v>
      </c>
      <c t="s" s="6" r="Q89">
        <v>188</v>
      </c>
      <c t="s" s="6" r="R89">
        <v>898</v>
      </c>
      <c t="s" s="6" r="S89">
        <v>899</v>
      </c>
      <c t="s" s="6" r="T89">
        <v>90</v>
      </c>
      <c t="s" s="6" r="U89">
        <v>900</v>
      </c>
      <c s="6" r="V89">
        <v>1</v>
      </c>
      <c s="6" r="W89">
        <v>1</v>
      </c>
      <c s="6" r="X89">
        <v>1</v>
      </c>
      <c s="6" r="Y89">
        <v>0</v>
      </c>
      <c s="6" r="Z89">
        <v>0</v>
      </c>
      <c s="6" r="AA89">
        <v>5</v>
      </c>
      <c s="6" r="AB89">
        <v>5</v>
      </c>
      <c t="s" s="6" r="AC89">
        <v>92</v>
      </c>
      <c t="s" s="6" r="AD89">
        <v>92</v>
      </c>
      <c t="s" s="6" r="AE89">
        <v>92</v>
      </c>
      <c t="s" s="6" r="AF89">
        <v>92</v>
      </c>
      <c t="s" s="6" r="AG89">
        <v>92</v>
      </c>
      <c t="s" s="6" r="AH89">
        <v>92</v>
      </c>
      <c t="s" s="6" r="AI89">
        <v>92</v>
      </c>
      <c s="6" r="AJ89">
        <v>6</v>
      </c>
      <c t="s" s="6" r="AK89">
        <v>92</v>
      </c>
      <c t="s" s="6" r="AL89">
        <v>92</v>
      </c>
      <c t="s" s="6" r="AM89">
        <v>92</v>
      </c>
      <c s="6" r="AN89">
        <v>5</v>
      </c>
      <c s="6" r="AP89">
        <v>5</v>
      </c>
      <c t="s" s="6" r="AQ89">
        <v>542</v>
      </c>
      <c t="s" s="6" r="AR89">
        <v>901</v>
      </c>
      <c s="6" r="AS89">
        <v>0</v>
      </c>
      <c s="6" r="AT89">
        <v>0</v>
      </c>
      <c s="6" r="AU89">
        <v>0</v>
      </c>
      <c s="6" r="AV89">
        <v>1</v>
      </c>
      <c s="6" r="AW89">
        <v>0</v>
      </c>
      <c s="6" r="AX89">
        <v>0</v>
      </c>
      <c s="6" r="AY89">
        <v>0</v>
      </c>
      <c s="6" r="AZ89">
        <v>0</v>
      </c>
      <c s="6" r="BA89">
        <v>0</v>
      </c>
      <c s="6" r="BB89">
        <v>0</v>
      </c>
      <c s="6" r="BC89">
        <v>0</v>
      </c>
      <c s="6" r="BD89">
        <v>0</v>
      </c>
      <c s="6" r="BE89">
        <v>0</v>
      </c>
      <c s="6" r="BF89">
        <v>0</v>
      </c>
      <c s="6" r="BG89">
        <v>0</v>
      </c>
      <c s="6" r="BH89">
        <v>0</v>
      </c>
      <c s="6" r="BI89">
        <v>0</v>
      </c>
      <c s="6" r="BJ89">
        <v>0</v>
      </c>
      <c s="6" r="BK89">
        <v>0</v>
      </c>
      <c s="6" r="BL89">
        <v>0</v>
      </c>
      <c s="6" r="BM89">
        <v>0</v>
      </c>
      <c s="6" r="BN89">
        <v>0</v>
      </c>
      <c s="6" r="BO89">
        <v>0</v>
      </c>
      <c s="6" r="BP89">
        <v>0</v>
      </c>
      <c s="6" r="BQ89">
        <v>0</v>
      </c>
      <c t="str" s="6" r="BR89">
        <f>HYPERLINK("http://www.d20pfsrd.com/magic/all-spells/c/cone-of-cold","Cone of Cold")</f>
        <v>Cone of Cold</v>
      </c>
      <c s="6" r="BS89">
        <v>88</v>
      </c>
      <c t="s" s="6" r="BT89">
        <v>92</v>
      </c>
      <c t="s" s="6" r="BU89">
        <v>902</v>
      </c>
      <c t="s" s="6" r="BV89">
        <v>903</v>
      </c>
      <c s="6" r="BY89">
        <v>0</v>
      </c>
    </row>
    <row customHeight="1" r="90" ht="14.25">
      <c t="s" s="6" r="A90">
        <v>904</v>
      </c>
      <c t="s" s="6" r="B90">
        <v>115</v>
      </c>
      <c t="s" s="6" r="C90">
        <v>116</v>
      </c>
      <c t="s" s="6" r="D90">
        <v>117</v>
      </c>
      <c t="s" s="6" r="E90">
        <v>905</v>
      </c>
      <c t="s" s="6" r="F90">
        <v>81</v>
      </c>
      <c t="s" s="6" r="G90">
        <v>906</v>
      </c>
      <c s="6" r="H90">
        <v>0</v>
      </c>
      <c t="s" s="6" r="I90">
        <v>97</v>
      </c>
      <c t="s" s="6" r="L90">
        <v>907</v>
      </c>
      <c t="s" s="6" r="M90">
        <v>99</v>
      </c>
      <c s="6" r="N90">
        <v>0</v>
      </c>
      <c s="6" r="O90">
        <v>0</v>
      </c>
      <c t="s" s="6" r="P90">
        <v>221</v>
      </c>
      <c t="s" s="6" r="Q90">
        <v>188</v>
      </c>
      <c t="s" s="6" r="R90">
        <v>908</v>
      </c>
      <c t="s" s="6" r="S90">
        <v>909</v>
      </c>
      <c t="s" s="6" r="T90">
        <v>90</v>
      </c>
      <c t="s" s="6" r="U90">
        <v>910</v>
      </c>
      <c s="6" r="V90">
        <v>1</v>
      </c>
      <c s="6" r="W90">
        <v>1</v>
      </c>
      <c s="6" r="X90">
        <v>1</v>
      </c>
      <c s="6" r="Y90">
        <v>0</v>
      </c>
      <c s="6" r="Z90">
        <v>1</v>
      </c>
      <c s="6" r="AA90">
        <v>4</v>
      </c>
      <c s="6" r="AB90">
        <v>4</v>
      </c>
      <c t="s" s="6" r="AC90">
        <v>92</v>
      </c>
      <c t="s" s="6" r="AD90">
        <v>92</v>
      </c>
      <c t="s" s="6" r="AE90">
        <v>92</v>
      </c>
      <c s="6" r="AF90">
        <v>3</v>
      </c>
      <c t="s" s="6" r="AG90">
        <v>92</v>
      </c>
      <c t="s" s="6" r="AH90">
        <v>92</v>
      </c>
      <c t="s" s="6" r="AI90">
        <v>92</v>
      </c>
      <c s="6" r="AJ90">
        <v>4</v>
      </c>
      <c t="s" s="6" r="AK90">
        <v>92</v>
      </c>
      <c t="s" s="6" r="AL90">
        <v>92</v>
      </c>
      <c t="s" s="6" r="AM90">
        <v>92</v>
      </c>
      <c t="s" s="6" r="AN90">
        <v>92</v>
      </c>
      <c s="6" r="AP90">
        <v>4</v>
      </c>
      <c t="s" s="6" r="AQ90">
        <v>911</v>
      </c>
      <c t="s" s="6" r="AR90">
        <v>912</v>
      </c>
      <c s="6" r="AS90">
        <v>0</v>
      </c>
      <c s="6" r="AT90">
        <v>0</v>
      </c>
      <c s="6" r="AU90">
        <v>0</v>
      </c>
      <c s="6" r="AV90">
        <v>0</v>
      </c>
      <c s="6" r="AW90">
        <v>0</v>
      </c>
      <c s="6" r="AX90">
        <v>0</v>
      </c>
      <c s="6" r="AY90">
        <v>0</v>
      </c>
      <c s="6" r="AZ90">
        <v>0</v>
      </c>
      <c s="6" r="BA90">
        <v>0</v>
      </c>
      <c s="6" r="BB90">
        <v>0</v>
      </c>
      <c s="6" r="BC90">
        <v>0</v>
      </c>
      <c s="6" r="BD90">
        <v>0</v>
      </c>
      <c s="6" r="BE90">
        <v>0</v>
      </c>
      <c s="6" r="BF90">
        <v>0</v>
      </c>
      <c s="6" r="BG90">
        <v>0</v>
      </c>
      <c s="6" r="BH90">
        <v>0</v>
      </c>
      <c s="6" r="BI90">
        <v>0</v>
      </c>
      <c s="6" r="BJ90">
        <v>0</v>
      </c>
      <c s="6" r="BK90">
        <v>0</v>
      </c>
      <c s="6" r="BL90">
        <v>1</v>
      </c>
      <c s="6" r="BM90">
        <v>0</v>
      </c>
      <c s="6" r="BN90">
        <v>0</v>
      </c>
      <c s="6" r="BO90">
        <v>0</v>
      </c>
      <c s="6" r="BP90">
        <v>0</v>
      </c>
      <c s="6" r="BQ90">
        <v>0</v>
      </c>
      <c t="str" s="6" r="BR90">
        <f>HYPERLINK("http://www.d20pfsrd.com/magic/all-spells/c/confusion","Confusion")</f>
        <v>Confusion</v>
      </c>
      <c s="6" r="BS90">
        <v>89</v>
      </c>
      <c t="s" s="6" r="BT90">
        <v>92</v>
      </c>
      <c t="s" s="6" r="BV90">
        <v>913</v>
      </c>
      <c s="6" r="BY90">
        <v>0</v>
      </c>
    </row>
    <row customHeight="1" r="91" ht="14.25">
      <c t="s" s="6" r="A91">
        <v>914</v>
      </c>
      <c t="s" s="6" r="B91">
        <v>115</v>
      </c>
      <c t="s" s="6" r="C91">
        <v>116</v>
      </c>
      <c t="s" s="6" r="D91">
        <v>117</v>
      </c>
      <c t="s" s="6" r="E91">
        <v>915</v>
      </c>
      <c t="s" s="6" r="F91">
        <v>81</v>
      </c>
      <c t="s" s="6" r="G91">
        <v>119</v>
      </c>
      <c s="6" r="H91">
        <v>0</v>
      </c>
      <c t="s" s="6" r="I91">
        <v>107</v>
      </c>
      <c t="s" s="6" r="L91">
        <v>473</v>
      </c>
      <c t="s" s="6" r="M91">
        <v>272</v>
      </c>
      <c s="6" r="N91">
        <v>0</v>
      </c>
      <c s="6" r="O91">
        <v>0</v>
      </c>
      <c t="s" s="6" r="P91">
        <v>221</v>
      </c>
      <c t="s" s="6" r="Q91">
        <v>188</v>
      </c>
      <c t="s" s="6" r="R91">
        <v>916</v>
      </c>
      <c t="s" s="6" r="S91">
        <v>917</v>
      </c>
      <c t="s" s="6" r="T91">
        <v>90</v>
      </c>
      <c t="s" s="6" r="U91">
        <v>918</v>
      </c>
      <c s="6" r="V91">
        <v>1</v>
      </c>
      <c s="6" r="W91">
        <v>1</v>
      </c>
      <c s="6" r="X91">
        <v>0</v>
      </c>
      <c s="6" r="Y91">
        <v>0</v>
      </c>
      <c s="6" r="Z91">
        <v>1</v>
      </c>
      <c t="s" s="6" r="AA91">
        <v>92</v>
      </c>
      <c t="s" s="6" r="AB91">
        <v>92</v>
      </c>
      <c t="s" s="6" r="AC91">
        <v>92</v>
      </c>
      <c t="s" s="6" r="AD91">
        <v>92</v>
      </c>
      <c t="s" s="6" r="AE91">
        <v>92</v>
      </c>
      <c s="6" r="AF91">
        <v>1</v>
      </c>
      <c t="s" s="6" r="AG91">
        <v>92</v>
      </c>
      <c t="s" s="6" r="AH91">
        <v>92</v>
      </c>
      <c t="s" s="6" r="AI91">
        <v>92</v>
      </c>
      <c t="s" s="6" r="AJ91">
        <v>92</v>
      </c>
      <c t="s" s="6" r="AK91">
        <v>92</v>
      </c>
      <c t="s" s="6" r="AL91">
        <v>92</v>
      </c>
      <c t="s" s="6" r="AM91">
        <v>92</v>
      </c>
      <c t="s" s="6" r="AN91">
        <v>92</v>
      </c>
      <c s="6" r="AP91">
        <v>1</v>
      </c>
      <c t="s" s="6" r="AQ91">
        <v>919</v>
      </c>
      <c t="s" s="6" r="AR91">
        <v>920</v>
      </c>
      <c s="6" r="AS91">
        <v>0</v>
      </c>
      <c s="6" r="AT91">
        <v>0</v>
      </c>
      <c s="6" r="AU91">
        <v>0</v>
      </c>
      <c s="6" r="AV91">
        <v>0</v>
      </c>
      <c s="6" r="AW91">
        <v>0</v>
      </c>
      <c s="6" r="AX91">
        <v>0</v>
      </c>
      <c s="6" r="AY91">
        <v>0</v>
      </c>
      <c s="6" r="AZ91">
        <v>0</v>
      </c>
      <c s="6" r="BA91">
        <v>0</v>
      </c>
      <c s="6" r="BB91">
        <v>0</v>
      </c>
      <c s="6" r="BC91">
        <v>0</v>
      </c>
      <c s="6" r="BD91">
        <v>0</v>
      </c>
      <c s="6" r="BE91">
        <v>0</v>
      </c>
      <c s="6" r="BF91">
        <v>0</v>
      </c>
      <c s="6" r="BG91">
        <v>0</v>
      </c>
      <c s="6" r="BH91">
        <v>0</v>
      </c>
      <c s="6" r="BI91">
        <v>0</v>
      </c>
      <c s="6" r="BJ91">
        <v>0</v>
      </c>
      <c s="6" r="BK91">
        <v>0</v>
      </c>
      <c s="6" r="BL91">
        <v>1</v>
      </c>
      <c s="6" r="BM91">
        <v>0</v>
      </c>
      <c s="6" r="BN91">
        <v>0</v>
      </c>
      <c s="6" r="BO91">
        <v>0</v>
      </c>
      <c s="6" r="BP91">
        <v>0</v>
      </c>
      <c s="6" r="BQ91">
        <v>0</v>
      </c>
      <c t="str" s="6" r="BR91">
        <f>HYPERLINK("http://www.d20pfsrd.com/magic/all-spells/c/confusion","Confusion, Lesser")</f>
        <v>Confusion, Lesser</v>
      </c>
      <c s="6" r="BS91">
        <v>90</v>
      </c>
      <c t="s" s="6" r="BT91">
        <v>92</v>
      </c>
      <c s="6" r="BY91">
        <v>0</v>
      </c>
    </row>
    <row customHeight="1" r="92" ht="14.25">
      <c t="s" s="6" r="A92">
        <v>921</v>
      </c>
      <c t="s" s="6" r="B92">
        <v>493</v>
      </c>
      <c t="s" s="6" r="D92">
        <v>59</v>
      </c>
      <c t="s" s="6" r="E92">
        <v>922</v>
      </c>
      <c t="s" s="6" r="F92">
        <v>81</v>
      </c>
      <c t="s" s="6" r="G92">
        <v>923</v>
      </c>
      <c s="6" r="H92">
        <v>1</v>
      </c>
      <c t="s" s="6" r="I92">
        <v>107</v>
      </c>
      <c t="s" s="6" r="J92">
        <v>924</v>
      </c>
      <c t="s" s="6" r="M92">
        <v>166</v>
      </c>
      <c s="6" r="N92">
        <v>0</v>
      </c>
      <c s="6" r="O92">
        <v>0</v>
      </c>
      <c t="s" s="6" r="P92">
        <v>86</v>
      </c>
      <c t="s" s="6" r="Q92">
        <v>87</v>
      </c>
      <c t="s" s="6" r="R92">
        <v>925</v>
      </c>
      <c t="s" s="6" r="S92">
        <v>926</v>
      </c>
      <c t="s" s="6" r="T92">
        <v>90</v>
      </c>
      <c t="s" s="6" r="U92">
        <v>927</v>
      </c>
      <c s="6" r="V92">
        <v>1</v>
      </c>
      <c s="6" r="W92">
        <v>1</v>
      </c>
      <c s="6" r="X92">
        <v>1</v>
      </c>
      <c s="6" r="Y92">
        <v>0</v>
      </c>
      <c s="6" r="Z92">
        <v>1</v>
      </c>
      <c t="s" s="6" r="AA92">
        <v>92</v>
      </c>
      <c t="s" s="6" r="AB92">
        <v>92</v>
      </c>
      <c s="6" r="AC92">
        <v>2</v>
      </c>
      <c t="s" s="6" r="AD92">
        <v>92</v>
      </c>
      <c t="s" s="6" r="AE92">
        <v>92</v>
      </c>
      <c t="s" s="6" r="AF92">
        <v>92</v>
      </c>
      <c t="s" s="6" r="AG92">
        <v>92</v>
      </c>
      <c t="s" s="6" r="AH92">
        <v>92</v>
      </c>
      <c t="s" s="6" r="AI92">
        <v>92</v>
      </c>
      <c t="s" s="6" r="AJ92">
        <v>92</v>
      </c>
      <c s="6" r="AK92">
        <v>2</v>
      </c>
      <c s="6" r="AL92">
        <v>2</v>
      </c>
      <c t="s" s="6" r="AM92">
        <v>92</v>
      </c>
      <c t="s" s="6" r="AN92">
        <v>92</v>
      </c>
      <c s="6" r="AP92">
        <v>2</v>
      </c>
      <c t="s" s="6" r="AR92">
        <v>928</v>
      </c>
      <c s="6" r="AS92">
        <v>0</v>
      </c>
      <c s="6" r="AT92">
        <v>0</v>
      </c>
      <c s="6" r="AU92">
        <v>0</v>
      </c>
      <c s="6" r="AV92">
        <v>0</v>
      </c>
      <c s="6" r="AW92">
        <v>0</v>
      </c>
      <c s="6" r="AX92">
        <v>0</v>
      </c>
      <c s="6" r="AY92">
        <v>0</v>
      </c>
      <c s="6" r="AZ92">
        <v>0</v>
      </c>
      <c s="6" r="BA92">
        <v>0</v>
      </c>
      <c s="6" r="BB92">
        <v>0</v>
      </c>
      <c s="6" r="BC92">
        <v>0</v>
      </c>
      <c s="6" r="BD92">
        <v>0</v>
      </c>
      <c s="6" r="BE92">
        <v>0</v>
      </c>
      <c s="6" r="BF92">
        <v>0</v>
      </c>
      <c s="6" r="BG92">
        <v>0</v>
      </c>
      <c s="6" r="BH92">
        <v>1</v>
      </c>
      <c s="6" r="BI92">
        <v>0</v>
      </c>
      <c s="6" r="BJ92">
        <v>0</v>
      </c>
      <c s="6" r="BK92">
        <v>0</v>
      </c>
      <c s="6" r="BL92">
        <v>0</v>
      </c>
      <c s="6" r="BM92">
        <v>0</v>
      </c>
      <c s="6" r="BN92">
        <v>0</v>
      </c>
      <c s="6" r="BO92">
        <v>0</v>
      </c>
      <c s="6" r="BP92">
        <v>0</v>
      </c>
      <c s="6" r="BQ92">
        <v>0</v>
      </c>
      <c t="str" s="6" r="BR92">
        <f>HYPERLINK("http://www.d20pfsrd.com/magic/all-spells/c/consecrate","Consecrate")</f>
        <v>Consecrate</v>
      </c>
      <c s="6" r="BS92">
        <v>91</v>
      </c>
      <c s="6" r="BT92">
        <v>25</v>
      </c>
      <c t="s" s="6" r="BW92">
        <v>929</v>
      </c>
      <c t="s" s="6" r="BX92">
        <v>930</v>
      </c>
      <c s="6" r="BY92">
        <v>1</v>
      </c>
    </row>
    <row customHeight="1" r="93" ht="14.25">
      <c t="s" s="6" r="A93">
        <v>931</v>
      </c>
      <c t="s" s="6" r="B93">
        <v>174</v>
      </c>
      <c t="s" s="6" r="E93">
        <v>932</v>
      </c>
      <c t="s" s="6" r="F93">
        <v>311</v>
      </c>
      <c t="s" s="6" r="G93">
        <v>251</v>
      </c>
      <c s="6" r="H93">
        <v>0</v>
      </c>
      <c t="s" s="6" r="I93">
        <v>155</v>
      </c>
      <c t="s" s="6" r="L93">
        <v>156</v>
      </c>
      <c t="s" s="6" r="M93">
        <v>220</v>
      </c>
      <c s="6" r="N93">
        <v>0</v>
      </c>
      <c s="6" r="O93">
        <v>0</v>
      </c>
      <c t="s" s="6" r="R93">
        <v>933</v>
      </c>
      <c t="s" s="6" r="S93">
        <v>934</v>
      </c>
      <c t="s" s="6" r="T93">
        <v>90</v>
      </c>
      <c t="s" s="6" r="U93">
        <v>935</v>
      </c>
      <c s="6" r="V93">
        <v>1</v>
      </c>
      <c s="6" r="W93">
        <v>0</v>
      </c>
      <c s="6" r="X93">
        <v>0</v>
      </c>
      <c s="6" r="Y93">
        <v>0</v>
      </c>
      <c s="6" r="Z93">
        <v>0</v>
      </c>
      <c s="6" r="AA93">
        <v>5</v>
      </c>
      <c s="6" r="AB93">
        <v>5</v>
      </c>
      <c t="s" s="6" r="AC93">
        <v>92</v>
      </c>
      <c t="s" s="6" r="AD93">
        <v>92</v>
      </c>
      <c t="s" s="6" r="AE93">
        <v>92</v>
      </c>
      <c t="s" s="6" r="AF93">
        <v>92</v>
      </c>
      <c t="s" s="6" r="AG93">
        <v>92</v>
      </c>
      <c s="6" r="AH93">
        <v>5</v>
      </c>
      <c s="6" r="AI93">
        <v>4</v>
      </c>
      <c s="6" r="AJ93">
        <v>5</v>
      </c>
      <c t="s" s="6" r="AK93">
        <v>92</v>
      </c>
      <c t="s" s="6" r="AL93">
        <v>92</v>
      </c>
      <c t="s" s="6" r="AM93">
        <v>92</v>
      </c>
      <c t="s" s="6" r="AN93">
        <v>92</v>
      </c>
      <c s="6" r="AP93">
        <v>5</v>
      </c>
      <c t="s" s="6" r="AR93">
        <v>936</v>
      </c>
      <c s="6" r="AS93">
        <v>0</v>
      </c>
      <c s="6" r="AT93">
        <v>0</v>
      </c>
      <c s="6" r="AU93">
        <v>0</v>
      </c>
      <c s="6" r="AV93">
        <v>0</v>
      </c>
      <c s="6" r="AW93">
        <v>0</v>
      </c>
      <c s="6" r="AX93">
        <v>0</v>
      </c>
      <c s="6" r="AY93">
        <v>0</v>
      </c>
      <c s="6" r="AZ93">
        <v>0</v>
      </c>
      <c s="6" r="BA93">
        <v>0</v>
      </c>
      <c s="6" r="BB93">
        <v>0</v>
      </c>
      <c s="6" r="BC93">
        <v>0</v>
      </c>
      <c s="6" r="BD93">
        <v>0</v>
      </c>
      <c s="6" r="BE93">
        <v>0</v>
      </c>
      <c s="6" r="BF93">
        <v>0</v>
      </c>
      <c s="6" r="BG93">
        <v>0</v>
      </c>
      <c s="6" r="BH93">
        <v>0</v>
      </c>
      <c s="6" r="BI93">
        <v>0</v>
      </c>
      <c s="6" r="BJ93">
        <v>0</v>
      </c>
      <c s="6" r="BK93">
        <v>0</v>
      </c>
      <c s="6" r="BL93">
        <v>0</v>
      </c>
      <c s="6" r="BM93">
        <v>0</v>
      </c>
      <c s="6" r="BN93">
        <v>0</v>
      </c>
      <c s="6" r="BO93">
        <v>0</v>
      </c>
      <c s="6" r="BP93">
        <v>0</v>
      </c>
      <c s="6" r="BQ93">
        <v>0</v>
      </c>
      <c t="str" s="6" r="BR93">
        <f>HYPERLINK("http://www.d20pfsrd.com/magic/all-spells/c/contact-other-plane","Contact Other Plane")</f>
        <v>Contact Other Plane</v>
      </c>
      <c s="6" r="BS93">
        <v>92</v>
      </c>
      <c t="s" s="6" r="BT93">
        <v>92</v>
      </c>
      <c t="s" s="6" r="BV93">
        <v>848</v>
      </c>
      <c s="6" r="BY93">
        <v>0</v>
      </c>
    </row>
    <row customHeight="1" r="94" ht="14.25">
      <c t="s" s="6" r="A94">
        <v>937</v>
      </c>
      <c t="s" s="6" r="B94">
        <v>227</v>
      </c>
      <c t="s" s="6" r="D94">
        <v>55</v>
      </c>
      <c t="s" s="6" r="E94">
        <v>938</v>
      </c>
      <c t="s" s="6" r="F94">
        <v>81</v>
      </c>
      <c t="s" s="6" r="G94">
        <v>106</v>
      </c>
      <c s="6" r="H94">
        <v>0</v>
      </c>
      <c t="s" s="6" r="I94">
        <v>120</v>
      </c>
      <c t="s" s="6" r="L94">
        <v>121</v>
      </c>
      <c t="s" s="6" r="M94">
        <v>109</v>
      </c>
      <c s="6" r="N94">
        <v>0</v>
      </c>
      <c s="6" r="O94">
        <v>0</v>
      </c>
      <c t="s" s="6" r="P94">
        <v>187</v>
      </c>
      <c t="s" s="6" r="Q94">
        <v>188</v>
      </c>
      <c t="s" s="6" r="R94">
        <v>939</v>
      </c>
      <c t="s" s="6" r="S94">
        <v>940</v>
      </c>
      <c t="s" s="6" r="T94">
        <v>90</v>
      </c>
      <c t="s" s="6" r="U94">
        <v>941</v>
      </c>
      <c s="6" r="V94">
        <v>1</v>
      </c>
      <c s="6" r="W94">
        <v>1</v>
      </c>
      <c s="6" r="X94">
        <v>0</v>
      </c>
      <c s="6" r="Y94">
        <v>0</v>
      </c>
      <c s="6" r="Z94">
        <v>0</v>
      </c>
      <c s="6" r="AA94">
        <v>4</v>
      </c>
      <c s="6" r="AB94">
        <v>4</v>
      </c>
      <c s="6" r="AC94">
        <v>3</v>
      </c>
      <c s="6" r="AD94">
        <v>3</v>
      </c>
      <c t="s" s="6" r="AE94">
        <v>92</v>
      </c>
      <c t="s" s="6" r="AF94">
        <v>92</v>
      </c>
      <c t="s" s="6" r="AG94">
        <v>92</v>
      </c>
      <c t="s" s="6" r="AH94">
        <v>92</v>
      </c>
      <c t="s" s="6" r="AI94">
        <v>92</v>
      </c>
      <c t="s" s="6" r="AJ94">
        <v>92</v>
      </c>
      <c t="s" s="6" r="AK94">
        <v>92</v>
      </c>
      <c s="6" r="AL94">
        <v>3</v>
      </c>
      <c s="6" r="AM94">
        <v>3</v>
      </c>
      <c t="s" s="6" r="AN94">
        <v>92</v>
      </c>
      <c s="6" r="AP94">
        <v>4</v>
      </c>
      <c t="s" s="6" r="AQ94">
        <v>942</v>
      </c>
      <c t="s" s="6" r="AR94">
        <v>943</v>
      </c>
      <c s="6" r="AS94">
        <v>0</v>
      </c>
      <c s="6" r="AT94">
        <v>0</v>
      </c>
      <c s="6" r="AU94">
        <v>0</v>
      </c>
      <c s="6" r="AV94">
        <v>0</v>
      </c>
      <c s="6" r="AW94">
        <v>0</v>
      </c>
      <c s="6" r="AX94">
        <v>0</v>
      </c>
      <c s="6" r="AY94">
        <v>0</v>
      </c>
      <c s="6" r="AZ94">
        <v>0</v>
      </c>
      <c s="6" r="BA94">
        <v>0</v>
      </c>
      <c s="6" r="BB94">
        <v>0</v>
      </c>
      <c s="6" r="BC94">
        <v>0</v>
      </c>
      <c s="6" r="BD94">
        <v>1</v>
      </c>
      <c s="6" r="BE94">
        <v>0</v>
      </c>
      <c s="6" r="BF94">
        <v>0</v>
      </c>
      <c s="6" r="BG94">
        <v>0</v>
      </c>
      <c s="6" r="BH94">
        <v>0</v>
      </c>
      <c s="6" r="BI94">
        <v>0</v>
      </c>
      <c s="6" r="BJ94">
        <v>0</v>
      </c>
      <c s="6" r="BK94">
        <v>0</v>
      </c>
      <c s="6" r="BL94">
        <v>0</v>
      </c>
      <c s="6" r="BM94">
        <v>0</v>
      </c>
      <c s="6" r="BN94">
        <v>0</v>
      </c>
      <c s="6" r="BO94">
        <v>0</v>
      </c>
      <c s="6" r="BP94">
        <v>0</v>
      </c>
      <c s="6" r="BQ94">
        <v>0</v>
      </c>
      <c t="str" s="6" r="BR94">
        <f>HYPERLINK("http://www.d20pfsrd.com/magic/all-spells/c/contagion","Contagion")</f>
        <v>Contagion</v>
      </c>
      <c s="6" r="BS94">
        <v>93</v>
      </c>
      <c t="s" s="6" r="BT94">
        <v>92</v>
      </c>
      <c t="s" s="6" r="BU94">
        <v>744</v>
      </c>
      <c t="s" s="6" r="BV94">
        <v>237</v>
      </c>
      <c t="s" s="6" r="BW94">
        <v>944</v>
      </c>
      <c t="s" s="6" r="BX94">
        <v>945</v>
      </c>
      <c s="6" r="BY94">
        <v>1</v>
      </c>
    </row>
    <row customHeight="1" r="95" ht="14.25">
      <c t="s" s="6" r="A95">
        <v>946</v>
      </c>
      <c t="s" s="6" r="B95">
        <v>493</v>
      </c>
      <c t="s" s="6" r="E95">
        <v>947</v>
      </c>
      <c t="s" s="6" r="F95">
        <v>948</v>
      </c>
      <c t="s" s="6" r="G95">
        <v>949</v>
      </c>
      <c s="6" r="H95">
        <v>1</v>
      </c>
      <c t="s" s="6" r="I95">
        <v>155</v>
      </c>
      <c t="s" s="6" r="L95">
        <v>156</v>
      </c>
      <c t="s" s="6" r="M95">
        <v>950</v>
      </c>
      <c s="6" r="N95">
        <v>1</v>
      </c>
      <c s="6" r="O95">
        <v>0</v>
      </c>
      <c t="s" s="6" r="R95">
        <v>951</v>
      </c>
      <c t="s" s="6" r="S95">
        <v>952</v>
      </c>
      <c t="s" s="6" r="T95">
        <v>90</v>
      </c>
      <c t="s" s="6" r="U95">
        <v>953</v>
      </c>
      <c s="6" r="V95">
        <v>1</v>
      </c>
      <c s="6" r="W95">
        <v>1</v>
      </c>
      <c s="6" r="X95">
        <v>1</v>
      </c>
      <c s="6" r="Y95">
        <v>0</v>
      </c>
      <c s="6" r="Z95">
        <v>0</v>
      </c>
      <c s="6" r="AA95">
        <v>6</v>
      </c>
      <c s="6" r="AB95">
        <v>6</v>
      </c>
      <c t="s" s="6" r="AC95">
        <v>92</v>
      </c>
      <c t="s" s="6" r="AD95">
        <v>92</v>
      </c>
      <c t="s" s="6" r="AE95">
        <v>92</v>
      </c>
      <c t="s" s="6" r="AF95">
        <v>92</v>
      </c>
      <c t="s" s="6" r="AG95">
        <v>92</v>
      </c>
      <c t="s" s="6" r="AH95">
        <v>92</v>
      </c>
      <c t="s" s="6" r="AI95">
        <v>92</v>
      </c>
      <c t="s" s="6" r="AJ95">
        <v>92</v>
      </c>
      <c t="s" s="6" r="AK95">
        <v>92</v>
      </c>
      <c t="s" s="6" r="AL95">
        <v>92</v>
      </c>
      <c t="s" s="6" r="AM95">
        <v>92</v>
      </c>
      <c t="s" s="6" r="AN95">
        <v>92</v>
      </c>
      <c s="6" r="AP95">
        <v>6</v>
      </c>
      <c t="s" s="6" r="AR95">
        <v>954</v>
      </c>
      <c s="6" r="AS95">
        <v>0</v>
      </c>
      <c s="6" r="AT95">
        <v>0</v>
      </c>
      <c s="6" r="AU95">
        <v>0</v>
      </c>
      <c s="6" r="AV95">
        <v>0</v>
      </c>
      <c s="6" r="AW95">
        <v>0</v>
      </c>
      <c s="6" r="AX95">
        <v>0</v>
      </c>
      <c s="6" r="AY95">
        <v>0</v>
      </c>
      <c s="6" r="AZ95">
        <v>0</v>
      </c>
      <c s="6" r="BA95">
        <v>0</v>
      </c>
      <c s="6" r="BB95">
        <v>0</v>
      </c>
      <c s="6" r="BC95">
        <v>0</v>
      </c>
      <c s="6" r="BD95">
        <v>0</v>
      </c>
      <c s="6" r="BE95">
        <v>0</v>
      </c>
      <c s="6" r="BF95">
        <v>0</v>
      </c>
      <c s="6" r="BG95">
        <v>0</v>
      </c>
      <c s="6" r="BH95">
        <v>0</v>
      </c>
      <c s="6" r="BI95">
        <v>0</v>
      </c>
      <c s="6" r="BJ95">
        <v>0</v>
      </c>
      <c s="6" r="BK95">
        <v>0</v>
      </c>
      <c s="6" r="BL95">
        <v>0</v>
      </c>
      <c s="6" r="BM95">
        <v>0</v>
      </c>
      <c s="6" r="BN95">
        <v>0</v>
      </c>
      <c s="6" r="BO95">
        <v>0</v>
      </c>
      <c s="6" r="BP95">
        <v>0</v>
      </c>
      <c s="6" r="BQ95">
        <v>0</v>
      </c>
      <c t="str" s="6" r="BR95">
        <f>HYPERLINK("http://www.d20pfsrd.com/magic/all-spells/c/contingency","Contingency")</f>
        <v>Contingency</v>
      </c>
      <c s="6" r="BS95">
        <v>94</v>
      </c>
      <c s="6" r="BT95">
        <v>1500</v>
      </c>
      <c t="s" s="6" r="BW95">
        <v>955</v>
      </c>
      <c t="s" s="6" r="BX95">
        <v>956</v>
      </c>
      <c s="6" r="BY95">
        <v>1</v>
      </c>
    </row>
    <row customHeight="1" r="96" ht="14.25">
      <c t="s" s="6" r="A96">
        <v>957</v>
      </c>
      <c t="s" s="6" r="B96">
        <v>493</v>
      </c>
      <c t="s" s="6" r="D96">
        <v>62</v>
      </c>
      <c t="s" s="6" r="E96">
        <v>958</v>
      </c>
      <c t="s" s="6" r="F96">
        <v>81</v>
      </c>
      <c t="s" s="6" r="G96">
        <v>959</v>
      </c>
      <c s="6" r="H96">
        <v>1</v>
      </c>
      <c t="s" s="6" r="I96">
        <v>120</v>
      </c>
      <c t="s" s="6" r="L96">
        <v>960</v>
      </c>
      <c t="s" s="6" r="M96">
        <v>323</v>
      </c>
      <c s="6" r="N96">
        <v>0</v>
      </c>
      <c s="6" r="O96">
        <v>0</v>
      </c>
      <c t="s" s="6" r="P96">
        <v>86</v>
      </c>
      <c t="s" s="6" r="Q96">
        <v>87</v>
      </c>
      <c t="s" s="6" r="R96">
        <v>961</v>
      </c>
      <c t="s" s="6" r="S96">
        <v>962</v>
      </c>
      <c t="s" s="6" r="T96">
        <v>90</v>
      </c>
      <c t="s" s="6" r="U96">
        <v>963</v>
      </c>
      <c s="6" r="V96">
        <v>1</v>
      </c>
      <c s="6" r="W96">
        <v>1</v>
      </c>
      <c s="6" r="X96">
        <v>1</v>
      </c>
      <c s="6" r="Y96">
        <v>0</v>
      </c>
      <c s="6" r="Z96">
        <v>0</v>
      </c>
      <c s="6" r="AA96">
        <v>2</v>
      </c>
      <c s="6" r="AB96">
        <v>2</v>
      </c>
      <c s="6" r="AC96">
        <v>3</v>
      </c>
      <c t="s" s="6" r="AD96">
        <v>92</v>
      </c>
      <c t="s" s="6" r="AE96">
        <v>92</v>
      </c>
      <c t="s" s="6" r="AF96">
        <v>92</v>
      </c>
      <c t="s" s="6" r="AG96">
        <v>92</v>
      </c>
      <c t="s" s="6" r="AH96">
        <v>92</v>
      </c>
      <c t="s" s="6" r="AI96">
        <v>92</v>
      </c>
      <c t="s" s="6" r="AJ96">
        <v>92</v>
      </c>
      <c s="6" r="AK96">
        <v>3</v>
      </c>
      <c s="6" r="AL96">
        <v>3</v>
      </c>
      <c t="s" s="6" r="AM96">
        <v>92</v>
      </c>
      <c t="s" s="6" r="AN96">
        <v>92</v>
      </c>
      <c s="6" r="AP96">
        <v>2</v>
      </c>
      <c t="s" s="6" r="AQ96">
        <v>964</v>
      </c>
      <c t="s" s="6" r="AR96">
        <v>965</v>
      </c>
      <c s="6" r="AS96">
        <v>0</v>
      </c>
      <c s="6" r="AT96">
        <v>0</v>
      </c>
      <c s="6" r="AU96">
        <v>0</v>
      </c>
      <c s="6" r="AV96">
        <v>0</v>
      </c>
      <c s="6" r="AW96">
        <v>0</v>
      </c>
      <c s="6" r="AX96">
        <v>0</v>
      </c>
      <c s="6" r="AY96">
        <v>0</v>
      </c>
      <c s="6" r="AZ96">
        <v>0</v>
      </c>
      <c s="6" r="BA96">
        <v>0</v>
      </c>
      <c s="6" r="BB96">
        <v>0</v>
      </c>
      <c s="6" r="BC96">
        <v>0</v>
      </c>
      <c s="6" r="BD96">
        <v>0</v>
      </c>
      <c s="6" r="BE96">
        <v>0</v>
      </c>
      <c s="6" r="BF96">
        <v>0</v>
      </c>
      <c s="6" r="BG96">
        <v>0</v>
      </c>
      <c s="6" r="BH96">
        <v>0</v>
      </c>
      <c s="6" r="BI96">
        <v>0</v>
      </c>
      <c s="6" r="BJ96">
        <v>0</v>
      </c>
      <c s="6" r="BK96">
        <v>1</v>
      </c>
      <c s="6" r="BL96">
        <v>0</v>
      </c>
      <c s="6" r="BM96">
        <v>0</v>
      </c>
      <c s="6" r="BN96">
        <v>0</v>
      </c>
      <c s="6" r="BO96">
        <v>0</v>
      </c>
      <c s="6" r="BP96">
        <v>0</v>
      </c>
      <c s="6" r="BQ96">
        <v>0</v>
      </c>
      <c t="str" s="6" r="BR96">
        <f>HYPERLINK("http://www.d20pfsrd.com/magic/all-spells/c/continual-flame","Continual Flame")</f>
        <v>Continual Flame</v>
      </c>
      <c s="6" r="BS96">
        <v>95</v>
      </c>
      <c s="6" r="BT96">
        <v>50</v>
      </c>
      <c t="s" s="6" r="BV96">
        <v>966</v>
      </c>
      <c s="6" r="BY96">
        <v>0</v>
      </c>
    </row>
    <row customHeight="1" r="97" ht="14.25">
      <c t="s" s="6" r="A97">
        <v>967</v>
      </c>
      <c t="s" s="6" r="B97">
        <v>131</v>
      </c>
      <c t="s" s="6" r="E97">
        <v>207</v>
      </c>
      <c t="s" s="6" r="F97">
        <v>81</v>
      </c>
      <c t="s" s="6" r="G97">
        <v>119</v>
      </c>
      <c s="6" r="H97">
        <v>0</v>
      </c>
      <c t="s" s="6" r="I97">
        <v>107</v>
      </c>
      <c t="s" s="6" r="L97">
        <v>860</v>
      </c>
      <c t="s" s="6" r="M97">
        <v>122</v>
      </c>
      <c s="6" r="N97">
        <v>0</v>
      </c>
      <c s="6" r="O97">
        <v>0</v>
      </c>
      <c t="s" s="6" r="P97">
        <v>221</v>
      </c>
      <c t="s" s="6" r="Q97">
        <v>87</v>
      </c>
      <c t="s" s="6" r="R97">
        <v>968</v>
      </c>
      <c t="s" s="6" r="S97">
        <v>969</v>
      </c>
      <c t="s" s="6" r="T97">
        <v>90</v>
      </c>
      <c t="s" s="6" r="U97">
        <v>970</v>
      </c>
      <c s="6" r="V97">
        <v>1</v>
      </c>
      <c s="6" r="W97">
        <v>1</v>
      </c>
      <c s="6" r="X97">
        <v>0</v>
      </c>
      <c s="6" r="Y97">
        <v>0</v>
      </c>
      <c s="6" r="Z97">
        <v>1</v>
      </c>
      <c t="s" s="6" r="AA97">
        <v>92</v>
      </c>
      <c t="s" s="6" r="AB97">
        <v>92</v>
      </c>
      <c t="s" s="6" r="AC97">
        <v>92</v>
      </c>
      <c s="6" r="AD97">
        <v>8</v>
      </c>
      <c t="s" s="6" r="AE97">
        <v>92</v>
      </c>
      <c t="s" s="6" r="AF97">
        <v>92</v>
      </c>
      <c t="s" s="6" r="AG97">
        <v>92</v>
      </c>
      <c t="s" s="6" r="AH97">
        <v>92</v>
      </c>
      <c t="s" s="6" r="AI97">
        <v>92</v>
      </c>
      <c t="s" s="6" r="AJ97">
        <v>92</v>
      </c>
      <c t="s" s="6" r="AK97">
        <v>92</v>
      </c>
      <c t="s" s="6" r="AL97">
        <v>92</v>
      </c>
      <c t="s" s="6" r="AM97">
        <v>92</v>
      </c>
      <c t="s" s="6" r="AN97">
        <v>92</v>
      </c>
      <c s="6" r="AP97">
        <v>8</v>
      </c>
      <c t="s" s="6" r="AQ97">
        <v>257</v>
      </c>
      <c t="s" s="6" r="AR97">
        <v>971</v>
      </c>
      <c s="6" r="AS97">
        <v>0</v>
      </c>
      <c s="6" r="AT97">
        <v>0</v>
      </c>
      <c s="6" r="AU97">
        <v>0</v>
      </c>
      <c s="6" r="AV97">
        <v>0</v>
      </c>
      <c s="6" r="AW97">
        <v>0</v>
      </c>
      <c s="6" r="AX97">
        <v>0</v>
      </c>
      <c s="6" r="AY97">
        <v>0</v>
      </c>
      <c s="6" r="AZ97">
        <v>0</v>
      </c>
      <c s="6" r="BA97">
        <v>0</v>
      </c>
      <c s="6" r="BB97">
        <v>0</v>
      </c>
      <c s="6" r="BC97">
        <v>0</v>
      </c>
      <c s="6" r="BD97">
        <v>0</v>
      </c>
      <c s="6" r="BE97">
        <v>0</v>
      </c>
      <c s="6" r="BF97">
        <v>0</v>
      </c>
      <c s="6" r="BG97">
        <v>0</v>
      </c>
      <c s="6" r="BH97">
        <v>0</v>
      </c>
      <c s="6" r="BI97">
        <v>0</v>
      </c>
      <c s="6" r="BJ97">
        <v>0</v>
      </c>
      <c s="6" r="BK97">
        <v>0</v>
      </c>
      <c s="6" r="BL97">
        <v>0</v>
      </c>
      <c s="6" r="BM97">
        <v>0</v>
      </c>
      <c s="6" r="BN97">
        <v>0</v>
      </c>
      <c s="6" r="BO97">
        <v>0</v>
      </c>
      <c s="6" r="BP97">
        <v>0</v>
      </c>
      <c s="6" r="BQ97">
        <v>0</v>
      </c>
      <c t="str" s="6" r="BR97">
        <f>HYPERLINK("http://www.d20pfsrd.com/magic/all-spells/c/control-plants","Control Plants")</f>
        <v>Control Plants</v>
      </c>
      <c s="6" r="BS97">
        <v>96</v>
      </c>
      <c t="s" s="6" r="BT97">
        <v>92</v>
      </c>
      <c s="6" r="BY97">
        <v>0</v>
      </c>
    </row>
    <row customHeight="1" r="98" ht="14.25">
      <c t="s" s="6" r="A98">
        <v>972</v>
      </c>
      <c t="s" s="6" r="B98">
        <v>227</v>
      </c>
      <c t="s" s="6" r="E98">
        <v>973</v>
      </c>
      <c t="s" s="6" r="F98">
        <v>81</v>
      </c>
      <c t="s" s="6" r="G98">
        <v>974</v>
      </c>
      <c s="6" r="H98">
        <v>0</v>
      </c>
      <c t="s" s="6" r="I98">
        <v>107</v>
      </c>
      <c t="s" s="6" r="L98">
        <v>975</v>
      </c>
      <c t="s" s="6" r="M98">
        <v>122</v>
      </c>
      <c s="6" r="N98">
        <v>0</v>
      </c>
      <c s="6" r="O98">
        <v>0</v>
      </c>
      <c t="s" s="6" r="P98">
        <v>221</v>
      </c>
      <c t="s" s="6" r="Q98">
        <v>188</v>
      </c>
      <c t="s" s="6" r="R98">
        <v>976</v>
      </c>
      <c t="s" s="6" r="S98">
        <v>977</v>
      </c>
      <c t="s" s="6" r="T98">
        <v>90</v>
      </c>
      <c t="s" s="6" r="U98">
        <v>978</v>
      </c>
      <c s="6" r="V98">
        <v>1</v>
      </c>
      <c s="6" r="W98">
        <v>1</v>
      </c>
      <c s="6" r="X98">
        <v>1</v>
      </c>
      <c s="6" r="Y98">
        <v>0</v>
      </c>
      <c s="6" r="Z98">
        <v>0</v>
      </c>
      <c s="6" r="AA98">
        <v>7</v>
      </c>
      <c s="6" r="AB98">
        <v>7</v>
      </c>
      <c t="s" s="6" r="AC98">
        <v>92</v>
      </c>
      <c t="s" s="6" r="AD98">
        <v>92</v>
      </c>
      <c t="s" s="6" r="AE98">
        <v>92</v>
      </c>
      <c t="s" s="6" r="AF98">
        <v>92</v>
      </c>
      <c t="s" s="6" r="AG98">
        <v>92</v>
      </c>
      <c t="s" s="6" r="AH98">
        <v>92</v>
      </c>
      <c t="s" s="6" r="AI98">
        <v>92</v>
      </c>
      <c t="s" s="6" r="AJ98">
        <v>92</v>
      </c>
      <c t="s" s="6" r="AK98">
        <v>92</v>
      </c>
      <c t="s" s="6" r="AL98">
        <v>92</v>
      </c>
      <c t="s" s="6" r="AM98">
        <v>92</v>
      </c>
      <c t="s" s="6" r="AN98">
        <v>92</v>
      </c>
      <c s="6" r="AP98">
        <v>7</v>
      </c>
      <c t="s" s="6" r="AR98">
        <v>979</v>
      </c>
      <c s="6" r="AS98">
        <v>0</v>
      </c>
      <c s="6" r="AT98">
        <v>0</v>
      </c>
      <c s="6" r="AU98">
        <v>0</v>
      </c>
      <c s="6" r="AV98">
        <v>0</v>
      </c>
      <c s="6" r="AW98">
        <v>0</v>
      </c>
      <c s="6" r="AX98">
        <v>0</v>
      </c>
      <c s="6" r="AY98">
        <v>0</v>
      </c>
      <c s="6" r="AZ98">
        <v>0</v>
      </c>
      <c s="6" r="BA98">
        <v>0</v>
      </c>
      <c s="6" r="BB98">
        <v>0</v>
      </c>
      <c s="6" r="BC98">
        <v>0</v>
      </c>
      <c s="6" r="BD98">
        <v>0</v>
      </c>
      <c s="6" r="BE98">
        <v>0</v>
      </c>
      <c s="6" r="BF98">
        <v>0</v>
      </c>
      <c s="6" r="BG98">
        <v>0</v>
      </c>
      <c s="6" r="BH98">
        <v>0</v>
      </c>
      <c s="6" r="BI98">
        <v>0</v>
      </c>
      <c s="6" r="BJ98">
        <v>0</v>
      </c>
      <c s="6" r="BK98">
        <v>0</v>
      </c>
      <c s="6" r="BL98">
        <v>0</v>
      </c>
      <c s="6" r="BM98">
        <v>0</v>
      </c>
      <c s="6" r="BN98">
        <v>0</v>
      </c>
      <c s="6" r="BO98">
        <v>0</v>
      </c>
      <c s="6" r="BP98">
        <v>0</v>
      </c>
      <c s="6" r="BQ98">
        <v>0</v>
      </c>
      <c t="str" s="6" r="BR98">
        <f>HYPERLINK("http://www.d20pfsrd.com/magic/all-spells/c/control-undead","Control Undead")</f>
        <v>Control Undead</v>
      </c>
      <c s="6" r="BS98">
        <v>97</v>
      </c>
      <c t="s" s="6" r="BT98">
        <v>92</v>
      </c>
      <c t="s" s="6" r="BV98">
        <v>237</v>
      </c>
      <c s="6" r="BY98">
        <v>0</v>
      </c>
    </row>
    <row customHeight="1" r="99" ht="14.25">
      <c t="s" s="6" r="A99">
        <v>980</v>
      </c>
      <c t="s" s="6" r="B99">
        <v>131</v>
      </c>
      <c t="s" s="6" r="D99">
        <v>68</v>
      </c>
      <c t="s" s="6" r="E99">
        <v>981</v>
      </c>
      <c t="s" s="6" r="F99">
        <v>81</v>
      </c>
      <c t="s" s="6" r="G99">
        <v>982</v>
      </c>
      <c s="6" r="H99">
        <v>0</v>
      </c>
      <c t="s" s="6" r="I99">
        <v>83</v>
      </c>
      <c t="s" s="6" r="J99">
        <v>983</v>
      </c>
      <c t="s" s="6" r="M99">
        <v>134</v>
      </c>
      <c s="6" r="N99">
        <v>1</v>
      </c>
      <c s="6" r="O99">
        <v>1</v>
      </c>
      <c t="s" s="6" r="P99">
        <v>201</v>
      </c>
      <c t="s" s="6" r="Q99">
        <v>87</v>
      </c>
      <c t="s" s="6" r="R99">
        <v>984</v>
      </c>
      <c t="s" s="6" r="S99">
        <v>985</v>
      </c>
      <c t="s" s="6" r="T99">
        <v>90</v>
      </c>
      <c t="s" s="6" r="U99">
        <v>986</v>
      </c>
      <c s="6" r="V99">
        <v>1</v>
      </c>
      <c s="6" r="W99">
        <v>1</v>
      </c>
      <c s="6" r="X99">
        <v>1</v>
      </c>
      <c s="6" r="Y99">
        <v>0</v>
      </c>
      <c s="6" r="Z99">
        <v>1</v>
      </c>
      <c s="6" r="AA99">
        <v>6</v>
      </c>
      <c s="6" r="AB99">
        <v>6</v>
      </c>
      <c s="6" r="AC99">
        <v>4</v>
      </c>
      <c s="6" r="AD99">
        <v>4</v>
      </c>
      <c t="s" s="6" r="AE99">
        <v>92</v>
      </c>
      <c t="s" s="6" r="AF99">
        <v>92</v>
      </c>
      <c t="s" s="6" r="AG99">
        <v>92</v>
      </c>
      <c t="s" s="6" r="AH99">
        <v>92</v>
      </c>
      <c t="s" s="6" r="AI99">
        <v>92</v>
      </c>
      <c t="s" s="6" r="AJ99">
        <v>92</v>
      </c>
      <c t="s" s="6" r="AK99">
        <v>92</v>
      </c>
      <c s="6" r="AL99">
        <v>4</v>
      </c>
      <c t="s" s="6" r="AM99">
        <v>92</v>
      </c>
      <c t="s" s="6" r="AN99">
        <v>92</v>
      </c>
      <c s="6" r="AP99">
        <v>6</v>
      </c>
      <c t="s" s="6" r="AQ99">
        <v>542</v>
      </c>
      <c t="s" s="6" r="AR99">
        <v>987</v>
      </c>
      <c s="6" r="AS99">
        <v>0</v>
      </c>
      <c s="6" r="AT99">
        <v>0</v>
      </c>
      <c s="6" r="AU99">
        <v>0</v>
      </c>
      <c s="6" r="AV99">
        <v>0</v>
      </c>
      <c s="6" r="AW99">
        <v>0</v>
      </c>
      <c s="6" r="AX99">
        <v>0</v>
      </c>
      <c s="6" r="AY99">
        <v>0</v>
      </c>
      <c s="6" r="AZ99">
        <v>0</v>
      </c>
      <c s="6" r="BA99">
        <v>0</v>
      </c>
      <c s="6" r="BB99">
        <v>0</v>
      </c>
      <c s="6" r="BC99">
        <v>0</v>
      </c>
      <c s="6" r="BD99">
        <v>0</v>
      </c>
      <c s="6" r="BE99">
        <v>0</v>
      </c>
      <c s="6" r="BF99">
        <v>0</v>
      </c>
      <c s="6" r="BG99">
        <v>0</v>
      </c>
      <c s="6" r="BH99">
        <v>0</v>
      </c>
      <c s="6" r="BI99">
        <v>0</v>
      </c>
      <c s="6" r="BJ99">
        <v>0</v>
      </c>
      <c s="6" r="BK99">
        <v>0</v>
      </c>
      <c s="6" r="BL99">
        <v>0</v>
      </c>
      <c s="6" r="BM99">
        <v>0</v>
      </c>
      <c s="6" r="BN99">
        <v>0</v>
      </c>
      <c s="6" r="BO99">
        <v>0</v>
      </c>
      <c s="6" r="BP99">
        <v>0</v>
      </c>
      <c s="6" r="BQ99">
        <v>1</v>
      </c>
      <c t="str" s="6" r="BR99">
        <f>HYPERLINK("http://www.d20pfsrd.com/magic/all-spells/c/control-water","Control Water")</f>
        <v>Control Water</v>
      </c>
      <c s="6" r="BS99">
        <v>98</v>
      </c>
      <c t="s" s="6" r="BT99">
        <v>92</v>
      </c>
      <c t="s" s="6" r="BU99">
        <v>462</v>
      </c>
      <c t="s" s="6" r="BV99">
        <v>988</v>
      </c>
      <c s="6" r="BY99">
        <v>0</v>
      </c>
    </row>
    <row customHeight="1" r="100" ht="14.25">
      <c t="s" s="6" r="A100">
        <v>989</v>
      </c>
      <c t="s" s="6" r="B100">
        <v>131</v>
      </c>
      <c t="s" s="6" r="E100">
        <v>990</v>
      </c>
      <c t="s" s="6" r="F100">
        <v>991</v>
      </c>
      <c t="s" s="6" r="G100">
        <v>106</v>
      </c>
      <c s="6" r="H100">
        <v>0</v>
      </c>
      <c t="s" s="6" r="I100">
        <v>992</v>
      </c>
      <c t="s" s="6" r="J100">
        <v>993</v>
      </c>
      <c t="s" s="6" r="M100">
        <v>994</v>
      </c>
      <c s="6" r="N100">
        <v>0</v>
      </c>
      <c s="6" r="O100">
        <v>0</v>
      </c>
      <c t="s" s="6" r="P100">
        <v>86</v>
      </c>
      <c t="s" s="6" r="Q100">
        <v>87</v>
      </c>
      <c t="s" s="6" r="R100">
        <v>995</v>
      </c>
      <c t="s" s="6" r="S100">
        <v>996</v>
      </c>
      <c t="s" s="6" r="T100">
        <v>90</v>
      </c>
      <c t="s" s="6" r="U100">
        <v>997</v>
      </c>
      <c s="6" r="V100">
        <v>1</v>
      </c>
      <c s="6" r="W100">
        <v>1</v>
      </c>
      <c s="6" r="X100">
        <v>0</v>
      </c>
      <c s="6" r="Y100">
        <v>0</v>
      </c>
      <c s="6" r="Z100">
        <v>0</v>
      </c>
      <c s="6" r="AA100">
        <v>7</v>
      </c>
      <c s="6" r="AB100">
        <v>7</v>
      </c>
      <c s="6" r="AC100">
        <v>7</v>
      </c>
      <c s="6" r="AD100">
        <v>7</v>
      </c>
      <c t="s" s="6" r="AE100">
        <v>92</v>
      </c>
      <c t="s" s="6" r="AF100">
        <v>92</v>
      </c>
      <c t="s" s="6" r="AG100">
        <v>92</v>
      </c>
      <c t="s" s="6" r="AH100">
        <v>92</v>
      </c>
      <c t="s" s="6" r="AI100">
        <v>92</v>
      </c>
      <c s="6" r="AJ100">
        <v>7</v>
      </c>
      <c t="s" s="6" r="AK100">
        <v>92</v>
      </c>
      <c s="6" r="AL100">
        <v>7</v>
      </c>
      <c t="s" s="6" r="AM100">
        <v>92</v>
      </c>
      <c t="s" s="6" r="AN100">
        <v>92</v>
      </c>
      <c s="6" r="AP100">
        <v>7</v>
      </c>
      <c t="s" s="6" r="AQ100">
        <v>646</v>
      </c>
      <c t="s" s="6" r="AR100">
        <v>998</v>
      </c>
      <c s="6" r="AS100">
        <v>0</v>
      </c>
      <c s="6" r="AT100">
        <v>0</v>
      </c>
      <c s="6" r="AU100">
        <v>0</v>
      </c>
      <c s="6" r="AV100">
        <v>0</v>
      </c>
      <c s="6" r="AW100">
        <v>0</v>
      </c>
      <c s="6" r="AX100">
        <v>0</v>
      </c>
      <c s="6" r="AY100">
        <v>0</v>
      </c>
      <c s="6" r="AZ100">
        <v>0</v>
      </c>
      <c s="6" r="BA100">
        <v>0</v>
      </c>
      <c s="6" r="BB100">
        <v>0</v>
      </c>
      <c s="6" r="BC100">
        <v>0</v>
      </c>
      <c s="6" r="BD100">
        <v>0</v>
      </c>
      <c s="6" r="BE100">
        <v>0</v>
      </c>
      <c s="6" r="BF100">
        <v>0</v>
      </c>
      <c s="6" r="BG100">
        <v>0</v>
      </c>
      <c s="6" r="BH100">
        <v>0</v>
      </c>
      <c s="6" r="BI100">
        <v>0</v>
      </c>
      <c s="6" r="BJ100">
        <v>0</v>
      </c>
      <c s="6" r="BK100">
        <v>0</v>
      </c>
      <c s="6" r="BL100">
        <v>0</v>
      </c>
      <c s="6" r="BM100">
        <v>0</v>
      </c>
      <c s="6" r="BN100">
        <v>0</v>
      </c>
      <c s="6" r="BO100">
        <v>0</v>
      </c>
      <c s="6" r="BP100">
        <v>0</v>
      </c>
      <c s="6" r="BQ100">
        <v>0</v>
      </c>
      <c t="str" s="6" r="BR100">
        <f>HYPERLINK("http://www.d20pfsrd.com/magic/all-spells/c/control-weather","Control Weather")</f>
        <v>Control Weather</v>
      </c>
      <c s="6" r="BS100">
        <v>99</v>
      </c>
      <c t="s" s="6" r="BT100">
        <v>92</v>
      </c>
      <c t="s" s="6" r="BU100">
        <v>999</v>
      </c>
      <c t="s" s="6" r="BV100">
        <v>903</v>
      </c>
      <c t="s" s="6" r="BW100">
        <v>1000</v>
      </c>
      <c t="s" s="6" r="BX100">
        <v>1001</v>
      </c>
      <c s="6" r="BY100">
        <v>1</v>
      </c>
    </row>
    <row customHeight="1" r="101" ht="14.25">
      <c t="s" s="6" r="A101">
        <v>1002</v>
      </c>
      <c t="s" s="6" r="B101">
        <v>131</v>
      </c>
      <c t="s" s="6" r="D101">
        <v>45</v>
      </c>
      <c t="s" s="6" r="E101">
        <v>378</v>
      </c>
      <c t="s" s="6" r="F101">
        <v>81</v>
      </c>
      <c t="s" s="6" r="G101">
        <v>106</v>
      </c>
      <c s="6" r="H101">
        <v>0</v>
      </c>
      <c t="s" s="6" r="I101">
        <v>1003</v>
      </c>
      <c t="s" s="6" r="J101">
        <v>1004</v>
      </c>
      <c t="s" s="6" r="M101">
        <v>134</v>
      </c>
      <c s="6" r="N101">
        <v>0</v>
      </c>
      <c s="6" r="O101">
        <v>0</v>
      </c>
      <c t="s" s="6" r="P101">
        <v>187</v>
      </c>
      <c t="s" s="6" r="Q101">
        <v>87</v>
      </c>
      <c t="s" s="6" r="R101">
        <v>1005</v>
      </c>
      <c t="s" s="6" r="S101">
        <v>1006</v>
      </c>
      <c t="s" s="6" r="T101">
        <v>90</v>
      </c>
      <c t="s" s="6" r="U101">
        <v>1007</v>
      </c>
      <c s="6" r="V101">
        <v>1</v>
      </c>
      <c s="6" r="W101">
        <v>1</v>
      </c>
      <c s="6" r="X101">
        <v>0</v>
      </c>
      <c s="6" r="Y101">
        <v>0</v>
      </c>
      <c s="6" r="Z101">
        <v>0</v>
      </c>
      <c t="s" s="6" r="AA101">
        <v>92</v>
      </c>
      <c t="s" s="6" r="AB101">
        <v>92</v>
      </c>
      <c t="s" s="6" r="AC101">
        <v>92</v>
      </c>
      <c s="6" r="AD101">
        <v>5</v>
      </c>
      <c t="s" s="6" r="AE101">
        <v>92</v>
      </c>
      <c t="s" s="6" r="AF101">
        <v>92</v>
      </c>
      <c t="s" s="6" r="AG101">
        <v>92</v>
      </c>
      <c t="s" s="6" r="AH101">
        <v>92</v>
      </c>
      <c t="s" s="6" r="AI101">
        <v>92</v>
      </c>
      <c t="s" s="6" r="AJ101">
        <v>92</v>
      </c>
      <c t="s" s="6" r="AK101">
        <v>92</v>
      </c>
      <c t="s" s="6" r="AL101">
        <v>92</v>
      </c>
      <c t="s" s="6" r="AM101">
        <v>92</v>
      </c>
      <c t="s" s="6" r="AN101">
        <v>92</v>
      </c>
      <c s="6" r="AP101">
        <v>5</v>
      </c>
      <c t="s" s="6" r="AQ101">
        <v>1008</v>
      </c>
      <c t="s" s="6" r="AR101">
        <v>1009</v>
      </c>
      <c s="6" r="AS101">
        <v>0</v>
      </c>
      <c s="6" r="AT101">
        <v>1</v>
      </c>
      <c s="6" r="AU101">
        <v>0</v>
      </c>
      <c s="6" r="AV101">
        <v>0</v>
      </c>
      <c s="6" r="AW101">
        <v>0</v>
      </c>
      <c s="6" r="AX101">
        <v>0</v>
      </c>
      <c s="6" r="AY101">
        <v>0</v>
      </c>
      <c s="6" r="AZ101">
        <v>0</v>
      </c>
      <c s="6" r="BA101">
        <v>0</v>
      </c>
      <c s="6" r="BB101">
        <v>0</v>
      </c>
      <c s="6" r="BC101">
        <v>0</v>
      </c>
      <c s="6" r="BD101">
        <v>0</v>
      </c>
      <c s="6" r="BE101">
        <v>0</v>
      </c>
      <c s="6" r="BF101">
        <v>0</v>
      </c>
      <c s="6" r="BG101">
        <v>0</v>
      </c>
      <c s="6" r="BH101">
        <v>0</v>
      </c>
      <c s="6" r="BI101">
        <v>0</v>
      </c>
      <c s="6" r="BJ101">
        <v>0</v>
      </c>
      <c s="6" r="BK101">
        <v>0</v>
      </c>
      <c s="6" r="BL101">
        <v>0</v>
      </c>
      <c s="6" r="BM101">
        <v>0</v>
      </c>
      <c s="6" r="BN101">
        <v>0</v>
      </c>
      <c s="6" r="BO101">
        <v>0</v>
      </c>
      <c s="6" r="BP101">
        <v>0</v>
      </c>
      <c s="6" r="BQ101">
        <v>0</v>
      </c>
      <c t="str" s="6" r="BR101">
        <f>HYPERLINK("http://www.d20pfsrd.com/magic/all-spells/c/control-winds","Control Winds")</f>
        <v>Control Winds</v>
      </c>
      <c s="6" r="BS101">
        <v>100</v>
      </c>
      <c t="s" s="6" r="BT101">
        <v>92</v>
      </c>
      <c s="6" r="BY101">
        <v>0</v>
      </c>
    </row>
    <row customHeight="1" r="102" ht="14.25">
      <c t="s" s="6" r="A102">
        <v>1010</v>
      </c>
      <c t="s" s="6" r="B102">
        <v>78</v>
      </c>
      <c t="s" s="6" r="C102">
        <v>79</v>
      </c>
      <c t="s" s="6" r="E102">
        <v>1011</v>
      </c>
      <c t="s" s="6" r="F102">
        <v>311</v>
      </c>
      <c t="s" s="6" r="G102">
        <v>106</v>
      </c>
      <c s="6" r="H102">
        <v>0</v>
      </c>
      <c t="s" s="6" r="I102">
        <v>107</v>
      </c>
      <c t="s" s="6" r="K102">
        <v>1012</v>
      </c>
      <c t="s" s="6" r="M102">
        <v>1013</v>
      </c>
      <c s="6" r="N102">
        <v>0</v>
      </c>
      <c s="6" r="O102">
        <v>0</v>
      </c>
      <c t="s" s="6" r="P102">
        <v>86</v>
      </c>
      <c t="s" s="6" r="Q102">
        <v>87</v>
      </c>
      <c t="s" s="6" r="R102">
        <v>1014</v>
      </c>
      <c t="s" s="6" r="S102">
        <v>1015</v>
      </c>
      <c t="s" s="6" r="T102">
        <v>90</v>
      </c>
      <c t="s" s="6" r="U102">
        <v>1016</v>
      </c>
      <c s="6" r="V102">
        <v>1</v>
      </c>
      <c s="6" r="W102">
        <v>1</v>
      </c>
      <c s="6" r="X102">
        <v>0</v>
      </c>
      <c s="6" r="Y102">
        <v>0</v>
      </c>
      <c s="6" r="Z102">
        <v>0</v>
      </c>
      <c t="s" s="6" r="AA102">
        <v>92</v>
      </c>
      <c t="s" s="6" r="AB102">
        <v>92</v>
      </c>
      <c s="6" r="AC102">
        <v>3</v>
      </c>
      <c t="s" s="6" r="AD102">
        <v>92</v>
      </c>
      <c t="s" s="6" r="AE102">
        <v>92</v>
      </c>
      <c t="s" s="6" r="AF102">
        <v>92</v>
      </c>
      <c t="s" s="6" r="AG102">
        <v>92</v>
      </c>
      <c t="s" s="6" r="AH102">
        <v>92</v>
      </c>
      <c t="s" s="6" r="AI102">
        <v>92</v>
      </c>
      <c t="s" s="6" r="AJ102">
        <v>92</v>
      </c>
      <c t="s" s="6" r="AK102">
        <v>92</v>
      </c>
      <c s="6" r="AL102">
        <v>3</v>
      </c>
      <c t="s" s="6" r="AM102">
        <v>92</v>
      </c>
      <c t="s" s="6" r="AN102">
        <v>92</v>
      </c>
      <c s="6" r="AP102">
        <v>3</v>
      </c>
      <c t="s" s="6" r="AQ102">
        <v>1017</v>
      </c>
      <c t="s" s="6" r="AR102">
        <v>1018</v>
      </c>
      <c s="6" r="AS102">
        <v>0</v>
      </c>
      <c s="6" r="AT102">
        <v>0</v>
      </c>
      <c s="6" r="AU102">
        <v>0</v>
      </c>
      <c s="6" r="AV102">
        <v>0</v>
      </c>
      <c s="6" r="AW102">
        <v>0</v>
      </c>
      <c s="6" r="AX102">
        <v>0</v>
      </c>
      <c s="6" r="AY102">
        <v>0</v>
      </c>
      <c s="6" r="AZ102">
        <v>0</v>
      </c>
      <c s="6" r="BA102">
        <v>0</v>
      </c>
      <c s="6" r="BB102">
        <v>0</v>
      </c>
      <c s="6" r="BC102">
        <v>0</v>
      </c>
      <c s="6" r="BD102">
        <v>0</v>
      </c>
      <c s="6" r="BE102">
        <v>0</v>
      </c>
      <c s="6" r="BF102">
        <v>0</v>
      </c>
      <c s="6" r="BG102">
        <v>0</v>
      </c>
      <c s="6" r="BH102">
        <v>0</v>
      </c>
      <c s="6" r="BI102">
        <v>0</v>
      </c>
      <c s="6" r="BJ102">
        <v>0</v>
      </c>
      <c s="6" r="BK102">
        <v>0</v>
      </c>
      <c s="6" r="BL102">
        <v>0</v>
      </c>
      <c s="6" r="BM102">
        <v>0</v>
      </c>
      <c s="6" r="BN102">
        <v>0</v>
      </c>
      <c s="6" r="BO102">
        <v>0</v>
      </c>
      <c s="6" r="BP102">
        <v>0</v>
      </c>
      <c s="6" r="BQ102">
        <v>0</v>
      </c>
      <c t="str" s="6" r="BR102">
        <f>HYPERLINK("http://www.d20pfsrd.com/magic/all-spells/c/create-food-and-water","Create Food and Water")</f>
        <v>Create Food and Water</v>
      </c>
      <c s="6" r="BS102">
        <v>101</v>
      </c>
      <c t="s" s="6" r="BT102">
        <v>92</v>
      </c>
      <c s="6" r="BY102">
        <v>0</v>
      </c>
    </row>
    <row customHeight="1" r="103" ht="14.25">
      <c t="s" s="6" r="A103">
        <v>1019</v>
      </c>
      <c t="s" s="6" r="B103">
        <v>227</v>
      </c>
      <c t="s" s="6" r="D103">
        <v>55</v>
      </c>
      <c t="s" s="6" r="E103">
        <v>1020</v>
      </c>
      <c t="s" s="6" r="F103">
        <v>293</v>
      </c>
      <c t="s" s="6" r="G103">
        <v>1021</v>
      </c>
      <c s="6" r="H103">
        <v>1</v>
      </c>
      <c t="s" s="6" r="I103">
        <v>107</v>
      </c>
      <c t="s" s="6" r="L103">
        <v>1022</v>
      </c>
      <c t="s" s="6" r="M103">
        <v>109</v>
      </c>
      <c s="6" r="N103">
        <v>0</v>
      </c>
      <c s="6" r="O103">
        <v>0</v>
      </c>
      <c t="s" s="6" r="P103">
        <v>86</v>
      </c>
      <c t="s" s="6" r="Q103">
        <v>87</v>
      </c>
      <c t="s" s="6" r="R103">
        <v>1023</v>
      </c>
      <c t="s" s="6" r="S103">
        <v>1024</v>
      </c>
      <c t="s" s="6" r="T103">
        <v>90</v>
      </c>
      <c t="s" s="6" r="U103">
        <v>1025</v>
      </c>
      <c s="6" r="V103">
        <v>1</v>
      </c>
      <c s="6" r="W103">
        <v>1</v>
      </c>
      <c s="6" r="X103">
        <v>1</v>
      </c>
      <c s="6" r="Y103">
        <v>0</v>
      </c>
      <c s="6" r="Z103">
        <v>0</v>
      </c>
      <c s="6" r="AA103">
        <v>6</v>
      </c>
      <c s="6" r="AB103">
        <v>6</v>
      </c>
      <c s="6" r="AC103">
        <v>6</v>
      </c>
      <c t="s" s="6" r="AD103">
        <v>92</v>
      </c>
      <c t="s" s="6" r="AE103">
        <v>92</v>
      </c>
      <c t="s" s="6" r="AF103">
        <v>92</v>
      </c>
      <c t="s" s="6" r="AG103">
        <v>92</v>
      </c>
      <c t="s" s="6" r="AH103">
        <v>92</v>
      </c>
      <c t="s" s="6" r="AI103">
        <v>92</v>
      </c>
      <c t="s" s="6" r="AJ103">
        <v>92</v>
      </c>
      <c t="s" s="6" r="AK103">
        <v>92</v>
      </c>
      <c s="6" r="AL103">
        <v>6</v>
      </c>
      <c t="s" s="6" r="AM103">
        <v>92</v>
      </c>
      <c t="s" s="6" r="AN103">
        <v>92</v>
      </c>
      <c s="6" r="AP103">
        <v>6</v>
      </c>
      <c t="s" s="6" r="AQ103">
        <v>1026</v>
      </c>
      <c t="s" s="6" r="AR103">
        <v>1027</v>
      </c>
      <c s="6" r="AS103">
        <v>0</v>
      </c>
      <c s="6" r="AT103">
        <v>0</v>
      </c>
      <c s="6" r="AU103">
        <v>0</v>
      </c>
      <c s="6" r="AV103">
        <v>0</v>
      </c>
      <c s="6" r="AW103">
        <v>0</v>
      </c>
      <c s="6" r="AX103">
        <v>0</v>
      </c>
      <c s="6" r="AY103">
        <v>0</v>
      </c>
      <c s="6" r="AZ103">
        <v>0</v>
      </c>
      <c s="6" r="BA103">
        <v>0</v>
      </c>
      <c s="6" r="BB103">
        <v>0</v>
      </c>
      <c s="6" r="BC103">
        <v>0</v>
      </c>
      <c s="6" r="BD103">
        <v>1</v>
      </c>
      <c s="6" r="BE103">
        <v>0</v>
      </c>
      <c s="6" r="BF103">
        <v>0</v>
      </c>
      <c s="6" r="BG103">
        <v>0</v>
      </c>
      <c s="6" r="BH103">
        <v>0</v>
      </c>
      <c s="6" r="BI103">
        <v>0</v>
      </c>
      <c s="6" r="BJ103">
        <v>0</v>
      </c>
      <c s="6" r="BK103">
        <v>0</v>
      </c>
      <c s="6" r="BL103">
        <v>0</v>
      </c>
      <c s="6" r="BM103">
        <v>0</v>
      </c>
      <c s="6" r="BN103">
        <v>0</v>
      </c>
      <c s="6" r="BO103">
        <v>0</v>
      </c>
      <c s="6" r="BP103">
        <v>0</v>
      </c>
      <c s="6" r="BQ103">
        <v>0</v>
      </c>
      <c t="str" s="6" r="BR103">
        <f>HYPERLINK("http://www.d20pfsrd.com/magic/all-spells/c/create-undead","Create Undead")</f>
        <v>Create Undead</v>
      </c>
      <c s="6" r="BS103">
        <v>102</v>
      </c>
      <c s="6" r="BT103">
        <v>50</v>
      </c>
      <c t="s" s="6" r="BV103">
        <v>873</v>
      </c>
      <c s="6" r="BY103">
        <v>0</v>
      </c>
    </row>
    <row customHeight="1" r="104" ht="14.25">
      <c t="s" s="6" r="A104">
        <v>1028</v>
      </c>
      <c t="s" s="6" r="B104">
        <v>227</v>
      </c>
      <c t="s" s="6" r="D104">
        <v>55</v>
      </c>
      <c t="s" s="6" r="E104">
        <v>1029</v>
      </c>
      <c t="s" s="6" r="F104">
        <v>293</v>
      </c>
      <c t="s" s="6" r="G104">
        <v>1021</v>
      </c>
      <c s="6" r="H104">
        <v>1</v>
      </c>
      <c t="s" s="6" r="I104">
        <v>107</v>
      </c>
      <c t="s" s="6" r="L104">
        <v>1022</v>
      </c>
      <c t="s" s="6" r="M104">
        <v>109</v>
      </c>
      <c s="6" r="N104">
        <v>0</v>
      </c>
      <c s="6" r="O104">
        <v>0</v>
      </c>
      <c t="s" s="6" r="P104">
        <v>86</v>
      </c>
      <c t="s" s="6" r="Q104">
        <v>87</v>
      </c>
      <c t="s" s="6" r="R104">
        <v>1030</v>
      </c>
      <c t="s" s="6" r="S104">
        <v>1031</v>
      </c>
      <c t="s" s="6" r="T104">
        <v>90</v>
      </c>
      <c t="s" s="6" r="U104">
        <v>1032</v>
      </c>
      <c s="6" r="V104">
        <v>1</v>
      </c>
      <c s="6" r="W104">
        <v>1</v>
      </c>
      <c s="6" r="X104">
        <v>1</v>
      </c>
      <c s="6" r="Y104">
        <v>0</v>
      </c>
      <c s="6" r="Z104">
        <v>0</v>
      </c>
      <c s="6" r="AA104">
        <v>8</v>
      </c>
      <c s="6" r="AB104">
        <v>8</v>
      </c>
      <c s="6" r="AC104">
        <v>8</v>
      </c>
      <c t="s" s="6" r="AD104">
        <v>92</v>
      </c>
      <c t="s" s="6" r="AE104">
        <v>92</v>
      </c>
      <c t="s" s="6" r="AF104">
        <v>92</v>
      </c>
      <c t="s" s="6" r="AG104">
        <v>92</v>
      </c>
      <c t="s" s="6" r="AH104">
        <v>92</v>
      </c>
      <c t="s" s="6" r="AI104">
        <v>92</v>
      </c>
      <c t="s" s="6" r="AJ104">
        <v>92</v>
      </c>
      <c t="s" s="6" r="AK104">
        <v>92</v>
      </c>
      <c s="6" r="AL104">
        <v>8</v>
      </c>
      <c t="s" s="6" r="AM104">
        <v>92</v>
      </c>
      <c t="s" s="6" r="AN104">
        <v>92</v>
      </c>
      <c s="6" r="AP104">
        <v>8</v>
      </c>
      <c t="s" s="6" r="AQ104">
        <v>783</v>
      </c>
      <c t="s" s="6" r="AR104">
        <v>1033</v>
      </c>
      <c s="6" r="AS104">
        <v>0</v>
      </c>
      <c s="6" r="AT104">
        <v>0</v>
      </c>
      <c s="6" r="AU104">
        <v>0</v>
      </c>
      <c s="6" r="AV104">
        <v>0</v>
      </c>
      <c s="6" r="AW104">
        <v>0</v>
      </c>
      <c s="6" r="AX104">
        <v>0</v>
      </c>
      <c s="6" r="AY104">
        <v>0</v>
      </c>
      <c s="6" r="AZ104">
        <v>0</v>
      </c>
      <c s="6" r="BA104">
        <v>0</v>
      </c>
      <c s="6" r="BB104">
        <v>0</v>
      </c>
      <c s="6" r="BC104">
        <v>0</v>
      </c>
      <c s="6" r="BD104">
        <v>1</v>
      </c>
      <c s="6" r="BE104">
        <v>0</v>
      </c>
      <c s="6" r="BF104">
        <v>0</v>
      </c>
      <c s="6" r="BG104">
        <v>0</v>
      </c>
      <c s="6" r="BH104">
        <v>0</v>
      </c>
      <c s="6" r="BI104">
        <v>0</v>
      </c>
      <c s="6" r="BJ104">
        <v>0</v>
      </c>
      <c s="6" r="BK104">
        <v>0</v>
      </c>
      <c s="6" r="BL104">
        <v>0</v>
      </c>
      <c s="6" r="BM104">
        <v>0</v>
      </c>
      <c s="6" r="BN104">
        <v>0</v>
      </c>
      <c s="6" r="BO104">
        <v>0</v>
      </c>
      <c s="6" r="BP104">
        <v>0</v>
      </c>
      <c s="6" r="BQ104">
        <v>0</v>
      </c>
      <c t="str" s="6" r="BR104">
        <f>HYPERLINK("http://www.d20pfsrd.com/magic/all-spells/c/create-undead","Create Greater Undead")</f>
        <v>Create Greater Undead</v>
      </c>
      <c s="6" r="BS104">
        <v>103</v>
      </c>
      <c s="6" r="BT104">
        <v>50</v>
      </c>
      <c t="s" s="6" r="BV104">
        <v>237</v>
      </c>
      <c s="6" r="BY104">
        <v>0</v>
      </c>
    </row>
    <row customHeight="1" r="105" ht="14.25">
      <c t="s" s="6" r="A105">
        <v>1034</v>
      </c>
      <c t="s" s="6" r="B105">
        <v>78</v>
      </c>
      <c t="s" s="6" r="C105">
        <v>79</v>
      </c>
      <c t="s" s="6" r="D105">
        <v>68</v>
      </c>
      <c t="s" s="6" r="E105">
        <v>1035</v>
      </c>
      <c t="s" s="6" r="F105">
        <v>81</v>
      </c>
      <c t="s" s="6" r="G105">
        <v>106</v>
      </c>
      <c s="6" r="H105">
        <v>0</v>
      </c>
      <c t="s" s="6" r="I105">
        <v>107</v>
      </c>
      <c t="s" s="6" r="K105">
        <v>1036</v>
      </c>
      <c t="s" s="6" r="M105">
        <v>109</v>
      </c>
      <c s="6" r="N105">
        <v>0</v>
      </c>
      <c s="6" r="O105">
        <v>0</v>
      </c>
      <c t="s" s="6" r="P105">
        <v>86</v>
      </c>
      <c t="s" s="6" r="Q105">
        <v>87</v>
      </c>
      <c t="s" s="6" r="R105">
        <v>1037</v>
      </c>
      <c t="s" s="6" r="S105">
        <v>1038</v>
      </c>
      <c t="s" s="6" r="T105">
        <v>90</v>
      </c>
      <c t="s" s="6" r="U105">
        <v>1039</v>
      </c>
      <c s="6" r="V105">
        <v>1</v>
      </c>
      <c s="6" r="W105">
        <v>1</v>
      </c>
      <c s="6" r="X105">
        <v>0</v>
      </c>
      <c s="6" r="Y105">
        <v>0</v>
      </c>
      <c s="6" r="Z105">
        <v>0</v>
      </c>
      <c t="s" s="6" r="AA105">
        <v>92</v>
      </c>
      <c t="s" s="6" r="AB105">
        <v>92</v>
      </c>
      <c s="6" r="AC105">
        <v>0</v>
      </c>
      <c s="6" r="AD105">
        <v>0</v>
      </c>
      <c t="s" s="6" r="AE105">
        <v>92</v>
      </c>
      <c t="s" s="6" r="AF105">
        <v>92</v>
      </c>
      <c s="6" r="AG105">
        <v>1</v>
      </c>
      <c t="s" s="6" r="AH105">
        <v>92</v>
      </c>
      <c t="s" s="6" r="AI105">
        <v>92</v>
      </c>
      <c t="s" s="6" r="AJ105">
        <v>92</v>
      </c>
      <c s="6" r="AK105">
        <v>0</v>
      </c>
      <c s="6" r="AL105">
        <v>0</v>
      </c>
      <c t="s" s="6" r="AM105">
        <v>92</v>
      </c>
      <c t="s" s="6" r="AN105">
        <v>92</v>
      </c>
      <c s="6" r="AP105">
        <v>0</v>
      </c>
      <c t="s" s="6" r="AR105">
        <v>1040</v>
      </c>
      <c s="6" r="AS105">
        <v>0</v>
      </c>
      <c s="6" r="AT105">
        <v>0</v>
      </c>
      <c s="6" r="AU105">
        <v>0</v>
      </c>
      <c s="6" r="AV105">
        <v>0</v>
      </c>
      <c s="6" r="AW105">
        <v>0</v>
      </c>
      <c s="6" r="AX105">
        <v>0</v>
      </c>
      <c s="6" r="AY105">
        <v>0</v>
      </c>
      <c s="6" r="AZ105">
        <v>0</v>
      </c>
      <c s="6" r="BA105">
        <v>0</v>
      </c>
      <c s="6" r="BB105">
        <v>0</v>
      </c>
      <c s="6" r="BC105">
        <v>0</v>
      </c>
      <c s="6" r="BD105">
        <v>0</v>
      </c>
      <c s="6" r="BE105">
        <v>0</v>
      </c>
      <c s="6" r="BF105">
        <v>0</v>
      </c>
      <c s="6" r="BG105">
        <v>0</v>
      </c>
      <c s="6" r="BH105">
        <v>0</v>
      </c>
      <c s="6" r="BI105">
        <v>0</v>
      </c>
      <c s="6" r="BJ105">
        <v>0</v>
      </c>
      <c s="6" r="BK105">
        <v>0</v>
      </c>
      <c s="6" r="BL105">
        <v>0</v>
      </c>
      <c s="6" r="BM105">
        <v>0</v>
      </c>
      <c s="6" r="BN105">
        <v>0</v>
      </c>
      <c s="6" r="BO105">
        <v>0</v>
      </c>
      <c s="6" r="BP105">
        <v>0</v>
      </c>
      <c s="6" r="BQ105">
        <v>1</v>
      </c>
      <c t="str" s="6" r="BR105">
        <f>HYPERLINK("http://www.d20pfsrd.com/magic/all-spells/c/create-water","Create Water")</f>
        <v>Create Water</v>
      </c>
      <c s="6" r="BS105">
        <v>104</v>
      </c>
      <c t="s" s="6" r="BT105">
        <v>92</v>
      </c>
      <c s="6" r="BY105">
        <v>0</v>
      </c>
    </row>
    <row customHeight="1" r="106" ht="14.25">
      <c t="s" s="6" r="A106">
        <v>1041</v>
      </c>
      <c t="s" s="6" r="B106">
        <v>78</v>
      </c>
      <c t="s" s="6" r="C106">
        <v>1042</v>
      </c>
      <c t="s" s="6" r="E106">
        <v>1043</v>
      </c>
      <c t="s" s="6" r="F106">
        <v>81</v>
      </c>
      <c t="s" s="6" r="G106">
        <v>106</v>
      </c>
      <c s="6" r="H106">
        <v>0</v>
      </c>
      <c t="s" s="6" r="I106">
        <v>1044</v>
      </c>
      <c t="s" s="6" r="K106">
        <v>1045</v>
      </c>
      <c t="s" s="6" r="M106">
        <v>99</v>
      </c>
      <c s="6" r="N106">
        <v>0</v>
      </c>
      <c s="6" r="O106">
        <v>0</v>
      </c>
      <c t="s" s="6" r="P106">
        <v>822</v>
      </c>
      <c t="s" s="6" r="Q106">
        <v>87</v>
      </c>
      <c t="s" s="6" r="R106">
        <v>1046</v>
      </c>
      <c t="s" s="6" r="S106">
        <v>1047</v>
      </c>
      <c t="s" s="6" r="T106">
        <v>90</v>
      </c>
      <c t="s" s="6" r="U106">
        <v>1048</v>
      </c>
      <c s="6" r="V106">
        <v>1</v>
      </c>
      <c s="6" r="W106">
        <v>1</v>
      </c>
      <c s="6" r="X106">
        <v>0</v>
      </c>
      <c s="6" r="Y106">
        <v>0</v>
      </c>
      <c s="6" r="Z106">
        <v>0</v>
      </c>
      <c t="s" s="6" r="AA106">
        <v>92</v>
      </c>
      <c t="s" s="6" r="AB106">
        <v>92</v>
      </c>
      <c t="s" s="6" r="AC106">
        <v>92</v>
      </c>
      <c s="6" r="AD106">
        <v>7</v>
      </c>
      <c t="s" s="6" r="AE106">
        <v>92</v>
      </c>
      <c t="s" s="6" r="AF106">
        <v>92</v>
      </c>
      <c t="s" s="6" r="AG106">
        <v>92</v>
      </c>
      <c t="s" s="6" r="AH106">
        <v>92</v>
      </c>
      <c s="6" r="AI106">
        <v>5</v>
      </c>
      <c t="s" s="6" r="AJ106">
        <v>92</v>
      </c>
      <c t="s" s="6" r="AK106">
        <v>92</v>
      </c>
      <c t="s" s="6" r="AL106">
        <v>92</v>
      </c>
      <c t="s" s="6" r="AM106">
        <v>92</v>
      </c>
      <c t="s" s="6" r="AN106">
        <v>92</v>
      </c>
      <c s="6" r="AP106">
        <v>7</v>
      </c>
      <c t="s" s="6" r="AQ106">
        <v>192</v>
      </c>
      <c t="s" s="6" r="AR106">
        <v>1049</v>
      </c>
      <c s="6" r="AS106">
        <v>0</v>
      </c>
      <c s="6" r="AT106">
        <v>0</v>
      </c>
      <c s="6" r="AU106">
        <v>0</v>
      </c>
      <c s="6" r="AV106">
        <v>0</v>
      </c>
      <c s="6" r="AW106">
        <v>0</v>
      </c>
      <c s="6" r="AX106">
        <v>0</v>
      </c>
      <c s="6" r="AY106">
        <v>0</v>
      </c>
      <c s="6" r="AZ106">
        <v>0</v>
      </c>
      <c s="6" r="BA106">
        <v>0</v>
      </c>
      <c s="6" r="BB106">
        <v>0</v>
      </c>
      <c s="6" r="BC106">
        <v>0</v>
      </c>
      <c s="6" r="BD106">
        <v>0</v>
      </c>
      <c s="6" r="BE106">
        <v>0</v>
      </c>
      <c s="6" r="BF106">
        <v>0</v>
      </c>
      <c s="6" r="BG106">
        <v>0</v>
      </c>
      <c s="6" r="BH106">
        <v>0</v>
      </c>
      <c s="6" r="BI106">
        <v>0</v>
      </c>
      <c s="6" r="BJ106">
        <v>0</v>
      </c>
      <c s="6" r="BK106">
        <v>0</v>
      </c>
      <c s="6" r="BL106">
        <v>0</v>
      </c>
      <c s="6" r="BM106">
        <v>0</v>
      </c>
      <c s="6" r="BN106">
        <v>0</v>
      </c>
      <c s="6" r="BO106">
        <v>0</v>
      </c>
      <c s="6" r="BP106">
        <v>0</v>
      </c>
      <c s="6" r="BQ106">
        <v>0</v>
      </c>
      <c t="str" s="6" r="BR106">
        <f>HYPERLINK("http://www.d20pfsrd.com/magic/all-spells/c/creeping-doom","Creeping Doom")</f>
        <v>Creeping Doom</v>
      </c>
      <c s="6" r="BS106">
        <v>105</v>
      </c>
      <c t="s" s="6" r="BT106">
        <v>92</v>
      </c>
      <c t="s" s="6" r="BU106">
        <v>744</v>
      </c>
      <c s="6" r="BY106">
        <v>0</v>
      </c>
    </row>
    <row customHeight="1" r="107" ht="14.25">
      <c t="s" s="6" r="A107">
        <v>1050</v>
      </c>
      <c t="s" s="6" r="B107">
        <v>115</v>
      </c>
      <c t="s" s="6" r="C107">
        <v>116</v>
      </c>
      <c t="s" s="6" r="D107">
        <v>291</v>
      </c>
      <c t="s" s="6" r="E107">
        <v>905</v>
      </c>
      <c t="s" s="6" r="F107">
        <v>81</v>
      </c>
      <c t="s" s="6" r="G107">
        <v>1051</v>
      </c>
      <c s="6" r="H107">
        <v>0</v>
      </c>
      <c t="s" s="6" r="I107">
        <v>1052</v>
      </c>
      <c t="s" s="6" r="J107">
        <v>630</v>
      </c>
      <c t="s" s="6" r="M107">
        <v>122</v>
      </c>
      <c s="6" r="N107">
        <v>0</v>
      </c>
      <c s="6" r="O107">
        <v>0</v>
      </c>
      <c t="s" s="6" r="P107">
        <v>221</v>
      </c>
      <c t="s" s="6" r="Q107">
        <v>188</v>
      </c>
      <c t="s" s="6" r="R107">
        <v>1053</v>
      </c>
      <c t="s" s="6" r="S107">
        <v>1054</v>
      </c>
      <c t="s" s="6" r="T107">
        <v>90</v>
      </c>
      <c t="s" s="6" r="U107">
        <v>1055</v>
      </c>
      <c s="6" r="V107">
        <v>1</v>
      </c>
      <c s="6" r="W107">
        <v>1</v>
      </c>
      <c s="6" r="X107">
        <v>1</v>
      </c>
      <c s="6" r="Y107">
        <v>0</v>
      </c>
      <c s="6" r="Z107">
        <v>0</v>
      </c>
      <c s="6" r="AA107">
        <v>4</v>
      </c>
      <c s="6" r="AB107">
        <v>4</v>
      </c>
      <c t="s" s="6" r="AC107">
        <v>92</v>
      </c>
      <c t="s" s="6" r="AD107">
        <v>92</v>
      </c>
      <c t="s" s="6" r="AE107">
        <v>92</v>
      </c>
      <c s="6" r="AF107">
        <v>3</v>
      </c>
      <c t="s" s="6" r="AG107">
        <v>92</v>
      </c>
      <c t="s" s="6" r="AH107">
        <v>92</v>
      </c>
      <c t="s" s="6" r="AI107">
        <v>92</v>
      </c>
      <c s="6" r="AJ107">
        <v>4</v>
      </c>
      <c t="s" s="6" r="AK107">
        <v>92</v>
      </c>
      <c t="s" s="6" r="AL107">
        <v>92</v>
      </c>
      <c t="s" s="6" r="AM107">
        <v>92</v>
      </c>
      <c t="s" s="6" r="AN107">
        <v>92</v>
      </c>
      <c s="6" r="AP107">
        <v>4</v>
      </c>
      <c t="s" s="6" r="AR107">
        <v>1056</v>
      </c>
      <c s="6" r="AS107">
        <v>0</v>
      </c>
      <c s="6" r="AT107">
        <v>0</v>
      </c>
      <c s="6" r="AU107">
        <v>0</v>
      </c>
      <c s="6" r="AV107">
        <v>0</v>
      </c>
      <c s="6" r="AW107">
        <v>0</v>
      </c>
      <c s="6" r="AX107">
        <v>0</v>
      </c>
      <c s="6" r="AY107">
        <v>0</v>
      </c>
      <c s="6" r="AZ107">
        <v>0</v>
      </c>
      <c s="6" r="BA107">
        <v>0</v>
      </c>
      <c s="6" r="BB107">
        <v>0</v>
      </c>
      <c s="6" r="BC107">
        <v>1</v>
      </c>
      <c s="6" r="BD107">
        <v>0</v>
      </c>
      <c s="6" r="BE107">
        <v>0</v>
      </c>
      <c s="6" r="BF107">
        <v>0</v>
      </c>
      <c s="6" r="BG107">
        <v>0</v>
      </c>
      <c s="6" r="BH107">
        <v>0</v>
      </c>
      <c s="6" r="BI107">
        <v>0</v>
      </c>
      <c s="6" r="BJ107">
        <v>0</v>
      </c>
      <c s="6" r="BK107">
        <v>0</v>
      </c>
      <c s="6" r="BL107">
        <v>1</v>
      </c>
      <c s="6" r="BM107">
        <v>0</v>
      </c>
      <c s="6" r="BN107">
        <v>0</v>
      </c>
      <c s="6" r="BO107">
        <v>0</v>
      </c>
      <c s="6" r="BP107">
        <v>0</v>
      </c>
      <c s="6" r="BQ107">
        <v>0</v>
      </c>
      <c t="str" s="6" r="BR107">
        <f>HYPERLINK("http://www.d20pfsrd.com/magic/all-spells/c/crushing-despair","Crushing Despair")</f>
        <v>Crushing Despair</v>
      </c>
      <c s="6" r="BS107">
        <v>106</v>
      </c>
      <c t="s" s="6" r="BT107">
        <v>92</v>
      </c>
      <c s="6" r="BY107">
        <v>0</v>
      </c>
    </row>
    <row customHeight="1" r="108" ht="14.25">
      <c t="s" s="6" r="A108">
        <v>1057</v>
      </c>
      <c t="s" s="6" r="B108">
        <v>493</v>
      </c>
      <c t="s" s="6" r="D108">
        <v>58</v>
      </c>
      <c t="s" s="6" r="E108">
        <v>1058</v>
      </c>
      <c t="s" s="6" r="F108">
        <v>81</v>
      </c>
      <c t="s" s="6" r="G108">
        <v>1059</v>
      </c>
      <c s="6" r="H108">
        <v>0</v>
      </c>
      <c t="s" s="6" r="I108">
        <v>97</v>
      </c>
      <c t="s" s="6" r="K108">
        <v>796</v>
      </c>
      <c t="s" s="6" r="M108">
        <v>99</v>
      </c>
      <c s="6" r="N108">
        <v>1</v>
      </c>
      <c s="6" r="O108">
        <v>0</v>
      </c>
      <c t="s" s="6" r="P108">
        <v>86</v>
      </c>
      <c t="s" s="6" r="Q108">
        <v>188</v>
      </c>
      <c t="s" s="6" r="R108">
        <v>1060</v>
      </c>
      <c t="s" s="6" r="S108">
        <v>1061</v>
      </c>
      <c t="s" s="6" r="T108">
        <v>90</v>
      </c>
      <c t="s" s="6" r="U108">
        <v>1062</v>
      </c>
      <c s="6" r="V108">
        <v>1</v>
      </c>
      <c s="6" r="W108">
        <v>1</v>
      </c>
      <c s="6" r="X108">
        <v>0</v>
      </c>
      <c s="6" r="Y108">
        <v>1</v>
      </c>
      <c s="6" r="Z108">
        <v>0</v>
      </c>
      <c s="6" r="AA108">
        <v>9</v>
      </c>
      <c s="6" r="AB108">
        <v>9</v>
      </c>
      <c t="s" s="6" r="AC108">
        <v>92</v>
      </c>
      <c t="s" s="6" r="AD108">
        <v>92</v>
      </c>
      <c t="s" s="6" r="AE108">
        <v>92</v>
      </c>
      <c t="s" s="6" r="AF108">
        <v>92</v>
      </c>
      <c t="s" s="6" r="AG108">
        <v>92</v>
      </c>
      <c t="s" s="6" r="AH108">
        <v>92</v>
      </c>
      <c t="s" s="6" r="AI108">
        <v>92</v>
      </c>
      <c t="s" s="6" r="AJ108">
        <v>92</v>
      </c>
      <c t="s" s="6" r="AK108">
        <v>92</v>
      </c>
      <c t="s" s="6" r="AL108">
        <v>92</v>
      </c>
      <c t="s" s="6" r="AM108">
        <v>92</v>
      </c>
      <c t="s" s="6" r="AN108">
        <v>92</v>
      </c>
      <c s="6" r="AP108">
        <v>9</v>
      </c>
      <c t="s" s="6" r="AQ108">
        <v>618</v>
      </c>
      <c t="s" s="6" r="AR108">
        <v>1063</v>
      </c>
      <c s="6" r="AS108">
        <v>0</v>
      </c>
      <c s="6" r="AT108">
        <v>0</v>
      </c>
      <c s="6" r="AU108">
        <v>0</v>
      </c>
      <c s="6" r="AV108">
        <v>0</v>
      </c>
      <c s="6" r="AW108">
        <v>0</v>
      </c>
      <c s="6" r="AX108">
        <v>0</v>
      </c>
      <c s="6" r="AY108">
        <v>0</v>
      </c>
      <c s="6" r="AZ108">
        <v>0</v>
      </c>
      <c s="6" r="BA108">
        <v>0</v>
      </c>
      <c s="6" r="BB108">
        <v>0</v>
      </c>
      <c s="6" r="BC108">
        <v>0</v>
      </c>
      <c s="6" r="BD108">
        <v>0</v>
      </c>
      <c s="6" r="BE108">
        <v>0</v>
      </c>
      <c s="6" r="BF108">
        <v>0</v>
      </c>
      <c s="6" r="BG108">
        <v>1</v>
      </c>
      <c s="6" r="BH108">
        <v>0</v>
      </c>
      <c s="6" r="BI108">
        <v>0</v>
      </c>
      <c s="6" r="BJ108">
        <v>0</v>
      </c>
      <c s="6" r="BK108">
        <v>0</v>
      </c>
      <c s="6" r="BL108">
        <v>0</v>
      </c>
      <c s="6" r="BM108">
        <v>0</v>
      </c>
      <c s="6" r="BN108">
        <v>0</v>
      </c>
      <c s="6" r="BO108">
        <v>0</v>
      </c>
      <c s="6" r="BP108">
        <v>0</v>
      </c>
      <c s="6" r="BQ108">
        <v>0</v>
      </c>
      <c t="str" s="6" r="BR108">
        <f>HYPERLINK("http://www.d20pfsrd.com/magic/all-spells/c/crushing-hand","Crushing Hand")</f>
        <v>Crushing Hand</v>
      </c>
      <c s="6" r="BS108">
        <v>107</v>
      </c>
      <c t="s" s="6" r="BT108">
        <v>92</v>
      </c>
      <c s="6" r="BY108">
        <v>0</v>
      </c>
    </row>
    <row customHeight="1" r="109" ht="14.25">
      <c t="s" s="6" r="A109">
        <v>1064</v>
      </c>
      <c t="s" s="6" r="B109">
        <v>78</v>
      </c>
      <c t="s" s="6" r="C109">
        <v>598</v>
      </c>
      <c t="s" s="6" r="E109">
        <v>1065</v>
      </c>
      <c t="s" s="6" r="F109">
        <v>81</v>
      </c>
      <c t="s" s="6" r="G109">
        <v>106</v>
      </c>
      <c s="6" r="H109">
        <v>0</v>
      </c>
      <c t="s" s="6" r="I109">
        <v>120</v>
      </c>
      <c t="s" s="6" r="L109">
        <v>420</v>
      </c>
      <c t="s" s="6" r="M109">
        <v>109</v>
      </c>
      <c s="6" r="N109">
        <v>0</v>
      </c>
      <c s="6" r="O109">
        <v>0</v>
      </c>
      <c t="s" s="6" r="P109">
        <v>1066</v>
      </c>
      <c t="s" s="6" r="Q109">
        <v>1067</v>
      </c>
      <c t="s" s="6" r="R109">
        <v>1068</v>
      </c>
      <c t="s" s="6" r="S109">
        <v>1069</v>
      </c>
      <c t="s" s="6" r="T109">
        <v>90</v>
      </c>
      <c t="s" s="6" r="U109">
        <v>1070</v>
      </c>
      <c s="6" r="V109">
        <v>1</v>
      </c>
      <c s="6" r="W109">
        <v>1</v>
      </c>
      <c s="6" r="X109">
        <v>0</v>
      </c>
      <c s="6" r="Y109">
        <v>0</v>
      </c>
      <c s="6" r="Z109">
        <v>0</v>
      </c>
      <c t="s" s="6" r="AA109">
        <v>92</v>
      </c>
      <c t="s" s="6" r="AB109">
        <v>92</v>
      </c>
      <c s="6" r="AC109">
        <v>1</v>
      </c>
      <c s="6" r="AD109">
        <v>1</v>
      </c>
      <c s="6" r="AE109">
        <v>2</v>
      </c>
      <c s="6" r="AF109">
        <v>1</v>
      </c>
      <c s="6" r="AG109">
        <v>1</v>
      </c>
      <c s="6" r="AH109">
        <v>1</v>
      </c>
      <c t="s" s="6" r="AI109">
        <v>92</v>
      </c>
      <c s="6" r="AJ109">
        <v>1</v>
      </c>
      <c s="6" r="AK109">
        <v>1</v>
      </c>
      <c s="6" r="AL109">
        <v>1</v>
      </c>
      <c t="s" s="6" r="AM109">
        <v>92</v>
      </c>
      <c t="s" s="6" r="AN109">
        <v>92</v>
      </c>
      <c s="6" r="AP109">
        <v>1</v>
      </c>
      <c t="s" s="6" r="AQ109">
        <v>605</v>
      </c>
      <c t="s" s="6" r="AR109">
        <v>1071</v>
      </c>
      <c s="6" r="AS109">
        <v>0</v>
      </c>
      <c s="6" r="AT109">
        <v>0</v>
      </c>
      <c s="6" r="AU109">
        <v>0</v>
      </c>
      <c s="6" r="AV109">
        <v>0</v>
      </c>
      <c s="6" r="AW109">
        <v>0</v>
      </c>
      <c s="6" r="AX109">
        <v>0</v>
      </c>
      <c s="6" r="AY109">
        <v>0</v>
      </c>
      <c s="6" r="AZ109">
        <v>0</v>
      </c>
      <c s="6" r="BA109">
        <v>0</v>
      </c>
      <c s="6" r="BB109">
        <v>0</v>
      </c>
      <c s="6" r="BC109">
        <v>0</v>
      </c>
      <c s="6" r="BD109">
        <v>0</v>
      </c>
      <c s="6" r="BE109">
        <v>0</v>
      </c>
      <c s="6" r="BF109">
        <v>0</v>
      </c>
      <c s="6" r="BG109">
        <v>0</v>
      </c>
      <c s="6" r="BH109">
        <v>0</v>
      </c>
      <c s="6" r="BI109">
        <v>0</v>
      </c>
      <c s="6" r="BJ109">
        <v>0</v>
      </c>
      <c s="6" r="BK109">
        <v>0</v>
      </c>
      <c s="6" r="BL109">
        <v>0</v>
      </c>
      <c s="6" r="BM109">
        <v>0</v>
      </c>
      <c s="6" r="BN109">
        <v>0</v>
      </c>
      <c s="6" r="BO109">
        <v>0</v>
      </c>
      <c s="6" r="BP109">
        <v>0</v>
      </c>
      <c s="6" r="BQ109">
        <v>0</v>
      </c>
      <c t="str" s="6" r="BR109">
        <f>HYPERLINK("http://www.d20pfsrd.com/magic/all-spells/c/cure-light-wounds","Cure Light Wounds")</f>
        <v>Cure Light Wounds</v>
      </c>
      <c s="6" r="BS109">
        <v>108</v>
      </c>
      <c t="s" s="6" r="BT109">
        <v>92</v>
      </c>
      <c t="s" s="6" r="BW109">
        <v>1072</v>
      </c>
      <c s="6" r="BY109">
        <v>1</v>
      </c>
    </row>
    <row customHeight="1" r="110" ht="14.25">
      <c t="s" s="6" r="A110">
        <v>1073</v>
      </c>
      <c t="s" s="6" r="B110">
        <v>78</v>
      </c>
      <c t="s" s="6" r="C110">
        <v>598</v>
      </c>
      <c t="s" s="6" r="E110">
        <v>1074</v>
      </c>
      <c t="s" s="6" r="F110">
        <v>81</v>
      </c>
      <c t="s" s="6" r="G110">
        <v>106</v>
      </c>
      <c s="6" r="H110">
        <v>0</v>
      </c>
      <c t="s" s="6" r="I110">
        <v>120</v>
      </c>
      <c t="s" s="6" r="L110">
        <v>420</v>
      </c>
      <c t="s" s="6" r="M110">
        <v>109</v>
      </c>
      <c s="6" r="N110">
        <v>0</v>
      </c>
      <c s="6" r="O110">
        <v>0</v>
      </c>
      <c t="s" s="6" r="P110">
        <v>1066</v>
      </c>
      <c t="s" s="6" r="Q110">
        <v>1067</v>
      </c>
      <c t="s" s="6" r="R110">
        <v>1075</v>
      </c>
      <c t="s" s="6" r="S110">
        <v>1076</v>
      </c>
      <c t="s" s="6" r="T110">
        <v>90</v>
      </c>
      <c t="s" s="6" r="U110">
        <v>1077</v>
      </c>
      <c s="6" r="V110">
        <v>1</v>
      </c>
      <c s="6" r="W110">
        <v>1</v>
      </c>
      <c s="6" r="X110">
        <v>0</v>
      </c>
      <c s="6" r="Y110">
        <v>0</v>
      </c>
      <c s="6" r="Z110">
        <v>0</v>
      </c>
      <c t="s" s="6" r="AA110">
        <v>92</v>
      </c>
      <c t="s" s="6" r="AB110">
        <v>92</v>
      </c>
      <c s="6" r="AC110">
        <v>4</v>
      </c>
      <c s="6" r="AD110">
        <v>5</v>
      </c>
      <c t="s" s="6" r="AE110">
        <v>92</v>
      </c>
      <c s="6" r="AF110">
        <v>4</v>
      </c>
      <c t="s" s="6" r="AG110">
        <v>92</v>
      </c>
      <c s="6" r="AH110">
        <v>4</v>
      </c>
      <c t="s" s="6" r="AI110">
        <v>92</v>
      </c>
      <c s="6" r="AJ110">
        <v>5</v>
      </c>
      <c s="6" r="AK110">
        <v>4</v>
      </c>
      <c s="6" r="AL110">
        <v>4</v>
      </c>
      <c t="s" s="6" r="AM110">
        <v>92</v>
      </c>
      <c t="s" s="6" r="AN110">
        <v>92</v>
      </c>
      <c s="6" r="AP110">
        <v>4</v>
      </c>
      <c t="s" s="6" r="AQ110">
        <v>605</v>
      </c>
      <c t="s" s="6" r="AR110">
        <v>1078</v>
      </c>
      <c s="6" r="AS110">
        <v>0</v>
      </c>
      <c s="6" r="AT110">
        <v>0</v>
      </c>
      <c s="6" r="AU110">
        <v>0</v>
      </c>
      <c s="6" r="AV110">
        <v>0</v>
      </c>
      <c s="6" r="AW110">
        <v>0</v>
      </c>
      <c s="6" r="AX110">
        <v>0</v>
      </c>
      <c s="6" r="AY110">
        <v>0</v>
      </c>
      <c s="6" r="AZ110">
        <v>0</v>
      </c>
      <c s="6" r="BA110">
        <v>0</v>
      </c>
      <c s="6" r="BB110">
        <v>0</v>
      </c>
      <c s="6" r="BC110">
        <v>0</v>
      </c>
      <c s="6" r="BD110">
        <v>0</v>
      </c>
      <c s="6" r="BE110">
        <v>0</v>
      </c>
      <c s="6" r="BF110">
        <v>0</v>
      </c>
      <c s="6" r="BG110">
        <v>0</v>
      </c>
      <c s="6" r="BH110">
        <v>0</v>
      </c>
      <c s="6" r="BI110">
        <v>0</v>
      </c>
      <c s="6" r="BJ110">
        <v>0</v>
      </c>
      <c s="6" r="BK110">
        <v>0</v>
      </c>
      <c s="6" r="BL110">
        <v>0</v>
      </c>
      <c s="6" r="BM110">
        <v>0</v>
      </c>
      <c s="6" r="BN110">
        <v>0</v>
      </c>
      <c s="6" r="BO110">
        <v>0</v>
      </c>
      <c s="6" r="BP110">
        <v>0</v>
      </c>
      <c s="6" r="BQ110">
        <v>0</v>
      </c>
      <c t="str" s="6" r="BR110">
        <f>HYPERLINK("http://www.d20pfsrd.com/magic/all-spells/c/cure-critical-wounds","Cure Critical Wounds")</f>
        <v>Cure Critical Wounds</v>
      </c>
      <c s="6" r="BS110">
        <v>109</v>
      </c>
      <c t="s" s="6" r="BT110">
        <v>92</v>
      </c>
      <c t="s" s="6" r="BW110">
        <v>1079</v>
      </c>
      <c s="6" r="BY110">
        <v>1</v>
      </c>
    </row>
    <row customHeight="1" r="111" ht="14.25">
      <c t="s" s="6" r="A111">
        <v>1080</v>
      </c>
      <c t="s" s="6" r="B111">
        <v>78</v>
      </c>
      <c t="s" s="6" r="C111">
        <v>598</v>
      </c>
      <c t="s" s="6" r="E111">
        <v>1081</v>
      </c>
      <c t="s" s="6" r="F111">
        <v>81</v>
      </c>
      <c t="s" s="6" r="G111">
        <v>106</v>
      </c>
      <c s="6" r="H111">
        <v>0</v>
      </c>
      <c t="s" s="6" r="I111">
        <v>107</v>
      </c>
      <c t="s" s="6" r="L111">
        <v>620</v>
      </c>
      <c t="s" s="6" r="M111">
        <v>109</v>
      </c>
      <c s="6" r="N111">
        <v>0</v>
      </c>
      <c s="6" r="O111">
        <v>0</v>
      </c>
      <c t="s" s="6" r="P111">
        <v>1082</v>
      </c>
      <c t="s" s="6" r="Q111">
        <v>1083</v>
      </c>
      <c t="s" s="6" r="R111">
        <v>1084</v>
      </c>
      <c t="s" s="6" r="S111">
        <v>1085</v>
      </c>
      <c t="s" s="6" r="T111">
        <v>90</v>
      </c>
      <c t="s" s="6" r="U111">
        <v>1086</v>
      </c>
      <c s="6" r="V111">
        <v>1</v>
      </c>
      <c s="6" r="W111">
        <v>1</v>
      </c>
      <c s="6" r="X111">
        <v>0</v>
      </c>
      <c s="6" r="Y111">
        <v>0</v>
      </c>
      <c s="6" r="Z111">
        <v>0</v>
      </c>
      <c t="s" s="6" r="AA111">
        <v>92</v>
      </c>
      <c t="s" s="6" r="AB111">
        <v>92</v>
      </c>
      <c s="6" r="AC111">
        <v>5</v>
      </c>
      <c s="6" r="AD111">
        <v>6</v>
      </c>
      <c t="s" s="6" r="AE111">
        <v>92</v>
      </c>
      <c s="6" r="AF111">
        <v>5</v>
      </c>
      <c t="s" s="6" r="AG111">
        <v>92</v>
      </c>
      <c t="s" s="6" r="AH111">
        <v>92</v>
      </c>
      <c t="s" s="6" r="AI111">
        <v>92</v>
      </c>
      <c s="6" r="AJ111">
        <v>6</v>
      </c>
      <c s="6" r="AK111">
        <v>5</v>
      </c>
      <c s="6" r="AL111">
        <v>5</v>
      </c>
      <c t="s" s="6" r="AM111">
        <v>92</v>
      </c>
      <c t="s" s="6" r="AN111">
        <v>92</v>
      </c>
      <c s="6" r="AP111">
        <v>5</v>
      </c>
      <c t="s" s="6" r="AR111">
        <v>1087</v>
      </c>
      <c s="6" r="AS111">
        <v>0</v>
      </c>
      <c s="6" r="AT111">
        <v>0</v>
      </c>
      <c s="6" r="AU111">
        <v>0</v>
      </c>
      <c s="6" r="AV111">
        <v>0</v>
      </c>
      <c s="6" r="AW111">
        <v>0</v>
      </c>
      <c s="6" r="AX111">
        <v>0</v>
      </c>
      <c s="6" r="AY111">
        <v>0</v>
      </c>
      <c s="6" r="AZ111">
        <v>0</v>
      </c>
      <c s="6" r="BA111">
        <v>0</v>
      </c>
      <c s="6" r="BB111">
        <v>0</v>
      </c>
      <c s="6" r="BC111">
        <v>0</v>
      </c>
      <c s="6" r="BD111">
        <v>0</v>
      </c>
      <c s="6" r="BE111">
        <v>0</v>
      </c>
      <c s="6" r="BF111">
        <v>0</v>
      </c>
      <c s="6" r="BG111">
        <v>0</v>
      </c>
      <c s="6" r="BH111">
        <v>0</v>
      </c>
      <c s="6" r="BI111">
        <v>0</v>
      </c>
      <c s="6" r="BJ111">
        <v>0</v>
      </c>
      <c s="6" r="BK111">
        <v>0</v>
      </c>
      <c s="6" r="BL111">
        <v>0</v>
      </c>
      <c s="6" r="BM111">
        <v>0</v>
      </c>
      <c s="6" r="BN111">
        <v>0</v>
      </c>
      <c s="6" r="BO111">
        <v>0</v>
      </c>
      <c s="6" r="BP111">
        <v>0</v>
      </c>
      <c s="6" r="BQ111">
        <v>0</v>
      </c>
      <c t="str" s="6" r="BR111">
        <f>HYPERLINK("http://www.d20pfsrd.com/magic/all-spells/c/cure-light-wounds","Cure Light Wounds, Mass")</f>
        <v>Cure Light Wounds, Mass</v>
      </c>
      <c s="6" r="BS111">
        <v>110</v>
      </c>
      <c t="s" s="6" r="BT111">
        <v>92</v>
      </c>
      <c s="6" r="BY111">
        <v>0</v>
      </c>
    </row>
    <row customHeight="1" r="112" ht="14.25">
      <c t="s" s="6" r="A112">
        <v>1088</v>
      </c>
      <c t="s" s="6" r="B112">
        <v>78</v>
      </c>
      <c t="s" s="6" r="C112">
        <v>598</v>
      </c>
      <c t="s" s="6" r="E112">
        <v>1089</v>
      </c>
      <c t="s" s="6" r="F112">
        <v>81</v>
      </c>
      <c t="s" s="6" r="G112">
        <v>106</v>
      </c>
      <c s="6" r="H112">
        <v>0</v>
      </c>
      <c t="s" s="6" r="I112">
        <v>107</v>
      </c>
      <c t="s" s="6" r="L112">
        <v>620</v>
      </c>
      <c t="s" s="6" r="M112">
        <v>109</v>
      </c>
      <c s="6" r="N112">
        <v>0</v>
      </c>
      <c s="6" r="O112">
        <v>0</v>
      </c>
      <c t="s" s="6" r="P112">
        <v>1082</v>
      </c>
      <c t="s" s="6" r="Q112">
        <v>1083</v>
      </c>
      <c t="s" s="6" r="R112">
        <v>1090</v>
      </c>
      <c t="s" s="6" r="S112">
        <v>1091</v>
      </c>
      <c t="s" s="6" r="T112">
        <v>90</v>
      </c>
      <c t="s" s="6" r="U112">
        <v>1092</v>
      </c>
      <c s="6" r="V112">
        <v>1</v>
      </c>
      <c s="6" r="W112">
        <v>1</v>
      </c>
      <c s="6" r="X112">
        <v>0</v>
      </c>
      <c s="6" r="Y112">
        <v>0</v>
      </c>
      <c s="6" r="Z112">
        <v>0</v>
      </c>
      <c t="s" s="6" r="AA112">
        <v>92</v>
      </c>
      <c t="s" s="6" r="AB112">
        <v>92</v>
      </c>
      <c s="6" r="AC112">
        <v>8</v>
      </c>
      <c s="6" r="AD112">
        <v>9</v>
      </c>
      <c t="s" s="6" r="AE112">
        <v>92</v>
      </c>
      <c t="s" s="6" r="AF112">
        <v>92</v>
      </c>
      <c t="s" s="6" r="AG112">
        <v>92</v>
      </c>
      <c t="s" s="6" r="AH112">
        <v>92</v>
      </c>
      <c t="s" s="6" r="AI112">
        <v>92</v>
      </c>
      <c s="6" r="AJ112">
        <v>9</v>
      </c>
      <c t="s" s="6" r="AK112">
        <v>92</v>
      </c>
      <c s="6" r="AL112">
        <v>8</v>
      </c>
      <c t="s" s="6" r="AM112">
        <v>92</v>
      </c>
      <c t="s" s="6" r="AN112">
        <v>92</v>
      </c>
      <c s="6" r="AP112">
        <v>8</v>
      </c>
      <c t="s" s="6" r="AQ112">
        <v>1093</v>
      </c>
      <c t="s" s="6" r="AR112">
        <v>1094</v>
      </c>
      <c s="6" r="AS112">
        <v>0</v>
      </c>
      <c s="6" r="AT112">
        <v>0</v>
      </c>
      <c s="6" r="AU112">
        <v>0</v>
      </c>
      <c s="6" r="AV112">
        <v>0</v>
      </c>
      <c s="6" r="AW112">
        <v>0</v>
      </c>
      <c s="6" r="AX112">
        <v>0</v>
      </c>
      <c s="6" r="AY112">
        <v>0</v>
      </c>
      <c s="6" r="AZ112">
        <v>0</v>
      </c>
      <c s="6" r="BA112">
        <v>0</v>
      </c>
      <c s="6" r="BB112">
        <v>0</v>
      </c>
      <c s="6" r="BC112">
        <v>0</v>
      </c>
      <c s="6" r="BD112">
        <v>0</v>
      </c>
      <c s="6" r="BE112">
        <v>0</v>
      </c>
      <c s="6" r="BF112">
        <v>0</v>
      </c>
      <c s="6" r="BG112">
        <v>0</v>
      </c>
      <c s="6" r="BH112">
        <v>0</v>
      </c>
      <c s="6" r="BI112">
        <v>0</v>
      </c>
      <c s="6" r="BJ112">
        <v>0</v>
      </c>
      <c s="6" r="BK112">
        <v>0</v>
      </c>
      <c s="6" r="BL112">
        <v>0</v>
      </c>
      <c s="6" r="BM112">
        <v>0</v>
      </c>
      <c s="6" r="BN112">
        <v>0</v>
      </c>
      <c s="6" r="BO112">
        <v>0</v>
      </c>
      <c s="6" r="BP112">
        <v>0</v>
      </c>
      <c s="6" r="BQ112">
        <v>0</v>
      </c>
      <c t="str" s="6" r="BR112">
        <f>HYPERLINK("http://www.d20pfsrd.com/magic/all-spells/c/cure-critical-wounds","Cure Critical Wounds, Mass")</f>
        <v>Cure Critical Wounds, Mass</v>
      </c>
      <c s="6" r="BS112">
        <v>111</v>
      </c>
      <c t="s" s="6" r="BT112">
        <v>92</v>
      </c>
      <c t="s" s="6" r="BV112">
        <v>605</v>
      </c>
      <c s="6" r="BY112">
        <v>0</v>
      </c>
    </row>
    <row customHeight="1" r="113" ht="14.25">
      <c t="s" s="6" r="A113">
        <v>1095</v>
      </c>
      <c t="s" s="6" r="B113">
        <v>78</v>
      </c>
      <c t="s" s="6" r="C113">
        <v>598</v>
      </c>
      <c t="s" s="6" r="E113">
        <v>1096</v>
      </c>
      <c t="s" s="6" r="F113">
        <v>81</v>
      </c>
      <c t="s" s="6" r="G113">
        <v>106</v>
      </c>
      <c s="6" r="H113">
        <v>0</v>
      </c>
      <c t="s" s="6" r="I113">
        <v>120</v>
      </c>
      <c t="s" s="6" r="L113">
        <v>420</v>
      </c>
      <c t="s" s="6" r="M113">
        <v>109</v>
      </c>
      <c s="6" r="N113">
        <v>0</v>
      </c>
      <c s="6" r="O113">
        <v>0</v>
      </c>
      <c t="s" s="6" r="P113">
        <v>1066</v>
      </c>
      <c t="s" s="6" r="Q113">
        <v>1067</v>
      </c>
      <c t="s" s="6" r="R113">
        <v>1097</v>
      </c>
      <c t="s" s="6" r="S113">
        <v>1098</v>
      </c>
      <c t="s" s="6" r="T113">
        <v>90</v>
      </c>
      <c t="s" s="6" r="U113">
        <v>1099</v>
      </c>
      <c s="6" r="V113">
        <v>1</v>
      </c>
      <c s="6" r="W113">
        <v>1</v>
      </c>
      <c s="6" r="X113">
        <v>0</v>
      </c>
      <c s="6" r="Y113">
        <v>0</v>
      </c>
      <c s="6" r="Z113">
        <v>0</v>
      </c>
      <c t="s" s="6" r="AA113">
        <v>92</v>
      </c>
      <c t="s" s="6" r="AB113">
        <v>92</v>
      </c>
      <c s="6" r="AC113">
        <v>2</v>
      </c>
      <c s="6" r="AD113">
        <v>3</v>
      </c>
      <c s="6" r="AE113">
        <v>3</v>
      </c>
      <c s="6" r="AF113">
        <v>2</v>
      </c>
      <c s="6" r="AG113">
        <v>3</v>
      </c>
      <c s="6" r="AH113">
        <v>2</v>
      </c>
      <c t="s" s="6" r="AI113">
        <v>92</v>
      </c>
      <c s="6" r="AJ113">
        <v>2</v>
      </c>
      <c s="6" r="AK113">
        <v>2</v>
      </c>
      <c s="6" r="AL113">
        <v>2</v>
      </c>
      <c t="s" s="6" r="AM113">
        <v>92</v>
      </c>
      <c t="s" s="6" r="AN113">
        <v>92</v>
      </c>
      <c s="6" r="AP113">
        <v>2</v>
      </c>
      <c t="s" s="6" r="AQ113">
        <v>605</v>
      </c>
      <c t="s" s="6" r="AR113">
        <v>1100</v>
      </c>
      <c s="6" r="AS113">
        <v>0</v>
      </c>
      <c s="6" r="AT113">
        <v>0</v>
      </c>
      <c s="6" r="AU113">
        <v>0</v>
      </c>
      <c s="6" r="AV113">
        <v>0</v>
      </c>
      <c s="6" r="AW113">
        <v>0</v>
      </c>
      <c s="6" r="AX113">
        <v>0</v>
      </c>
      <c s="6" r="AY113">
        <v>0</v>
      </c>
      <c s="6" r="AZ113">
        <v>0</v>
      </c>
      <c s="6" r="BA113">
        <v>0</v>
      </c>
      <c s="6" r="BB113">
        <v>0</v>
      </c>
      <c s="6" r="BC113">
        <v>0</v>
      </c>
      <c s="6" r="BD113">
        <v>0</v>
      </c>
      <c s="6" r="BE113">
        <v>0</v>
      </c>
      <c s="6" r="BF113">
        <v>0</v>
      </c>
      <c s="6" r="BG113">
        <v>0</v>
      </c>
      <c s="6" r="BH113">
        <v>0</v>
      </c>
      <c s="6" r="BI113">
        <v>0</v>
      </c>
      <c s="6" r="BJ113">
        <v>0</v>
      </c>
      <c s="6" r="BK113">
        <v>0</v>
      </c>
      <c s="6" r="BL113">
        <v>0</v>
      </c>
      <c s="6" r="BM113">
        <v>0</v>
      </c>
      <c s="6" r="BN113">
        <v>0</v>
      </c>
      <c s="6" r="BO113">
        <v>0</v>
      </c>
      <c s="6" r="BP113">
        <v>0</v>
      </c>
      <c s="6" r="BQ113">
        <v>0</v>
      </c>
      <c t="str" s="6" r="BR113">
        <f>HYPERLINK("http://www.d20pfsrd.com/magic/all-spells/c/cure-moderate-wounds","Cure Moderate Wounds")</f>
        <v>Cure Moderate Wounds</v>
      </c>
      <c s="6" r="BS113">
        <v>112</v>
      </c>
      <c t="s" s="6" r="BT113">
        <v>92</v>
      </c>
      <c t="s" s="6" r="BW113">
        <v>1101</v>
      </c>
      <c s="6" r="BY113">
        <v>1</v>
      </c>
    </row>
    <row customHeight="1" r="114" ht="14.25">
      <c t="s" s="6" r="A114">
        <v>1102</v>
      </c>
      <c t="s" s="6" r="B114">
        <v>78</v>
      </c>
      <c t="s" s="6" r="C114">
        <v>598</v>
      </c>
      <c t="s" s="6" r="E114">
        <v>1103</v>
      </c>
      <c t="s" s="6" r="F114">
        <v>81</v>
      </c>
      <c t="s" s="6" r="G114">
        <v>106</v>
      </c>
      <c s="6" r="H114">
        <v>0</v>
      </c>
      <c t="s" s="6" r="I114">
        <v>107</v>
      </c>
      <c t="s" s="6" r="L114">
        <v>620</v>
      </c>
      <c t="s" s="6" r="M114">
        <v>109</v>
      </c>
      <c s="6" r="N114">
        <v>0</v>
      </c>
      <c s="6" r="O114">
        <v>0</v>
      </c>
      <c t="s" s="6" r="P114">
        <v>1082</v>
      </c>
      <c t="s" s="6" r="Q114">
        <v>1083</v>
      </c>
      <c t="s" s="6" r="R114">
        <v>1104</v>
      </c>
      <c t="s" s="6" r="S114">
        <v>1105</v>
      </c>
      <c t="s" s="6" r="T114">
        <v>90</v>
      </c>
      <c t="s" s="6" r="U114">
        <v>1106</v>
      </c>
      <c s="6" r="V114">
        <v>1</v>
      </c>
      <c s="6" r="W114">
        <v>1</v>
      </c>
      <c s="6" r="X114">
        <v>0</v>
      </c>
      <c s="6" r="Y114">
        <v>0</v>
      </c>
      <c s="6" r="Z114">
        <v>0</v>
      </c>
      <c t="s" s="6" r="AA114">
        <v>92</v>
      </c>
      <c t="s" s="6" r="AB114">
        <v>92</v>
      </c>
      <c s="6" r="AC114">
        <v>6</v>
      </c>
      <c s="6" r="AD114">
        <v>7</v>
      </c>
      <c t="s" s="6" r="AE114">
        <v>92</v>
      </c>
      <c s="6" r="AF114">
        <v>6</v>
      </c>
      <c t="s" s="6" r="AG114">
        <v>92</v>
      </c>
      <c t="s" s="6" r="AH114">
        <v>92</v>
      </c>
      <c t="s" s="6" r="AI114">
        <v>92</v>
      </c>
      <c s="6" r="AJ114">
        <v>7</v>
      </c>
      <c s="6" r="AK114">
        <v>6</v>
      </c>
      <c s="6" r="AL114">
        <v>6</v>
      </c>
      <c t="s" s="6" r="AM114">
        <v>92</v>
      </c>
      <c t="s" s="6" r="AN114">
        <v>92</v>
      </c>
      <c s="6" r="AP114">
        <v>6</v>
      </c>
      <c t="s" s="6" r="AR114">
        <v>1107</v>
      </c>
      <c s="6" r="AS114">
        <v>0</v>
      </c>
      <c s="6" r="AT114">
        <v>0</v>
      </c>
      <c s="6" r="AU114">
        <v>0</v>
      </c>
      <c s="6" r="AV114">
        <v>0</v>
      </c>
      <c s="6" r="AW114">
        <v>0</v>
      </c>
      <c s="6" r="AX114">
        <v>0</v>
      </c>
      <c s="6" r="AY114">
        <v>0</v>
      </c>
      <c s="6" r="AZ114">
        <v>0</v>
      </c>
      <c s="6" r="BA114">
        <v>0</v>
      </c>
      <c s="6" r="BB114">
        <v>0</v>
      </c>
      <c s="6" r="BC114">
        <v>0</v>
      </c>
      <c s="6" r="BD114">
        <v>0</v>
      </c>
      <c s="6" r="BE114">
        <v>0</v>
      </c>
      <c s="6" r="BF114">
        <v>0</v>
      </c>
      <c s="6" r="BG114">
        <v>0</v>
      </c>
      <c s="6" r="BH114">
        <v>0</v>
      </c>
      <c s="6" r="BI114">
        <v>0</v>
      </c>
      <c s="6" r="BJ114">
        <v>0</v>
      </c>
      <c s="6" r="BK114">
        <v>0</v>
      </c>
      <c s="6" r="BL114">
        <v>0</v>
      </c>
      <c s="6" r="BM114">
        <v>0</v>
      </c>
      <c s="6" r="BN114">
        <v>0</v>
      </c>
      <c s="6" r="BO114">
        <v>0</v>
      </c>
      <c s="6" r="BP114">
        <v>0</v>
      </c>
      <c s="6" r="BQ114">
        <v>0</v>
      </c>
      <c t="str" s="6" r="BR114">
        <f>HYPERLINK("http://www.d20pfsrd.com/magic/all-spells/c/cure-moderate-wounds","Cure Moderate Wounds, Mass")</f>
        <v>Cure Moderate Wounds, Mass</v>
      </c>
      <c s="6" r="BS114">
        <v>113</v>
      </c>
      <c t="s" s="6" r="BT114">
        <v>92</v>
      </c>
      <c s="6" r="BY114">
        <v>0</v>
      </c>
    </row>
    <row customHeight="1" r="115" ht="14.25">
      <c t="s" s="6" r="A115">
        <v>1108</v>
      </c>
      <c t="s" s="6" r="B115">
        <v>78</v>
      </c>
      <c t="s" s="6" r="C115">
        <v>598</v>
      </c>
      <c t="s" s="6" r="E115">
        <v>1109</v>
      </c>
      <c t="s" s="6" r="F115">
        <v>81</v>
      </c>
      <c t="s" s="6" r="G115">
        <v>106</v>
      </c>
      <c s="6" r="H115">
        <v>0</v>
      </c>
      <c t="s" s="6" r="I115">
        <v>120</v>
      </c>
      <c t="s" s="6" r="L115">
        <v>420</v>
      </c>
      <c t="s" s="6" r="M115">
        <v>109</v>
      </c>
      <c s="6" r="N115">
        <v>0</v>
      </c>
      <c s="6" r="O115">
        <v>0</v>
      </c>
      <c t="s" s="6" r="P115">
        <v>1066</v>
      </c>
      <c t="s" s="6" r="Q115">
        <v>1067</v>
      </c>
      <c t="s" s="6" r="R115">
        <v>1110</v>
      </c>
      <c t="s" s="6" r="S115">
        <v>1111</v>
      </c>
      <c t="s" s="6" r="T115">
        <v>90</v>
      </c>
      <c t="s" s="6" r="U115">
        <v>1112</v>
      </c>
      <c s="6" r="V115">
        <v>1</v>
      </c>
      <c s="6" r="W115">
        <v>1</v>
      </c>
      <c s="6" r="X115">
        <v>0</v>
      </c>
      <c s="6" r="Y115">
        <v>0</v>
      </c>
      <c s="6" r="Z115">
        <v>0</v>
      </c>
      <c t="s" s="6" r="AA115">
        <v>92</v>
      </c>
      <c t="s" s="6" r="AB115">
        <v>92</v>
      </c>
      <c s="6" r="AC115">
        <v>3</v>
      </c>
      <c s="6" r="AD115">
        <v>4</v>
      </c>
      <c s="6" r="AE115">
        <v>4</v>
      </c>
      <c s="6" r="AF115">
        <v>3</v>
      </c>
      <c s="6" r="AG115">
        <v>4</v>
      </c>
      <c s="6" r="AH115">
        <v>3</v>
      </c>
      <c t="s" s="6" r="AI115">
        <v>92</v>
      </c>
      <c s="6" r="AJ115">
        <v>4</v>
      </c>
      <c s="6" r="AK115">
        <v>3</v>
      </c>
      <c s="6" r="AL115">
        <v>3</v>
      </c>
      <c t="s" s="6" r="AM115">
        <v>92</v>
      </c>
      <c t="s" s="6" r="AN115">
        <v>92</v>
      </c>
      <c s="6" r="AP115">
        <v>3</v>
      </c>
      <c t="s" s="6" r="AQ115">
        <v>605</v>
      </c>
      <c t="s" s="6" r="AR115">
        <v>1113</v>
      </c>
      <c s="6" r="AS115">
        <v>0</v>
      </c>
      <c s="6" r="AT115">
        <v>0</v>
      </c>
      <c s="6" r="AU115">
        <v>0</v>
      </c>
      <c s="6" r="AV115">
        <v>0</v>
      </c>
      <c s="6" r="AW115">
        <v>0</v>
      </c>
      <c s="6" r="AX115">
        <v>0</v>
      </c>
      <c s="6" r="AY115">
        <v>0</v>
      </c>
      <c s="6" r="AZ115">
        <v>0</v>
      </c>
      <c s="6" r="BA115">
        <v>0</v>
      </c>
      <c s="6" r="BB115">
        <v>0</v>
      </c>
      <c s="6" r="BC115">
        <v>0</v>
      </c>
      <c s="6" r="BD115">
        <v>0</v>
      </c>
      <c s="6" r="BE115">
        <v>0</v>
      </c>
      <c s="6" r="BF115">
        <v>0</v>
      </c>
      <c s="6" r="BG115">
        <v>0</v>
      </c>
      <c s="6" r="BH115">
        <v>0</v>
      </c>
      <c s="6" r="BI115">
        <v>0</v>
      </c>
      <c s="6" r="BJ115">
        <v>0</v>
      </c>
      <c s="6" r="BK115">
        <v>0</v>
      </c>
      <c s="6" r="BL115">
        <v>0</v>
      </c>
      <c s="6" r="BM115">
        <v>0</v>
      </c>
      <c s="6" r="BN115">
        <v>0</v>
      </c>
      <c s="6" r="BO115">
        <v>0</v>
      </c>
      <c s="6" r="BP115">
        <v>0</v>
      </c>
      <c s="6" r="BQ115">
        <v>0</v>
      </c>
      <c t="str" s="6" r="BR115">
        <f>HYPERLINK("http://www.d20pfsrd.com/magic/all-spells/c/cure-serious-wounds","Cure Serious Wounds")</f>
        <v>Cure Serious Wounds</v>
      </c>
      <c s="6" r="BS115">
        <v>114</v>
      </c>
      <c t="s" s="6" r="BT115">
        <v>92</v>
      </c>
      <c t="s" s="6" r="BW115">
        <v>1114</v>
      </c>
      <c s="6" r="BY115">
        <v>1</v>
      </c>
    </row>
    <row customHeight="1" r="116" ht="14.25">
      <c t="s" s="6" r="A116">
        <v>1115</v>
      </c>
      <c t="s" s="6" r="B116">
        <v>78</v>
      </c>
      <c t="s" s="6" r="C116">
        <v>598</v>
      </c>
      <c t="s" s="6" r="E116">
        <v>1116</v>
      </c>
      <c t="s" s="6" r="F116">
        <v>81</v>
      </c>
      <c t="s" s="6" r="G116">
        <v>106</v>
      </c>
      <c s="6" r="H116">
        <v>0</v>
      </c>
      <c t="s" s="6" r="I116">
        <v>107</v>
      </c>
      <c t="s" s="6" r="L116">
        <v>620</v>
      </c>
      <c t="s" s="6" r="M116">
        <v>109</v>
      </c>
      <c s="6" r="N116">
        <v>0</v>
      </c>
      <c s="6" r="O116">
        <v>0</v>
      </c>
      <c t="s" s="6" r="P116">
        <v>1082</v>
      </c>
      <c t="s" s="6" r="Q116">
        <v>1083</v>
      </c>
      <c t="s" s="6" r="R116">
        <v>1117</v>
      </c>
      <c t="s" s="6" r="S116">
        <v>1118</v>
      </c>
      <c t="s" s="6" r="T116">
        <v>90</v>
      </c>
      <c t="s" s="6" r="U116">
        <v>1119</v>
      </c>
      <c s="6" r="V116">
        <v>1</v>
      </c>
      <c s="6" r="W116">
        <v>1</v>
      </c>
      <c s="6" r="X116">
        <v>0</v>
      </c>
      <c s="6" r="Y116">
        <v>0</v>
      </c>
      <c s="6" r="Z116">
        <v>0</v>
      </c>
      <c t="s" s="6" r="AA116">
        <v>92</v>
      </c>
      <c t="s" s="6" r="AB116">
        <v>92</v>
      </c>
      <c s="6" r="AC116">
        <v>7</v>
      </c>
      <c s="6" r="AD116">
        <v>8</v>
      </c>
      <c t="s" s="6" r="AE116">
        <v>92</v>
      </c>
      <c t="s" s="6" r="AF116">
        <v>92</v>
      </c>
      <c t="s" s="6" r="AG116">
        <v>92</v>
      </c>
      <c t="s" s="6" r="AH116">
        <v>92</v>
      </c>
      <c t="s" s="6" r="AI116">
        <v>92</v>
      </c>
      <c s="6" r="AJ116">
        <v>8</v>
      </c>
      <c t="s" s="6" r="AK116">
        <v>92</v>
      </c>
      <c s="6" r="AL116">
        <v>7</v>
      </c>
      <c t="s" s="6" r="AM116">
        <v>92</v>
      </c>
      <c t="s" s="6" r="AN116">
        <v>92</v>
      </c>
      <c s="6" r="AP116">
        <v>7</v>
      </c>
      <c t="s" s="6" r="AR116">
        <v>1120</v>
      </c>
      <c s="6" r="AS116">
        <v>0</v>
      </c>
      <c s="6" r="AT116">
        <v>0</v>
      </c>
      <c s="6" r="AU116">
        <v>0</v>
      </c>
      <c s="6" r="AV116">
        <v>0</v>
      </c>
      <c s="6" r="AW116">
        <v>0</v>
      </c>
      <c s="6" r="AX116">
        <v>0</v>
      </c>
      <c s="6" r="AY116">
        <v>0</v>
      </c>
      <c s="6" r="AZ116">
        <v>0</v>
      </c>
      <c s="6" r="BA116">
        <v>0</v>
      </c>
      <c s="6" r="BB116">
        <v>0</v>
      </c>
      <c s="6" r="BC116">
        <v>0</v>
      </c>
      <c s="6" r="BD116">
        <v>0</v>
      </c>
      <c s="6" r="BE116">
        <v>0</v>
      </c>
      <c s="6" r="BF116">
        <v>0</v>
      </c>
      <c s="6" r="BG116">
        <v>0</v>
      </c>
      <c s="6" r="BH116">
        <v>0</v>
      </c>
      <c s="6" r="BI116">
        <v>0</v>
      </c>
      <c s="6" r="BJ116">
        <v>0</v>
      </c>
      <c s="6" r="BK116">
        <v>0</v>
      </c>
      <c s="6" r="BL116">
        <v>0</v>
      </c>
      <c s="6" r="BM116">
        <v>0</v>
      </c>
      <c s="6" r="BN116">
        <v>0</v>
      </c>
      <c s="6" r="BO116">
        <v>0</v>
      </c>
      <c s="6" r="BP116">
        <v>0</v>
      </c>
      <c s="6" r="BQ116">
        <v>0</v>
      </c>
      <c t="str" s="6" r="BR116">
        <f>HYPERLINK("http://www.d20pfsrd.com/magic/all-spells/c/cure-serious-wounds","Cure Serious Wounds, Mass")</f>
        <v>Cure Serious Wounds, Mass</v>
      </c>
      <c s="6" r="BS116">
        <v>115</v>
      </c>
      <c t="s" s="6" r="BT116">
        <v>92</v>
      </c>
      <c s="6" r="BY116">
        <v>0</v>
      </c>
    </row>
    <row customHeight="1" r="117" ht="14.25">
      <c t="s" s="6" r="A117">
        <v>1121</v>
      </c>
      <c t="s" s="6" r="B117">
        <v>227</v>
      </c>
      <c t="s" s="6" r="D117">
        <v>55</v>
      </c>
      <c t="s" s="6" r="E117">
        <v>1122</v>
      </c>
      <c t="s" s="6" r="F117">
        <v>197</v>
      </c>
      <c t="s" s="6" r="G117">
        <v>1123</v>
      </c>
      <c s="6" r="H117">
        <v>1</v>
      </c>
      <c t="s" s="6" r="I117">
        <v>120</v>
      </c>
      <c t="s" s="6" r="L117">
        <v>534</v>
      </c>
      <c t="s" s="6" r="M117">
        <v>109</v>
      </c>
      <c s="6" r="N117">
        <v>0</v>
      </c>
      <c s="6" r="O117">
        <v>0</v>
      </c>
      <c t="s" s="6" r="P117">
        <v>535</v>
      </c>
      <c t="s" s="6" r="Q117">
        <v>536</v>
      </c>
      <c t="s" s="6" r="R117">
        <v>1124</v>
      </c>
      <c t="s" s="6" r="S117">
        <v>1125</v>
      </c>
      <c t="s" s="6" r="T117">
        <v>90</v>
      </c>
      <c t="s" s="6" r="U117">
        <v>1126</v>
      </c>
      <c s="6" r="V117">
        <v>1</v>
      </c>
      <c s="6" r="W117">
        <v>1</v>
      </c>
      <c s="6" r="X117">
        <v>1</v>
      </c>
      <c s="6" r="Y117">
        <v>0</v>
      </c>
      <c s="6" r="Z117">
        <v>0</v>
      </c>
      <c t="s" s="6" r="AA117">
        <v>92</v>
      </c>
      <c t="s" s="6" r="AB117">
        <v>92</v>
      </c>
      <c s="6" r="AC117">
        <v>1</v>
      </c>
      <c t="s" s="6" r="AD117">
        <v>92</v>
      </c>
      <c t="s" s="6" r="AE117">
        <v>92</v>
      </c>
      <c t="s" s="6" r="AF117">
        <v>92</v>
      </c>
      <c t="s" s="6" r="AG117">
        <v>92</v>
      </c>
      <c t="s" s="6" r="AH117">
        <v>92</v>
      </c>
      <c t="s" s="6" r="AI117">
        <v>92</v>
      </c>
      <c t="s" s="6" r="AJ117">
        <v>92</v>
      </c>
      <c s="6" r="AK117">
        <v>1</v>
      </c>
      <c s="6" r="AL117">
        <v>1</v>
      </c>
      <c s="6" r="AM117">
        <v>1</v>
      </c>
      <c t="s" s="6" r="AN117">
        <v>92</v>
      </c>
      <c s="6" r="AP117">
        <v>1</v>
      </c>
      <c t="s" s="6" r="AR117">
        <v>1127</v>
      </c>
      <c s="6" r="AS117">
        <v>0</v>
      </c>
      <c s="6" r="AT117">
        <v>0</v>
      </c>
      <c s="6" r="AU117">
        <v>0</v>
      </c>
      <c s="6" r="AV117">
        <v>0</v>
      </c>
      <c s="6" r="AW117">
        <v>0</v>
      </c>
      <c s="6" r="AX117">
        <v>0</v>
      </c>
      <c s="6" r="AY117">
        <v>0</v>
      </c>
      <c s="6" r="AZ117">
        <v>0</v>
      </c>
      <c s="6" r="BA117">
        <v>0</v>
      </c>
      <c s="6" r="BB117">
        <v>0</v>
      </c>
      <c s="6" r="BC117">
        <v>0</v>
      </c>
      <c s="6" r="BD117">
        <v>1</v>
      </c>
      <c s="6" r="BE117">
        <v>0</v>
      </c>
      <c s="6" r="BF117">
        <v>0</v>
      </c>
      <c s="6" r="BG117">
        <v>0</v>
      </c>
      <c s="6" r="BH117">
        <v>0</v>
      </c>
      <c s="6" r="BI117">
        <v>0</v>
      </c>
      <c s="6" r="BJ117">
        <v>0</v>
      </c>
      <c s="6" r="BK117">
        <v>0</v>
      </c>
      <c s="6" r="BL117">
        <v>0</v>
      </c>
      <c s="6" r="BM117">
        <v>0</v>
      </c>
      <c s="6" r="BN117">
        <v>0</v>
      </c>
      <c s="6" r="BO117">
        <v>0</v>
      </c>
      <c s="6" r="BP117">
        <v>0</v>
      </c>
      <c s="6" r="BQ117">
        <v>0</v>
      </c>
      <c t="str" s="6" r="BR117">
        <f>HYPERLINK("http://www.d20pfsrd.com/magic/all-spells/c/curse-water","Curse Water")</f>
        <v>Curse Water</v>
      </c>
      <c s="6" r="BS117">
        <v>116</v>
      </c>
      <c s="6" r="BT117">
        <v>25</v>
      </c>
      <c t="s" s="6" r="BV117">
        <v>542</v>
      </c>
      <c s="6" r="BY117">
        <v>0</v>
      </c>
    </row>
    <row customHeight="1" r="118" ht="14.25">
      <c t="s" s="6" r="A118">
        <v>1128</v>
      </c>
      <c t="s" s="6" r="B118">
        <v>493</v>
      </c>
      <c t="s" s="6" r="D118">
        <v>62</v>
      </c>
      <c t="s" s="6" r="E118">
        <v>1129</v>
      </c>
      <c t="s" s="6" r="F118">
        <v>81</v>
      </c>
      <c t="s" s="6" r="G118">
        <v>106</v>
      </c>
      <c s="6" r="H118">
        <v>0</v>
      </c>
      <c t="s" s="6" r="I118">
        <v>97</v>
      </c>
      <c t="s" s="6" r="K118">
        <v>1130</v>
      </c>
      <c t="s" s="6" r="M118">
        <v>197</v>
      </c>
      <c s="6" r="N118">
        <v>1</v>
      </c>
      <c s="6" r="O118">
        <v>0</v>
      </c>
      <c t="s" s="6" r="P118">
        <v>86</v>
      </c>
      <c t="s" s="6" r="Q118">
        <v>87</v>
      </c>
      <c t="s" s="6" r="R118">
        <v>1131</v>
      </c>
      <c t="s" s="6" r="S118">
        <v>1132</v>
      </c>
      <c t="s" s="6" r="T118">
        <v>90</v>
      </c>
      <c t="s" s="6" r="U118">
        <v>1133</v>
      </c>
      <c s="6" r="V118">
        <v>1</v>
      </c>
      <c s="6" r="W118">
        <v>1</v>
      </c>
      <c s="6" r="X118">
        <v>0</v>
      </c>
      <c s="6" r="Y118">
        <v>0</v>
      </c>
      <c s="6" r="Z118">
        <v>0</v>
      </c>
      <c s="6" r="AA118">
        <v>0</v>
      </c>
      <c s="6" r="AB118">
        <v>0</v>
      </c>
      <c t="s" s="6" r="AC118">
        <v>92</v>
      </c>
      <c t="s" s="6" r="AD118">
        <v>92</v>
      </c>
      <c t="s" s="6" r="AE118">
        <v>92</v>
      </c>
      <c s="6" r="AF118">
        <v>0</v>
      </c>
      <c t="s" s="6" r="AG118">
        <v>92</v>
      </c>
      <c t="s" s="6" r="AH118">
        <v>92</v>
      </c>
      <c t="s" s="6" r="AI118">
        <v>92</v>
      </c>
      <c s="6" r="AJ118">
        <v>0</v>
      </c>
      <c t="s" s="6" r="AK118">
        <v>92</v>
      </c>
      <c t="s" s="6" r="AL118">
        <v>92</v>
      </c>
      <c t="s" s="6" r="AM118">
        <v>92</v>
      </c>
      <c s="6" r="AN118">
        <v>0</v>
      </c>
      <c s="6" r="AP118">
        <v>0</v>
      </c>
      <c t="s" s="6" r="AR118">
        <v>1134</v>
      </c>
      <c s="6" r="AS118">
        <v>0</v>
      </c>
      <c s="6" r="AT118">
        <v>0</v>
      </c>
      <c s="6" r="AU118">
        <v>0</v>
      </c>
      <c s="6" r="AV118">
        <v>0</v>
      </c>
      <c s="6" r="AW118">
        <v>0</v>
      </c>
      <c s="6" r="AX118">
        <v>0</v>
      </c>
      <c s="6" r="AY118">
        <v>0</v>
      </c>
      <c s="6" r="AZ118">
        <v>0</v>
      </c>
      <c s="6" r="BA118">
        <v>0</v>
      </c>
      <c s="6" r="BB118">
        <v>0</v>
      </c>
      <c s="6" r="BC118">
        <v>0</v>
      </c>
      <c s="6" r="BD118">
        <v>0</v>
      </c>
      <c s="6" r="BE118">
        <v>0</v>
      </c>
      <c s="6" r="BF118">
        <v>0</v>
      </c>
      <c s="6" r="BG118">
        <v>0</v>
      </c>
      <c s="6" r="BH118">
        <v>0</v>
      </c>
      <c s="6" r="BI118">
        <v>0</v>
      </c>
      <c s="6" r="BJ118">
        <v>0</v>
      </c>
      <c s="6" r="BK118">
        <v>1</v>
      </c>
      <c s="6" r="BL118">
        <v>0</v>
      </c>
      <c s="6" r="BM118">
        <v>0</v>
      </c>
      <c s="6" r="BN118">
        <v>0</v>
      </c>
      <c s="6" r="BO118">
        <v>0</v>
      </c>
      <c s="6" r="BP118">
        <v>0</v>
      </c>
      <c s="6" r="BQ118">
        <v>0</v>
      </c>
      <c t="str" s="6" r="BR118">
        <f>HYPERLINK("http://www.d20pfsrd.com/magic/all-spells/d/dancing-lights","Dancing Lights")</f>
        <v>Dancing Lights</v>
      </c>
      <c s="6" r="BS118">
        <v>117</v>
      </c>
      <c t="s" s="6" r="BT118">
        <v>92</v>
      </c>
      <c s="6" r="BY118">
        <v>0</v>
      </c>
    </row>
    <row customHeight="1" r="119" ht="14.25">
      <c t="s" s="6" r="A119">
        <v>565</v>
      </c>
      <c t="s" s="6" r="B119">
        <v>493</v>
      </c>
      <c t="s" s="6" r="D119">
        <v>49</v>
      </c>
      <c t="s" s="6" r="E119">
        <v>1135</v>
      </c>
      <c t="s" s="6" r="F119">
        <v>81</v>
      </c>
      <c t="s" s="6" r="G119">
        <v>1136</v>
      </c>
      <c s="6" r="H119">
        <v>0</v>
      </c>
      <c t="s" s="6" r="I119">
        <v>120</v>
      </c>
      <c t="s" s="6" r="L119">
        <v>1137</v>
      </c>
      <c t="s" s="6" r="M119">
        <v>496</v>
      </c>
      <c s="6" r="N119">
        <v>1</v>
      </c>
      <c s="6" r="O119">
        <v>0</v>
      </c>
      <c t="s" s="6" r="P119">
        <v>86</v>
      </c>
      <c t="s" s="6" r="Q119">
        <v>87</v>
      </c>
      <c t="s" s="6" r="R119">
        <v>1138</v>
      </c>
      <c t="s" s="6" r="S119">
        <v>1139</v>
      </c>
      <c t="s" s="6" r="T119">
        <v>90</v>
      </c>
      <c t="s" s="6" r="U119">
        <v>1140</v>
      </c>
      <c s="6" r="V119">
        <v>1</v>
      </c>
      <c s="6" r="W119">
        <v>0</v>
      </c>
      <c s="6" r="X119">
        <v>1</v>
      </c>
      <c s="6" r="Y119">
        <v>0</v>
      </c>
      <c s="6" r="Z119">
        <v>1</v>
      </c>
      <c s="6" r="AA119">
        <v>2</v>
      </c>
      <c s="6" r="AB119">
        <v>2</v>
      </c>
      <c s="6" r="AC119">
        <v>2</v>
      </c>
      <c t="s" s="6" r="AD119">
        <v>92</v>
      </c>
      <c t="s" s="6" r="AE119">
        <v>92</v>
      </c>
      <c s="6" r="AF119">
        <v>2</v>
      </c>
      <c t="s" s="6" r="AG119">
        <v>92</v>
      </c>
      <c t="s" s="6" r="AH119">
        <v>92</v>
      </c>
      <c t="s" s="6" r="AI119">
        <v>92</v>
      </c>
      <c t="s" s="6" r="AJ119">
        <v>92</v>
      </c>
      <c s="6" r="AK119">
        <v>2</v>
      </c>
      <c s="6" r="AL119">
        <v>2</v>
      </c>
      <c s="6" r="AM119">
        <v>2</v>
      </c>
      <c s="6" r="AN119">
        <v>2</v>
      </c>
      <c s="6" r="AP119">
        <v>2</v>
      </c>
      <c t="s" s="6" r="AR119">
        <v>1141</v>
      </c>
      <c s="6" r="AS119">
        <v>0</v>
      </c>
      <c s="6" r="AT119">
        <v>0</v>
      </c>
      <c s="6" r="AU119">
        <v>0</v>
      </c>
      <c s="6" r="AV119">
        <v>0</v>
      </c>
      <c s="6" r="AW119">
        <v>0</v>
      </c>
      <c s="6" r="AX119">
        <v>1</v>
      </c>
      <c s="6" r="AY119">
        <v>0</v>
      </c>
      <c s="6" r="AZ119">
        <v>0</v>
      </c>
      <c s="6" r="BA119">
        <v>0</v>
      </c>
      <c s="6" r="BB119">
        <v>0</v>
      </c>
      <c s="6" r="BC119">
        <v>0</v>
      </c>
      <c s="6" r="BD119">
        <v>0</v>
      </c>
      <c s="6" r="BE119">
        <v>0</v>
      </c>
      <c s="6" r="BF119">
        <v>0</v>
      </c>
      <c s="6" r="BG119">
        <v>0</v>
      </c>
      <c s="6" r="BH119">
        <v>0</v>
      </c>
      <c s="6" r="BI119">
        <v>0</v>
      </c>
      <c s="6" r="BJ119">
        <v>0</v>
      </c>
      <c s="6" r="BK119">
        <v>0</v>
      </c>
      <c s="6" r="BL119">
        <v>0</v>
      </c>
      <c s="6" r="BM119">
        <v>0</v>
      </c>
      <c s="6" r="BN119">
        <v>0</v>
      </c>
      <c s="6" r="BO119">
        <v>0</v>
      </c>
      <c s="6" r="BP119">
        <v>0</v>
      </c>
      <c s="6" r="BQ119">
        <v>0</v>
      </c>
      <c t="str" s="6" r="BR119">
        <f>HYPERLINK("http://www.d20pfsrd.com/magic/all-spells/d/darkness","Darkness")</f>
        <v>Darkness</v>
      </c>
      <c s="6" r="BS119">
        <v>118</v>
      </c>
      <c t="s" s="6" r="BT119">
        <v>92</v>
      </c>
      <c t="s" s="6" r="BV119">
        <v>1142</v>
      </c>
      <c t="s" s="6" r="BW119">
        <v>1143</v>
      </c>
      <c s="6" r="BY119">
        <v>1</v>
      </c>
    </row>
    <row customHeight="1" r="120" ht="14.25">
      <c t="s" s="6" r="A120">
        <v>1144</v>
      </c>
      <c t="s" s="6" r="B120">
        <v>131</v>
      </c>
      <c t="s" s="6" r="E120">
        <v>1145</v>
      </c>
      <c t="s" s="6" r="F120">
        <v>81</v>
      </c>
      <c t="s" s="6" r="G120">
        <v>1146</v>
      </c>
      <c s="6" r="H120">
        <v>0</v>
      </c>
      <c t="s" s="6" r="I120">
        <v>120</v>
      </c>
      <c t="s" s="6" r="L120">
        <v>420</v>
      </c>
      <c t="s" s="6" r="M120">
        <v>209</v>
      </c>
      <c s="6" r="N120">
        <v>0</v>
      </c>
      <c s="6" r="O120">
        <v>0</v>
      </c>
      <c t="s" s="6" r="P120">
        <v>421</v>
      </c>
      <c t="s" s="6" r="Q120">
        <v>123</v>
      </c>
      <c t="s" s="6" r="R120">
        <v>1147</v>
      </c>
      <c t="s" s="6" r="S120">
        <v>1148</v>
      </c>
      <c t="s" s="6" r="T120">
        <v>90</v>
      </c>
      <c t="s" s="6" r="U120">
        <v>1149</v>
      </c>
      <c s="6" r="V120">
        <v>1</v>
      </c>
      <c s="6" r="W120">
        <v>1</v>
      </c>
      <c s="6" r="X120">
        <v>1</v>
      </c>
      <c s="6" r="Y120">
        <v>0</v>
      </c>
      <c s="6" r="Z120">
        <v>0</v>
      </c>
      <c s="6" r="AA120">
        <v>2</v>
      </c>
      <c s="6" r="AB120">
        <v>2</v>
      </c>
      <c t="s" s="6" r="AC120">
        <v>92</v>
      </c>
      <c t="s" s="6" r="AD120">
        <v>92</v>
      </c>
      <c s="6" r="AE120">
        <v>3</v>
      </c>
      <c t="s" s="6" r="AF120">
        <v>92</v>
      </c>
      <c t="s" s="6" r="AG120">
        <v>92</v>
      </c>
      <c s="6" r="AH120">
        <v>2</v>
      </c>
      <c t="s" s="6" r="AI120">
        <v>92</v>
      </c>
      <c t="s" s="6" r="AJ120">
        <v>92</v>
      </c>
      <c t="s" s="6" r="AK120">
        <v>92</v>
      </c>
      <c t="s" s="6" r="AL120">
        <v>92</v>
      </c>
      <c s="6" r="AM120">
        <v>2</v>
      </c>
      <c t="s" s="6" r="AN120">
        <v>92</v>
      </c>
      <c s="6" r="AP120">
        <v>2</v>
      </c>
      <c t="s" s="6" r="AR120">
        <v>1150</v>
      </c>
      <c s="6" r="AS120">
        <v>0</v>
      </c>
      <c s="6" r="AT120">
        <v>0</v>
      </c>
      <c s="6" r="AU120">
        <v>0</v>
      </c>
      <c s="6" r="AV120">
        <v>0</v>
      </c>
      <c s="6" r="AW120">
        <v>0</v>
      </c>
      <c s="6" r="AX120">
        <v>0</v>
      </c>
      <c s="6" r="AY120">
        <v>0</v>
      </c>
      <c s="6" r="AZ120">
        <v>0</v>
      </c>
      <c s="6" r="BA120">
        <v>0</v>
      </c>
      <c s="6" r="BB120">
        <v>0</v>
      </c>
      <c s="6" r="BC120">
        <v>0</v>
      </c>
      <c s="6" r="BD120">
        <v>0</v>
      </c>
      <c s="6" r="BE120">
        <v>0</v>
      </c>
      <c s="6" r="BF120">
        <v>0</v>
      </c>
      <c s="6" r="BG120">
        <v>0</v>
      </c>
      <c s="6" r="BH120">
        <v>0</v>
      </c>
      <c s="6" r="BI120">
        <v>0</v>
      </c>
      <c s="6" r="BJ120">
        <v>0</v>
      </c>
      <c s="6" r="BK120">
        <v>0</v>
      </c>
      <c s="6" r="BL120">
        <v>0</v>
      </c>
      <c s="6" r="BM120">
        <v>0</v>
      </c>
      <c s="6" r="BN120">
        <v>0</v>
      </c>
      <c s="6" r="BO120">
        <v>0</v>
      </c>
      <c s="6" r="BP120">
        <v>0</v>
      </c>
      <c s="6" r="BQ120">
        <v>0</v>
      </c>
      <c t="str" s="6" r="BR120">
        <f>HYPERLINK("http://www.d20pfsrd.com/magic/all-spells/d/darkvision","Darkvision")</f>
        <v>Darkvision</v>
      </c>
      <c s="6" r="BS120">
        <v>119</v>
      </c>
      <c t="s" s="6" r="BT120">
        <v>92</v>
      </c>
      <c t="s" s="6" r="BU120">
        <v>1151</v>
      </c>
      <c t="s" s="6" r="BV120">
        <v>1152</v>
      </c>
      <c s="6" r="BY120">
        <v>0</v>
      </c>
    </row>
    <row customHeight="1" r="121" ht="14.25">
      <c t="s" s="6" r="A121">
        <v>1153</v>
      </c>
      <c t="s" s="6" r="B121">
        <v>493</v>
      </c>
      <c t="s" s="6" r="D121">
        <v>62</v>
      </c>
      <c t="s" s="6" r="E121">
        <v>1154</v>
      </c>
      <c t="s" s="6" r="F121">
        <v>81</v>
      </c>
      <c t="s" s="6" r="G121">
        <v>106</v>
      </c>
      <c s="6" r="H121">
        <v>0</v>
      </c>
      <c t="s" s="6" r="I121">
        <v>120</v>
      </c>
      <c t="s" s="6" r="L121">
        <v>1137</v>
      </c>
      <c t="s" s="6" r="M121">
        <v>283</v>
      </c>
      <c s="6" r="N121">
        <v>1</v>
      </c>
      <c s="6" r="O121">
        <v>0</v>
      </c>
      <c t="s" s="6" r="P121">
        <v>86</v>
      </c>
      <c t="s" s="6" r="Q121">
        <v>87</v>
      </c>
      <c t="s" s="6" r="R121">
        <v>1155</v>
      </c>
      <c t="s" s="6" r="S121">
        <v>1156</v>
      </c>
      <c t="s" s="6" r="T121">
        <v>90</v>
      </c>
      <c t="s" s="6" r="U121">
        <v>1157</v>
      </c>
      <c s="6" r="V121">
        <v>1</v>
      </c>
      <c s="6" r="W121">
        <v>1</v>
      </c>
      <c s="6" r="X121">
        <v>0</v>
      </c>
      <c s="6" r="Y121">
        <v>0</v>
      </c>
      <c s="6" r="Z121">
        <v>0</v>
      </c>
      <c s="6" r="AA121">
        <v>3</v>
      </c>
      <c s="6" r="AB121">
        <v>3</v>
      </c>
      <c s="6" r="AC121">
        <v>3</v>
      </c>
      <c s="6" r="AD121">
        <v>3</v>
      </c>
      <c t="s" s="6" r="AE121">
        <v>92</v>
      </c>
      <c s="6" r="AF121">
        <v>3</v>
      </c>
      <c s="6" r="AG121">
        <v>3</v>
      </c>
      <c t="s" s="6" r="AH121">
        <v>92</v>
      </c>
      <c t="s" s="6" r="AI121">
        <v>92</v>
      </c>
      <c t="s" s="6" r="AJ121">
        <v>92</v>
      </c>
      <c s="6" r="AK121">
        <v>3</v>
      </c>
      <c s="6" r="AL121">
        <v>3</v>
      </c>
      <c t="s" s="6" r="AM121">
        <v>92</v>
      </c>
      <c s="6" r="AN121">
        <v>3</v>
      </c>
      <c s="6" r="AP121">
        <v>3</v>
      </c>
      <c t="s" s="6" r="AQ121">
        <v>1158</v>
      </c>
      <c t="s" s="6" r="AR121">
        <v>1159</v>
      </c>
      <c s="6" r="AS121">
        <v>0</v>
      </c>
      <c s="6" r="AT121">
        <v>0</v>
      </c>
      <c s="6" r="AU121">
        <v>0</v>
      </c>
      <c s="6" r="AV121">
        <v>0</v>
      </c>
      <c s="6" r="AW121">
        <v>0</v>
      </c>
      <c s="6" r="AX121">
        <v>0</v>
      </c>
      <c s="6" r="AY121">
        <v>0</v>
      </c>
      <c s="6" r="AZ121">
        <v>0</v>
      </c>
      <c s="6" r="BA121">
        <v>0</v>
      </c>
      <c s="6" r="BB121">
        <v>0</v>
      </c>
      <c s="6" r="BC121">
        <v>0</v>
      </c>
      <c s="6" r="BD121">
        <v>0</v>
      </c>
      <c s="6" r="BE121">
        <v>0</v>
      </c>
      <c s="6" r="BF121">
        <v>0</v>
      </c>
      <c s="6" r="BG121">
        <v>0</v>
      </c>
      <c s="6" r="BH121">
        <v>0</v>
      </c>
      <c s="6" r="BI121">
        <v>0</v>
      </c>
      <c s="6" r="BJ121">
        <v>0</v>
      </c>
      <c s="6" r="BK121">
        <v>1</v>
      </c>
      <c s="6" r="BL121">
        <v>0</v>
      </c>
      <c s="6" r="BM121">
        <v>0</v>
      </c>
      <c s="6" r="BN121">
        <v>0</v>
      </c>
      <c s="6" r="BO121">
        <v>0</v>
      </c>
      <c s="6" r="BP121">
        <v>0</v>
      </c>
      <c s="6" r="BQ121">
        <v>0</v>
      </c>
      <c t="str" s="6" r="BR121">
        <f>HYPERLINK("http://www.d20pfsrd.com/magic/all-spells/d/daylight","Daylight")</f>
        <v>Daylight</v>
      </c>
      <c s="6" r="BS121">
        <v>120</v>
      </c>
      <c t="s" s="6" r="BT121">
        <v>92</v>
      </c>
      <c t="s" s="6" r="BV121">
        <v>966</v>
      </c>
      <c t="s" s="6" r="BW121">
        <v>1160</v>
      </c>
      <c s="6" r="BY121">
        <v>1</v>
      </c>
    </row>
    <row customHeight="1" r="122" ht="14.25">
      <c t="s" s="6" r="A122">
        <v>1161</v>
      </c>
      <c t="s" s="6" r="B122">
        <v>115</v>
      </c>
      <c t="s" s="6" r="C122">
        <v>116</v>
      </c>
      <c t="s" s="6" r="D122">
        <v>117</v>
      </c>
      <c t="s" s="6" r="E122">
        <v>1162</v>
      </c>
      <c t="s" s="6" r="F122">
        <v>81</v>
      </c>
      <c t="s" s="6" r="G122">
        <v>1163</v>
      </c>
      <c s="6" r="H122">
        <v>0</v>
      </c>
      <c t="s" s="6" r="I122">
        <v>107</v>
      </c>
      <c t="s" s="6" r="L122">
        <v>1164</v>
      </c>
      <c t="s" s="6" r="M122">
        <v>272</v>
      </c>
      <c s="6" r="N122">
        <v>0</v>
      </c>
      <c s="6" r="O122">
        <v>0</v>
      </c>
      <c t="s" s="6" r="P122">
        <v>221</v>
      </c>
      <c t="s" s="6" r="Q122">
        <v>188</v>
      </c>
      <c t="s" s="6" r="R122">
        <v>1165</v>
      </c>
      <c t="s" s="6" r="S122">
        <v>1166</v>
      </c>
      <c t="s" s="6" r="T122">
        <v>90</v>
      </c>
      <c t="s" s="6" r="U122">
        <v>1167</v>
      </c>
      <c s="6" r="V122">
        <v>1</v>
      </c>
      <c s="6" r="W122">
        <v>1</v>
      </c>
      <c s="6" r="X122">
        <v>1</v>
      </c>
      <c s="6" r="Y122">
        <v>0</v>
      </c>
      <c s="6" r="Z122">
        <v>0</v>
      </c>
      <c s="6" r="AA122">
        <v>0</v>
      </c>
      <c s="6" r="AB122">
        <v>0</v>
      </c>
      <c t="s" s="6" r="AC122">
        <v>92</v>
      </c>
      <c t="s" s="6" r="AD122">
        <v>92</v>
      </c>
      <c t="s" s="6" r="AE122">
        <v>92</v>
      </c>
      <c s="6" r="AF122">
        <v>0</v>
      </c>
      <c t="s" s="6" r="AG122">
        <v>92</v>
      </c>
      <c t="s" s="6" r="AH122">
        <v>92</v>
      </c>
      <c s="6" r="AI122">
        <v>0</v>
      </c>
      <c s="6" r="AJ122">
        <v>0</v>
      </c>
      <c s="6" r="AK122">
        <v>0</v>
      </c>
      <c t="s" s="6" r="AL122">
        <v>92</v>
      </c>
      <c t="s" s="6" r="AM122">
        <v>92</v>
      </c>
      <c s="6" r="AN122">
        <v>0</v>
      </c>
      <c s="6" r="AP122">
        <v>0</v>
      </c>
      <c t="s" s="6" r="AR122">
        <v>1168</v>
      </c>
      <c s="6" r="AS122">
        <v>0</v>
      </c>
      <c s="6" r="AT122">
        <v>0</v>
      </c>
      <c s="6" r="AU122">
        <v>0</v>
      </c>
      <c s="6" r="AV122">
        <v>0</v>
      </c>
      <c s="6" r="AW122">
        <v>0</v>
      </c>
      <c s="6" r="AX122">
        <v>0</v>
      </c>
      <c s="6" r="AY122">
        <v>0</v>
      </c>
      <c s="6" r="AZ122">
        <v>0</v>
      </c>
      <c s="6" r="BA122">
        <v>0</v>
      </c>
      <c s="6" r="BB122">
        <v>0</v>
      </c>
      <c s="6" r="BC122">
        <v>0</v>
      </c>
      <c s="6" r="BD122">
        <v>0</v>
      </c>
      <c s="6" r="BE122">
        <v>0</v>
      </c>
      <c s="6" r="BF122">
        <v>0</v>
      </c>
      <c s="6" r="BG122">
        <v>0</v>
      </c>
      <c s="6" r="BH122">
        <v>0</v>
      </c>
      <c s="6" r="BI122">
        <v>0</v>
      </c>
      <c s="6" r="BJ122">
        <v>0</v>
      </c>
      <c s="6" r="BK122">
        <v>0</v>
      </c>
      <c s="6" r="BL122">
        <v>1</v>
      </c>
      <c s="6" r="BM122">
        <v>0</v>
      </c>
      <c s="6" r="BN122">
        <v>0</v>
      </c>
      <c s="6" r="BO122">
        <v>0</v>
      </c>
      <c s="6" r="BP122">
        <v>0</v>
      </c>
      <c s="6" r="BQ122">
        <v>0</v>
      </c>
      <c t="str" s="6" r="BR122">
        <f>HYPERLINK("http://www.d20pfsrd.com/magic/all-spells/d/daze","Daze")</f>
        <v>Daze</v>
      </c>
      <c s="6" r="BS122">
        <v>121</v>
      </c>
      <c t="s" s="6" r="BT122">
        <v>92</v>
      </c>
      <c s="6" r="BY122">
        <v>0</v>
      </c>
    </row>
    <row customHeight="1" r="123" ht="14.25">
      <c t="s" s="6" r="A123">
        <v>1169</v>
      </c>
      <c t="s" s="6" r="B123">
        <v>115</v>
      </c>
      <c t="s" s="6" r="C123">
        <v>116</v>
      </c>
      <c t="s" s="6" r="D123">
        <v>117</v>
      </c>
      <c t="s" s="6" r="E123">
        <v>1170</v>
      </c>
      <c t="s" s="6" r="F123">
        <v>81</v>
      </c>
      <c t="s" s="6" r="G123">
        <v>1163</v>
      </c>
      <c s="6" r="H123">
        <v>0</v>
      </c>
      <c t="s" s="6" r="I123">
        <v>97</v>
      </c>
      <c t="s" s="6" r="L123">
        <v>1171</v>
      </c>
      <c t="s" s="6" r="M123">
        <v>272</v>
      </c>
      <c s="6" r="N123">
        <v>0</v>
      </c>
      <c s="6" r="O123">
        <v>0</v>
      </c>
      <c t="s" s="6" r="P123">
        <v>221</v>
      </c>
      <c t="s" s="6" r="Q123">
        <v>188</v>
      </c>
      <c t="s" s="6" r="R123">
        <v>1172</v>
      </c>
      <c t="s" s="6" r="S123">
        <v>1173</v>
      </c>
      <c t="s" s="6" r="T123">
        <v>90</v>
      </c>
      <c t="s" s="6" r="U123">
        <v>1174</v>
      </c>
      <c s="6" r="V123">
        <v>1</v>
      </c>
      <c s="6" r="W123">
        <v>1</v>
      </c>
      <c s="6" r="X123">
        <v>1</v>
      </c>
      <c s="6" r="Y123">
        <v>0</v>
      </c>
      <c s="6" r="Z123">
        <v>0</v>
      </c>
      <c s="6" r="AA123">
        <v>2</v>
      </c>
      <c s="6" r="AB123">
        <v>2</v>
      </c>
      <c t="s" s="6" r="AC123">
        <v>92</v>
      </c>
      <c t="s" s="6" r="AD123">
        <v>92</v>
      </c>
      <c t="s" s="6" r="AE123">
        <v>92</v>
      </c>
      <c s="6" r="AF123">
        <v>2</v>
      </c>
      <c t="s" s="6" r="AG123">
        <v>92</v>
      </c>
      <c t="s" s="6" r="AH123">
        <v>92</v>
      </c>
      <c s="6" r="AI123">
        <v>1</v>
      </c>
      <c s="6" r="AJ123">
        <v>2</v>
      </c>
      <c t="s" s="6" r="AK123">
        <v>92</v>
      </c>
      <c t="s" s="6" r="AL123">
        <v>92</v>
      </c>
      <c t="s" s="6" r="AM123">
        <v>92</v>
      </c>
      <c t="s" s="6" r="AN123">
        <v>92</v>
      </c>
      <c s="6" r="AP123">
        <v>2</v>
      </c>
      <c t="s" s="6" r="AR123">
        <v>1175</v>
      </c>
      <c s="6" r="AS123">
        <v>0</v>
      </c>
      <c s="6" r="AT123">
        <v>0</v>
      </c>
      <c s="6" r="AU123">
        <v>0</v>
      </c>
      <c s="6" r="AV123">
        <v>0</v>
      </c>
      <c s="6" r="AW123">
        <v>0</v>
      </c>
      <c s="6" r="AX123">
        <v>0</v>
      </c>
      <c s="6" r="AY123">
        <v>0</v>
      </c>
      <c s="6" r="AZ123">
        <v>0</v>
      </c>
      <c s="6" r="BA123">
        <v>0</v>
      </c>
      <c s="6" r="BB123">
        <v>0</v>
      </c>
      <c s="6" r="BC123">
        <v>0</v>
      </c>
      <c s="6" r="BD123">
        <v>0</v>
      </c>
      <c s="6" r="BE123">
        <v>0</v>
      </c>
      <c s="6" r="BF123">
        <v>0</v>
      </c>
      <c s="6" r="BG123">
        <v>0</v>
      </c>
      <c s="6" r="BH123">
        <v>0</v>
      </c>
      <c s="6" r="BI123">
        <v>0</v>
      </c>
      <c s="6" r="BJ123">
        <v>0</v>
      </c>
      <c s="6" r="BK123">
        <v>0</v>
      </c>
      <c s="6" r="BL123">
        <v>1</v>
      </c>
      <c s="6" r="BM123">
        <v>0</v>
      </c>
      <c s="6" r="BN123">
        <v>0</v>
      </c>
      <c s="6" r="BO123">
        <v>0</v>
      </c>
      <c s="6" r="BP123">
        <v>0</v>
      </c>
      <c s="6" r="BQ123">
        <v>0</v>
      </c>
      <c t="str" s="6" r="BR123">
        <f>HYPERLINK("http://www.d20pfsrd.com/magic/all-spells/d/daze-monster","Daze Monster")</f>
        <v>Daze Monster</v>
      </c>
      <c s="6" r="BS123">
        <v>122</v>
      </c>
      <c t="s" s="6" r="BT123">
        <v>92</v>
      </c>
      <c s="6" r="BY123">
        <v>0</v>
      </c>
    </row>
    <row customHeight="1" r="124" ht="14.25">
      <c t="s" s="6" r="A124">
        <v>1176</v>
      </c>
      <c t="s" s="6" r="B124">
        <v>227</v>
      </c>
      <c t="s" s="6" r="D124">
        <v>1177</v>
      </c>
      <c t="s" s="6" r="E124">
        <v>1178</v>
      </c>
      <c t="s" s="6" r="F124">
        <v>81</v>
      </c>
      <c t="s" s="6" r="G124">
        <v>106</v>
      </c>
      <c s="6" r="H124">
        <v>0</v>
      </c>
      <c t="s" s="6" r="I124">
        <v>120</v>
      </c>
      <c t="s" s="6" r="L124">
        <v>121</v>
      </c>
      <c t="s" s="6" r="M124">
        <v>1179</v>
      </c>
      <c s="6" r="N124">
        <v>0</v>
      </c>
      <c s="6" r="O124">
        <v>0</v>
      </c>
      <c t="s" s="6" r="P124">
        <v>221</v>
      </c>
      <c t="s" s="6" r="Q124">
        <v>188</v>
      </c>
      <c t="s" s="6" r="R124">
        <v>1180</v>
      </c>
      <c t="s" s="6" r="S124">
        <v>1181</v>
      </c>
      <c t="s" s="6" r="T124">
        <v>90</v>
      </c>
      <c t="s" s="6" r="U124">
        <v>1182</v>
      </c>
      <c s="6" r="V124">
        <v>1</v>
      </c>
      <c s="6" r="W124">
        <v>1</v>
      </c>
      <c s="6" r="X124">
        <v>0</v>
      </c>
      <c s="6" r="Y124">
        <v>0</v>
      </c>
      <c s="6" r="Z124">
        <v>0</v>
      </c>
      <c t="s" s="6" r="AA124">
        <v>92</v>
      </c>
      <c t="s" s="6" r="AB124">
        <v>92</v>
      </c>
      <c s="6" r="AC124">
        <v>2</v>
      </c>
      <c t="s" s="6" r="AD124">
        <v>92</v>
      </c>
      <c t="s" s="6" r="AE124">
        <v>92</v>
      </c>
      <c t="s" s="6" r="AF124">
        <v>92</v>
      </c>
      <c t="s" s="6" r="AG124">
        <v>92</v>
      </c>
      <c t="s" s="6" r="AH124">
        <v>92</v>
      </c>
      <c t="s" s="6" r="AI124">
        <v>92</v>
      </c>
      <c s="6" r="AJ124">
        <v>2</v>
      </c>
      <c s="6" r="AK124">
        <v>2</v>
      </c>
      <c s="6" r="AL124">
        <v>2</v>
      </c>
      <c s="6" r="AM124">
        <v>1</v>
      </c>
      <c t="s" s="6" r="AN124">
        <v>92</v>
      </c>
      <c s="6" r="AP124">
        <v>2</v>
      </c>
      <c t="s" s="6" r="AQ124">
        <v>783</v>
      </c>
      <c t="s" s="6" r="AR124">
        <v>1183</v>
      </c>
      <c s="6" r="AS124">
        <v>0</v>
      </c>
      <c s="6" r="AT124">
        <v>0</v>
      </c>
      <c s="6" r="AU124">
        <v>0</v>
      </c>
      <c s="6" r="AV124">
        <v>0</v>
      </c>
      <c s="6" r="AW124">
        <v>0</v>
      </c>
      <c s="6" r="AX124">
        <v>1</v>
      </c>
      <c s="6" r="AY124">
        <v>0</v>
      </c>
      <c s="6" r="AZ124">
        <v>0</v>
      </c>
      <c s="6" r="BA124">
        <v>0</v>
      </c>
      <c s="6" r="BB124">
        <v>0</v>
      </c>
      <c s="6" r="BC124">
        <v>0</v>
      </c>
      <c s="6" r="BD124">
        <v>1</v>
      </c>
      <c s="6" r="BE124">
        <v>0</v>
      </c>
      <c s="6" r="BF124">
        <v>0</v>
      </c>
      <c s="6" r="BG124">
        <v>0</v>
      </c>
      <c s="6" r="BH124">
        <v>0</v>
      </c>
      <c s="6" r="BI124">
        <v>0</v>
      </c>
      <c s="6" r="BJ124">
        <v>0</v>
      </c>
      <c s="6" r="BK124">
        <v>0</v>
      </c>
      <c s="6" r="BL124">
        <v>0</v>
      </c>
      <c s="6" r="BM124">
        <v>0</v>
      </c>
      <c s="6" r="BN124">
        <v>0</v>
      </c>
      <c s="6" r="BO124">
        <v>0</v>
      </c>
      <c s="6" r="BP124">
        <v>0</v>
      </c>
      <c s="6" r="BQ124">
        <v>0</v>
      </c>
      <c t="str" s="6" r="BR124">
        <f>HYPERLINK("http://www.d20pfsrd.com/magic/all-spells/d/death-knell","Death Knell")</f>
        <v>Death Knell</v>
      </c>
      <c s="6" r="BS124">
        <v>123</v>
      </c>
      <c t="s" s="6" r="BT124">
        <v>92</v>
      </c>
      <c t="s" s="6" r="BW124">
        <v>1184</v>
      </c>
      <c t="s" s="6" r="BX124">
        <v>1185</v>
      </c>
      <c s="6" r="BY124">
        <v>1</v>
      </c>
    </row>
    <row customHeight="1" r="125" ht="14.25">
      <c t="s" s="6" r="A125">
        <v>1186</v>
      </c>
      <c t="s" s="6" r="B125">
        <v>227</v>
      </c>
      <c t="s" s="6" r="E125">
        <v>1187</v>
      </c>
      <c t="s" s="6" r="F125">
        <v>81</v>
      </c>
      <c t="s" s="6" r="G125">
        <v>119</v>
      </c>
      <c s="6" r="H125">
        <v>0</v>
      </c>
      <c t="s" s="6" r="I125">
        <v>120</v>
      </c>
      <c t="s" s="6" r="L125">
        <v>121</v>
      </c>
      <c t="s" s="6" r="M125">
        <v>122</v>
      </c>
      <c s="6" r="N125">
        <v>0</v>
      </c>
      <c s="6" r="O125">
        <v>0</v>
      </c>
      <c t="s" s="6" r="P125">
        <v>421</v>
      </c>
      <c t="s" s="6" r="Q125">
        <v>123</v>
      </c>
      <c t="s" s="6" r="R125">
        <v>1188</v>
      </c>
      <c t="s" s="6" r="S125">
        <v>1189</v>
      </c>
      <c t="s" s="6" r="T125">
        <v>90</v>
      </c>
      <c t="s" s="6" r="U125">
        <v>1190</v>
      </c>
      <c s="6" r="V125">
        <v>1</v>
      </c>
      <c s="6" r="W125">
        <v>1</v>
      </c>
      <c s="6" r="X125">
        <v>0</v>
      </c>
      <c s="6" r="Y125">
        <v>0</v>
      </c>
      <c s="6" r="Z125">
        <v>1</v>
      </c>
      <c t="s" s="6" r="AA125">
        <v>92</v>
      </c>
      <c t="s" s="6" r="AB125">
        <v>92</v>
      </c>
      <c s="6" r="AC125">
        <v>4</v>
      </c>
      <c s="6" r="AD125">
        <v>5</v>
      </c>
      <c t="s" s="6" r="AE125">
        <v>92</v>
      </c>
      <c t="s" s="6" r="AF125">
        <v>92</v>
      </c>
      <c s="6" r="AG125">
        <v>4</v>
      </c>
      <c s="6" r="AH125">
        <v>4</v>
      </c>
      <c t="s" s="6" r="AI125">
        <v>92</v>
      </c>
      <c s="6" r="AJ125">
        <v>4</v>
      </c>
      <c s="6" r="AK125">
        <v>4</v>
      </c>
      <c s="6" r="AL125">
        <v>4</v>
      </c>
      <c t="s" s="6" r="AM125">
        <v>92</v>
      </c>
      <c t="s" s="6" r="AN125">
        <v>92</v>
      </c>
      <c s="6" r="AP125">
        <v>4</v>
      </c>
      <c t="s" s="6" r="AQ125">
        <v>1191</v>
      </c>
      <c t="s" s="6" r="AR125">
        <v>1192</v>
      </c>
      <c s="6" r="AS125">
        <v>0</v>
      </c>
      <c s="6" r="AT125">
        <v>0</v>
      </c>
      <c s="6" r="AU125">
        <v>0</v>
      </c>
      <c s="6" r="AV125">
        <v>0</v>
      </c>
      <c s="6" r="AW125">
        <v>0</v>
      </c>
      <c s="6" r="AX125">
        <v>0</v>
      </c>
      <c s="6" r="AY125">
        <v>0</v>
      </c>
      <c s="6" r="AZ125">
        <v>0</v>
      </c>
      <c s="6" r="BA125">
        <v>0</v>
      </c>
      <c s="6" r="BB125">
        <v>0</v>
      </c>
      <c s="6" r="BC125">
        <v>0</v>
      </c>
      <c s="6" r="BD125">
        <v>0</v>
      </c>
      <c s="6" r="BE125">
        <v>0</v>
      </c>
      <c s="6" r="BF125">
        <v>0</v>
      </c>
      <c s="6" r="BG125">
        <v>0</v>
      </c>
      <c s="6" r="BH125">
        <v>0</v>
      </c>
      <c s="6" r="BI125">
        <v>0</v>
      </c>
      <c s="6" r="BJ125">
        <v>0</v>
      </c>
      <c s="6" r="BK125">
        <v>0</v>
      </c>
      <c s="6" r="BL125">
        <v>0</v>
      </c>
      <c s="6" r="BM125">
        <v>0</v>
      </c>
      <c s="6" r="BN125">
        <v>0</v>
      </c>
      <c s="6" r="BO125">
        <v>0</v>
      </c>
      <c s="6" r="BP125">
        <v>0</v>
      </c>
      <c s="6" r="BQ125">
        <v>0</v>
      </c>
      <c t="str" s="6" r="BR125">
        <f>HYPERLINK("http://www.d20pfsrd.com/magic/all-spells/d/death-ward","Death Ward")</f>
        <v>Death Ward</v>
      </c>
      <c s="6" r="BS125">
        <v>124</v>
      </c>
      <c t="s" s="6" r="BT125">
        <v>92</v>
      </c>
      <c s="6" r="BY125">
        <v>0</v>
      </c>
    </row>
    <row customHeight="1" r="126" ht="14.25">
      <c t="s" s="6" r="A126">
        <v>1193</v>
      </c>
      <c t="s" s="6" r="B126">
        <v>227</v>
      </c>
      <c t="s" s="6" r="E126">
        <v>1194</v>
      </c>
      <c t="s" s="6" r="F126">
        <v>81</v>
      </c>
      <c t="s" s="6" r="G126">
        <v>106</v>
      </c>
      <c s="6" r="H126">
        <v>0</v>
      </c>
      <c t="s" s="6" r="I126">
        <v>1052</v>
      </c>
      <c t="s" s="6" r="J126">
        <v>1195</v>
      </c>
      <c t="s" s="6" r="M126">
        <v>134</v>
      </c>
      <c s="6" r="N126">
        <v>0</v>
      </c>
      <c s="6" r="O126">
        <v>0</v>
      </c>
      <c t="s" s="6" r="P126">
        <v>86</v>
      </c>
      <c t="s" s="6" r="Q126">
        <v>87</v>
      </c>
      <c t="s" s="6" r="R126">
        <v>1196</v>
      </c>
      <c t="s" s="6" r="S126">
        <v>1197</v>
      </c>
      <c t="s" s="6" r="T126">
        <v>90</v>
      </c>
      <c t="s" s="6" r="U126">
        <v>1198</v>
      </c>
      <c s="6" r="V126">
        <v>1</v>
      </c>
      <c s="6" r="W126">
        <v>1</v>
      </c>
      <c s="6" r="X126">
        <v>0</v>
      </c>
      <c s="6" r="Y126">
        <v>0</v>
      </c>
      <c s="6" r="Z126">
        <v>0</v>
      </c>
      <c t="s" s="6" r="AA126">
        <v>92</v>
      </c>
      <c t="s" s="6" r="AB126">
        <v>92</v>
      </c>
      <c s="6" r="AC126">
        <v>1</v>
      </c>
      <c t="s" s="6" r="AD126">
        <v>92</v>
      </c>
      <c t="s" s="6" r="AE126">
        <v>92</v>
      </c>
      <c t="s" s="6" r="AF126">
        <v>92</v>
      </c>
      <c t="s" s="6" r="AG126">
        <v>92</v>
      </c>
      <c t="s" s="6" r="AH126">
        <v>92</v>
      </c>
      <c t="s" s="6" r="AI126">
        <v>92</v>
      </c>
      <c t="s" s="6" r="AJ126">
        <v>92</v>
      </c>
      <c t="s" s="6" r="AK126">
        <v>92</v>
      </c>
      <c s="6" r="AL126">
        <v>1</v>
      </c>
      <c t="s" s="6" r="AM126">
        <v>92</v>
      </c>
      <c t="s" s="6" r="AN126">
        <v>92</v>
      </c>
      <c s="6" r="AP126">
        <v>1</v>
      </c>
      <c t="s" s="6" r="AQ126">
        <v>1199</v>
      </c>
      <c t="s" s="6" r="AR126">
        <v>1200</v>
      </c>
      <c s="6" r="AS126">
        <v>0</v>
      </c>
      <c s="6" r="AT126">
        <v>0</v>
      </c>
      <c s="6" r="AU126">
        <v>0</v>
      </c>
      <c s="6" r="AV126">
        <v>0</v>
      </c>
      <c s="6" r="AW126">
        <v>0</v>
      </c>
      <c s="6" r="AX126">
        <v>0</v>
      </c>
      <c s="6" r="AY126">
        <v>0</v>
      </c>
      <c s="6" r="AZ126">
        <v>0</v>
      </c>
      <c s="6" r="BA126">
        <v>0</v>
      </c>
      <c s="6" r="BB126">
        <v>0</v>
      </c>
      <c s="6" r="BC126">
        <v>0</v>
      </c>
      <c s="6" r="BD126">
        <v>0</v>
      </c>
      <c s="6" r="BE126">
        <v>0</v>
      </c>
      <c s="6" r="BF126">
        <v>0</v>
      </c>
      <c s="6" r="BG126">
        <v>0</v>
      </c>
      <c s="6" r="BH126">
        <v>0</v>
      </c>
      <c s="6" r="BI126">
        <v>0</v>
      </c>
      <c s="6" r="BJ126">
        <v>0</v>
      </c>
      <c s="6" r="BK126">
        <v>0</v>
      </c>
      <c s="6" r="BL126">
        <v>0</v>
      </c>
      <c s="6" r="BM126">
        <v>0</v>
      </c>
      <c s="6" r="BN126">
        <v>0</v>
      </c>
      <c s="6" r="BO126">
        <v>0</v>
      </c>
      <c s="6" r="BP126">
        <v>0</v>
      </c>
      <c s="6" r="BQ126">
        <v>0</v>
      </c>
      <c t="str" s="6" r="BR126">
        <f>HYPERLINK("http://www.d20pfsrd.com/magic/all-spells/d/deathwatch","Deathwatch")</f>
        <v>Deathwatch</v>
      </c>
      <c s="6" r="BS126">
        <v>125</v>
      </c>
      <c t="s" s="6" r="BT126">
        <v>92</v>
      </c>
      <c t="s" s="6" r="BV126">
        <v>783</v>
      </c>
      <c s="6" r="BY126">
        <v>0</v>
      </c>
    </row>
    <row customHeight="1" r="127" ht="14.25">
      <c t="s" s="6" r="A127">
        <v>1201</v>
      </c>
      <c t="s" s="6" r="B127">
        <v>493</v>
      </c>
      <c t="s" s="6" r="D127">
        <v>49</v>
      </c>
      <c t="s" s="6" r="E127">
        <v>1011</v>
      </c>
      <c t="s" s="6" r="F127">
        <v>81</v>
      </c>
      <c t="s" s="6" r="G127">
        <v>1136</v>
      </c>
      <c s="6" r="H127">
        <v>0</v>
      </c>
      <c t="s" s="6" r="I127">
        <v>120</v>
      </c>
      <c t="s" s="6" r="L127">
        <v>1137</v>
      </c>
      <c t="s" s="6" r="M127">
        <v>283</v>
      </c>
      <c s="6" r="N127">
        <v>1</v>
      </c>
      <c s="6" r="O127">
        <v>0</v>
      </c>
      <c t="s" s="6" r="P127">
        <v>86</v>
      </c>
      <c t="s" s="6" r="Q127">
        <v>87</v>
      </c>
      <c t="s" s="6" r="R127">
        <v>1202</v>
      </c>
      <c t="s" s="6" r="S127">
        <v>1203</v>
      </c>
      <c t="s" s="6" r="T127">
        <v>90</v>
      </c>
      <c t="s" s="6" r="U127">
        <v>1204</v>
      </c>
      <c s="6" r="V127">
        <v>1</v>
      </c>
      <c s="6" r="W127">
        <v>0</v>
      </c>
      <c s="6" r="X127">
        <v>1</v>
      </c>
      <c s="6" r="Y127">
        <v>0</v>
      </c>
      <c s="6" r="Z127">
        <v>1</v>
      </c>
      <c t="s" s="6" r="AA127">
        <v>92</v>
      </c>
      <c t="s" s="6" r="AB127">
        <v>92</v>
      </c>
      <c s="6" r="AC127">
        <v>3</v>
      </c>
      <c t="s" s="6" r="AD127">
        <v>92</v>
      </c>
      <c t="s" s="6" r="AE127">
        <v>92</v>
      </c>
      <c t="s" s="6" r="AF127">
        <v>92</v>
      </c>
      <c t="s" s="6" r="AG127">
        <v>92</v>
      </c>
      <c t="s" s="6" r="AH127">
        <v>92</v>
      </c>
      <c t="s" s="6" r="AI127">
        <v>92</v>
      </c>
      <c t="s" s="6" r="AJ127">
        <v>92</v>
      </c>
      <c t="s" s="6" r="AK127">
        <v>92</v>
      </c>
      <c s="6" r="AL127">
        <v>3</v>
      </c>
      <c t="s" s="6" r="AM127">
        <v>92</v>
      </c>
      <c t="s" s="6" r="AN127">
        <v>92</v>
      </c>
      <c s="6" r="AP127">
        <v>3</v>
      </c>
      <c t="s" s="6" r="AQ127">
        <v>565</v>
      </c>
      <c t="s" s="6" r="AR127">
        <v>1205</v>
      </c>
      <c s="6" r="AS127">
        <v>0</v>
      </c>
      <c s="6" r="AT127">
        <v>0</v>
      </c>
      <c s="6" r="AU127">
        <v>0</v>
      </c>
      <c s="6" r="AV127">
        <v>0</v>
      </c>
      <c s="6" r="AW127">
        <v>0</v>
      </c>
      <c s="6" r="AX127">
        <v>1</v>
      </c>
      <c s="6" r="AY127">
        <v>0</v>
      </c>
      <c s="6" r="AZ127">
        <v>0</v>
      </c>
      <c s="6" r="BA127">
        <v>0</v>
      </c>
      <c s="6" r="BB127">
        <v>0</v>
      </c>
      <c s="6" r="BC127">
        <v>0</v>
      </c>
      <c s="6" r="BD127">
        <v>0</v>
      </c>
      <c s="6" r="BE127">
        <v>0</v>
      </c>
      <c s="6" r="BF127">
        <v>0</v>
      </c>
      <c s="6" r="BG127">
        <v>0</v>
      </c>
      <c s="6" r="BH127">
        <v>0</v>
      </c>
      <c s="6" r="BI127">
        <v>0</v>
      </c>
      <c s="6" r="BJ127">
        <v>0</v>
      </c>
      <c s="6" r="BK127">
        <v>0</v>
      </c>
      <c s="6" r="BL127">
        <v>0</v>
      </c>
      <c s="6" r="BM127">
        <v>0</v>
      </c>
      <c s="6" r="BN127">
        <v>0</v>
      </c>
      <c s="6" r="BO127">
        <v>0</v>
      </c>
      <c s="6" r="BP127">
        <v>0</v>
      </c>
      <c s="6" r="BQ127">
        <v>0</v>
      </c>
      <c t="str" s="6" r="BR127">
        <f>HYPERLINK("http://www.d20pfsrd.com/magic/all-spells/d/deeper-darkness","Deeper Darkness")</f>
        <v>Deeper Darkness</v>
      </c>
      <c s="6" r="BS127">
        <v>126</v>
      </c>
      <c t="s" s="6" r="BT127">
        <v>92</v>
      </c>
      <c t="s" s="6" r="BU127">
        <v>1206</v>
      </c>
      <c t="s" s="6" r="BV127">
        <v>1206</v>
      </c>
      <c s="6" r="BY127">
        <v>0</v>
      </c>
    </row>
    <row customHeight="1" r="128" ht="14.25">
      <c t="s" s="6" r="A128">
        <v>1207</v>
      </c>
      <c t="s" s="6" r="B128">
        <v>115</v>
      </c>
      <c t="s" s="6" r="C128">
        <v>116</v>
      </c>
      <c t="s" s="6" r="D128">
        <v>117</v>
      </c>
      <c t="s" s="6" r="E128">
        <v>787</v>
      </c>
      <c t="s" s="6" r="F128">
        <v>272</v>
      </c>
      <c t="s" s="6" r="G128">
        <v>1208</v>
      </c>
      <c s="6" r="H128">
        <v>0</v>
      </c>
      <c t="s" s="6" r="I128">
        <v>107</v>
      </c>
      <c t="s" s="6" r="J128">
        <v>1209</v>
      </c>
      <c t="s" s="6" r="M128">
        <v>122</v>
      </c>
      <c s="6" r="N128">
        <v>0</v>
      </c>
      <c s="6" r="O128">
        <v>0</v>
      </c>
      <c t="s" s="6" r="P128">
        <v>221</v>
      </c>
      <c t="s" s="6" r="Q128">
        <v>188</v>
      </c>
      <c t="s" s="6" r="R128">
        <v>1210</v>
      </c>
      <c t="s" s="6" r="S128">
        <v>1211</v>
      </c>
      <c t="s" s="6" r="T128">
        <v>90</v>
      </c>
      <c t="s" s="6" r="U128">
        <v>1212</v>
      </c>
      <c s="6" r="V128">
        <v>1</v>
      </c>
      <c s="6" r="W128">
        <v>1</v>
      </c>
      <c s="6" r="X128">
        <v>1</v>
      </c>
      <c s="6" r="Y128">
        <v>0</v>
      </c>
      <c s="6" r="Z128">
        <v>0</v>
      </c>
      <c s="6" r="AA128">
        <v>3</v>
      </c>
      <c s="6" r="AB128">
        <v>3</v>
      </c>
      <c t="s" s="6" r="AC128">
        <v>92</v>
      </c>
      <c t="s" s="6" r="AD128">
        <v>92</v>
      </c>
      <c t="s" s="6" r="AE128">
        <v>92</v>
      </c>
      <c s="6" r="AF128">
        <v>3</v>
      </c>
      <c t="s" s="6" r="AG128">
        <v>92</v>
      </c>
      <c t="s" s="6" r="AH128">
        <v>92</v>
      </c>
      <c t="s" s="6" r="AI128">
        <v>92</v>
      </c>
      <c s="6" r="AJ128">
        <v>3</v>
      </c>
      <c t="s" s="6" r="AK128">
        <v>92</v>
      </c>
      <c t="s" s="6" r="AL128">
        <v>92</v>
      </c>
      <c t="s" s="6" r="AM128">
        <v>92</v>
      </c>
      <c t="s" s="6" r="AN128">
        <v>92</v>
      </c>
      <c s="6" r="AP128">
        <v>3</v>
      </c>
      <c t="s" s="6" r="AR128">
        <v>1213</v>
      </c>
      <c s="6" r="AS128">
        <v>0</v>
      </c>
      <c s="6" r="AT128">
        <v>0</v>
      </c>
      <c s="6" r="AU128">
        <v>0</v>
      </c>
      <c s="6" r="AV128">
        <v>0</v>
      </c>
      <c s="6" r="AW128">
        <v>0</v>
      </c>
      <c s="6" r="AX128">
        <v>0</v>
      </c>
      <c s="6" r="AY128">
        <v>0</v>
      </c>
      <c s="6" r="AZ128">
        <v>0</v>
      </c>
      <c s="6" r="BA128">
        <v>0</v>
      </c>
      <c s="6" r="BB128">
        <v>0</v>
      </c>
      <c s="6" r="BC128">
        <v>0</v>
      </c>
      <c s="6" r="BD128">
        <v>0</v>
      </c>
      <c s="6" r="BE128">
        <v>0</v>
      </c>
      <c s="6" r="BF128">
        <v>0</v>
      </c>
      <c s="6" r="BG128">
        <v>0</v>
      </c>
      <c s="6" r="BH128">
        <v>0</v>
      </c>
      <c s="6" r="BI128">
        <v>0</v>
      </c>
      <c s="6" r="BJ128">
        <v>0</v>
      </c>
      <c s="6" r="BK128">
        <v>0</v>
      </c>
      <c s="6" r="BL128">
        <v>1</v>
      </c>
      <c s="6" r="BM128">
        <v>0</v>
      </c>
      <c s="6" r="BN128">
        <v>0</v>
      </c>
      <c s="6" r="BO128">
        <v>0</v>
      </c>
      <c s="6" r="BP128">
        <v>0</v>
      </c>
      <c s="6" r="BQ128">
        <v>0</v>
      </c>
      <c t="str" s="6" r="BR128">
        <f>HYPERLINK("http://www.d20pfsrd.com/magic/all-spells/d/deep-slumber","Deep Slumber")</f>
        <v>Deep Slumber</v>
      </c>
      <c s="6" r="BS128">
        <v>127</v>
      </c>
      <c t="s" s="6" r="BT128">
        <v>92</v>
      </c>
      <c t="s" s="6" r="BU128">
        <v>1214</v>
      </c>
      <c t="s" s="6" r="BW128">
        <v>1215</v>
      </c>
      <c t="s" s="6" r="BX128">
        <v>1216</v>
      </c>
      <c s="6" r="BY128">
        <v>1</v>
      </c>
    </row>
    <row customHeight="1" r="129" ht="14.25">
      <c t="s" s="6" r="A129">
        <v>1217</v>
      </c>
      <c t="s" s="6" r="B129">
        <v>493</v>
      </c>
      <c t="s" s="6" r="D129">
        <v>57</v>
      </c>
      <c t="s" s="6" r="E129">
        <v>973</v>
      </c>
      <c t="s" s="6" r="F129">
        <v>81</v>
      </c>
      <c t="s" s="6" r="G129">
        <v>1218</v>
      </c>
      <c s="6" r="H129">
        <v>0</v>
      </c>
      <c t="s" s="6" r="I129">
        <v>83</v>
      </c>
      <c t="s" s="6" r="J129">
        <v>482</v>
      </c>
      <c t="s" s="6" r="M129">
        <v>1219</v>
      </c>
      <c s="6" r="N129">
        <v>0</v>
      </c>
      <c s="6" r="O129">
        <v>0</v>
      </c>
      <c t="s" s="6" r="P129">
        <v>631</v>
      </c>
      <c t="s" s="6" r="Q129">
        <v>188</v>
      </c>
      <c t="s" s="6" r="R129">
        <v>1220</v>
      </c>
      <c t="s" s="6" r="S129">
        <v>1221</v>
      </c>
      <c t="s" s="6" r="T129">
        <v>90</v>
      </c>
      <c t="s" s="6" r="U129">
        <v>1222</v>
      </c>
      <c s="6" r="V129">
        <v>1</v>
      </c>
      <c s="6" r="W129">
        <v>1</v>
      </c>
      <c s="6" r="X129">
        <v>1</v>
      </c>
      <c s="6" r="Y129">
        <v>0</v>
      </c>
      <c s="6" r="Z129">
        <v>0</v>
      </c>
      <c s="6" r="AA129">
        <v>7</v>
      </c>
      <c s="6" r="AB129">
        <v>7</v>
      </c>
      <c t="s" s="6" r="AC129">
        <v>92</v>
      </c>
      <c t="s" s="6" r="AD129">
        <v>92</v>
      </c>
      <c t="s" s="6" r="AE129">
        <v>92</v>
      </c>
      <c t="s" s="6" r="AF129">
        <v>92</v>
      </c>
      <c t="s" s="6" r="AG129">
        <v>92</v>
      </c>
      <c t="s" s="6" r="AH129">
        <v>92</v>
      </c>
      <c t="s" s="6" r="AI129">
        <v>92</v>
      </c>
      <c t="s" s="6" r="AJ129">
        <v>92</v>
      </c>
      <c t="s" s="6" r="AK129">
        <v>92</v>
      </c>
      <c t="s" s="6" r="AL129">
        <v>92</v>
      </c>
      <c t="s" s="6" r="AM129">
        <v>92</v>
      </c>
      <c t="s" s="6" r="AN129">
        <v>92</v>
      </c>
      <c s="6" r="AP129">
        <v>7</v>
      </c>
      <c t="s" s="6" r="AR129">
        <v>1223</v>
      </c>
      <c s="6" r="AS129">
        <v>0</v>
      </c>
      <c s="6" r="AT129">
        <v>0</v>
      </c>
      <c s="6" r="AU129">
        <v>0</v>
      </c>
      <c s="6" r="AV129">
        <v>0</v>
      </c>
      <c s="6" r="AW129">
        <v>0</v>
      </c>
      <c s="6" r="AX129">
        <v>0</v>
      </c>
      <c s="6" r="AY129">
        <v>0</v>
      </c>
      <c s="6" r="AZ129">
        <v>0</v>
      </c>
      <c s="6" r="BA129">
        <v>0</v>
      </c>
      <c s="6" r="BB129">
        <v>0</v>
      </c>
      <c s="6" r="BC129">
        <v>0</v>
      </c>
      <c s="6" r="BD129">
        <v>0</v>
      </c>
      <c s="6" r="BE129">
        <v>0</v>
      </c>
      <c s="6" r="BF129">
        <v>1</v>
      </c>
      <c s="6" r="BG129">
        <v>0</v>
      </c>
      <c s="6" r="BH129">
        <v>0</v>
      </c>
      <c s="6" r="BI129">
        <v>0</v>
      </c>
      <c s="6" r="BJ129">
        <v>0</v>
      </c>
      <c s="6" r="BK129">
        <v>0</v>
      </c>
      <c s="6" r="BL129">
        <v>0</v>
      </c>
      <c s="6" r="BM129">
        <v>0</v>
      </c>
      <c s="6" r="BN129">
        <v>0</v>
      </c>
      <c s="6" r="BO129">
        <v>0</v>
      </c>
      <c s="6" r="BP129">
        <v>0</v>
      </c>
      <c s="6" r="BQ129">
        <v>0</v>
      </c>
      <c t="str" s="6" r="BR129">
        <f>HYPERLINK("http://www.d20pfsrd.com/magic/all-spells/d/delayed-blast-fireball","Delayed Blast Fireball")</f>
        <v>Delayed Blast Fireball</v>
      </c>
      <c s="6" r="BS129">
        <v>128</v>
      </c>
      <c t="s" s="6" r="BT129">
        <v>92</v>
      </c>
      <c t="s" s="6" r="BU129">
        <v>1224</v>
      </c>
      <c s="6" r="BY129">
        <v>0</v>
      </c>
    </row>
    <row customHeight="1" r="130" ht="14.25">
      <c t="s" s="6" r="A130">
        <v>1225</v>
      </c>
      <c t="s" s="6" r="B130">
        <v>78</v>
      </c>
      <c t="s" s="6" r="C130">
        <v>598</v>
      </c>
      <c t="s" s="6" r="E130">
        <v>1226</v>
      </c>
      <c t="s" s="6" r="F130">
        <v>81</v>
      </c>
      <c t="s" s="6" r="G130">
        <v>119</v>
      </c>
      <c s="6" r="H130">
        <v>0</v>
      </c>
      <c t="s" s="6" r="I130">
        <v>120</v>
      </c>
      <c t="s" s="6" r="L130">
        <v>420</v>
      </c>
      <c t="s" s="6" r="M130">
        <v>209</v>
      </c>
      <c s="6" r="N130">
        <v>0</v>
      </c>
      <c s="6" r="O130">
        <v>0</v>
      </c>
      <c t="s" s="6" r="P130">
        <v>1227</v>
      </c>
      <c t="s" s="6" r="Q130">
        <v>123</v>
      </c>
      <c t="s" s="6" r="R130">
        <v>1228</v>
      </c>
      <c t="s" s="6" r="S130">
        <v>1229</v>
      </c>
      <c t="s" s="6" r="T130">
        <v>90</v>
      </c>
      <c t="s" s="6" r="U130">
        <v>1230</v>
      </c>
      <c s="6" r="V130">
        <v>1</v>
      </c>
      <c s="6" r="W130">
        <v>1</v>
      </c>
      <c s="6" r="X130">
        <v>0</v>
      </c>
      <c s="6" r="Y130">
        <v>0</v>
      </c>
      <c s="6" r="Z130">
        <v>1</v>
      </c>
      <c t="s" s="6" r="AA130">
        <v>92</v>
      </c>
      <c t="s" s="6" r="AB130">
        <v>92</v>
      </c>
      <c s="6" r="AC130">
        <v>2</v>
      </c>
      <c s="6" r="AD130">
        <v>2</v>
      </c>
      <c s="6" r="AE130">
        <v>1</v>
      </c>
      <c s="6" r="AF130">
        <v>2</v>
      </c>
      <c s="6" r="AG130">
        <v>2</v>
      </c>
      <c s="6" r="AH130">
        <v>2</v>
      </c>
      <c t="s" s="6" r="AI130">
        <v>92</v>
      </c>
      <c s="6" r="AJ130">
        <v>2</v>
      </c>
      <c s="6" r="AK130">
        <v>2</v>
      </c>
      <c s="6" r="AL130">
        <v>2</v>
      </c>
      <c t="s" s="6" r="AM130">
        <v>92</v>
      </c>
      <c t="s" s="6" r="AN130">
        <v>92</v>
      </c>
      <c s="6" r="AP130">
        <v>2</v>
      </c>
      <c t="s" s="6" r="AR130">
        <v>1231</v>
      </c>
      <c s="6" r="AS130">
        <v>0</v>
      </c>
      <c s="6" r="AT130">
        <v>0</v>
      </c>
      <c s="6" r="AU130">
        <v>0</v>
      </c>
      <c s="6" r="AV130">
        <v>0</v>
      </c>
      <c s="6" r="AW130">
        <v>0</v>
      </c>
      <c s="6" r="AX130">
        <v>0</v>
      </c>
      <c s="6" r="AY130">
        <v>0</v>
      </c>
      <c s="6" r="AZ130">
        <v>0</v>
      </c>
      <c s="6" r="BA130">
        <v>0</v>
      </c>
      <c s="6" r="BB130">
        <v>0</v>
      </c>
      <c s="6" r="BC130">
        <v>0</v>
      </c>
      <c s="6" r="BD130">
        <v>0</v>
      </c>
      <c s="6" r="BE130">
        <v>0</v>
      </c>
      <c s="6" r="BF130">
        <v>0</v>
      </c>
      <c s="6" r="BG130">
        <v>0</v>
      </c>
      <c s="6" r="BH130">
        <v>0</v>
      </c>
      <c s="6" r="BI130">
        <v>0</v>
      </c>
      <c s="6" r="BJ130">
        <v>0</v>
      </c>
      <c s="6" r="BK130">
        <v>0</v>
      </c>
      <c s="6" r="BL130">
        <v>0</v>
      </c>
      <c s="6" r="BM130">
        <v>0</v>
      </c>
      <c s="6" r="BN130">
        <v>0</v>
      </c>
      <c s="6" r="BO130">
        <v>0</v>
      </c>
      <c s="6" r="BP130">
        <v>0</v>
      </c>
      <c s="6" r="BQ130">
        <v>0</v>
      </c>
      <c t="str" s="6" r="BR130">
        <f>HYPERLINK("http://www.d20pfsrd.com/magic/all-spells/d/delay-poison","Delay Poison")</f>
        <v>Delay Poison</v>
      </c>
      <c s="6" r="BS130">
        <v>129</v>
      </c>
      <c t="s" s="6" r="BT130">
        <v>92</v>
      </c>
      <c t="s" s="6" r="BU130">
        <v>1232</v>
      </c>
      <c s="6" r="BY130">
        <v>0</v>
      </c>
    </row>
    <row customHeight="1" r="131" ht="14.25">
      <c t="s" s="6" r="A131">
        <v>1233</v>
      </c>
      <c t="s" s="6" r="B131">
        <v>115</v>
      </c>
      <c t="s" s="6" r="C131">
        <v>116</v>
      </c>
      <c t="s" s="6" r="D131">
        <v>117</v>
      </c>
      <c t="s" s="6" r="E131">
        <v>811</v>
      </c>
      <c t="s" s="6" r="F131">
        <v>311</v>
      </c>
      <c t="s" s="6" r="G131">
        <v>1234</v>
      </c>
      <c s="6" r="H131">
        <v>0</v>
      </c>
      <c t="s" s="6" r="I131">
        <v>141</v>
      </c>
      <c t="s" s="6" r="L131">
        <v>1235</v>
      </c>
      <c t="s" s="6" r="M131">
        <v>1236</v>
      </c>
      <c s="6" r="N131">
        <v>0</v>
      </c>
      <c s="6" r="O131">
        <v>0</v>
      </c>
      <c t="s" s="6" r="P131">
        <v>296</v>
      </c>
      <c t="s" s="6" r="Q131">
        <v>188</v>
      </c>
      <c t="s" s="6" r="R131">
        <v>1237</v>
      </c>
      <c t="s" s="6" r="S131">
        <v>1238</v>
      </c>
      <c t="s" s="6" r="T131">
        <v>90</v>
      </c>
      <c t="s" s="6" r="U131">
        <v>1239</v>
      </c>
      <c s="6" r="V131">
        <v>1</v>
      </c>
      <c s="6" r="W131">
        <v>1</v>
      </c>
      <c s="6" r="X131">
        <v>1</v>
      </c>
      <c s="6" r="Y131">
        <v>0</v>
      </c>
      <c s="6" r="Z131">
        <v>1</v>
      </c>
      <c s="6" r="AA131">
        <v>8</v>
      </c>
      <c s="6" r="AB131">
        <v>8</v>
      </c>
      <c t="s" s="6" r="AC131">
        <v>92</v>
      </c>
      <c t="s" s="6" r="AD131">
        <v>92</v>
      </c>
      <c t="s" s="6" r="AE131">
        <v>92</v>
      </c>
      <c t="s" s="6" r="AF131">
        <v>92</v>
      </c>
      <c t="s" s="6" r="AG131">
        <v>92</v>
      </c>
      <c t="s" s="6" r="AH131">
        <v>92</v>
      </c>
      <c t="s" s="6" r="AI131">
        <v>92</v>
      </c>
      <c s="6" r="AJ131">
        <v>8</v>
      </c>
      <c t="s" s="6" r="AK131">
        <v>92</v>
      </c>
      <c t="s" s="6" r="AL131">
        <v>92</v>
      </c>
      <c t="s" s="6" r="AM131">
        <v>92</v>
      </c>
      <c t="s" s="6" r="AN131">
        <v>92</v>
      </c>
      <c s="6" r="AP131">
        <v>8</v>
      </c>
      <c t="s" s="6" r="AQ131">
        <v>1240</v>
      </c>
      <c t="s" s="6" r="AR131">
        <v>1241</v>
      </c>
      <c s="6" r="AS131">
        <v>0</v>
      </c>
      <c s="6" r="AT131">
        <v>0</v>
      </c>
      <c s="6" r="AU131">
        <v>0</v>
      </c>
      <c s="6" r="AV131">
        <v>0</v>
      </c>
      <c s="6" r="AW131">
        <v>0</v>
      </c>
      <c s="6" r="AX131">
        <v>0</v>
      </c>
      <c s="6" r="AY131">
        <v>0</v>
      </c>
      <c s="6" r="AZ131">
        <v>0</v>
      </c>
      <c s="6" r="BA131">
        <v>0</v>
      </c>
      <c s="6" r="BB131">
        <v>0</v>
      </c>
      <c s="6" r="BC131">
        <v>0</v>
      </c>
      <c s="6" r="BD131">
        <v>0</v>
      </c>
      <c s="6" r="BE131">
        <v>0</v>
      </c>
      <c s="6" r="BF131">
        <v>0</v>
      </c>
      <c s="6" r="BG131">
        <v>0</v>
      </c>
      <c s="6" r="BH131">
        <v>0</v>
      </c>
      <c s="6" r="BI131">
        <v>0</v>
      </c>
      <c s="6" r="BJ131">
        <v>0</v>
      </c>
      <c s="6" r="BK131">
        <v>0</v>
      </c>
      <c s="6" r="BL131">
        <v>1</v>
      </c>
      <c s="6" r="BM131">
        <v>0</v>
      </c>
      <c s="6" r="BN131">
        <v>0</v>
      </c>
      <c s="6" r="BO131">
        <v>0</v>
      </c>
      <c s="6" r="BP131">
        <v>0</v>
      </c>
      <c s="6" r="BQ131">
        <v>0</v>
      </c>
      <c t="str" s="6" r="BR131">
        <f>HYPERLINK("http://www.d20pfsrd.com/magic/all-spells/d/demand","Demand")</f>
        <v>Demand</v>
      </c>
      <c s="6" r="BS131">
        <v>130</v>
      </c>
      <c t="s" s="6" r="BT131">
        <v>92</v>
      </c>
      <c t="s" s="6" r="BV131">
        <v>1242</v>
      </c>
      <c s="6" r="BY131">
        <v>0</v>
      </c>
    </row>
    <row customHeight="1" r="132" ht="14.25">
      <c t="s" s="6" r="A132">
        <v>1243</v>
      </c>
      <c t="s" s="6" r="B132">
        <v>493</v>
      </c>
      <c t="s" s="6" r="D132">
        <v>55</v>
      </c>
      <c t="s" s="6" r="E132">
        <v>1244</v>
      </c>
      <c t="s" s="6" r="F132">
        <v>81</v>
      </c>
      <c t="s" s="6" r="G132">
        <v>1245</v>
      </c>
      <c s="6" r="H132">
        <v>1</v>
      </c>
      <c t="s" s="6" r="I132">
        <v>107</v>
      </c>
      <c t="s" s="6" r="J132">
        <v>924</v>
      </c>
      <c t="s" s="6" r="M132">
        <v>166</v>
      </c>
      <c s="6" r="N132">
        <v>0</v>
      </c>
      <c s="6" r="O132">
        <v>0</v>
      </c>
      <c t="s" s="6" r="P132">
        <v>86</v>
      </c>
      <c t="s" s="6" r="Q132">
        <v>188</v>
      </c>
      <c t="s" s="6" r="R132">
        <v>1246</v>
      </c>
      <c t="s" s="6" r="S132">
        <v>1247</v>
      </c>
      <c t="s" s="6" r="T132">
        <v>90</v>
      </c>
      <c t="s" s="6" r="U132">
        <v>1248</v>
      </c>
      <c s="6" r="V132">
        <v>1</v>
      </c>
      <c s="6" r="W132">
        <v>1</v>
      </c>
      <c s="6" r="X132">
        <v>1</v>
      </c>
      <c s="6" r="Y132">
        <v>0</v>
      </c>
      <c s="6" r="Z132">
        <v>1</v>
      </c>
      <c t="s" s="6" r="AA132">
        <v>92</v>
      </c>
      <c t="s" s="6" r="AB132">
        <v>92</v>
      </c>
      <c s="6" r="AC132">
        <v>2</v>
      </c>
      <c t="s" s="6" r="AD132">
        <v>92</v>
      </c>
      <c t="s" s="6" r="AE132">
        <v>92</v>
      </c>
      <c t="s" s="6" r="AF132">
        <v>92</v>
      </c>
      <c t="s" s="6" r="AG132">
        <v>92</v>
      </c>
      <c t="s" s="6" r="AH132">
        <v>92</v>
      </c>
      <c t="s" s="6" r="AI132">
        <v>92</v>
      </c>
      <c t="s" s="6" r="AJ132">
        <v>92</v>
      </c>
      <c s="6" r="AK132">
        <v>2</v>
      </c>
      <c s="6" r="AL132">
        <v>2</v>
      </c>
      <c s="6" r="AM132">
        <v>2</v>
      </c>
      <c t="s" s="6" r="AN132">
        <v>92</v>
      </c>
      <c s="6" r="AP132">
        <v>2</v>
      </c>
      <c t="s" s="6" r="AR132">
        <v>1249</v>
      </c>
      <c s="6" r="AS132">
        <v>0</v>
      </c>
      <c s="6" r="AT132">
        <v>0</v>
      </c>
      <c s="6" r="AU132">
        <v>0</v>
      </c>
      <c s="6" r="AV132">
        <v>0</v>
      </c>
      <c s="6" r="AW132">
        <v>0</v>
      </c>
      <c s="6" r="AX132">
        <v>0</v>
      </c>
      <c s="6" r="AY132">
        <v>0</v>
      </c>
      <c s="6" r="AZ132">
        <v>0</v>
      </c>
      <c s="6" r="BA132">
        <v>0</v>
      </c>
      <c s="6" r="BB132">
        <v>0</v>
      </c>
      <c s="6" r="BC132">
        <v>0</v>
      </c>
      <c s="6" r="BD132">
        <v>1</v>
      </c>
      <c s="6" r="BE132">
        <v>0</v>
      </c>
      <c s="6" r="BF132">
        <v>0</v>
      </c>
      <c s="6" r="BG132">
        <v>0</v>
      </c>
      <c s="6" r="BH132">
        <v>0</v>
      </c>
      <c s="6" r="BI132">
        <v>0</v>
      </c>
      <c s="6" r="BJ132">
        <v>0</v>
      </c>
      <c s="6" r="BK132">
        <v>0</v>
      </c>
      <c s="6" r="BL132">
        <v>0</v>
      </c>
      <c s="6" r="BM132">
        <v>0</v>
      </c>
      <c s="6" r="BN132">
        <v>0</v>
      </c>
      <c s="6" r="BO132">
        <v>0</v>
      </c>
      <c s="6" r="BP132">
        <v>0</v>
      </c>
      <c s="6" r="BQ132">
        <v>0</v>
      </c>
      <c t="str" s="6" r="BR132">
        <f>HYPERLINK("http://www.d20pfsrd.com/magic/all-spells/d/desecrate","Desecrate")</f>
        <v>Desecrate</v>
      </c>
      <c s="6" r="BS132">
        <v>131</v>
      </c>
      <c s="6" r="BT132">
        <v>25</v>
      </c>
      <c t="s" s="6" r="BW132">
        <v>1250</v>
      </c>
      <c s="6" r="BY132">
        <v>1</v>
      </c>
    </row>
    <row customHeight="1" r="133" ht="14.25">
      <c t="s" s="6" r="A133">
        <v>1251</v>
      </c>
      <c t="s" s="6" r="B133">
        <v>227</v>
      </c>
      <c t="s" s="6" r="D133">
        <v>50</v>
      </c>
      <c t="s" s="6" r="E133">
        <v>1252</v>
      </c>
      <c t="s" s="6" r="F133">
        <v>81</v>
      </c>
      <c t="s" s="6" r="G133">
        <v>1253</v>
      </c>
      <c s="6" r="H133">
        <v>1</v>
      </c>
      <c t="s" s="6" r="I133">
        <v>107</v>
      </c>
      <c t="s" s="6" r="L133">
        <v>1235</v>
      </c>
      <c t="s" s="6" r="M133">
        <v>109</v>
      </c>
      <c s="6" r="N133">
        <v>0</v>
      </c>
      <c s="6" r="O133">
        <v>0</v>
      </c>
      <c t="s" s="6" r="P133">
        <v>1254</v>
      </c>
      <c t="s" s="6" r="Q133">
        <v>188</v>
      </c>
      <c t="s" s="6" r="R133">
        <v>1255</v>
      </c>
      <c t="s" s="6" r="S133">
        <v>1256</v>
      </c>
      <c t="s" s="6" r="T133">
        <v>90</v>
      </c>
      <c t="s" s="6" r="U133">
        <v>1257</v>
      </c>
      <c s="6" r="V133">
        <v>1</v>
      </c>
      <c s="6" r="W133">
        <v>1</v>
      </c>
      <c s="6" r="X133">
        <v>1</v>
      </c>
      <c s="6" r="Y133">
        <v>1</v>
      </c>
      <c s="6" r="Z133">
        <v>0</v>
      </c>
      <c t="s" s="6" r="AA133">
        <v>92</v>
      </c>
      <c t="s" s="6" r="AB133">
        <v>92</v>
      </c>
      <c s="6" r="AC133">
        <v>7</v>
      </c>
      <c t="s" s="6" r="AD133">
        <v>92</v>
      </c>
      <c t="s" s="6" r="AE133">
        <v>92</v>
      </c>
      <c t="s" s="6" r="AF133">
        <v>92</v>
      </c>
      <c t="s" s="6" r="AG133">
        <v>92</v>
      </c>
      <c t="s" s="6" r="AH133">
        <v>92</v>
      </c>
      <c t="s" s="6" r="AI133">
        <v>92</v>
      </c>
      <c s="6" r="AJ133">
        <v>8</v>
      </c>
      <c t="s" s="6" r="AK133">
        <v>92</v>
      </c>
      <c s="6" r="AL133">
        <v>7</v>
      </c>
      <c t="s" s="6" r="AM133">
        <v>92</v>
      </c>
      <c t="s" s="6" r="AN133">
        <v>92</v>
      </c>
      <c s="6" r="AP133">
        <v>7</v>
      </c>
      <c t="s" s="6" r="AQ133">
        <v>1191</v>
      </c>
      <c t="s" s="6" r="AR133">
        <v>1258</v>
      </c>
      <c s="6" r="AS133">
        <v>0</v>
      </c>
      <c s="6" r="AT133">
        <v>0</v>
      </c>
      <c s="6" r="AU133">
        <v>0</v>
      </c>
      <c s="6" r="AV133">
        <v>0</v>
      </c>
      <c s="6" r="AW133">
        <v>0</v>
      </c>
      <c s="6" r="AX133">
        <v>0</v>
      </c>
      <c s="6" r="AY133">
        <v>1</v>
      </c>
      <c s="6" r="AZ133">
        <v>0</v>
      </c>
      <c s="6" r="BA133">
        <v>0</v>
      </c>
      <c s="6" r="BB133">
        <v>0</v>
      </c>
      <c s="6" r="BC133">
        <v>0</v>
      </c>
      <c s="6" r="BD133">
        <v>0</v>
      </c>
      <c s="6" r="BE133">
        <v>0</v>
      </c>
      <c s="6" r="BF133">
        <v>0</v>
      </c>
      <c s="6" r="BG133">
        <v>0</v>
      </c>
      <c s="6" r="BH133">
        <v>0</v>
      </c>
      <c s="6" r="BI133">
        <v>0</v>
      </c>
      <c s="6" r="BJ133">
        <v>0</v>
      </c>
      <c s="6" r="BK133">
        <v>0</v>
      </c>
      <c s="6" r="BL133">
        <v>0</v>
      </c>
      <c s="6" r="BM133">
        <v>0</v>
      </c>
      <c s="6" r="BN133">
        <v>0</v>
      </c>
      <c s="6" r="BO133">
        <v>0</v>
      </c>
      <c s="6" r="BP133">
        <v>0</v>
      </c>
      <c s="6" r="BQ133">
        <v>0</v>
      </c>
      <c t="str" s="6" r="BR133">
        <f>HYPERLINK("http://www.d20pfsrd.com/magic/all-spells/d/destruction","Destruction")</f>
        <v>Destruction</v>
      </c>
      <c s="6" r="BS133">
        <v>132</v>
      </c>
      <c s="6" r="BT133">
        <v>500</v>
      </c>
      <c s="6" r="BY133">
        <v>0</v>
      </c>
    </row>
    <row customHeight="1" r="134" ht="14.25">
      <c t="s" s="6" r="A134">
        <v>1259</v>
      </c>
      <c t="s" s="6" r="B134">
        <v>174</v>
      </c>
      <c t="s" s="6" r="E134">
        <v>656</v>
      </c>
      <c t="s" s="6" r="F134">
        <v>81</v>
      </c>
      <c t="s" s="6" r="G134">
        <v>106</v>
      </c>
      <c s="6" r="H134">
        <v>0</v>
      </c>
      <c t="s" s="6" r="I134">
        <v>83</v>
      </c>
      <c t="s" s="6" r="J134">
        <v>1195</v>
      </c>
      <c t="s" s="6" r="M134">
        <v>1260</v>
      </c>
      <c s="6" r="N134">
        <v>1</v>
      </c>
      <c s="6" r="O134">
        <v>0</v>
      </c>
      <c t="s" s="6" r="P134">
        <v>86</v>
      </c>
      <c t="s" s="6" r="Q134">
        <v>87</v>
      </c>
      <c t="s" s="6" r="R134">
        <v>1261</v>
      </c>
      <c t="s" s="6" r="S134">
        <v>1262</v>
      </c>
      <c t="s" s="6" r="T134">
        <v>90</v>
      </c>
      <c t="s" s="6" r="U134">
        <v>1263</v>
      </c>
      <c s="6" r="V134">
        <v>1</v>
      </c>
      <c s="6" r="W134">
        <v>1</v>
      </c>
      <c s="6" r="X134">
        <v>0</v>
      </c>
      <c s="6" r="Y134">
        <v>0</v>
      </c>
      <c s="6" r="Z134">
        <v>0</v>
      </c>
      <c t="s" s="6" r="AA134">
        <v>92</v>
      </c>
      <c t="s" s="6" r="AB134">
        <v>92</v>
      </c>
      <c t="s" s="6" r="AC134">
        <v>92</v>
      </c>
      <c s="6" r="AD134">
        <v>1</v>
      </c>
      <c s="6" r="AE134">
        <v>1</v>
      </c>
      <c t="s" s="6" r="AF134">
        <v>92</v>
      </c>
      <c t="s" s="6" r="AG134">
        <v>92</v>
      </c>
      <c t="s" s="6" r="AH134">
        <v>92</v>
      </c>
      <c t="s" s="6" r="AI134">
        <v>92</v>
      </c>
      <c t="s" s="6" r="AJ134">
        <v>92</v>
      </c>
      <c t="s" s="6" r="AK134">
        <v>92</v>
      </c>
      <c t="s" s="6" r="AL134">
        <v>92</v>
      </c>
      <c t="s" s="6" r="AM134">
        <v>92</v>
      </c>
      <c t="s" s="6" r="AN134">
        <v>92</v>
      </c>
      <c s="6" r="AP134">
        <v>1</v>
      </c>
      <c t="s" s="6" r="AR134">
        <v>1264</v>
      </c>
      <c s="6" r="AS134">
        <v>0</v>
      </c>
      <c s="6" r="AT134">
        <v>0</v>
      </c>
      <c s="6" r="AU134">
        <v>0</v>
      </c>
      <c s="6" r="AV134">
        <v>0</v>
      </c>
      <c s="6" r="AW134">
        <v>0</v>
      </c>
      <c s="6" r="AX134">
        <v>0</v>
      </c>
      <c s="6" r="AY134">
        <v>0</v>
      </c>
      <c s="6" r="AZ134">
        <v>0</v>
      </c>
      <c s="6" r="BA134">
        <v>0</v>
      </c>
      <c s="6" r="BB134">
        <v>0</v>
      </c>
      <c s="6" r="BC134">
        <v>0</v>
      </c>
      <c s="6" r="BD134">
        <v>0</v>
      </c>
      <c s="6" r="BE134">
        <v>0</v>
      </c>
      <c s="6" r="BF134">
        <v>0</v>
      </c>
      <c s="6" r="BG134">
        <v>0</v>
      </c>
      <c s="6" r="BH134">
        <v>0</v>
      </c>
      <c s="6" r="BI134">
        <v>0</v>
      </c>
      <c s="6" r="BJ134">
        <v>0</v>
      </c>
      <c s="6" r="BK134">
        <v>0</v>
      </c>
      <c s="6" r="BL134">
        <v>0</v>
      </c>
      <c s="6" r="BM134">
        <v>0</v>
      </c>
      <c s="6" r="BN134">
        <v>0</v>
      </c>
      <c s="6" r="BO134">
        <v>0</v>
      </c>
      <c s="6" r="BP134">
        <v>0</v>
      </c>
      <c s="6" r="BQ134">
        <v>0</v>
      </c>
      <c t="str" s="6" r="BR134">
        <f>HYPERLINK("http://www.d20pfsrd.com/magic/all-spells/d/detect-animals-or-plants","Detect Animals or Plants")</f>
        <v>Detect Animals or Plants</v>
      </c>
      <c s="6" r="BS134">
        <v>133</v>
      </c>
      <c t="s" s="6" r="BT134">
        <v>92</v>
      </c>
      <c s="6" r="BY134">
        <v>0</v>
      </c>
    </row>
    <row customHeight="1" r="135" ht="14.25">
      <c t="s" s="6" r="A135">
        <v>1265</v>
      </c>
      <c t="s" s="6" r="B135">
        <v>174</v>
      </c>
      <c t="s" s="6" r="E135">
        <v>1266</v>
      </c>
      <c t="s" s="6" r="F135">
        <v>81</v>
      </c>
      <c t="s" s="6" r="G135">
        <v>119</v>
      </c>
      <c s="6" r="H135">
        <v>0</v>
      </c>
      <c t="s" s="6" r="I135">
        <v>897</v>
      </c>
      <c t="s" s="6" r="J135">
        <v>1195</v>
      </c>
      <c t="s" s="6" r="M135">
        <v>1267</v>
      </c>
      <c s="6" r="N135">
        <v>1</v>
      </c>
      <c s="6" r="O135">
        <v>0</v>
      </c>
      <c t="s" s="6" r="P135">
        <v>86</v>
      </c>
      <c t="s" s="6" r="Q135">
        <v>87</v>
      </c>
      <c t="s" s="6" r="R135">
        <v>1268</v>
      </c>
      <c t="s" s="6" r="S135">
        <v>1269</v>
      </c>
      <c t="s" s="6" r="T135">
        <v>90</v>
      </c>
      <c t="s" s="6" r="U135">
        <v>1270</v>
      </c>
      <c s="6" r="V135">
        <v>1</v>
      </c>
      <c s="6" r="W135">
        <v>1</v>
      </c>
      <c s="6" r="X135">
        <v>1</v>
      </c>
      <c s="6" r="Y135">
        <v>0</v>
      </c>
      <c s="6" r="Z135">
        <v>1</v>
      </c>
      <c t="s" s="6" r="AA135">
        <v>92</v>
      </c>
      <c t="s" s="6" r="AB135">
        <v>92</v>
      </c>
      <c s="6" r="AC135">
        <v>1</v>
      </c>
      <c t="s" s="6" r="AD135">
        <v>92</v>
      </c>
      <c t="s" s="6" r="AE135">
        <v>92</v>
      </c>
      <c t="s" s="6" r="AF135">
        <v>92</v>
      </c>
      <c t="s" s="6" r="AG135">
        <v>92</v>
      </c>
      <c t="s" s="6" r="AH135">
        <v>92</v>
      </c>
      <c t="s" s="6" r="AI135">
        <v>92</v>
      </c>
      <c t="s" s="6" r="AJ135">
        <v>92</v>
      </c>
      <c s="6" r="AK135">
        <v>1</v>
      </c>
      <c s="6" r="AL135">
        <v>1</v>
      </c>
      <c t="s" s="6" r="AM135">
        <v>92</v>
      </c>
      <c t="s" s="6" r="AN135">
        <v>92</v>
      </c>
      <c s="6" r="AP135">
        <v>1</v>
      </c>
      <c t="s" s="6" r="AR135">
        <v>1271</v>
      </c>
      <c s="6" r="AS135">
        <v>0</v>
      </c>
      <c s="6" r="AT135">
        <v>0</v>
      </c>
      <c s="6" r="AU135">
        <v>0</v>
      </c>
      <c s="6" r="AV135">
        <v>0</v>
      </c>
      <c s="6" r="AW135">
        <v>0</v>
      </c>
      <c s="6" r="AX135">
        <v>0</v>
      </c>
      <c s="6" r="AY135">
        <v>0</v>
      </c>
      <c s="6" r="AZ135">
        <v>0</v>
      </c>
      <c s="6" r="BA135">
        <v>0</v>
      </c>
      <c s="6" r="BB135">
        <v>0</v>
      </c>
      <c s="6" r="BC135">
        <v>0</v>
      </c>
      <c s="6" r="BD135">
        <v>0</v>
      </c>
      <c s="6" r="BE135">
        <v>0</v>
      </c>
      <c s="6" r="BF135">
        <v>0</v>
      </c>
      <c s="6" r="BG135">
        <v>0</v>
      </c>
      <c s="6" r="BH135">
        <v>0</v>
      </c>
      <c s="6" r="BI135">
        <v>0</v>
      </c>
      <c s="6" r="BJ135">
        <v>0</v>
      </c>
      <c s="6" r="BK135">
        <v>0</v>
      </c>
      <c s="6" r="BL135">
        <v>0</v>
      </c>
      <c s="6" r="BM135">
        <v>0</v>
      </c>
      <c s="6" r="BN135">
        <v>0</v>
      </c>
      <c s="6" r="BO135">
        <v>0</v>
      </c>
      <c s="6" r="BP135">
        <v>0</v>
      </c>
      <c s="6" r="BQ135">
        <v>0</v>
      </c>
      <c t="str" s="6" r="BR135">
        <f>HYPERLINK("http://www.d20pfsrd.com/magic/all-spells/d/detect-chaos","Detect Chaos")</f>
        <v>Detect Chaos</v>
      </c>
      <c s="6" r="BS135">
        <v>134</v>
      </c>
      <c t="s" s="6" r="BT135">
        <v>92</v>
      </c>
      <c s="6" r="BY135">
        <v>0</v>
      </c>
    </row>
    <row customHeight="1" r="136" ht="14.25">
      <c t="s" s="6" r="A136">
        <v>1272</v>
      </c>
      <c t="s" s="6" r="B136">
        <v>174</v>
      </c>
      <c t="s" s="6" r="E136">
        <v>1266</v>
      </c>
      <c t="s" s="6" r="F136">
        <v>81</v>
      </c>
      <c t="s" s="6" r="G136">
        <v>119</v>
      </c>
      <c s="6" r="H136">
        <v>0</v>
      </c>
      <c t="s" s="6" r="I136">
        <v>897</v>
      </c>
      <c t="s" s="6" r="J136">
        <v>1195</v>
      </c>
      <c t="s" s="6" r="M136">
        <v>1267</v>
      </c>
      <c s="6" r="N136">
        <v>1</v>
      </c>
      <c s="6" r="O136">
        <v>0</v>
      </c>
      <c t="s" s="6" r="P136">
        <v>86</v>
      </c>
      <c t="s" s="6" r="Q136">
        <v>87</v>
      </c>
      <c t="s" s="6" r="R136">
        <v>1273</v>
      </c>
      <c t="s" s="6" r="S136">
        <v>1274</v>
      </c>
      <c t="s" s="6" r="T136">
        <v>90</v>
      </c>
      <c t="s" s="6" r="U136">
        <v>1275</v>
      </c>
      <c s="6" r="V136">
        <v>1</v>
      </c>
      <c s="6" r="W136">
        <v>1</v>
      </c>
      <c s="6" r="X136">
        <v>1</v>
      </c>
      <c s="6" r="Y136">
        <v>0</v>
      </c>
      <c s="6" r="Z136">
        <v>1</v>
      </c>
      <c t="s" s="6" r="AA136">
        <v>92</v>
      </c>
      <c t="s" s="6" r="AB136">
        <v>92</v>
      </c>
      <c s="6" r="AC136">
        <v>1</v>
      </c>
      <c t="s" s="6" r="AD136">
        <v>92</v>
      </c>
      <c t="s" s="6" r="AE136">
        <v>92</v>
      </c>
      <c t="s" s="6" r="AF136">
        <v>92</v>
      </c>
      <c t="s" s="6" r="AG136">
        <v>92</v>
      </c>
      <c t="s" s="6" r="AH136">
        <v>92</v>
      </c>
      <c t="s" s="6" r="AI136">
        <v>92</v>
      </c>
      <c t="s" s="6" r="AJ136">
        <v>92</v>
      </c>
      <c s="6" r="AK136">
        <v>1</v>
      </c>
      <c s="6" r="AL136">
        <v>1</v>
      </c>
      <c t="s" s="6" r="AM136">
        <v>92</v>
      </c>
      <c t="s" s="6" r="AN136">
        <v>92</v>
      </c>
      <c s="6" r="AP136">
        <v>1</v>
      </c>
      <c t="s" s="6" r="AR136">
        <v>1271</v>
      </c>
      <c s="6" r="AS136">
        <v>0</v>
      </c>
      <c s="6" r="AT136">
        <v>0</v>
      </c>
      <c s="6" r="AU136">
        <v>0</v>
      </c>
      <c s="6" r="AV136">
        <v>0</v>
      </c>
      <c s="6" r="AW136">
        <v>0</v>
      </c>
      <c s="6" r="AX136">
        <v>0</v>
      </c>
      <c s="6" r="AY136">
        <v>0</v>
      </c>
      <c s="6" r="AZ136">
        <v>0</v>
      </c>
      <c s="6" r="BA136">
        <v>0</v>
      </c>
      <c s="6" r="BB136">
        <v>0</v>
      </c>
      <c s="6" r="BC136">
        <v>0</v>
      </c>
      <c s="6" r="BD136">
        <v>0</v>
      </c>
      <c s="6" r="BE136">
        <v>0</v>
      </c>
      <c s="6" r="BF136">
        <v>0</v>
      </c>
      <c s="6" r="BG136">
        <v>0</v>
      </c>
      <c s="6" r="BH136">
        <v>0</v>
      </c>
      <c s="6" r="BI136">
        <v>0</v>
      </c>
      <c s="6" r="BJ136">
        <v>0</v>
      </c>
      <c s="6" r="BK136">
        <v>0</v>
      </c>
      <c s="6" r="BL136">
        <v>0</v>
      </c>
      <c s="6" r="BM136">
        <v>0</v>
      </c>
      <c s="6" r="BN136">
        <v>0</v>
      </c>
      <c s="6" r="BO136">
        <v>0</v>
      </c>
      <c s="6" r="BP136">
        <v>0</v>
      </c>
      <c s="6" r="BQ136">
        <v>0</v>
      </c>
      <c t="str" s="6" r="BR136">
        <f>HYPERLINK("http://www.d20pfsrd.com/magic/all-spells/d/detect-evil","Detect Evil")</f>
        <v>Detect Evil</v>
      </c>
      <c s="6" r="BS136">
        <v>135</v>
      </c>
      <c t="s" s="6" r="BT136">
        <v>92</v>
      </c>
      <c s="6" r="BY136">
        <v>0</v>
      </c>
    </row>
    <row customHeight="1" r="137" ht="14.25">
      <c t="s" s="6" r="A137">
        <v>1276</v>
      </c>
      <c t="s" s="6" r="B137">
        <v>174</v>
      </c>
      <c t="s" s="6" r="E137">
        <v>1266</v>
      </c>
      <c t="s" s="6" r="F137">
        <v>81</v>
      </c>
      <c t="s" s="6" r="G137">
        <v>119</v>
      </c>
      <c s="6" r="H137">
        <v>0</v>
      </c>
      <c t="s" s="6" r="I137">
        <v>897</v>
      </c>
      <c t="s" s="6" r="J137">
        <v>1195</v>
      </c>
      <c t="s" s="6" r="M137">
        <v>1267</v>
      </c>
      <c s="6" r="N137">
        <v>1</v>
      </c>
      <c s="6" r="O137">
        <v>0</v>
      </c>
      <c t="s" s="6" r="P137">
        <v>86</v>
      </c>
      <c t="s" s="6" r="Q137">
        <v>87</v>
      </c>
      <c t="s" s="6" r="R137">
        <v>1277</v>
      </c>
      <c t="s" s="6" r="S137">
        <v>1278</v>
      </c>
      <c t="s" s="6" r="T137">
        <v>90</v>
      </c>
      <c t="s" s="6" r="U137">
        <v>1279</v>
      </c>
      <c s="6" r="V137">
        <v>1</v>
      </c>
      <c s="6" r="W137">
        <v>1</v>
      </c>
      <c s="6" r="X137">
        <v>1</v>
      </c>
      <c s="6" r="Y137">
        <v>0</v>
      </c>
      <c s="6" r="Z137">
        <v>1</v>
      </c>
      <c t="s" s="6" r="AA137">
        <v>92</v>
      </c>
      <c t="s" s="6" r="AB137">
        <v>92</v>
      </c>
      <c s="6" r="AC137">
        <v>1</v>
      </c>
      <c t="s" s="6" r="AD137">
        <v>92</v>
      </c>
      <c t="s" s="6" r="AE137">
        <v>92</v>
      </c>
      <c t="s" s="6" r="AF137">
        <v>92</v>
      </c>
      <c t="s" s="6" r="AG137">
        <v>92</v>
      </c>
      <c t="s" s="6" r="AH137">
        <v>92</v>
      </c>
      <c t="s" s="6" r="AI137">
        <v>92</v>
      </c>
      <c t="s" s="6" r="AJ137">
        <v>92</v>
      </c>
      <c s="6" r="AK137">
        <v>1</v>
      </c>
      <c s="6" r="AL137">
        <v>1</v>
      </c>
      <c t="s" s="6" r="AM137">
        <v>92</v>
      </c>
      <c t="s" s="6" r="AN137">
        <v>92</v>
      </c>
      <c s="6" r="AP137">
        <v>1</v>
      </c>
      <c t="s" s="6" r="AR137">
        <v>1271</v>
      </c>
      <c s="6" r="AS137">
        <v>0</v>
      </c>
      <c s="6" r="AT137">
        <v>0</v>
      </c>
      <c s="6" r="AU137">
        <v>0</v>
      </c>
      <c s="6" r="AV137">
        <v>0</v>
      </c>
      <c s="6" r="AW137">
        <v>0</v>
      </c>
      <c s="6" r="AX137">
        <v>0</v>
      </c>
      <c s="6" r="AY137">
        <v>0</v>
      </c>
      <c s="6" r="AZ137">
        <v>0</v>
      </c>
      <c s="6" r="BA137">
        <v>0</v>
      </c>
      <c s="6" r="BB137">
        <v>0</v>
      </c>
      <c s="6" r="BC137">
        <v>0</v>
      </c>
      <c s="6" r="BD137">
        <v>0</v>
      </c>
      <c s="6" r="BE137">
        <v>0</v>
      </c>
      <c s="6" r="BF137">
        <v>0</v>
      </c>
      <c s="6" r="BG137">
        <v>0</v>
      </c>
      <c s="6" r="BH137">
        <v>0</v>
      </c>
      <c s="6" r="BI137">
        <v>0</v>
      </c>
      <c s="6" r="BJ137">
        <v>0</v>
      </c>
      <c s="6" r="BK137">
        <v>0</v>
      </c>
      <c s="6" r="BL137">
        <v>0</v>
      </c>
      <c s="6" r="BM137">
        <v>0</v>
      </c>
      <c s="6" r="BN137">
        <v>0</v>
      </c>
      <c s="6" r="BO137">
        <v>0</v>
      </c>
      <c s="6" r="BP137">
        <v>0</v>
      </c>
      <c s="6" r="BQ137">
        <v>0</v>
      </c>
      <c t="str" s="6" r="BR137">
        <f>HYPERLINK("http://www.d20pfsrd.com/magic/all-spells/d/detect-good","Detect Good")</f>
        <v>Detect Good</v>
      </c>
      <c s="6" r="BS137">
        <v>136</v>
      </c>
      <c t="s" s="6" r="BT137">
        <v>92</v>
      </c>
      <c s="6" r="BY137">
        <v>0</v>
      </c>
    </row>
    <row customHeight="1" r="138" ht="14.25">
      <c t="s" s="6" r="A138">
        <v>1280</v>
      </c>
      <c t="s" s="6" r="B138">
        <v>174</v>
      </c>
      <c t="s" s="6" r="E138">
        <v>1266</v>
      </c>
      <c t="s" s="6" r="F138">
        <v>81</v>
      </c>
      <c t="s" s="6" r="G138">
        <v>119</v>
      </c>
      <c s="6" r="H138">
        <v>0</v>
      </c>
      <c t="s" s="6" r="I138">
        <v>897</v>
      </c>
      <c t="s" s="6" r="J138">
        <v>1195</v>
      </c>
      <c t="s" s="6" r="M138">
        <v>1267</v>
      </c>
      <c s="6" r="N138">
        <v>1</v>
      </c>
      <c s="6" r="O138">
        <v>0</v>
      </c>
      <c t="s" s="6" r="P138">
        <v>86</v>
      </c>
      <c t="s" s="6" r="Q138">
        <v>87</v>
      </c>
      <c t="s" s="6" r="R138">
        <v>1281</v>
      </c>
      <c t="s" s="6" r="S138">
        <v>1282</v>
      </c>
      <c t="s" s="6" r="T138">
        <v>90</v>
      </c>
      <c t="s" s="6" r="U138">
        <v>1283</v>
      </c>
      <c s="6" r="V138">
        <v>1</v>
      </c>
      <c s="6" r="W138">
        <v>1</v>
      </c>
      <c s="6" r="X138">
        <v>1</v>
      </c>
      <c s="6" r="Y138">
        <v>0</v>
      </c>
      <c s="6" r="Z138">
        <v>1</v>
      </c>
      <c t="s" s="6" r="AA138">
        <v>92</v>
      </c>
      <c t="s" s="6" r="AB138">
        <v>92</v>
      </c>
      <c s="6" r="AC138">
        <v>1</v>
      </c>
      <c t="s" s="6" r="AD138">
        <v>92</v>
      </c>
      <c t="s" s="6" r="AE138">
        <v>92</v>
      </c>
      <c t="s" s="6" r="AF138">
        <v>92</v>
      </c>
      <c t="s" s="6" r="AG138">
        <v>92</v>
      </c>
      <c t="s" s="6" r="AH138">
        <v>92</v>
      </c>
      <c t="s" s="6" r="AI138">
        <v>92</v>
      </c>
      <c t="s" s="6" r="AJ138">
        <v>92</v>
      </c>
      <c s="6" r="AK138">
        <v>1</v>
      </c>
      <c s="6" r="AL138">
        <v>1</v>
      </c>
      <c t="s" s="6" r="AM138">
        <v>92</v>
      </c>
      <c t="s" s="6" r="AN138">
        <v>92</v>
      </c>
      <c s="6" r="AP138">
        <v>1</v>
      </c>
      <c t="s" s="6" r="AR138">
        <v>1271</v>
      </c>
      <c s="6" r="AS138">
        <v>0</v>
      </c>
      <c s="6" r="AT138">
        <v>0</v>
      </c>
      <c s="6" r="AU138">
        <v>0</v>
      </c>
      <c s="6" r="AV138">
        <v>0</v>
      </c>
      <c s="6" r="AW138">
        <v>0</v>
      </c>
      <c s="6" r="AX138">
        <v>0</v>
      </c>
      <c s="6" r="AY138">
        <v>0</v>
      </c>
      <c s="6" r="AZ138">
        <v>0</v>
      </c>
      <c s="6" r="BA138">
        <v>0</v>
      </c>
      <c s="6" r="BB138">
        <v>0</v>
      </c>
      <c s="6" r="BC138">
        <v>0</v>
      </c>
      <c s="6" r="BD138">
        <v>0</v>
      </c>
      <c s="6" r="BE138">
        <v>0</v>
      </c>
      <c s="6" r="BF138">
        <v>0</v>
      </c>
      <c s="6" r="BG138">
        <v>0</v>
      </c>
      <c s="6" r="BH138">
        <v>0</v>
      </c>
      <c s="6" r="BI138">
        <v>0</v>
      </c>
      <c s="6" r="BJ138">
        <v>0</v>
      </c>
      <c s="6" r="BK138">
        <v>0</v>
      </c>
      <c s="6" r="BL138">
        <v>0</v>
      </c>
      <c s="6" r="BM138">
        <v>0</v>
      </c>
      <c s="6" r="BN138">
        <v>0</v>
      </c>
      <c s="6" r="BO138">
        <v>0</v>
      </c>
      <c s="6" r="BP138">
        <v>0</v>
      </c>
      <c s="6" r="BQ138">
        <v>0</v>
      </c>
      <c t="str" s="6" r="BR138">
        <f>HYPERLINK("http://www.d20pfsrd.com/magic/all-spells/d/detect-law","Detect Law")</f>
        <v>Detect Law</v>
      </c>
      <c s="6" r="BS138">
        <v>137</v>
      </c>
      <c t="s" s="6" r="BT138">
        <v>92</v>
      </c>
      <c s="6" r="BY138">
        <v>0</v>
      </c>
    </row>
    <row customHeight="1" r="139" ht="14.25">
      <c t="s" s="6" r="A139">
        <v>1284</v>
      </c>
      <c t="s" s="6" r="B139">
        <v>174</v>
      </c>
      <c t="s" s="6" r="E139">
        <v>1285</v>
      </c>
      <c t="s" s="6" r="F139">
        <v>81</v>
      </c>
      <c t="s" s="6" r="G139">
        <v>106</v>
      </c>
      <c s="6" r="H139">
        <v>0</v>
      </c>
      <c t="s" s="6" r="I139">
        <v>897</v>
      </c>
      <c t="s" s="6" r="J139">
        <v>1195</v>
      </c>
      <c t="s" s="6" r="M139">
        <v>1286</v>
      </c>
      <c s="6" r="N139">
        <v>1</v>
      </c>
      <c s="6" r="O139">
        <v>0</v>
      </c>
      <c t="s" s="6" r="P139">
        <v>86</v>
      </c>
      <c t="s" s="6" r="Q139">
        <v>87</v>
      </c>
      <c t="s" s="6" r="R139">
        <v>1287</v>
      </c>
      <c t="s" s="6" r="S139">
        <v>1288</v>
      </c>
      <c t="s" s="6" r="T139">
        <v>90</v>
      </c>
      <c t="s" s="6" r="U139">
        <v>1289</v>
      </c>
      <c s="6" r="V139">
        <v>1</v>
      </c>
      <c s="6" r="W139">
        <v>1</v>
      </c>
      <c s="6" r="X139">
        <v>1</v>
      </c>
      <c s="6" r="Y139">
        <v>0</v>
      </c>
      <c s="6" r="Z139">
        <v>0</v>
      </c>
      <c s="6" r="AA139">
        <v>0</v>
      </c>
      <c s="6" r="AB139">
        <v>0</v>
      </c>
      <c s="6" r="AC139">
        <v>0</v>
      </c>
      <c s="6" r="AD139">
        <v>0</v>
      </c>
      <c t="s" s="6" r="AE139">
        <v>92</v>
      </c>
      <c s="6" r="AF139">
        <v>0</v>
      </c>
      <c t="s" s="6" r="AG139">
        <v>92</v>
      </c>
      <c t="s" s="6" r="AH139">
        <v>92</v>
      </c>
      <c s="6" r="AI139">
        <v>0</v>
      </c>
      <c s="6" r="AJ139">
        <v>0</v>
      </c>
      <c s="6" r="AK139">
        <v>0</v>
      </c>
      <c s="6" r="AL139">
        <v>0</v>
      </c>
      <c t="s" s="6" r="AM139">
        <v>92</v>
      </c>
      <c s="6" r="AN139">
        <v>0</v>
      </c>
      <c s="6" r="AP139">
        <v>0</v>
      </c>
      <c t="s" s="6" r="AR139">
        <v>1290</v>
      </c>
      <c s="6" r="AS139">
        <v>0</v>
      </c>
      <c s="6" r="AT139">
        <v>0</v>
      </c>
      <c s="6" r="AU139">
        <v>0</v>
      </c>
      <c s="6" r="AV139">
        <v>0</v>
      </c>
      <c s="6" r="AW139">
        <v>0</v>
      </c>
      <c s="6" r="AX139">
        <v>0</v>
      </c>
      <c s="6" r="AY139">
        <v>0</v>
      </c>
      <c s="6" r="AZ139">
        <v>0</v>
      </c>
      <c s="6" r="BA139">
        <v>0</v>
      </c>
      <c s="6" r="BB139">
        <v>0</v>
      </c>
      <c s="6" r="BC139">
        <v>0</v>
      </c>
      <c s="6" r="BD139">
        <v>0</v>
      </c>
      <c s="6" r="BE139">
        <v>0</v>
      </c>
      <c s="6" r="BF139">
        <v>0</v>
      </c>
      <c s="6" r="BG139">
        <v>0</v>
      </c>
      <c s="6" r="BH139">
        <v>0</v>
      </c>
      <c s="6" r="BI139">
        <v>0</v>
      </c>
      <c s="6" r="BJ139">
        <v>0</v>
      </c>
      <c s="6" r="BK139">
        <v>0</v>
      </c>
      <c s="6" r="BL139">
        <v>0</v>
      </c>
      <c s="6" r="BM139">
        <v>0</v>
      </c>
      <c s="6" r="BN139">
        <v>0</v>
      </c>
      <c s="6" r="BO139">
        <v>0</v>
      </c>
      <c s="6" r="BP139">
        <v>0</v>
      </c>
      <c s="6" r="BQ139">
        <v>0</v>
      </c>
      <c t="str" s="6" r="BR139">
        <f>HYPERLINK("http://www.d20pfsrd.com/magic/all-spells/d/detect-magic","Detect Magic")</f>
        <v>Detect Magic</v>
      </c>
      <c s="6" r="BS139">
        <v>138</v>
      </c>
      <c t="s" s="6" r="BT139">
        <v>92</v>
      </c>
      <c s="6" r="BY139">
        <v>0</v>
      </c>
    </row>
    <row customHeight="1" r="140" ht="14.25">
      <c t="s" s="6" r="A140">
        <v>1291</v>
      </c>
      <c t="s" s="6" r="B140">
        <v>174</v>
      </c>
      <c t="s" s="6" r="E140">
        <v>1292</v>
      </c>
      <c t="s" s="6" r="F140">
        <v>81</v>
      </c>
      <c t="s" s="6" r="G140">
        <v>106</v>
      </c>
      <c s="6" r="H140">
        <v>0</v>
      </c>
      <c t="s" s="6" r="I140">
        <v>107</v>
      </c>
      <c t="s" s="6" r="J140">
        <v>1293</v>
      </c>
      <c t="s" s="6" r="L140">
        <v>1293</v>
      </c>
      <c t="s" s="6" r="M140">
        <v>109</v>
      </c>
      <c s="6" r="N140">
        <v>0</v>
      </c>
      <c s="6" r="O140">
        <v>0</v>
      </c>
      <c t="s" s="6" r="P140">
        <v>86</v>
      </c>
      <c t="s" s="6" r="Q140">
        <v>87</v>
      </c>
      <c t="s" s="6" r="R140">
        <v>1294</v>
      </c>
      <c t="s" s="6" r="S140">
        <v>1295</v>
      </c>
      <c t="s" s="6" r="T140">
        <v>90</v>
      </c>
      <c t="s" s="6" r="U140">
        <v>1296</v>
      </c>
      <c s="6" r="V140">
        <v>1</v>
      </c>
      <c s="6" r="W140">
        <v>1</v>
      </c>
      <c s="6" r="X140">
        <v>0</v>
      </c>
      <c s="6" r="Y140">
        <v>0</v>
      </c>
      <c s="6" r="Z140">
        <v>0</v>
      </c>
      <c s="6" r="AA140">
        <v>0</v>
      </c>
      <c s="6" r="AB140">
        <v>0</v>
      </c>
      <c s="6" r="AC140">
        <v>0</v>
      </c>
      <c s="6" r="AD140">
        <v>0</v>
      </c>
      <c s="6" r="AE140">
        <v>1</v>
      </c>
      <c t="s" s="6" r="AF140">
        <v>92</v>
      </c>
      <c s="6" r="AG140">
        <v>1</v>
      </c>
      <c t="s" s="6" r="AH140">
        <v>92</v>
      </c>
      <c t="s" s="6" r="AI140">
        <v>92</v>
      </c>
      <c t="s" s="6" r="AJ140">
        <v>92</v>
      </c>
      <c t="s" s="6" r="AK140">
        <v>92</v>
      </c>
      <c s="6" r="AL140">
        <v>0</v>
      </c>
      <c t="s" s="6" r="AM140">
        <v>92</v>
      </c>
      <c t="s" s="6" r="AN140">
        <v>92</v>
      </c>
      <c s="6" r="AP140">
        <v>0</v>
      </c>
      <c t="s" s="6" r="AR140">
        <v>1297</v>
      </c>
      <c s="6" r="AS140">
        <v>0</v>
      </c>
      <c s="6" r="AT140">
        <v>0</v>
      </c>
      <c s="6" r="AU140">
        <v>0</v>
      </c>
      <c s="6" r="AV140">
        <v>0</v>
      </c>
      <c s="6" r="AW140">
        <v>0</v>
      </c>
      <c s="6" r="AX140">
        <v>0</v>
      </c>
      <c s="6" r="AY140">
        <v>0</v>
      </c>
      <c s="6" r="AZ140">
        <v>0</v>
      </c>
      <c s="6" r="BA140">
        <v>0</v>
      </c>
      <c s="6" r="BB140">
        <v>0</v>
      </c>
      <c s="6" r="BC140">
        <v>0</v>
      </c>
      <c s="6" r="BD140">
        <v>0</v>
      </c>
      <c s="6" r="BE140">
        <v>0</v>
      </c>
      <c s="6" r="BF140">
        <v>0</v>
      </c>
      <c s="6" r="BG140">
        <v>0</v>
      </c>
      <c s="6" r="BH140">
        <v>0</v>
      </c>
      <c s="6" r="BI140">
        <v>0</v>
      </c>
      <c s="6" r="BJ140">
        <v>0</v>
      </c>
      <c s="6" r="BK140">
        <v>0</v>
      </c>
      <c s="6" r="BL140">
        <v>0</v>
      </c>
      <c s="6" r="BM140">
        <v>0</v>
      </c>
      <c s="6" r="BN140">
        <v>0</v>
      </c>
      <c s="6" r="BO140">
        <v>0</v>
      </c>
      <c s="6" r="BP140">
        <v>0</v>
      </c>
      <c s="6" r="BQ140">
        <v>0</v>
      </c>
      <c t="str" s="6" r="BR140">
        <f>HYPERLINK("http://www.d20pfsrd.com/magic/all-spells/d/detect-poison","Detect Poison")</f>
        <v>Detect Poison</v>
      </c>
      <c s="6" r="BS140">
        <v>139</v>
      </c>
      <c t="s" s="6" r="BT140">
        <v>92</v>
      </c>
      <c s="6" r="BY140">
        <v>0</v>
      </c>
    </row>
    <row customHeight="1" r="141" ht="14.25">
      <c t="s" s="6" r="A141">
        <v>1298</v>
      </c>
      <c t="s" s="6" r="B141">
        <v>174</v>
      </c>
      <c t="s" s="6" r="E141">
        <v>1299</v>
      </c>
      <c t="s" s="6" r="F141">
        <v>81</v>
      </c>
      <c t="s" s="6" r="G141">
        <v>1300</v>
      </c>
      <c s="6" r="H141">
        <v>0</v>
      </c>
      <c t="s" s="6" r="I141">
        <v>508</v>
      </c>
      <c t="s" s="6" r="J141">
        <v>1301</v>
      </c>
      <c t="s" s="6" r="M141">
        <v>379</v>
      </c>
      <c s="6" r="N141">
        <v>0</v>
      </c>
      <c s="6" r="O141">
        <v>0</v>
      </c>
      <c t="s" s="6" r="P141">
        <v>86</v>
      </c>
      <c t="s" s="6" r="Q141">
        <v>87</v>
      </c>
      <c t="s" s="6" r="R141">
        <v>1302</v>
      </c>
      <c t="s" s="6" r="S141">
        <v>1303</v>
      </c>
      <c t="s" s="6" r="T141">
        <v>90</v>
      </c>
      <c t="s" s="6" r="U141">
        <v>1304</v>
      </c>
      <c s="6" r="V141">
        <v>1</v>
      </c>
      <c s="6" r="W141">
        <v>1</v>
      </c>
      <c s="6" r="X141">
        <v>1</v>
      </c>
      <c s="6" r="Y141">
        <v>0</v>
      </c>
      <c s="6" r="Z141">
        <v>0</v>
      </c>
      <c s="6" r="AA141">
        <v>4</v>
      </c>
      <c s="6" r="AB141">
        <v>4</v>
      </c>
      <c t="s" s="6" r="AC141">
        <v>92</v>
      </c>
      <c t="s" s="6" r="AD141">
        <v>92</v>
      </c>
      <c t="s" s="6" r="AE141">
        <v>92</v>
      </c>
      <c s="6" r="AF141">
        <v>4</v>
      </c>
      <c t="s" s="6" r="AG141">
        <v>92</v>
      </c>
      <c t="s" s="6" r="AH141">
        <v>92</v>
      </c>
      <c t="s" s="6" r="AI141">
        <v>92</v>
      </c>
      <c s="6" r="AJ141">
        <v>4</v>
      </c>
      <c s="6" r="AK141">
        <v>4</v>
      </c>
      <c t="s" s="6" r="AL141">
        <v>92</v>
      </c>
      <c t="s" s="6" r="AM141">
        <v>92</v>
      </c>
      <c t="s" s="6" r="AN141">
        <v>92</v>
      </c>
      <c s="6" r="AP141">
        <v>4</v>
      </c>
      <c t="s" s="6" r="AR141">
        <v>1305</v>
      </c>
      <c s="6" r="AS141">
        <v>0</v>
      </c>
      <c s="6" r="AT141">
        <v>0</v>
      </c>
      <c s="6" r="AU141">
        <v>0</v>
      </c>
      <c s="6" r="AV141">
        <v>0</v>
      </c>
      <c s="6" r="AW141">
        <v>0</v>
      </c>
      <c s="6" r="AX141">
        <v>0</v>
      </c>
      <c s="6" r="AY141">
        <v>0</v>
      </c>
      <c s="6" r="AZ141">
        <v>0</v>
      </c>
      <c s="6" r="BA141">
        <v>0</v>
      </c>
      <c s="6" r="BB141">
        <v>0</v>
      </c>
      <c s="6" r="BC141">
        <v>0</v>
      </c>
      <c s="6" r="BD141">
        <v>0</v>
      </c>
      <c s="6" r="BE141">
        <v>0</v>
      </c>
      <c s="6" r="BF141">
        <v>0</v>
      </c>
      <c s="6" r="BG141">
        <v>0</v>
      </c>
      <c s="6" r="BH141">
        <v>0</v>
      </c>
      <c s="6" r="BI141">
        <v>0</v>
      </c>
      <c s="6" r="BJ141">
        <v>0</v>
      </c>
      <c s="6" r="BK141">
        <v>0</v>
      </c>
      <c s="6" r="BL141">
        <v>0</v>
      </c>
      <c s="6" r="BM141">
        <v>0</v>
      </c>
      <c s="6" r="BN141">
        <v>0</v>
      </c>
      <c s="6" r="BO141">
        <v>0</v>
      </c>
      <c s="6" r="BP141">
        <v>0</v>
      </c>
      <c s="6" r="BQ141">
        <v>0</v>
      </c>
      <c t="str" s="6" r="BR141">
        <f>HYPERLINK("http://www.d20pfsrd.com/magic/all-spells/d/detect-scrying","Detect Scrying")</f>
        <v>Detect Scrying</v>
      </c>
      <c s="6" r="BS141">
        <v>140</v>
      </c>
      <c t="s" s="6" r="BT141">
        <v>92</v>
      </c>
      <c t="s" s="6" r="BU141">
        <v>737</v>
      </c>
      <c s="6" r="BY141">
        <v>0</v>
      </c>
    </row>
    <row customHeight="1" r="142" ht="14.25">
      <c t="s" s="6" r="A142">
        <v>1306</v>
      </c>
      <c t="s" s="6" r="B142">
        <v>174</v>
      </c>
      <c t="s" s="6" r="E142">
        <v>1307</v>
      </c>
      <c t="s" s="6" r="F142">
        <v>81</v>
      </c>
      <c t="s" s="6" r="G142">
        <v>106</v>
      </c>
      <c s="6" r="H142">
        <v>0</v>
      </c>
      <c t="s" s="6" r="I142">
        <v>897</v>
      </c>
      <c t="s" s="6" r="J142">
        <v>1195</v>
      </c>
      <c t="s" s="6" r="M142">
        <v>1286</v>
      </c>
      <c s="6" r="N142">
        <v>1</v>
      </c>
      <c s="6" r="O142">
        <v>0</v>
      </c>
      <c t="s" s="6" r="P142">
        <v>86</v>
      </c>
      <c t="s" s="6" r="Q142">
        <v>87</v>
      </c>
      <c t="s" s="6" r="R142">
        <v>1308</v>
      </c>
      <c t="s" s="6" r="S142">
        <v>1309</v>
      </c>
      <c t="s" s="6" r="T142">
        <v>90</v>
      </c>
      <c t="s" s="6" r="U142">
        <v>1310</v>
      </c>
      <c s="6" r="V142">
        <v>1</v>
      </c>
      <c s="6" r="W142">
        <v>1</v>
      </c>
      <c s="6" r="X142">
        <v>0</v>
      </c>
      <c s="6" r="Y142">
        <v>0</v>
      </c>
      <c s="6" r="Z142">
        <v>0</v>
      </c>
      <c s="6" r="AA142">
        <v>1</v>
      </c>
      <c s="6" r="AB142">
        <v>1</v>
      </c>
      <c t="s" s="6" r="AC142">
        <v>92</v>
      </c>
      <c t="s" s="6" r="AD142">
        <v>92</v>
      </c>
      <c t="s" s="6" r="AE142">
        <v>92</v>
      </c>
      <c s="6" r="AF142">
        <v>1</v>
      </c>
      <c t="s" s="6" r="AG142">
        <v>92</v>
      </c>
      <c s="6" r="AH142">
        <v>1</v>
      </c>
      <c t="s" s="6" r="AI142">
        <v>92</v>
      </c>
      <c s="6" r="AJ142">
        <v>1</v>
      </c>
      <c t="s" s="6" r="AK142">
        <v>92</v>
      </c>
      <c t="s" s="6" r="AL142">
        <v>92</v>
      </c>
      <c t="s" s="6" r="AM142">
        <v>92</v>
      </c>
      <c t="s" s="6" r="AN142">
        <v>92</v>
      </c>
      <c s="6" r="AP142">
        <v>1</v>
      </c>
      <c t="s" s="6" r="AR142">
        <v>1311</v>
      </c>
      <c s="6" r="AS142">
        <v>0</v>
      </c>
      <c s="6" r="AT142">
        <v>0</v>
      </c>
      <c s="6" r="AU142">
        <v>0</v>
      </c>
      <c s="6" r="AV142">
        <v>0</v>
      </c>
      <c s="6" r="AW142">
        <v>0</v>
      </c>
      <c s="6" r="AX142">
        <v>0</v>
      </c>
      <c s="6" r="AY142">
        <v>0</v>
      </c>
      <c s="6" r="AZ142">
        <v>0</v>
      </c>
      <c s="6" r="BA142">
        <v>0</v>
      </c>
      <c s="6" r="BB142">
        <v>0</v>
      </c>
      <c s="6" r="BC142">
        <v>0</v>
      </c>
      <c s="6" r="BD142">
        <v>0</v>
      </c>
      <c s="6" r="BE142">
        <v>0</v>
      </c>
      <c s="6" r="BF142">
        <v>0</v>
      </c>
      <c s="6" r="BG142">
        <v>0</v>
      </c>
      <c s="6" r="BH142">
        <v>0</v>
      </c>
      <c s="6" r="BI142">
        <v>0</v>
      </c>
      <c s="6" r="BJ142">
        <v>0</v>
      </c>
      <c s="6" r="BK142">
        <v>0</v>
      </c>
      <c s="6" r="BL142">
        <v>0</v>
      </c>
      <c s="6" r="BM142">
        <v>0</v>
      </c>
      <c s="6" r="BN142">
        <v>0</v>
      </c>
      <c s="6" r="BO142">
        <v>0</v>
      </c>
      <c s="6" r="BP142">
        <v>0</v>
      </c>
      <c s="6" r="BQ142">
        <v>0</v>
      </c>
      <c t="str" s="6" r="BR142">
        <f>HYPERLINK("http://www.d20pfsrd.com/magic/all-spells/d/detect-secret-doors","Detect Secret Doors")</f>
        <v>Detect Secret Doors</v>
      </c>
      <c s="6" r="BS142">
        <v>141</v>
      </c>
      <c t="s" s="6" r="BT142">
        <v>92</v>
      </c>
      <c s="6" r="BY142">
        <v>0</v>
      </c>
    </row>
    <row customHeight="1" r="143" ht="14.25">
      <c t="s" s="6" r="A143">
        <v>1312</v>
      </c>
      <c t="s" s="6" r="B143">
        <v>174</v>
      </c>
      <c t="s" s="6" r="E143">
        <v>656</v>
      </c>
      <c t="s" s="6" r="F143">
        <v>81</v>
      </c>
      <c t="s" s="6" r="G143">
        <v>106</v>
      </c>
      <c s="6" r="H143">
        <v>0</v>
      </c>
      <c t="s" s="6" r="I143">
        <v>897</v>
      </c>
      <c t="s" s="6" r="J143">
        <v>1195</v>
      </c>
      <c t="s" s="6" r="M143">
        <v>1260</v>
      </c>
      <c s="6" r="N143">
        <v>1</v>
      </c>
      <c s="6" r="O143">
        <v>0</v>
      </c>
      <c t="s" s="6" r="P143">
        <v>86</v>
      </c>
      <c t="s" s="6" r="Q143">
        <v>87</v>
      </c>
      <c t="s" s="6" r="R143">
        <v>1313</v>
      </c>
      <c t="s" s="6" r="S143">
        <v>1314</v>
      </c>
      <c t="s" s="6" r="T143">
        <v>90</v>
      </c>
      <c t="s" s="6" r="U143">
        <v>1315</v>
      </c>
      <c s="6" r="V143">
        <v>1</v>
      </c>
      <c s="6" r="W143">
        <v>1</v>
      </c>
      <c s="6" r="X143">
        <v>0</v>
      </c>
      <c s="6" r="Y143">
        <v>0</v>
      </c>
      <c s="6" r="Z143">
        <v>0</v>
      </c>
      <c t="s" s="6" r="AA143">
        <v>92</v>
      </c>
      <c t="s" s="6" r="AB143">
        <v>92</v>
      </c>
      <c t="s" s="6" r="AC143">
        <v>92</v>
      </c>
      <c s="6" r="AD143">
        <v>1</v>
      </c>
      <c s="6" r="AE143">
        <v>1</v>
      </c>
      <c t="s" s="6" r="AF143">
        <v>92</v>
      </c>
      <c t="s" s="6" r="AG143">
        <v>92</v>
      </c>
      <c t="s" s="6" r="AH143">
        <v>92</v>
      </c>
      <c t="s" s="6" r="AI143">
        <v>92</v>
      </c>
      <c t="s" s="6" r="AJ143">
        <v>92</v>
      </c>
      <c t="s" s="6" r="AK143">
        <v>92</v>
      </c>
      <c t="s" s="6" r="AL143">
        <v>92</v>
      </c>
      <c t="s" s="6" r="AM143">
        <v>92</v>
      </c>
      <c t="s" s="6" r="AN143">
        <v>92</v>
      </c>
      <c s="6" r="AP143">
        <v>1</v>
      </c>
      <c t="s" s="6" r="AR143">
        <v>1316</v>
      </c>
      <c s="6" r="AS143">
        <v>0</v>
      </c>
      <c s="6" r="AT143">
        <v>0</v>
      </c>
      <c s="6" r="AU143">
        <v>0</v>
      </c>
      <c s="6" r="AV143">
        <v>0</v>
      </c>
      <c s="6" r="AW143">
        <v>0</v>
      </c>
      <c s="6" r="AX143">
        <v>0</v>
      </c>
      <c s="6" r="AY143">
        <v>0</v>
      </c>
      <c s="6" r="AZ143">
        <v>0</v>
      </c>
      <c s="6" r="BA143">
        <v>0</v>
      </c>
      <c s="6" r="BB143">
        <v>0</v>
      </c>
      <c s="6" r="BC143">
        <v>0</v>
      </c>
      <c s="6" r="BD143">
        <v>0</v>
      </c>
      <c s="6" r="BE143">
        <v>0</v>
      </c>
      <c s="6" r="BF143">
        <v>0</v>
      </c>
      <c s="6" r="BG143">
        <v>0</v>
      </c>
      <c s="6" r="BH143">
        <v>0</v>
      </c>
      <c s="6" r="BI143">
        <v>0</v>
      </c>
      <c s="6" r="BJ143">
        <v>0</v>
      </c>
      <c s="6" r="BK143">
        <v>0</v>
      </c>
      <c s="6" r="BL143">
        <v>0</v>
      </c>
      <c s="6" r="BM143">
        <v>0</v>
      </c>
      <c s="6" r="BN143">
        <v>0</v>
      </c>
      <c s="6" r="BO143">
        <v>0</v>
      </c>
      <c s="6" r="BP143">
        <v>0</v>
      </c>
      <c s="6" r="BQ143">
        <v>0</v>
      </c>
      <c t="str" s="6" r="BR143">
        <f>HYPERLINK("http://www.d20pfsrd.com/magic/all-spells/d/detect-snares-and-pits","Detect Snares and Pits")</f>
        <v>Detect Snares and Pits</v>
      </c>
      <c s="6" r="BS143">
        <v>142</v>
      </c>
      <c t="s" s="6" r="BT143">
        <v>92</v>
      </c>
      <c s="6" r="BY143">
        <v>0</v>
      </c>
    </row>
    <row customHeight="1" r="144" ht="14.25">
      <c t="s" s="6" r="A144">
        <v>1317</v>
      </c>
      <c t="s" s="6" r="B144">
        <v>174</v>
      </c>
      <c t="s" s="6" r="D144">
        <v>117</v>
      </c>
      <c t="s" s="6" r="E144">
        <v>1318</v>
      </c>
      <c t="s" s="6" r="F144">
        <v>81</v>
      </c>
      <c t="s" s="6" r="G144">
        <v>1319</v>
      </c>
      <c s="6" r="H144">
        <v>0</v>
      </c>
      <c t="s" s="6" r="I144">
        <v>897</v>
      </c>
      <c t="s" s="6" r="J144">
        <v>1195</v>
      </c>
      <c t="s" s="6" r="M144">
        <v>1286</v>
      </c>
      <c s="6" r="N144">
        <v>1</v>
      </c>
      <c s="6" r="O144">
        <v>0</v>
      </c>
      <c t="s" s="6" r="P144">
        <v>474</v>
      </c>
      <c t="s" s="6" r="Q144">
        <v>87</v>
      </c>
      <c t="s" s="6" r="R144">
        <v>1320</v>
      </c>
      <c t="s" s="6" r="S144">
        <v>1321</v>
      </c>
      <c t="s" s="6" r="T144">
        <v>90</v>
      </c>
      <c t="s" s="6" r="U144">
        <v>1322</v>
      </c>
      <c s="6" r="V144">
        <v>1</v>
      </c>
      <c s="6" r="W144">
        <v>1</v>
      </c>
      <c s="6" r="X144">
        <v>0</v>
      </c>
      <c s="6" r="Y144">
        <v>0</v>
      </c>
      <c s="6" r="Z144">
        <v>1</v>
      </c>
      <c s="6" r="AA144">
        <v>2</v>
      </c>
      <c s="6" r="AB144">
        <v>2</v>
      </c>
      <c t="s" s="6" r="AC144">
        <v>92</v>
      </c>
      <c t="s" s="6" r="AD144">
        <v>92</v>
      </c>
      <c t="s" s="6" r="AE144">
        <v>92</v>
      </c>
      <c s="6" r="AF144">
        <v>2</v>
      </c>
      <c t="s" s="6" r="AG144">
        <v>92</v>
      </c>
      <c s="6" r="AH144">
        <v>2</v>
      </c>
      <c s="6" r="AI144">
        <v>2</v>
      </c>
      <c s="6" r="AJ144">
        <v>2</v>
      </c>
      <c s="6" r="AK144">
        <v>2</v>
      </c>
      <c t="s" s="6" r="AL144">
        <v>92</v>
      </c>
      <c t="s" s="6" r="AM144">
        <v>92</v>
      </c>
      <c t="s" s="6" r="AN144">
        <v>92</v>
      </c>
      <c s="6" r="AP144">
        <v>2</v>
      </c>
      <c t="s" s="6" r="AQ144">
        <v>1323</v>
      </c>
      <c t="s" s="6" r="AR144">
        <v>1324</v>
      </c>
      <c s="6" r="AS144">
        <v>0</v>
      </c>
      <c s="6" r="AT144">
        <v>0</v>
      </c>
      <c s="6" r="AU144">
        <v>0</v>
      </c>
      <c s="6" r="AV144">
        <v>0</v>
      </c>
      <c s="6" r="AW144">
        <v>0</v>
      </c>
      <c s="6" r="AX144">
        <v>0</v>
      </c>
      <c s="6" r="AY144">
        <v>0</v>
      </c>
      <c s="6" r="AZ144">
        <v>0</v>
      </c>
      <c s="6" r="BA144">
        <v>0</v>
      </c>
      <c s="6" r="BB144">
        <v>0</v>
      </c>
      <c s="6" r="BC144">
        <v>0</v>
      </c>
      <c s="6" r="BD144">
        <v>0</v>
      </c>
      <c s="6" r="BE144">
        <v>0</v>
      </c>
      <c s="6" r="BF144">
        <v>0</v>
      </c>
      <c s="6" r="BG144">
        <v>0</v>
      </c>
      <c s="6" r="BH144">
        <v>0</v>
      </c>
      <c s="6" r="BI144">
        <v>0</v>
      </c>
      <c s="6" r="BJ144">
        <v>0</v>
      </c>
      <c s="6" r="BK144">
        <v>0</v>
      </c>
      <c s="6" r="BL144">
        <v>1</v>
      </c>
      <c s="6" r="BM144">
        <v>0</v>
      </c>
      <c s="6" r="BN144">
        <v>0</v>
      </c>
      <c s="6" r="BO144">
        <v>0</v>
      </c>
      <c s="6" r="BP144">
        <v>0</v>
      </c>
      <c s="6" r="BQ144">
        <v>0</v>
      </c>
      <c t="str" s="6" r="BR144">
        <f>HYPERLINK("http://www.d20pfsrd.com/magic/all-spells/d/detect-thoughts","Detect Thoughts")</f>
        <v>Detect Thoughts</v>
      </c>
      <c s="6" r="BS144">
        <v>143</v>
      </c>
      <c t="s" s="6" r="BT144">
        <v>92</v>
      </c>
      <c s="6" r="BY144">
        <v>0</v>
      </c>
    </row>
    <row customHeight="1" r="145" ht="14.25">
      <c t="s" s="6" r="A145">
        <v>1325</v>
      </c>
      <c t="s" s="6" r="B145">
        <v>174</v>
      </c>
      <c t="s" s="6" r="E145">
        <v>1326</v>
      </c>
      <c t="s" s="6" r="F145">
        <v>81</v>
      </c>
      <c t="s" s="6" r="G145">
        <v>1327</v>
      </c>
      <c s="6" r="H145">
        <v>0</v>
      </c>
      <c t="s" s="6" r="I145">
        <v>897</v>
      </c>
      <c t="s" s="6" r="J145">
        <v>1195</v>
      </c>
      <c t="s" s="6" r="M145">
        <v>1328</v>
      </c>
      <c s="6" r="N145">
        <v>1</v>
      </c>
      <c s="6" r="O145">
        <v>0</v>
      </c>
      <c t="s" s="6" r="P145">
        <v>86</v>
      </c>
      <c t="s" s="6" r="Q145">
        <v>87</v>
      </c>
      <c t="s" s="6" r="R145">
        <v>1329</v>
      </c>
      <c t="s" s="6" r="S145">
        <v>1330</v>
      </c>
      <c t="s" s="6" r="T145">
        <v>90</v>
      </c>
      <c t="s" s="6" r="U145">
        <v>1331</v>
      </c>
      <c s="6" r="V145">
        <v>1</v>
      </c>
      <c s="6" r="W145">
        <v>1</v>
      </c>
      <c s="6" r="X145">
        <v>1</v>
      </c>
      <c s="6" r="Y145">
        <v>0</v>
      </c>
      <c s="6" r="Z145">
        <v>1</v>
      </c>
      <c s="6" r="AA145">
        <v>1</v>
      </c>
      <c s="6" r="AB145">
        <v>1</v>
      </c>
      <c s="6" r="AC145">
        <v>1</v>
      </c>
      <c t="s" s="6" r="AD145">
        <v>92</v>
      </c>
      <c t="s" s="6" r="AE145">
        <v>92</v>
      </c>
      <c t="s" s="6" r="AF145">
        <v>92</v>
      </c>
      <c s="6" r="AG145">
        <v>1</v>
      </c>
      <c s="6" r="AH145">
        <v>1</v>
      </c>
      <c t="s" s="6" r="AI145">
        <v>92</v>
      </c>
      <c t="s" s="6" r="AJ145">
        <v>92</v>
      </c>
      <c s="6" r="AK145">
        <v>1</v>
      </c>
      <c s="6" r="AL145">
        <v>1</v>
      </c>
      <c t="s" s="6" r="AM145">
        <v>92</v>
      </c>
      <c t="s" s="6" r="AN145">
        <v>92</v>
      </c>
      <c s="6" r="AP145">
        <v>1</v>
      </c>
      <c t="s" s="6" r="AR145">
        <v>1332</v>
      </c>
      <c s="6" r="AS145">
        <v>0</v>
      </c>
      <c s="6" r="AT145">
        <v>0</v>
      </c>
      <c s="6" r="AU145">
        <v>0</v>
      </c>
      <c s="6" r="AV145">
        <v>0</v>
      </c>
      <c s="6" r="AW145">
        <v>0</v>
      </c>
      <c s="6" r="AX145">
        <v>0</v>
      </c>
      <c s="6" r="AY145">
        <v>0</v>
      </c>
      <c s="6" r="AZ145">
        <v>0</v>
      </c>
      <c s="6" r="BA145">
        <v>0</v>
      </c>
      <c s="6" r="BB145">
        <v>0</v>
      </c>
      <c s="6" r="BC145">
        <v>0</v>
      </c>
      <c s="6" r="BD145">
        <v>0</v>
      </c>
      <c s="6" r="BE145">
        <v>0</v>
      </c>
      <c s="6" r="BF145">
        <v>0</v>
      </c>
      <c s="6" r="BG145">
        <v>0</v>
      </c>
      <c s="6" r="BH145">
        <v>0</v>
      </c>
      <c s="6" r="BI145">
        <v>0</v>
      </c>
      <c s="6" r="BJ145">
        <v>0</v>
      </c>
      <c s="6" r="BK145">
        <v>0</v>
      </c>
      <c s="6" r="BL145">
        <v>0</v>
      </c>
      <c s="6" r="BM145">
        <v>0</v>
      </c>
      <c s="6" r="BN145">
        <v>0</v>
      </c>
      <c s="6" r="BO145">
        <v>0</v>
      </c>
      <c s="6" r="BP145">
        <v>0</v>
      </c>
      <c s="6" r="BQ145">
        <v>0</v>
      </c>
      <c t="str" s="6" r="BR145">
        <f>HYPERLINK("http://www.d20pfsrd.com/magic/all-spells/d/detect-undead","Detect Undead")</f>
        <v>Detect Undead</v>
      </c>
      <c s="6" r="BS145">
        <v>144</v>
      </c>
      <c t="s" s="6" r="BT145">
        <v>92</v>
      </c>
      <c t="s" s="6" r="BV145">
        <v>873</v>
      </c>
      <c s="6" r="BY145">
        <v>0</v>
      </c>
    </row>
    <row customHeight="1" r="146" ht="14.25">
      <c t="s" s="6" r="A146">
        <v>1333</v>
      </c>
      <c t="s" s="6" r="B146">
        <v>493</v>
      </c>
      <c t="s" s="6" r="D146">
        <v>1334</v>
      </c>
      <c t="s" s="6" r="E146">
        <v>507</v>
      </c>
      <c t="s" s="6" r="F146">
        <v>81</v>
      </c>
      <c t="s" s="6" r="G146">
        <v>251</v>
      </c>
      <c s="6" r="H146">
        <v>0</v>
      </c>
      <c t="s" s="6" r="I146">
        <v>508</v>
      </c>
      <c t="s" s="6" r="J146">
        <v>1335</v>
      </c>
      <c t="s" s="6" r="M146">
        <v>109</v>
      </c>
      <c s="6" r="N146">
        <v>0</v>
      </c>
      <c s="6" r="O146">
        <v>0</v>
      </c>
      <c t="s" s="6" r="P146">
        <v>178</v>
      </c>
      <c t="s" s="6" r="Q146">
        <v>188</v>
      </c>
      <c t="s" s="6" r="R146">
        <v>1336</v>
      </c>
      <c t="s" s="6" r="S146">
        <v>1337</v>
      </c>
      <c t="s" s="6" r="T146">
        <v>90</v>
      </c>
      <c t="s" s="6" r="U146">
        <v>1338</v>
      </c>
      <c s="6" r="V146">
        <v>1</v>
      </c>
      <c s="6" r="W146">
        <v>0</v>
      </c>
      <c s="6" r="X146">
        <v>0</v>
      </c>
      <c s="6" r="Y146">
        <v>0</v>
      </c>
      <c s="6" r="Z146">
        <v>0</v>
      </c>
      <c t="s" s="6" r="AA146">
        <v>92</v>
      </c>
      <c t="s" s="6" r="AB146">
        <v>92</v>
      </c>
      <c s="6" r="AC146">
        <v>7</v>
      </c>
      <c t="s" s="6" r="AD146">
        <v>92</v>
      </c>
      <c t="s" s="6" r="AE146">
        <v>92</v>
      </c>
      <c t="s" s="6" r="AF146">
        <v>92</v>
      </c>
      <c t="s" s="6" r="AG146">
        <v>92</v>
      </c>
      <c t="s" s="6" r="AH146">
        <v>92</v>
      </c>
      <c t="s" s="6" r="AI146">
        <v>92</v>
      </c>
      <c t="s" s="6" r="AJ146">
        <v>92</v>
      </c>
      <c s="6" r="AK146">
        <v>6</v>
      </c>
      <c s="6" r="AL146">
        <v>7</v>
      </c>
      <c t="s" s="6" r="AM146">
        <v>92</v>
      </c>
      <c t="s" s="6" r="AN146">
        <v>92</v>
      </c>
      <c s="6" r="AP146">
        <v>7</v>
      </c>
      <c t="s" s="6" r="AQ146">
        <v>1339</v>
      </c>
      <c t="s" s="6" r="AR146">
        <v>1340</v>
      </c>
      <c s="6" r="AS146">
        <v>0</v>
      </c>
      <c s="6" r="AT146">
        <v>0</v>
      </c>
      <c s="6" r="AU146">
        <v>0</v>
      </c>
      <c s="6" r="AV146">
        <v>0</v>
      </c>
      <c s="6" r="AW146">
        <v>0</v>
      </c>
      <c s="6" r="AX146">
        <v>0</v>
      </c>
      <c s="6" r="AY146">
        <v>0</v>
      </c>
      <c s="6" r="AZ146">
        <v>0</v>
      </c>
      <c s="6" r="BA146">
        <v>0</v>
      </c>
      <c s="6" r="BB146">
        <v>0</v>
      </c>
      <c s="6" r="BC146">
        <v>0</v>
      </c>
      <c s="6" r="BD146">
        <v>0</v>
      </c>
      <c s="6" r="BE146">
        <v>0</v>
      </c>
      <c s="6" r="BF146">
        <v>0</v>
      </c>
      <c s="6" r="BG146">
        <v>0</v>
      </c>
      <c s="6" r="BH146">
        <v>0</v>
      </c>
      <c s="6" r="BI146">
        <v>0</v>
      </c>
      <c s="6" r="BJ146">
        <v>1</v>
      </c>
      <c s="6" r="BK146">
        <v>0</v>
      </c>
      <c s="6" r="BL146">
        <v>0</v>
      </c>
      <c s="6" r="BM146">
        <v>0</v>
      </c>
      <c s="6" r="BN146">
        <v>0</v>
      </c>
      <c s="6" r="BO146">
        <v>0</v>
      </c>
      <c s="6" r="BP146">
        <v>1</v>
      </c>
      <c s="6" r="BQ146">
        <v>0</v>
      </c>
      <c t="str" s="6" r="BR146">
        <f>HYPERLINK("http://www.d20pfsrd.com/magic/all-spells/d/dictum","Dictum")</f>
        <v>Dictum</v>
      </c>
      <c s="6" r="BS146">
        <v>145</v>
      </c>
      <c t="s" s="6" r="BT146">
        <v>92</v>
      </c>
      <c t="s" s="6" r="BW146">
        <v>1341</v>
      </c>
      <c s="6" r="BY146">
        <v>1</v>
      </c>
    </row>
    <row customHeight="1" r="147" ht="14.25">
      <c t="s" s="6" r="A147">
        <v>1342</v>
      </c>
      <c t="s" s="6" r="B147">
        <v>162</v>
      </c>
      <c t="s" s="6" r="E147">
        <v>1343</v>
      </c>
      <c t="s" s="6" r="F147">
        <v>81</v>
      </c>
      <c t="s" s="6" r="G147">
        <v>106</v>
      </c>
      <c s="6" r="H147">
        <v>0</v>
      </c>
      <c t="s" s="6" r="I147">
        <v>97</v>
      </c>
      <c t="s" s="6" r="K147">
        <v>1344</v>
      </c>
      <c t="s" s="6" r="M147">
        <v>122</v>
      </c>
      <c s="6" r="N147">
        <v>0</v>
      </c>
      <c s="6" r="O147">
        <v>0</v>
      </c>
      <c t="s" s="6" r="P147">
        <v>86</v>
      </c>
      <c t="s" s="6" r="Q147">
        <v>536</v>
      </c>
      <c t="s" s="6" r="R147">
        <v>1345</v>
      </c>
      <c t="s" s="6" r="S147">
        <v>1346</v>
      </c>
      <c t="s" s="6" r="T147">
        <v>90</v>
      </c>
      <c t="s" s="6" r="U147">
        <v>1347</v>
      </c>
      <c s="6" r="V147">
        <v>1</v>
      </c>
      <c s="6" r="W147">
        <v>1</v>
      </c>
      <c s="6" r="X147">
        <v>0</v>
      </c>
      <c s="6" r="Y147">
        <v>0</v>
      </c>
      <c s="6" r="Z147">
        <v>0</v>
      </c>
      <c s="6" r="AA147">
        <v>4</v>
      </c>
      <c s="6" r="AB147">
        <v>4</v>
      </c>
      <c s="6" r="AC147">
        <v>4</v>
      </c>
      <c t="s" s="6" r="AD147">
        <v>92</v>
      </c>
      <c t="s" s="6" r="AE147">
        <v>92</v>
      </c>
      <c t="s" s="6" r="AF147">
        <v>92</v>
      </c>
      <c t="s" s="6" r="AG147">
        <v>92</v>
      </c>
      <c t="s" s="6" r="AH147">
        <v>92</v>
      </c>
      <c s="6" r="AI147">
        <v>3</v>
      </c>
      <c t="s" s="6" r="AJ147">
        <v>92</v>
      </c>
      <c s="6" r="AK147">
        <v>3</v>
      </c>
      <c s="6" r="AL147">
        <v>4</v>
      </c>
      <c t="s" s="6" r="AM147">
        <v>92</v>
      </c>
      <c t="s" s="6" r="AN147">
        <v>92</v>
      </c>
      <c s="6" r="AP147">
        <v>4</v>
      </c>
      <c t="s" s="6" r="AQ147">
        <v>327</v>
      </c>
      <c t="s" s="6" r="AR147">
        <v>1348</v>
      </c>
      <c s="6" r="AS147">
        <v>0</v>
      </c>
      <c s="6" r="AT147">
        <v>0</v>
      </c>
      <c s="6" r="AU147">
        <v>0</v>
      </c>
      <c s="6" r="AV147">
        <v>0</v>
      </c>
      <c s="6" r="AW147">
        <v>0</v>
      </c>
      <c s="6" r="AX147">
        <v>0</v>
      </c>
      <c s="6" r="AY147">
        <v>0</v>
      </c>
      <c s="6" r="AZ147">
        <v>0</v>
      </c>
      <c s="6" r="BA147">
        <v>0</v>
      </c>
      <c s="6" r="BB147">
        <v>0</v>
      </c>
      <c s="6" r="BC147">
        <v>0</v>
      </c>
      <c s="6" r="BD147">
        <v>0</v>
      </c>
      <c s="6" r="BE147">
        <v>0</v>
      </c>
      <c s="6" r="BF147">
        <v>0</v>
      </c>
      <c s="6" r="BG147">
        <v>0</v>
      </c>
      <c s="6" r="BH147">
        <v>0</v>
      </c>
      <c s="6" r="BI147">
        <v>0</v>
      </c>
      <c s="6" r="BJ147">
        <v>0</v>
      </c>
      <c s="6" r="BK147">
        <v>0</v>
      </c>
      <c s="6" r="BL147">
        <v>0</v>
      </c>
      <c s="6" r="BM147">
        <v>0</v>
      </c>
      <c s="6" r="BN147">
        <v>0</v>
      </c>
      <c s="6" r="BO147">
        <v>0</v>
      </c>
      <c s="6" r="BP147">
        <v>0</v>
      </c>
      <c s="6" r="BQ147">
        <v>0</v>
      </c>
      <c t="str" s="6" r="BR147">
        <f>HYPERLINK("http://www.d20pfsrd.com/magic/all-spells/d/dimensional-anchor","Dimensional Anchor")</f>
        <v>Dimensional Anchor</v>
      </c>
      <c s="6" r="BS147">
        <v>146</v>
      </c>
      <c t="s" s="6" r="BT147">
        <v>92</v>
      </c>
      <c t="s" s="6" r="BV147">
        <v>407</v>
      </c>
      <c s="6" r="BY147">
        <v>0</v>
      </c>
    </row>
    <row customHeight="1" r="148" ht="14.25">
      <c t="s" s="6" r="A148">
        <v>1349</v>
      </c>
      <c t="s" s="6" r="B148">
        <v>162</v>
      </c>
      <c t="s" s="6" r="E148">
        <v>1350</v>
      </c>
      <c t="s" s="6" r="F148">
        <v>81</v>
      </c>
      <c t="s" s="6" r="G148">
        <v>106</v>
      </c>
      <c s="6" r="H148">
        <v>0</v>
      </c>
      <c t="s" s="6" r="I148">
        <v>97</v>
      </c>
      <c t="s" s="6" r="J148">
        <v>165</v>
      </c>
      <c t="s" s="6" r="M148">
        <v>200</v>
      </c>
      <c s="6" r="N148">
        <v>0</v>
      </c>
      <c s="6" r="O148">
        <v>0</v>
      </c>
      <c t="s" s="6" r="P148">
        <v>86</v>
      </c>
      <c t="s" s="6" r="Q148">
        <v>188</v>
      </c>
      <c t="s" s="6" r="R148">
        <v>1351</v>
      </c>
      <c t="s" s="6" r="S148">
        <v>1352</v>
      </c>
      <c t="s" s="6" r="T148">
        <v>90</v>
      </c>
      <c t="s" s="6" r="U148">
        <v>1353</v>
      </c>
      <c s="6" r="V148">
        <v>1</v>
      </c>
      <c s="6" r="W148">
        <v>1</v>
      </c>
      <c s="6" r="X148">
        <v>0</v>
      </c>
      <c s="6" r="Y148">
        <v>0</v>
      </c>
      <c s="6" r="Z148">
        <v>0</v>
      </c>
      <c s="6" r="AA148">
        <v>8</v>
      </c>
      <c s="6" r="AB148">
        <v>8</v>
      </c>
      <c s="6" r="AC148">
        <v>8</v>
      </c>
      <c t="s" s="6" r="AD148">
        <v>92</v>
      </c>
      <c t="s" s="6" r="AE148">
        <v>92</v>
      </c>
      <c t="s" s="6" r="AF148">
        <v>92</v>
      </c>
      <c t="s" s="6" r="AG148">
        <v>92</v>
      </c>
      <c t="s" s="6" r="AH148">
        <v>92</v>
      </c>
      <c s="6" r="AI148">
        <v>6</v>
      </c>
      <c t="s" s="6" r="AJ148">
        <v>92</v>
      </c>
      <c t="s" s="6" r="AK148">
        <v>92</v>
      </c>
      <c s="6" r="AL148">
        <v>8</v>
      </c>
      <c t="s" s="6" r="AM148">
        <v>92</v>
      </c>
      <c t="s" s="6" r="AN148">
        <v>92</v>
      </c>
      <c s="6" r="AP148">
        <v>8</v>
      </c>
      <c t="s" s="6" r="AR148">
        <v>1354</v>
      </c>
      <c s="6" r="AS148">
        <v>0</v>
      </c>
      <c s="6" r="AT148">
        <v>0</v>
      </c>
      <c s="6" r="AU148">
        <v>0</v>
      </c>
      <c s="6" r="AV148">
        <v>0</v>
      </c>
      <c s="6" r="AW148">
        <v>0</v>
      </c>
      <c s="6" r="AX148">
        <v>0</v>
      </c>
      <c s="6" r="AY148">
        <v>0</v>
      </c>
      <c s="6" r="AZ148">
        <v>0</v>
      </c>
      <c s="6" r="BA148">
        <v>0</v>
      </c>
      <c s="6" r="BB148">
        <v>0</v>
      </c>
      <c s="6" r="BC148">
        <v>0</v>
      </c>
      <c s="6" r="BD148">
        <v>0</v>
      </c>
      <c s="6" r="BE148">
        <v>0</v>
      </c>
      <c s="6" r="BF148">
        <v>0</v>
      </c>
      <c s="6" r="BG148">
        <v>0</v>
      </c>
      <c s="6" r="BH148">
        <v>0</v>
      </c>
      <c s="6" r="BI148">
        <v>0</v>
      </c>
      <c s="6" r="BJ148">
        <v>0</v>
      </c>
      <c s="6" r="BK148">
        <v>0</v>
      </c>
      <c s="6" r="BL148">
        <v>0</v>
      </c>
      <c s="6" r="BM148">
        <v>0</v>
      </c>
      <c s="6" r="BN148">
        <v>0</v>
      </c>
      <c s="6" r="BO148">
        <v>0</v>
      </c>
      <c s="6" r="BP148">
        <v>0</v>
      </c>
      <c s="6" r="BQ148">
        <v>0</v>
      </c>
      <c t="str" s="6" r="BR148">
        <f>HYPERLINK("http://www.d20pfsrd.com/magic/all-spells/d/dimensional-lock","Dimensional Lock")</f>
        <v>Dimensional Lock</v>
      </c>
      <c s="6" r="BS148">
        <v>147</v>
      </c>
      <c t="s" s="6" r="BT148">
        <v>92</v>
      </c>
      <c t="s" s="6" r="BU148">
        <v>469</v>
      </c>
      <c t="s" s="6" r="BV148">
        <v>407</v>
      </c>
      <c s="6" r="BY148">
        <v>0</v>
      </c>
    </row>
    <row customHeight="1" r="149" ht="14.25">
      <c t="s" s="6" r="A149">
        <v>1355</v>
      </c>
      <c t="s" s="6" r="B149">
        <v>78</v>
      </c>
      <c t="s" s="6" r="C149">
        <v>1356</v>
      </c>
      <c t="s" s="6" r="E149">
        <v>1357</v>
      </c>
      <c t="s" s="6" r="F149">
        <v>81</v>
      </c>
      <c t="s" s="6" r="G149">
        <v>251</v>
      </c>
      <c s="6" r="H149">
        <v>0</v>
      </c>
      <c t="s" s="6" r="I149">
        <v>83</v>
      </c>
      <c t="s" s="6" r="L149">
        <v>1358</v>
      </c>
      <c t="s" s="6" r="M149">
        <v>109</v>
      </c>
      <c s="6" r="N149">
        <v>0</v>
      </c>
      <c s="6" r="O149">
        <v>0</v>
      </c>
      <c t="s" s="6" r="P149">
        <v>1359</v>
      </c>
      <c t="s" s="6" r="Q149">
        <v>1360</v>
      </c>
      <c t="s" s="6" r="R149">
        <v>1361</v>
      </c>
      <c t="s" s="6" r="S149">
        <v>1362</v>
      </c>
      <c t="s" s="6" r="T149">
        <v>90</v>
      </c>
      <c t="s" s="6" r="U149">
        <v>1363</v>
      </c>
      <c s="6" r="V149">
        <v>1</v>
      </c>
      <c s="6" r="W149">
        <v>0</v>
      </c>
      <c s="6" r="X149">
        <v>0</v>
      </c>
      <c s="6" r="Y149">
        <v>0</v>
      </c>
      <c s="6" r="Z149">
        <v>0</v>
      </c>
      <c s="6" r="AA149">
        <v>4</v>
      </c>
      <c s="6" r="AB149">
        <v>4</v>
      </c>
      <c t="s" s="6" r="AC149">
        <v>92</v>
      </c>
      <c t="s" s="6" r="AD149">
        <v>92</v>
      </c>
      <c t="s" s="6" r="AE149">
        <v>92</v>
      </c>
      <c s="6" r="AF149">
        <v>4</v>
      </c>
      <c t="s" s="6" r="AG149">
        <v>92</v>
      </c>
      <c t="s" s="6" r="AH149">
        <v>92</v>
      </c>
      <c s="6" r="AI149">
        <v>3</v>
      </c>
      <c s="6" r="AJ149">
        <v>4</v>
      </c>
      <c t="s" s="6" r="AK149">
        <v>92</v>
      </c>
      <c t="s" s="6" r="AL149">
        <v>92</v>
      </c>
      <c t="s" s="6" r="AM149">
        <v>92</v>
      </c>
      <c s="6" r="AN149">
        <v>4</v>
      </c>
      <c s="6" r="AP149">
        <v>4</v>
      </c>
      <c t="s" s="6" r="AQ149">
        <v>357</v>
      </c>
      <c t="s" s="6" r="AR149">
        <v>1364</v>
      </c>
      <c s="6" r="AS149">
        <v>0</v>
      </c>
      <c s="6" r="AT149">
        <v>0</v>
      </c>
      <c s="6" r="AU149">
        <v>0</v>
      </c>
      <c s="6" r="AV149">
        <v>0</v>
      </c>
      <c s="6" r="AW149">
        <v>0</v>
      </c>
      <c s="6" r="AX149">
        <v>0</v>
      </c>
      <c s="6" r="AY149">
        <v>0</v>
      </c>
      <c s="6" r="AZ149">
        <v>0</v>
      </c>
      <c s="6" r="BA149">
        <v>0</v>
      </c>
      <c s="6" r="BB149">
        <v>0</v>
      </c>
      <c s="6" r="BC149">
        <v>0</v>
      </c>
      <c s="6" r="BD149">
        <v>0</v>
      </c>
      <c s="6" r="BE149">
        <v>0</v>
      </c>
      <c s="6" r="BF149">
        <v>0</v>
      </c>
      <c s="6" r="BG149">
        <v>0</v>
      </c>
      <c s="6" r="BH149">
        <v>0</v>
      </c>
      <c s="6" r="BI149">
        <v>0</v>
      </c>
      <c s="6" r="BJ149">
        <v>0</v>
      </c>
      <c s="6" r="BK149">
        <v>0</v>
      </c>
      <c s="6" r="BL149">
        <v>0</v>
      </c>
      <c s="6" r="BM149">
        <v>0</v>
      </c>
      <c s="6" r="BN149">
        <v>0</v>
      </c>
      <c s="6" r="BO149">
        <v>0</v>
      </c>
      <c s="6" r="BP149">
        <v>0</v>
      </c>
      <c s="6" r="BQ149">
        <v>0</v>
      </c>
      <c t="str" s="6" r="BR149">
        <f>HYPERLINK("http://www.d20pfsrd.com/magic/all-spells/d/dimension-door","Dimension Door")</f>
        <v>Dimension Door</v>
      </c>
      <c s="6" r="BS149">
        <v>148</v>
      </c>
      <c t="s" s="6" r="BT149">
        <v>92</v>
      </c>
      <c t="s" s="6" r="BU149">
        <v>182</v>
      </c>
      <c s="6" r="BY149">
        <v>0</v>
      </c>
    </row>
    <row customHeight="1" r="150" ht="14.25">
      <c t="s" s="6" r="A150">
        <v>1365</v>
      </c>
      <c t="s" s="6" r="B150">
        <v>131</v>
      </c>
      <c t="s" s="6" r="E150">
        <v>1366</v>
      </c>
      <c t="s" s="6" r="F150">
        <v>81</v>
      </c>
      <c t="s" s="6" r="G150">
        <v>119</v>
      </c>
      <c s="6" r="H150">
        <v>0</v>
      </c>
      <c t="s" s="6" r="I150">
        <v>141</v>
      </c>
      <c t="s" s="6" r="J150">
        <v>141</v>
      </c>
      <c t="s" s="6" r="L150">
        <v>141</v>
      </c>
      <c t="s" s="6" r="M150">
        <v>109</v>
      </c>
      <c s="6" r="N150">
        <v>0</v>
      </c>
      <c s="6" r="O150">
        <v>0</v>
      </c>
      <c t="s" s="6" r="P150">
        <v>86</v>
      </c>
      <c t="s" s="6" r="Q150">
        <v>87</v>
      </c>
      <c t="s" s="6" r="R150">
        <v>1367</v>
      </c>
      <c t="s" s="6" r="S150">
        <v>1368</v>
      </c>
      <c t="s" s="6" r="T150">
        <v>90</v>
      </c>
      <c t="s" s="6" r="U150">
        <v>1369</v>
      </c>
      <c s="6" r="V150">
        <v>1</v>
      </c>
      <c s="6" r="W150">
        <v>1</v>
      </c>
      <c s="6" r="X150">
        <v>0</v>
      </c>
      <c s="6" r="Y150">
        <v>0</v>
      </c>
      <c s="6" r="Z150">
        <v>1</v>
      </c>
      <c t="s" s="6" r="AA150">
        <v>92</v>
      </c>
      <c t="s" s="6" r="AB150">
        <v>92</v>
      </c>
      <c t="s" s="6" r="AC150">
        <v>92</v>
      </c>
      <c s="6" r="AD150">
        <v>3</v>
      </c>
      <c s="6" r="AE150">
        <v>3</v>
      </c>
      <c t="s" s="6" r="AF150">
        <v>92</v>
      </c>
      <c t="s" s="6" r="AG150">
        <v>92</v>
      </c>
      <c t="s" s="6" r="AH150">
        <v>92</v>
      </c>
      <c t="s" s="6" r="AI150">
        <v>92</v>
      </c>
      <c t="s" s="6" r="AJ150">
        <v>92</v>
      </c>
      <c t="s" s="6" r="AK150">
        <v>92</v>
      </c>
      <c t="s" s="6" r="AL150">
        <v>92</v>
      </c>
      <c t="s" s="6" r="AM150">
        <v>92</v>
      </c>
      <c t="s" s="6" r="AN150">
        <v>92</v>
      </c>
      <c s="6" r="AP150">
        <v>3</v>
      </c>
      <c t="s" s="6" r="AR150">
        <v>1370</v>
      </c>
      <c s="6" r="AS150">
        <v>0</v>
      </c>
      <c s="6" r="AT150">
        <v>0</v>
      </c>
      <c s="6" r="AU150">
        <v>0</v>
      </c>
      <c s="6" r="AV150">
        <v>0</v>
      </c>
      <c s="6" r="AW150">
        <v>0</v>
      </c>
      <c s="6" r="AX150">
        <v>0</v>
      </c>
      <c s="6" r="AY150">
        <v>0</v>
      </c>
      <c s="6" r="AZ150">
        <v>0</v>
      </c>
      <c s="6" r="BA150">
        <v>0</v>
      </c>
      <c s="6" r="BB150">
        <v>0</v>
      </c>
      <c s="6" r="BC150">
        <v>0</v>
      </c>
      <c s="6" r="BD150">
        <v>0</v>
      </c>
      <c s="6" r="BE150">
        <v>0</v>
      </c>
      <c s="6" r="BF150">
        <v>0</v>
      </c>
      <c s="6" r="BG150">
        <v>0</v>
      </c>
      <c s="6" r="BH150">
        <v>0</v>
      </c>
      <c s="6" r="BI150">
        <v>0</v>
      </c>
      <c s="6" r="BJ150">
        <v>0</v>
      </c>
      <c s="6" r="BK150">
        <v>0</v>
      </c>
      <c s="6" r="BL150">
        <v>0</v>
      </c>
      <c s="6" r="BM150">
        <v>0</v>
      </c>
      <c s="6" r="BN150">
        <v>0</v>
      </c>
      <c s="6" r="BO150">
        <v>0</v>
      </c>
      <c s="6" r="BP150">
        <v>0</v>
      </c>
      <c s="6" r="BQ150">
        <v>0</v>
      </c>
      <c t="str" s="6" r="BR150">
        <f>HYPERLINK("http://www.d20pfsrd.com/magic/all-spells/d/diminish-plants","Diminish Plants")</f>
        <v>Diminish Plants</v>
      </c>
      <c s="6" r="BS150">
        <v>149</v>
      </c>
      <c t="s" s="6" r="BT150">
        <v>92</v>
      </c>
      <c s="6" r="BY150">
        <v>0</v>
      </c>
    </row>
    <row customHeight="1" r="151" ht="14.25">
      <c t="s" s="6" r="A151">
        <v>1371</v>
      </c>
      <c t="s" s="6" r="B151">
        <v>174</v>
      </c>
      <c t="s" s="6" r="E151">
        <v>1372</v>
      </c>
      <c t="s" s="6" r="F151">
        <v>81</v>
      </c>
      <c t="s" s="6" r="G151">
        <v>119</v>
      </c>
      <c s="6" r="H151">
        <v>0</v>
      </c>
      <c t="s" s="6" r="I151">
        <v>107</v>
      </c>
      <c t="s" s="6" r="L151">
        <v>620</v>
      </c>
      <c t="s" s="6" r="M151">
        <v>666</v>
      </c>
      <c s="6" r="N151">
        <v>0</v>
      </c>
      <c s="6" r="O151">
        <v>0</v>
      </c>
      <c t="s" s="6" r="P151">
        <v>221</v>
      </c>
      <c t="s" s="6" r="Q151">
        <v>87</v>
      </c>
      <c t="s" s="6" r="R151">
        <v>1373</v>
      </c>
      <c t="s" s="6" r="S151">
        <v>1374</v>
      </c>
      <c t="s" s="6" r="T151">
        <v>90</v>
      </c>
      <c t="s" s="6" r="U151">
        <v>1375</v>
      </c>
      <c s="6" r="V151">
        <v>1</v>
      </c>
      <c s="6" r="W151">
        <v>1</v>
      </c>
      <c s="6" r="X151">
        <v>0</v>
      </c>
      <c s="6" r="Y151">
        <v>0</v>
      </c>
      <c s="6" r="Z151">
        <v>1</v>
      </c>
      <c t="s" s="6" r="AA151">
        <v>92</v>
      </c>
      <c t="s" s="6" r="AB151">
        <v>92</v>
      </c>
      <c s="6" r="AC151">
        <v>4</v>
      </c>
      <c t="s" s="6" r="AD151">
        <v>92</v>
      </c>
      <c t="s" s="6" r="AE151">
        <v>92</v>
      </c>
      <c t="s" s="6" r="AF151">
        <v>92</v>
      </c>
      <c s="6" r="AG151">
        <v>3</v>
      </c>
      <c s="6" r="AH151">
        <v>4</v>
      </c>
      <c t="s" s="6" r="AI151">
        <v>92</v>
      </c>
      <c s="6" r="AJ151">
        <v>4</v>
      </c>
      <c s="6" r="AK151">
        <v>4</v>
      </c>
      <c s="6" r="AL151">
        <v>4</v>
      </c>
      <c t="s" s="6" r="AM151">
        <v>92</v>
      </c>
      <c t="s" s="6" r="AN151">
        <v>92</v>
      </c>
      <c s="6" r="AP151">
        <v>4</v>
      </c>
      <c t="s" s="6" r="AQ151">
        <v>1376</v>
      </c>
      <c t="s" s="6" r="AR151">
        <v>1377</v>
      </c>
      <c s="6" r="AS151">
        <v>0</v>
      </c>
      <c s="6" r="AT151">
        <v>0</v>
      </c>
      <c s="6" r="AU151">
        <v>0</v>
      </c>
      <c s="6" r="AV151">
        <v>0</v>
      </c>
      <c s="6" r="AW151">
        <v>0</v>
      </c>
      <c s="6" r="AX151">
        <v>0</v>
      </c>
      <c s="6" r="AY151">
        <v>0</v>
      </c>
      <c s="6" r="AZ151">
        <v>0</v>
      </c>
      <c s="6" r="BA151">
        <v>0</v>
      </c>
      <c s="6" r="BB151">
        <v>0</v>
      </c>
      <c s="6" r="BC151">
        <v>0</v>
      </c>
      <c s="6" r="BD151">
        <v>0</v>
      </c>
      <c s="6" r="BE151">
        <v>0</v>
      </c>
      <c s="6" r="BF151">
        <v>0</v>
      </c>
      <c s="6" r="BG151">
        <v>0</v>
      </c>
      <c s="6" r="BH151">
        <v>0</v>
      </c>
      <c s="6" r="BI151">
        <v>0</v>
      </c>
      <c s="6" r="BJ151">
        <v>0</v>
      </c>
      <c s="6" r="BK151">
        <v>0</v>
      </c>
      <c s="6" r="BL151">
        <v>0</v>
      </c>
      <c s="6" r="BM151">
        <v>0</v>
      </c>
      <c s="6" r="BN151">
        <v>0</v>
      </c>
      <c s="6" r="BO151">
        <v>0</v>
      </c>
      <c s="6" r="BP151">
        <v>0</v>
      </c>
      <c s="6" r="BQ151">
        <v>0</v>
      </c>
      <c t="str" s="6" r="BR151">
        <f>HYPERLINK("http://www.d20pfsrd.com/magic/all-spells/d/discern-lies","Discern Lies")</f>
        <v>Discern Lies</v>
      </c>
      <c s="6" r="BS151">
        <v>150</v>
      </c>
      <c t="s" s="6" r="BT151">
        <v>92</v>
      </c>
      <c s="6" r="BY151">
        <v>0</v>
      </c>
    </row>
    <row customHeight="1" r="152" ht="14.25">
      <c t="s" s="6" r="A152">
        <v>1378</v>
      </c>
      <c t="s" s="6" r="B152">
        <v>174</v>
      </c>
      <c t="s" s="6" r="E152">
        <v>1379</v>
      </c>
      <c t="s" s="6" r="F152">
        <v>311</v>
      </c>
      <c t="s" s="6" r="G152">
        <v>119</v>
      </c>
      <c s="6" r="H152">
        <v>0</v>
      </c>
      <c t="s" s="6" r="I152">
        <v>313</v>
      </c>
      <c t="s" s="6" r="L152">
        <v>1380</v>
      </c>
      <c t="s" s="6" r="M152">
        <v>109</v>
      </c>
      <c s="6" r="N152">
        <v>0</v>
      </c>
      <c s="6" r="O152">
        <v>0</v>
      </c>
      <c t="s" s="6" r="P152">
        <v>86</v>
      </c>
      <c t="s" s="6" r="Q152">
        <v>87</v>
      </c>
      <c t="s" s="6" r="R152">
        <v>1381</v>
      </c>
      <c t="s" s="6" r="S152">
        <v>1382</v>
      </c>
      <c t="s" s="6" r="T152">
        <v>90</v>
      </c>
      <c t="s" s="6" r="U152">
        <v>1383</v>
      </c>
      <c s="6" r="V152">
        <v>1</v>
      </c>
      <c s="6" r="W152">
        <v>1</v>
      </c>
      <c s="6" r="X152">
        <v>0</v>
      </c>
      <c s="6" r="Y152">
        <v>0</v>
      </c>
      <c s="6" r="Z152">
        <v>1</v>
      </c>
      <c s="6" r="AA152">
        <v>8</v>
      </c>
      <c s="6" r="AB152">
        <v>8</v>
      </c>
      <c s="6" r="AC152">
        <v>8</v>
      </c>
      <c t="s" s="6" r="AD152">
        <v>92</v>
      </c>
      <c t="s" s="6" r="AE152">
        <v>92</v>
      </c>
      <c t="s" s="6" r="AF152">
        <v>92</v>
      </c>
      <c t="s" s="6" r="AG152">
        <v>92</v>
      </c>
      <c t="s" s="6" r="AH152">
        <v>92</v>
      </c>
      <c s="6" r="AI152">
        <v>6</v>
      </c>
      <c s="6" r="AJ152">
        <v>8</v>
      </c>
      <c t="s" s="6" r="AK152">
        <v>92</v>
      </c>
      <c s="6" r="AL152">
        <v>8</v>
      </c>
      <c t="s" s="6" r="AM152">
        <v>92</v>
      </c>
      <c t="s" s="6" r="AN152">
        <v>92</v>
      </c>
      <c s="6" r="AP152">
        <v>8</v>
      </c>
      <c t="s" s="6" r="AQ152">
        <v>1323</v>
      </c>
      <c t="s" s="6" r="AR152">
        <v>1384</v>
      </c>
      <c s="6" r="AS152">
        <v>0</v>
      </c>
      <c s="6" r="AT152">
        <v>0</v>
      </c>
      <c s="6" r="AU152">
        <v>0</v>
      </c>
      <c s="6" r="AV152">
        <v>0</v>
      </c>
      <c s="6" r="AW152">
        <v>0</v>
      </c>
      <c s="6" r="AX152">
        <v>0</v>
      </c>
      <c s="6" r="AY152">
        <v>0</v>
      </c>
      <c s="6" r="AZ152">
        <v>0</v>
      </c>
      <c s="6" r="BA152">
        <v>0</v>
      </c>
      <c s="6" r="BB152">
        <v>0</v>
      </c>
      <c s="6" r="BC152">
        <v>0</v>
      </c>
      <c s="6" r="BD152">
        <v>0</v>
      </c>
      <c s="6" r="BE152">
        <v>0</v>
      </c>
      <c s="6" r="BF152">
        <v>0</v>
      </c>
      <c s="6" r="BG152">
        <v>0</v>
      </c>
      <c s="6" r="BH152">
        <v>0</v>
      </c>
      <c s="6" r="BI152">
        <v>0</v>
      </c>
      <c s="6" r="BJ152">
        <v>0</v>
      </c>
      <c s="6" r="BK152">
        <v>0</v>
      </c>
      <c s="6" r="BL152">
        <v>0</v>
      </c>
      <c s="6" r="BM152">
        <v>0</v>
      </c>
      <c s="6" r="BN152">
        <v>0</v>
      </c>
      <c s="6" r="BO152">
        <v>0</v>
      </c>
      <c s="6" r="BP152">
        <v>0</v>
      </c>
      <c s="6" r="BQ152">
        <v>0</v>
      </c>
      <c t="str" s="6" r="BR152">
        <f>HYPERLINK("http://www.d20pfsrd.com/magic/all-spells/d/discern-location","Discern Location")</f>
        <v>Discern Location</v>
      </c>
      <c s="6" r="BS152">
        <v>151</v>
      </c>
      <c t="s" s="6" r="BT152">
        <v>92</v>
      </c>
      <c s="6" r="BY152">
        <v>0</v>
      </c>
    </row>
    <row customHeight="1" r="153" ht="14.25">
      <c t="s" s="6" r="A153">
        <v>1385</v>
      </c>
      <c t="s" s="6" r="B153">
        <v>579</v>
      </c>
      <c t="s" s="6" r="C153">
        <v>580</v>
      </c>
      <c t="s" s="6" r="E153">
        <v>1386</v>
      </c>
      <c t="s" s="6" r="F153">
        <v>81</v>
      </c>
      <c t="s" s="6" r="G153">
        <v>106</v>
      </c>
      <c s="6" r="H153">
        <v>0</v>
      </c>
      <c t="s" s="6" r="I153">
        <v>155</v>
      </c>
      <c t="s" s="6" r="L153">
        <v>156</v>
      </c>
      <c t="s" s="6" r="M153">
        <v>134</v>
      </c>
      <c s="6" r="N153">
        <v>1</v>
      </c>
      <c s="6" r="O153">
        <v>0</v>
      </c>
      <c t="s" s="6" r="R153">
        <v>1387</v>
      </c>
      <c t="s" s="6" r="S153">
        <v>1388</v>
      </c>
      <c t="s" s="6" r="T153">
        <v>90</v>
      </c>
      <c t="s" s="6" r="U153">
        <v>1389</v>
      </c>
      <c s="6" r="V153">
        <v>1</v>
      </c>
      <c s="6" r="W153">
        <v>1</v>
      </c>
      <c s="6" r="X153">
        <v>0</v>
      </c>
      <c s="6" r="Y153">
        <v>0</v>
      </c>
      <c s="6" r="Z153">
        <v>0</v>
      </c>
      <c s="6" r="AA153">
        <v>1</v>
      </c>
      <c s="6" r="AB153">
        <v>1</v>
      </c>
      <c t="s" s="6" r="AC153">
        <v>92</v>
      </c>
      <c t="s" s="6" r="AD153">
        <v>92</v>
      </c>
      <c t="s" s="6" r="AE153">
        <v>92</v>
      </c>
      <c s="6" r="AF153">
        <v>1</v>
      </c>
      <c t="s" s="6" r="AG153">
        <v>92</v>
      </c>
      <c s="6" r="AH153">
        <v>1</v>
      </c>
      <c t="s" s="6" r="AI153">
        <v>92</v>
      </c>
      <c t="s" s="6" r="AJ153">
        <v>92</v>
      </c>
      <c s="6" r="AK153">
        <v>1</v>
      </c>
      <c t="s" s="6" r="AL153">
        <v>92</v>
      </c>
      <c s="6" r="AM153">
        <v>1</v>
      </c>
      <c t="s" s="6" r="AN153">
        <v>92</v>
      </c>
      <c s="6" r="AP153">
        <v>1</v>
      </c>
      <c t="s" s="6" r="AQ153">
        <v>269</v>
      </c>
      <c t="s" s="6" r="AR153">
        <v>1390</v>
      </c>
      <c s="6" r="AS153">
        <v>0</v>
      </c>
      <c s="6" r="AT153">
        <v>0</v>
      </c>
      <c s="6" r="AU153">
        <v>0</v>
      </c>
      <c s="6" r="AV153">
        <v>0</v>
      </c>
      <c s="6" r="AW153">
        <v>0</v>
      </c>
      <c s="6" r="AX153">
        <v>0</v>
      </c>
      <c s="6" r="AY153">
        <v>0</v>
      </c>
      <c s="6" r="AZ153">
        <v>0</v>
      </c>
      <c s="6" r="BA153">
        <v>0</v>
      </c>
      <c s="6" r="BB153">
        <v>0</v>
      </c>
      <c s="6" r="BC153">
        <v>0</v>
      </c>
      <c s="6" r="BD153">
        <v>0</v>
      </c>
      <c s="6" r="BE153">
        <v>0</v>
      </c>
      <c s="6" r="BF153">
        <v>0</v>
      </c>
      <c s="6" r="BG153">
        <v>0</v>
      </c>
      <c s="6" r="BH153">
        <v>0</v>
      </c>
      <c s="6" r="BI153">
        <v>0</v>
      </c>
      <c s="6" r="BJ153">
        <v>0</v>
      </c>
      <c s="6" r="BK153">
        <v>0</v>
      </c>
      <c s="6" r="BL153">
        <v>0</v>
      </c>
      <c s="6" r="BM153">
        <v>0</v>
      </c>
      <c s="6" r="BN153">
        <v>0</v>
      </c>
      <c s="6" r="BO153">
        <v>0</v>
      </c>
      <c s="6" r="BP153">
        <v>0</v>
      </c>
      <c s="6" r="BQ153">
        <v>0</v>
      </c>
      <c t="str" s="6" r="BR153">
        <f>HYPERLINK("http://www.d20pfsrd.com/magic/all-spells/d/disguise-self","Disguise Self")</f>
        <v>Disguise Self</v>
      </c>
      <c s="6" r="BS153">
        <v>152</v>
      </c>
      <c t="s" s="6" r="BT153">
        <v>92</v>
      </c>
      <c s="6" r="BY153">
        <v>0</v>
      </c>
    </row>
    <row customHeight="1" r="154" ht="14.25">
      <c t="s" s="6" r="A154">
        <v>1391</v>
      </c>
      <c t="s" s="6" r="B154">
        <v>131</v>
      </c>
      <c t="s" s="6" r="E154">
        <v>95</v>
      </c>
      <c t="s" s="6" r="F154">
        <v>81</v>
      </c>
      <c t="s" s="6" r="G154">
        <v>1392</v>
      </c>
      <c s="6" r="H154">
        <v>0</v>
      </c>
      <c t="s" s="6" r="I154">
        <v>97</v>
      </c>
      <c t="s" s="6" r="K154">
        <v>1344</v>
      </c>
      <c t="s" s="6" r="M154">
        <v>109</v>
      </c>
      <c s="6" r="N154">
        <v>0</v>
      </c>
      <c s="6" r="O154">
        <v>0</v>
      </c>
      <c t="s" s="6" r="P154">
        <v>1393</v>
      </c>
      <c t="s" s="6" r="Q154">
        <v>188</v>
      </c>
      <c t="s" s="6" r="R154">
        <v>1394</v>
      </c>
      <c t="s" s="6" r="S154">
        <v>1395</v>
      </c>
      <c t="s" s="6" r="T154">
        <v>90</v>
      </c>
      <c t="s" s="6" r="U154">
        <v>1396</v>
      </c>
      <c s="6" r="V154">
        <v>1</v>
      </c>
      <c s="6" r="W154">
        <v>1</v>
      </c>
      <c s="6" r="X154">
        <v>1</v>
      </c>
      <c s="6" r="Y154">
        <v>0</v>
      </c>
      <c s="6" r="Z154">
        <v>1</v>
      </c>
      <c s="6" r="AA154">
        <v>6</v>
      </c>
      <c s="6" r="AB154">
        <v>6</v>
      </c>
      <c t="s" s="6" r="AC154">
        <v>92</v>
      </c>
      <c t="s" s="6" r="AD154">
        <v>92</v>
      </c>
      <c t="s" s="6" r="AE154">
        <v>92</v>
      </c>
      <c t="s" s="6" r="AF154">
        <v>92</v>
      </c>
      <c t="s" s="6" r="AG154">
        <v>92</v>
      </c>
      <c t="s" s="6" r="AH154">
        <v>92</v>
      </c>
      <c t="s" s="6" r="AI154">
        <v>92</v>
      </c>
      <c t="s" s="6" r="AJ154">
        <v>92</v>
      </c>
      <c t="s" s="6" r="AK154">
        <v>92</v>
      </c>
      <c t="s" s="6" r="AL154">
        <v>92</v>
      </c>
      <c t="s" s="6" r="AM154">
        <v>92</v>
      </c>
      <c s="6" r="AN154">
        <v>6</v>
      </c>
      <c s="6" r="AP154">
        <v>6</v>
      </c>
      <c t="s" s="6" r="AQ154">
        <v>1397</v>
      </c>
      <c t="s" s="6" r="AR154">
        <v>1398</v>
      </c>
      <c s="6" r="AS154">
        <v>0</v>
      </c>
      <c s="6" r="AT154">
        <v>0</v>
      </c>
      <c s="6" r="AU154">
        <v>0</v>
      </c>
      <c s="6" r="AV154">
        <v>0</v>
      </c>
      <c s="6" r="AW154">
        <v>0</v>
      </c>
      <c s="6" r="AX154">
        <v>0</v>
      </c>
      <c s="6" r="AY154">
        <v>0</v>
      </c>
      <c s="6" r="AZ154">
        <v>0</v>
      </c>
      <c s="6" r="BA154">
        <v>0</v>
      </c>
      <c s="6" r="BB154">
        <v>0</v>
      </c>
      <c s="6" r="BC154">
        <v>0</v>
      </c>
      <c s="6" r="BD154">
        <v>0</v>
      </c>
      <c s="6" r="BE154">
        <v>0</v>
      </c>
      <c s="6" r="BF154">
        <v>0</v>
      </c>
      <c s="6" r="BG154">
        <v>0</v>
      </c>
      <c s="6" r="BH154">
        <v>0</v>
      </c>
      <c s="6" r="BI154">
        <v>0</v>
      </c>
      <c s="6" r="BJ154">
        <v>0</v>
      </c>
      <c s="6" r="BK154">
        <v>0</v>
      </c>
      <c s="6" r="BL154">
        <v>0</v>
      </c>
      <c s="6" r="BM154">
        <v>0</v>
      </c>
      <c s="6" r="BN154">
        <v>0</v>
      </c>
      <c s="6" r="BO154">
        <v>0</v>
      </c>
      <c s="6" r="BP154">
        <v>0</v>
      </c>
      <c s="6" r="BQ154">
        <v>0</v>
      </c>
      <c t="str" s="6" r="BR154">
        <f>HYPERLINK("http://www.d20pfsrd.com/magic/all-spells/d/disintegrate","Disintegrate")</f>
        <v>Disintegrate</v>
      </c>
      <c s="6" r="BS154">
        <v>153</v>
      </c>
      <c t="s" s="6" r="BT154">
        <v>92</v>
      </c>
      <c t="s" s="6" r="BV154">
        <v>1399</v>
      </c>
      <c t="s" s="6" r="BW154">
        <v>1400</v>
      </c>
      <c t="s" s="6" r="BX154">
        <v>1401</v>
      </c>
      <c s="6" r="BY154">
        <v>1</v>
      </c>
    </row>
    <row customHeight="1" r="155" ht="14.25">
      <c t="s" s="6" r="A155">
        <v>1402</v>
      </c>
      <c t="s" s="6" r="B155">
        <v>162</v>
      </c>
      <c t="s" s="6" r="E155">
        <v>1403</v>
      </c>
      <c t="s" s="6" r="F155">
        <v>81</v>
      </c>
      <c t="s" s="6" r="G155">
        <v>119</v>
      </c>
      <c s="6" r="H155">
        <v>0</v>
      </c>
      <c t="s" s="6" r="I155">
        <v>107</v>
      </c>
      <c t="s" s="6" r="L155">
        <v>1404</v>
      </c>
      <c t="s" s="6" r="M155">
        <v>109</v>
      </c>
      <c s="6" r="N155">
        <v>0</v>
      </c>
      <c s="6" r="O155">
        <v>0</v>
      </c>
      <c t="s" s="6" r="P155">
        <v>474</v>
      </c>
      <c t="s" s="6" r="Q155">
        <v>188</v>
      </c>
      <c t="s" s="6" r="R155">
        <v>1405</v>
      </c>
      <c t="s" s="6" r="S155">
        <v>1406</v>
      </c>
      <c t="s" s="6" r="T155">
        <v>90</v>
      </c>
      <c t="s" s="6" r="U155">
        <v>1407</v>
      </c>
      <c s="6" r="V155">
        <v>1</v>
      </c>
      <c s="6" r="W155">
        <v>1</v>
      </c>
      <c s="6" r="X155">
        <v>0</v>
      </c>
      <c s="6" r="Y155">
        <v>0</v>
      </c>
      <c s="6" r="Z155">
        <v>1</v>
      </c>
      <c s="6" r="AA155">
        <v>5</v>
      </c>
      <c s="6" r="AB155">
        <v>5</v>
      </c>
      <c s="6" r="AC155">
        <v>4</v>
      </c>
      <c t="s" s="6" r="AD155">
        <v>92</v>
      </c>
      <c t="s" s="6" r="AE155">
        <v>92</v>
      </c>
      <c t="s" s="6" r="AF155">
        <v>92</v>
      </c>
      <c t="s" s="6" r="AG155">
        <v>92</v>
      </c>
      <c t="s" s="6" r="AH155">
        <v>92</v>
      </c>
      <c s="6" r="AI155">
        <v>4</v>
      </c>
      <c t="s" s="6" r="AJ155">
        <v>92</v>
      </c>
      <c s="6" r="AK155">
        <v>4</v>
      </c>
      <c s="6" r="AL155">
        <v>4</v>
      </c>
      <c t="s" s="6" r="AM155">
        <v>92</v>
      </c>
      <c t="s" s="6" r="AN155">
        <v>92</v>
      </c>
      <c s="6" r="AP155">
        <v>5</v>
      </c>
      <c t="s" s="6" r="AR155">
        <v>1408</v>
      </c>
      <c s="6" r="AS155">
        <v>0</v>
      </c>
      <c s="6" r="AT155">
        <v>0</v>
      </c>
      <c s="6" r="AU155">
        <v>0</v>
      </c>
      <c s="6" r="AV155">
        <v>0</v>
      </c>
      <c s="6" r="AW155">
        <v>0</v>
      </c>
      <c s="6" r="AX155">
        <v>0</v>
      </c>
      <c s="6" r="AY155">
        <v>0</v>
      </c>
      <c s="6" r="AZ155">
        <v>0</v>
      </c>
      <c s="6" r="BA155">
        <v>0</v>
      </c>
      <c s="6" r="BB155">
        <v>0</v>
      </c>
      <c s="6" r="BC155">
        <v>0</v>
      </c>
      <c s="6" r="BD155">
        <v>0</v>
      </c>
      <c s="6" r="BE155">
        <v>0</v>
      </c>
      <c s="6" r="BF155">
        <v>0</v>
      </c>
      <c s="6" r="BG155">
        <v>0</v>
      </c>
      <c s="6" r="BH155">
        <v>0</v>
      </c>
      <c s="6" r="BI155">
        <v>0</v>
      </c>
      <c s="6" r="BJ155">
        <v>0</v>
      </c>
      <c s="6" r="BK155">
        <v>0</v>
      </c>
      <c s="6" r="BL155">
        <v>0</v>
      </c>
      <c s="6" r="BM155">
        <v>0</v>
      </c>
      <c s="6" r="BN155">
        <v>0</v>
      </c>
      <c s="6" r="BO155">
        <v>0</v>
      </c>
      <c s="6" r="BP155">
        <v>0</v>
      </c>
      <c s="6" r="BQ155">
        <v>0</v>
      </c>
      <c t="str" s="6" r="BR155">
        <f>HYPERLINK("http://www.d20pfsrd.com/magic/all-spells/d/dismissal","Dismissal")</f>
        <v>Dismissal</v>
      </c>
      <c s="6" r="BS155">
        <v>154</v>
      </c>
      <c t="s" s="6" r="BT155">
        <v>92</v>
      </c>
      <c t="s" s="6" r="BU155">
        <v>697</v>
      </c>
      <c t="s" s="6" r="BV155">
        <v>301</v>
      </c>
      <c s="6" r="BY155">
        <v>0</v>
      </c>
    </row>
    <row customHeight="1" r="156" ht="14.25">
      <c t="s" s="6" r="A156">
        <v>1409</v>
      </c>
      <c t="s" s="6" r="B156">
        <v>162</v>
      </c>
      <c t="s" s="6" r="D156">
        <v>61</v>
      </c>
      <c t="s" s="6" r="E156">
        <v>1410</v>
      </c>
      <c t="s" s="6" r="F156">
        <v>81</v>
      </c>
      <c t="s" s="6" r="G156">
        <v>119</v>
      </c>
      <c s="6" r="H156">
        <v>0</v>
      </c>
      <c t="s" s="6" r="I156">
        <v>120</v>
      </c>
      <c t="s" s="6" r="L156">
        <v>1411</v>
      </c>
      <c t="s" s="6" r="M156">
        <v>1412</v>
      </c>
      <c s="6" r="N156">
        <v>0</v>
      </c>
      <c s="6" r="O156">
        <v>0</v>
      </c>
      <c t="s" s="6" r="P156">
        <v>141</v>
      </c>
      <c t="s" s="6" r="Q156">
        <v>141</v>
      </c>
      <c t="s" s="6" r="R156">
        <v>1413</v>
      </c>
      <c t="s" s="6" r="S156">
        <v>1414</v>
      </c>
      <c t="s" s="6" r="T156">
        <v>90</v>
      </c>
      <c t="s" s="6" r="U156">
        <v>1415</v>
      </c>
      <c s="6" r="V156">
        <v>1</v>
      </c>
      <c s="6" r="W156">
        <v>1</v>
      </c>
      <c s="6" r="X156">
        <v>0</v>
      </c>
      <c s="6" r="Y156">
        <v>0</v>
      </c>
      <c s="6" r="Z156">
        <v>1</v>
      </c>
      <c t="s" s="6" r="AA156">
        <v>92</v>
      </c>
      <c t="s" s="6" r="AB156">
        <v>92</v>
      </c>
      <c s="6" r="AC156">
        <v>5</v>
      </c>
      <c t="s" s="6" r="AD156">
        <v>92</v>
      </c>
      <c t="s" s="6" r="AE156">
        <v>92</v>
      </c>
      <c t="s" s="6" r="AF156">
        <v>92</v>
      </c>
      <c s="6" r="AG156">
        <v>4</v>
      </c>
      <c t="s" s="6" r="AH156">
        <v>92</v>
      </c>
      <c t="s" s="6" r="AI156">
        <v>92</v>
      </c>
      <c t="s" s="6" r="AJ156">
        <v>92</v>
      </c>
      <c s="6" r="AK156">
        <v>5</v>
      </c>
      <c s="6" r="AL156">
        <v>5</v>
      </c>
      <c t="s" s="6" r="AM156">
        <v>92</v>
      </c>
      <c t="s" s="6" r="AN156">
        <v>92</v>
      </c>
      <c s="6" r="AP156">
        <v>5</v>
      </c>
      <c t="s" s="6" r="AQ156">
        <v>1339</v>
      </c>
      <c t="s" s="6" r="AR156">
        <v>1416</v>
      </c>
      <c s="6" r="AS156">
        <v>0</v>
      </c>
      <c s="6" r="AT156">
        <v>0</v>
      </c>
      <c s="6" r="AU156">
        <v>0</v>
      </c>
      <c s="6" r="AV156">
        <v>0</v>
      </c>
      <c s="6" r="AW156">
        <v>0</v>
      </c>
      <c s="6" r="AX156">
        <v>0</v>
      </c>
      <c s="6" r="AY156">
        <v>0</v>
      </c>
      <c s="6" r="AZ156">
        <v>0</v>
      </c>
      <c s="6" r="BA156">
        <v>0</v>
      </c>
      <c s="6" r="BB156">
        <v>0</v>
      </c>
      <c s="6" r="BC156">
        <v>0</v>
      </c>
      <c s="6" r="BD156">
        <v>0</v>
      </c>
      <c s="6" r="BE156">
        <v>0</v>
      </c>
      <c s="6" r="BF156">
        <v>0</v>
      </c>
      <c s="6" r="BG156">
        <v>0</v>
      </c>
      <c s="6" r="BH156">
        <v>0</v>
      </c>
      <c s="6" r="BI156">
        <v>0</v>
      </c>
      <c s="6" r="BJ156">
        <v>1</v>
      </c>
      <c s="6" r="BK156">
        <v>0</v>
      </c>
      <c s="6" r="BL156">
        <v>0</v>
      </c>
      <c s="6" r="BM156">
        <v>0</v>
      </c>
      <c s="6" r="BN156">
        <v>0</v>
      </c>
      <c s="6" r="BO156">
        <v>0</v>
      </c>
      <c s="6" r="BP156">
        <v>0</v>
      </c>
      <c s="6" r="BQ156">
        <v>0</v>
      </c>
      <c t="str" s="6" r="BR156">
        <f>HYPERLINK("http://www.d20pfsrd.com/magic/all-spells/d/dispel-chaos","Dispel Chaos")</f>
        <v>Dispel Chaos</v>
      </c>
      <c s="6" r="BS156">
        <v>155</v>
      </c>
      <c t="s" s="6" r="BT156">
        <v>92</v>
      </c>
      <c s="6" r="BY156">
        <v>0</v>
      </c>
    </row>
    <row customHeight="1" r="157" ht="14.25">
      <c t="s" s="6" r="A157">
        <v>1417</v>
      </c>
      <c t="s" s="6" r="B157">
        <v>162</v>
      </c>
      <c t="s" s="6" r="D157">
        <v>59</v>
      </c>
      <c t="s" s="6" r="E157">
        <v>1410</v>
      </c>
      <c t="s" s="6" r="F157">
        <v>81</v>
      </c>
      <c t="s" s="6" r="G157">
        <v>119</v>
      </c>
      <c s="6" r="H157">
        <v>0</v>
      </c>
      <c t="s" s="6" r="I157">
        <v>120</v>
      </c>
      <c t="s" s="6" r="L157">
        <v>1418</v>
      </c>
      <c t="s" s="6" r="M157">
        <v>1412</v>
      </c>
      <c s="6" r="N157">
        <v>0</v>
      </c>
      <c s="6" r="O157">
        <v>0</v>
      </c>
      <c t="s" s="6" r="P157">
        <v>141</v>
      </c>
      <c t="s" s="6" r="Q157">
        <v>141</v>
      </c>
      <c t="s" s="6" r="R157">
        <v>1419</v>
      </c>
      <c t="s" s="6" r="S157">
        <v>1420</v>
      </c>
      <c t="s" s="6" r="T157">
        <v>90</v>
      </c>
      <c t="s" s="6" r="U157">
        <v>1421</v>
      </c>
      <c s="6" r="V157">
        <v>1</v>
      </c>
      <c s="6" r="W157">
        <v>1</v>
      </c>
      <c s="6" r="X157">
        <v>0</v>
      </c>
      <c s="6" r="Y157">
        <v>0</v>
      </c>
      <c s="6" r="Z157">
        <v>1</v>
      </c>
      <c t="s" s="6" r="AA157">
        <v>92</v>
      </c>
      <c t="s" s="6" r="AB157">
        <v>92</v>
      </c>
      <c s="6" r="AC157">
        <v>5</v>
      </c>
      <c t="s" s="6" r="AD157">
        <v>92</v>
      </c>
      <c t="s" s="6" r="AE157">
        <v>92</v>
      </c>
      <c t="s" s="6" r="AF157">
        <v>92</v>
      </c>
      <c s="6" r="AG157">
        <v>4</v>
      </c>
      <c t="s" s="6" r="AH157">
        <v>92</v>
      </c>
      <c t="s" s="6" r="AI157">
        <v>92</v>
      </c>
      <c t="s" s="6" r="AJ157">
        <v>92</v>
      </c>
      <c s="6" r="AK157">
        <v>5</v>
      </c>
      <c s="6" r="AL157">
        <v>5</v>
      </c>
      <c t="s" s="6" r="AM157">
        <v>92</v>
      </c>
      <c t="s" s="6" r="AN157">
        <v>92</v>
      </c>
      <c s="6" r="AP157">
        <v>5</v>
      </c>
      <c t="s" s="6" r="AQ157">
        <v>1422</v>
      </c>
      <c t="s" s="6" r="AR157">
        <v>1423</v>
      </c>
      <c s="6" r="AS157">
        <v>0</v>
      </c>
      <c s="6" r="AT157">
        <v>0</v>
      </c>
      <c s="6" r="AU157">
        <v>0</v>
      </c>
      <c s="6" r="AV157">
        <v>0</v>
      </c>
      <c s="6" r="AW157">
        <v>0</v>
      </c>
      <c s="6" r="AX157">
        <v>0</v>
      </c>
      <c s="6" r="AY157">
        <v>0</v>
      </c>
      <c s="6" r="AZ157">
        <v>0</v>
      </c>
      <c s="6" r="BA157">
        <v>0</v>
      </c>
      <c s="6" r="BB157">
        <v>0</v>
      </c>
      <c s="6" r="BC157">
        <v>0</v>
      </c>
      <c s="6" r="BD157">
        <v>0</v>
      </c>
      <c s="6" r="BE157">
        <v>0</v>
      </c>
      <c s="6" r="BF157">
        <v>0</v>
      </c>
      <c s="6" r="BG157">
        <v>0</v>
      </c>
      <c s="6" r="BH157">
        <v>1</v>
      </c>
      <c s="6" r="BI157">
        <v>0</v>
      </c>
      <c s="6" r="BJ157">
        <v>0</v>
      </c>
      <c s="6" r="BK157">
        <v>0</v>
      </c>
      <c s="6" r="BL157">
        <v>0</v>
      </c>
      <c s="6" r="BM157">
        <v>0</v>
      </c>
      <c s="6" r="BN157">
        <v>0</v>
      </c>
      <c s="6" r="BO157">
        <v>0</v>
      </c>
      <c s="6" r="BP157">
        <v>0</v>
      </c>
      <c s="6" r="BQ157">
        <v>0</v>
      </c>
      <c t="str" s="6" r="BR157">
        <f>HYPERLINK("http://www.d20pfsrd.com/magic/all-spells/d/dispel-evil","Dispel Evil")</f>
        <v>Dispel Evil</v>
      </c>
      <c s="6" r="BS157">
        <v>156</v>
      </c>
      <c t="s" s="6" r="BT157">
        <v>92</v>
      </c>
      <c s="6" r="BY157">
        <v>0</v>
      </c>
    </row>
    <row customHeight="1" r="158" ht="14.25">
      <c t="s" s="6" r="A158">
        <v>1424</v>
      </c>
      <c t="s" s="6" r="B158">
        <v>162</v>
      </c>
      <c t="s" s="6" r="D158">
        <v>55</v>
      </c>
      <c t="s" s="6" r="E158">
        <v>1425</v>
      </c>
      <c t="s" s="6" r="F158">
        <v>81</v>
      </c>
      <c t="s" s="6" r="G158">
        <v>119</v>
      </c>
      <c s="6" r="H158">
        <v>0</v>
      </c>
      <c t="s" s="6" r="I158">
        <v>120</v>
      </c>
      <c t="s" s="6" r="L158">
        <v>1426</v>
      </c>
      <c t="s" s="6" r="M158">
        <v>1412</v>
      </c>
      <c s="6" r="N158">
        <v>0</v>
      </c>
      <c s="6" r="O158">
        <v>0</v>
      </c>
      <c t="s" s="6" r="P158">
        <v>141</v>
      </c>
      <c t="s" s="6" r="Q158">
        <v>141</v>
      </c>
      <c t="s" s="6" r="R158">
        <v>1427</v>
      </c>
      <c t="s" s="6" r="S158">
        <v>1428</v>
      </c>
      <c t="s" s="6" r="T158">
        <v>90</v>
      </c>
      <c t="s" s="6" r="U158">
        <v>1429</v>
      </c>
      <c s="6" r="V158">
        <v>1</v>
      </c>
      <c s="6" r="W158">
        <v>1</v>
      </c>
      <c s="6" r="X158">
        <v>0</v>
      </c>
      <c s="6" r="Y158">
        <v>0</v>
      </c>
      <c s="6" r="Z158">
        <v>1</v>
      </c>
      <c t="s" s="6" r="AA158">
        <v>92</v>
      </c>
      <c t="s" s="6" r="AB158">
        <v>92</v>
      </c>
      <c s="6" r="AC158">
        <v>5</v>
      </c>
      <c t="s" s="6" r="AD158">
        <v>92</v>
      </c>
      <c t="s" s="6" r="AE158">
        <v>92</v>
      </c>
      <c t="s" s="6" r="AF158">
        <v>92</v>
      </c>
      <c t="s" s="6" r="AG158">
        <v>92</v>
      </c>
      <c t="s" s="6" r="AH158">
        <v>92</v>
      </c>
      <c t="s" s="6" r="AI158">
        <v>92</v>
      </c>
      <c t="s" s="6" r="AJ158">
        <v>92</v>
      </c>
      <c s="6" r="AK158">
        <v>5</v>
      </c>
      <c s="6" r="AL158">
        <v>5</v>
      </c>
      <c s="6" r="AM158">
        <v>4</v>
      </c>
      <c t="s" s="6" r="AN158">
        <v>92</v>
      </c>
      <c s="6" r="AP158">
        <v>5</v>
      </c>
      <c t="s" s="6" r="AQ158">
        <v>513</v>
      </c>
      <c t="s" s="6" r="AR158">
        <v>1430</v>
      </c>
      <c s="6" r="AS158">
        <v>0</v>
      </c>
      <c s="6" r="AT158">
        <v>0</v>
      </c>
      <c s="6" r="AU158">
        <v>0</v>
      </c>
      <c s="6" r="AV158">
        <v>0</v>
      </c>
      <c s="6" r="AW158">
        <v>0</v>
      </c>
      <c s="6" r="AX158">
        <v>0</v>
      </c>
      <c s="6" r="AY158">
        <v>0</v>
      </c>
      <c s="6" r="AZ158">
        <v>0</v>
      </c>
      <c s="6" r="BA158">
        <v>0</v>
      </c>
      <c s="6" r="BB158">
        <v>0</v>
      </c>
      <c s="6" r="BC158">
        <v>0</v>
      </c>
      <c s="6" r="BD158">
        <v>1</v>
      </c>
      <c s="6" r="BE158">
        <v>0</v>
      </c>
      <c s="6" r="BF158">
        <v>0</v>
      </c>
      <c s="6" r="BG158">
        <v>0</v>
      </c>
      <c s="6" r="BH158">
        <v>0</v>
      </c>
      <c s="6" r="BI158">
        <v>0</v>
      </c>
      <c s="6" r="BJ158">
        <v>0</v>
      </c>
      <c s="6" r="BK158">
        <v>0</v>
      </c>
      <c s="6" r="BL158">
        <v>0</v>
      </c>
      <c s="6" r="BM158">
        <v>0</v>
      </c>
      <c s="6" r="BN158">
        <v>0</v>
      </c>
      <c s="6" r="BO158">
        <v>0</v>
      </c>
      <c s="6" r="BP158">
        <v>0</v>
      </c>
      <c s="6" r="BQ158">
        <v>0</v>
      </c>
      <c t="str" s="6" r="BR158">
        <f>HYPERLINK("http://www.d20pfsrd.com/magic/all-spells/d/dispel-good","Dispel Good")</f>
        <v>Dispel Good</v>
      </c>
      <c s="6" r="BS158">
        <v>157</v>
      </c>
      <c t="s" s="6" r="BT158">
        <v>92</v>
      </c>
      <c s="6" r="BY158">
        <v>0</v>
      </c>
    </row>
    <row customHeight="1" r="159" ht="14.25">
      <c t="s" s="6" r="A159">
        <v>1431</v>
      </c>
      <c t="s" s="6" r="B159">
        <v>162</v>
      </c>
      <c t="s" s="6" r="D159">
        <v>46</v>
      </c>
      <c t="s" s="6" r="E159">
        <v>1425</v>
      </c>
      <c t="s" s="6" r="F159">
        <v>81</v>
      </c>
      <c t="s" s="6" r="G159">
        <v>119</v>
      </c>
      <c s="6" r="H159">
        <v>0</v>
      </c>
      <c t="s" s="6" r="I159">
        <v>120</v>
      </c>
      <c t="s" s="6" r="L159">
        <v>1432</v>
      </c>
      <c t="s" s="6" r="M159">
        <v>1412</v>
      </c>
      <c s="6" r="N159">
        <v>0</v>
      </c>
      <c s="6" r="O159">
        <v>0</v>
      </c>
      <c t="s" s="6" r="P159">
        <v>141</v>
      </c>
      <c t="s" s="6" r="Q159">
        <v>141</v>
      </c>
      <c t="s" s="6" r="R159">
        <v>1433</v>
      </c>
      <c t="s" s="6" r="S159">
        <v>1434</v>
      </c>
      <c t="s" s="6" r="T159">
        <v>90</v>
      </c>
      <c t="s" s="6" r="U159">
        <v>1435</v>
      </c>
      <c s="6" r="V159">
        <v>1</v>
      </c>
      <c s="6" r="W159">
        <v>1</v>
      </c>
      <c s="6" r="X159">
        <v>0</v>
      </c>
      <c s="6" r="Y159">
        <v>0</v>
      </c>
      <c s="6" r="Z159">
        <v>1</v>
      </c>
      <c t="s" s="6" r="AA159">
        <v>92</v>
      </c>
      <c t="s" s="6" r="AB159">
        <v>92</v>
      </c>
      <c s="6" r="AC159">
        <v>5</v>
      </c>
      <c t="s" s="6" r="AD159">
        <v>92</v>
      </c>
      <c t="s" s="6" r="AE159">
        <v>92</v>
      </c>
      <c t="s" s="6" r="AF159">
        <v>92</v>
      </c>
      <c t="s" s="6" r="AG159">
        <v>92</v>
      </c>
      <c t="s" s="6" r="AH159">
        <v>92</v>
      </c>
      <c t="s" s="6" r="AI159">
        <v>92</v>
      </c>
      <c t="s" s="6" r="AJ159">
        <v>92</v>
      </c>
      <c s="6" r="AK159">
        <v>5</v>
      </c>
      <c s="6" r="AL159">
        <v>5</v>
      </c>
      <c s="6" r="AM159">
        <v>4</v>
      </c>
      <c t="s" s="6" r="AN159">
        <v>92</v>
      </c>
      <c s="6" r="AP159">
        <v>5</v>
      </c>
      <c t="s" s="6" r="AQ159">
        <v>246</v>
      </c>
      <c t="s" s="6" r="AR159">
        <v>1436</v>
      </c>
      <c s="6" r="AS159">
        <v>0</v>
      </c>
      <c s="6" r="AT159">
        <v>0</v>
      </c>
      <c s="6" r="AU159">
        <v>1</v>
      </c>
      <c s="6" r="AV159">
        <v>0</v>
      </c>
      <c s="6" r="AW159">
        <v>0</v>
      </c>
      <c s="6" r="AX159">
        <v>0</v>
      </c>
      <c s="6" r="AY159">
        <v>0</v>
      </c>
      <c s="6" r="AZ159">
        <v>0</v>
      </c>
      <c s="6" r="BA159">
        <v>0</v>
      </c>
      <c s="6" r="BB159">
        <v>0</v>
      </c>
      <c s="6" r="BC159">
        <v>0</v>
      </c>
      <c s="6" r="BD159">
        <v>0</v>
      </c>
      <c s="6" r="BE159">
        <v>0</v>
      </c>
      <c s="6" r="BF159">
        <v>0</v>
      </c>
      <c s="6" r="BG159">
        <v>0</v>
      </c>
      <c s="6" r="BH159">
        <v>0</v>
      </c>
      <c s="6" r="BI159">
        <v>0</v>
      </c>
      <c s="6" r="BJ159">
        <v>0</v>
      </c>
      <c s="6" r="BK159">
        <v>0</v>
      </c>
      <c s="6" r="BL159">
        <v>0</v>
      </c>
      <c s="6" r="BM159">
        <v>0</v>
      </c>
      <c s="6" r="BN159">
        <v>0</v>
      </c>
      <c s="6" r="BO159">
        <v>0</v>
      </c>
      <c s="6" r="BP159">
        <v>0</v>
      </c>
      <c s="6" r="BQ159">
        <v>0</v>
      </c>
      <c t="str" s="6" r="BR159">
        <f>HYPERLINK("http://www.d20pfsrd.com/magic/all-spells/d/dispel-law","Dispel Law")</f>
        <v>Dispel Law</v>
      </c>
      <c s="6" r="BS159">
        <v>158</v>
      </c>
      <c t="s" s="6" r="BT159">
        <v>92</v>
      </c>
      <c s="6" r="BY159">
        <v>0</v>
      </c>
    </row>
    <row customHeight="1" r="160" ht="14.25">
      <c t="s" s="6" r="A160">
        <v>1437</v>
      </c>
      <c t="s" s="6" r="B160">
        <v>162</v>
      </c>
      <c t="s" s="6" r="E160">
        <v>1438</v>
      </c>
      <c t="s" s="6" r="F160">
        <v>81</v>
      </c>
      <c t="s" s="6" r="G160">
        <v>106</v>
      </c>
      <c s="6" r="H160">
        <v>0</v>
      </c>
      <c t="s" s="6" r="I160">
        <v>97</v>
      </c>
      <c t="s" s="6" r="J160">
        <v>1439</v>
      </c>
      <c t="s" s="6" r="L160">
        <v>1439</v>
      </c>
      <c t="s" s="6" r="M160">
        <v>109</v>
      </c>
      <c s="6" r="N160">
        <v>0</v>
      </c>
      <c s="6" r="O160">
        <v>0</v>
      </c>
      <c t="s" s="6" r="P160">
        <v>86</v>
      </c>
      <c t="s" s="6" r="Q160">
        <v>87</v>
      </c>
      <c t="s" s="6" r="R160">
        <v>1440</v>
      </c>
      <c t="s" s="6" r="S160">
        <v>1441</v>
      </c>
      <c t="s" s="6" r="T160">
        <v>90</v>
      </c>
      <c t="s" s="6" r="U160">
        <v>1442</v>
      </c>
      <c s="6" r="V160">
        <v>1</v>
      </c>
      <c s="6" r="W160">
        <v>1</v>
      </c>
      <c s="6" r="X160">
        <v>0</v>
      </c>
      <c s="6" r="Y160">
        <v>0</v>
      </c>
      <c s="6" r="Z160">
        <v>0</v>
      </c>
      <c s="6" r="AA160">
        <v>3</v>
      </c>
      <c s="6" r="AB160">
        <v>3</v>
      </c>
      <c s="6" r="AC160">
        <v>3</v>
      </c>
      <c s="6" r="AD160">
        <v>4</v>
      </c>
      <c t="s" s="6" r="AE160">
        <v>92</v>
      </c>
      <c s="6" r="AF160">
        <v>3</v>
      </c>
      <c s="6" r="AG160">
        <v>3</v>
      </c>
      <c t="s" s="6" r="AH160">
        <v>92</v>
      </c>
      <c s="6" r="AI160">
        <v>3</v>
      </c>
      <c s="6" r="AJ160">
        <v>3</v>
      </c>
      <c s="6" r="AK160">
        <v>3</v>
      </c>
      <c s="6" r="AL160">
        <v>3</v>
      </c>
      <c s="6" r="AM160">
        <v>3</v>
      </c>
      <c s="6" r="AN160">
        <v>3</v>
      </c>
      <c s="6" r="AP160">
        <v>3</v>
      </c>
      <c t="s" s="6" r="AQ160">
        <v>1443</v>
      </c>
      <c t="s" s="6" r="AR160">
        <v>1444</v>
      </c>
      <c s="6" r="AS160">
        <v>0</v>
      </c>
      <c s="6" r="AT160">
        <v>0</v>
      </c>
      <c s="6" r="AU160">
        <v>0</v>
      </c>
      <c s="6" r="AV160">
        <v>0</v>
      </c>
      <c s="6" r="AW160">
        <v>0</v>
      </c>
      <c s="6" r="AX160">
        <v>0</v>
      </c>
      <c s="6" r="AY160">
        <v>0</v>
      </c>
      <c s="6" r="AZ160">
        <v>0</v>
      </c>
      <c s="6" r="BA160">
        <v>0</v>
      </c>
      <c s="6" r="BB160">
        <v>0</v>
      </c>
      <c s="6" r="BC160">
        <v>0</v>
      </c>
      <c s="6" r="BD160">
        <v>0</v>
      </c>
      <c s="6" r="BE160">
        <v>0</v>
      </c>
      <c s="6" r="BF160">
        <v>0</v>
      </c>
      <c s="6" r="BG160">
        <v>0</v>
      </c>
      <c s="6" r="BH160">
        <v>0</v>
      </c>
      <c s="6" r="BI160">
        <v>0</v>
      </c>
      <c s="6" r="BJ160">
        <v>0</v>
      </c>
      <c s="6" r="BK160">
        <v>0</v>
      </c>
      <c s="6" r="BL160">
        <v>0</v>
      </c>
      <c s="6" r="BM160">
        <v>0</v>
      </c>
      <c s="6" r="BN160">
        <v>0</v>
      </c>
      <c s="6" r="BO160">
        <v>0</v>
      </c>
      <c s="6" r="BP160">
        <v>0</v>
      </c>
      <c s="6" r="BQ160">
        <v>0</v>
      </c>
      <c t="str" s="6" r="BR160">
        <f>HYPERLINK("http://www.d20pfsrd.com/magic/all-spells/d/dispel-magic","Dispel Magic")</f>
        <v>Dispel Magic</v>
      </c>
      <c s="6" r="BS160">
        <v>159</v>
      </c>
      <c t="s" s="6" r="BT160">
        <v>92</v>
      </c>
      <c t="s" s="6" r="BU160">
        <v>182</v>
      </c>
      <c t="s" s="6" r="BW160">
        <v>1445</v>
      </c>
      <c s="6" r="BY160">
        <v>1</v>
      </c>
    </row>
    <row customHeight="1" r="161" ht="14.25">
      <c t="s" s="6" r="A161">
        <v>1446</v>
      </c>
      <c t="s" s="6" r="B161">
        <v>162</v>
      </c>
      <c t="s" s="6" r="E161">
        <v>1447</v>
      </c>
      <c t="s" s="6" r="F161">
        <v>81</v>
      </c>
      <c t="s" s="6" r="G161">
        <v>106</v>
      </c>
      <c s="6" r="H161">
        <v>0</v>
      </c>
      <c t="s" s="6" r="I161">
        <v>97</v>
      </c>
      <c t="s" s="6" r="J161">
        <v>720</v>
      </c>
      <c t="s" s="6" r="L161">
        <v>1439</v>
      </c>
      <c t="s" s="6" r="M161">
        <v>109</v>
      </c>
      <c s="6" r="N161">
        <v>0</v>
      </c>
      <c s="6" r="O161">
        <v>0</v>
      </c>
      <c t="s" s="6" r="P161">
        <v>86</v>
      </c>
      <c t="s" s="6" r="Q161">
        <v>87</v>
      </c>
      <c t="s" s="6" r="R161">
        <v>1448</v>
      </c>
      <c t="s" s="6" r="S161">
        <v>1449</v>
      </c>
      <c t="s" s="6" r="T161">
        <v>90</v>
      </c>
      <c t="s" s="6" r="U161">
        <v>1450</v>
      </c>
      <c s="6" r="V161">
        <v>1</v>
      </c>
      <c s="6" r="W161">
        <v>1</v>
      </c>
      <c s="6" r="X161">
        <v>0</v>
      </c>
      <c s="6" r="Y161">
        <v>0</v>
      </c>
      <c s="6" r="Z161">
        <v>0</v>
      </c>
      <c s="6" r="AA161">
        <v>6</v>
      </c>
      <c s="6" r="AB161">
        <v>6</v>
      </c>
      <c s="6" r="AC161">
        <v>6</v>
      </c>
      <c s="6" r="AD161">
        <v>6</v>
      </c>
      <c t="s" s="6" r="AE161">
        <v>92</v>
      </c>
      <c s="6" r="AF161">
        <v>5</v>
      </c>
      <c t="s" s="6" r="AG161">
        <v>92</v>
      </c>
      <c t="s" s="6" r="AH161">
        <v>92</v>
      </c>
      <c s="6" r="AI161">
        <v>5</v>
      </c>
      <c s="6" r="AJ161">
        <v>6</v>
      </c>
      <c s="6" r="AK161">
        <v>6</v>
      </c>
      <c s="6" r="AL161">
        <v>6</v>
      </c>
      <c t="s" s="6" r="AM161">
        <v>92</v>
      </c>
      <c s="6" r="AN161">
        <v>6</v>
      </c>
      <c s="6" r="AP161">
        <v>6</v>
      </c>
      <c t="s" s="6" r="AQ161">
        <v>1451</v>
      </c>
      <c t="s" s="6" r="AR161">
        <v>1452</v>
      </c>
      <c s="6" r="AS161">
        <v>0</v>
      </c>
      <c s="6" r="AT161">
        <v>0</v>
      </c>
      <c s="6" r="AU161">
        <v>0</v>
      </c>
      <c s="6" r="AV161">
        <v>0</v>
      </c>
      <c s="6" r="AW161">
        <v>0</v>
      </c>
      <c s="6" r="AX161">
        <v>0</v>
      </c>
      <c s="6" r="AY161">
        <v>0</v>
      </c>
      <c s="6" r="AZ161">
        <v>0</v>
      </c>
      <c s="6" r="BA161">
        <v>0</v>
      </c>
      <c s="6" r="BB161">
        <v>0</v>
      </c>
      <c s="6" r="BC161">
        <v>0</v>
      </c>
      <c s="6" r="BD161">
        <v>0</v>
      </c>
      <c s="6" r="BE161">
        <v>0</v>
      </c>
      <c s="6" r="BF161">
        <v>0</v>
      </c>
      <c s="6" r="BG161">
        <v>0</v>
      </c>
      <c s="6" r="BH161">
        <v>0</v>
      </c>
      <c s="6" r="BI161">
        <v>0</v>
      </c>
      <c s="6" r="BJ161">
        <v>0</v>
      </c>
      <c s="6" r="BK161">
        <v>0</v>
      </c>
      <c s="6" r="BL161">
        <v>0</v>
      </c>
      <c s="6" r="BM161">
        <v>0</v>
      </c>
      <c s="6" r="BN161">
        <v>0</v>
      </c>
      <c s="6" r="BO161">
        <v>0</v>
      </c>
      <c s="6" r="BP161">
        <v>0</v>
      </c>
      <c s="6" r="BQ161">
        <v>0</v>
      </c>
      <c t="str" s="6" r="BR161">
        <f>HYPERLINK("http://www.d20pfsrd.com/magic/all-spells/d/dispel-magic#TOC-Dispel-Magic-Greater","Dispel Magic, Greater")</f>
        <v>Dispel Magic, Greater</v>
      </c>
      <c s="6" r="BS161">
        <v>160</v>
      </c>
      <c t="s" s="6" r="BT161">
        <v>92</v>
      </c>
      <c t="s" s="6" r="BU161">
        <v>1453</v>
      </c>
      <c s="6" r="BY161">
        <v>0</v>
      </c>
    </row>
    <row customHeight="1" r="162" ht="14.25">
      <c t="s" s="6" r="A162">
        <v>1454</v>
      </c>
      <c t="s" s="6" r="B162">
        <v>579</v>
      </c>
      <c t="s" s="6" r="C162">
        <v>580</v>
      </c>
      <c t="s" s="6" r="E162">
        <v>1455</v>
      </c>
      <c t="s" s="6" r="F162">
        <v>81</v>
      </c>
      <c t="s" s="6" r="G162">
        <v>1456</v>
      </c>
      <c s="6" r="H162">
        <v>0</v>
      </c>
      <c t="s" s="6" r="I162">
        <v>120</v>
      </c>
      <c t="s" s="6" r="L162">
        <v>420</v>
      </c>
      <c t="s" s="6" r="M162">
        <v>99</v>
      </c>
      <c s="6" r="N162">
        <v>1</v>
      </c>
      <c s="6" r="O162">
        <v>0</v>
      </c>
      <c t="s" s="6" r="P162">
        <v>421</v>
      </c>
      <c t="s" s="6" r="Q162">
        <v>123</v>
      </c>
      <c t="s" s="6" r="R162">
        <v>1457</v>
      </c>
      <c t="s" s="6" r="S162">
        <v>1458</v>
      </c>
      <c t="s" s="6" r="T162">
        <v>90</v>
      </c>
      <c t="s" s="6" r="U162">
        <v>1459</v>
      </c>
      <c s="6" r="V162">
        <v>1</v>
      </c>
      <c s="6" r="W162">
        <v>0</v>
      </c>
      <c s="6" r="X162">
        <v>1</v>
      </c>
      <c s="6" r="Y162">
        <v>0</v>
      </c>
      <c s="6" r="Z162">
        <v>0</v>
      </c>
      <c s="6" r="AA162">
        <v>3</v>
      </c>
      <c s="6" r="AB162">
        <v>3</v>
      </c>
      <c t="s" s="6" r="AC162">
        <v>92</v>
      </c>
      <c t="s" s="6" r="AD162">
        <v>92</v>
      </c>
      <c t="s" s="6" r="AE162">
        <v>92</v>
      </c>
      <c s="6" r="AF162">
        <v>3</v>
      </c>
      <c t="s" s="6" r="AG162">
        <v>92</v>
      </c>
      <c s="6" r="AH162">
        <v>3</v>
      </c>
      <c s="6" r="AI162">
        <v>3</v>
      </c>
      <c t="s" s="6" r="AJ162">
        <v>92</v>
      </c>
      <c t="s" s="6" r="AK162">
        <v>92</v>
      </c>
      <c t="s" s="6" r="AL162">
        <v>92</v>
      </c>
      <c t="s" s="6" r="AM162">
        <v>92</v>
      </c>
      <c s="6" r="AN162">
        <v>3</v>
      </c>
      <c s="6" r="AP162">
        <v>3</v>
      </c>
      <c t="s" s="6" r="AQ162">
        <v>1460</v>
      </c>
      <c t="s" s="6" r="AR162">
        <v>1461</v>
      </c>
      <c s="6" r="AS162">
        <v>0</v>
      </c>
      <c s="6" r="AT162">
        <v>0</v>
      </c>
      <c s="6" r="AU162">
        <v>0</v>
      </c>
      <c s="6" r="AV162">
        <v>0</v>
      </c>
      <c s="6" r="AW162">
        <v>0</v>
      </c>
      <c s="6" r="AX162">
        <v>0</v>
      </c>
      <c s="6" r="AY162">
        <v>0</v>
      </c>
      <c s="6" r="AZ162">
        <v>0</v>
      </c>
      <c s="6" r="BA162">
        <v>0</v>
      </c>
      <c s="6" r="BB162">
        <v>0</v>
      </c>
      <c s="6" r="BC162">
        <v>0</v>
      </c>
      <c s="6" r="BD162">
        <v>0</v>
      </c>
      <c s="6" r="BE162">
        <v>0</v>
      </c>
      <c s="6" r="BF162">
        <v>0</v>
      </c>
      <c s="6" r="BG162">
        <v>0</v>
      </c>
      <c s="6" r="BH162">
        <v>0</v>
      </c>
      <c s="6" r="BI162">
        <v>0</v>
      </c>
      <c s="6" r="BJ162">
        <v>0</v>
      </c>
      <c s="6" r="BK162">
        <v>0</v>
      </c>
      <c s="6" r="BL162">
        <v>0</v>
      </c>
      <c s="6" r="BM162">
        <v>0</v>
      </c>
      <c s="6" r="BN162">
        <v>0</v>
      </c>
      <c s="6" r="BO162">
        <v>0</v>
      </c>
      <c s="6" r="BP162">
        <v>0</v>
      </c>
      <c s="6" r="BQ162">
        <v>0</v>
      </c>
      <c t="str" s="6" r="BR162">
        <f>HYPERLINK("http://www.d20pfsrd.com/magic/all-spells/d/displacement","Displacement")</f>
        <v>Displacement</v>
      </c>
      <c s="6" r="BS162">
        <v>161</v>
      </c>
      <c t="s" s="6" r="BT162">
        <v>92</v>
      </c>
      <c s="6" r="BY162">
        <v>0</v>
      </c>
    </row>
    <row customHeight="1" r="163" ht="14.25">
      <c t="s" s="6" r="A163">
        <v>1462</v>
      </c>
      <c t="s" s="6" r="B163">
        <v>131</v>
      </c>
      <c t="s" s="6" r="E163">
        <v>851</v>
      </c>
      <c t="s" s="6" r="F163">
        <v>81</v>
      </c>
      <c t="s" s="6" r="G163">
        <v>106</v>
      </c>
      <c s="6" r="H163">
        <v>0</v>
      </c>
      <c t="s" s="6" r="I163">
        <v>120</v>
      </c>
      <c t="s" s="6" r="L163">
        <v>1463</v>
      </c>
      <c t="s" s="6" r="M163">
        <v>99</v>
      </c>
      <c s="6" r="N163">
        <v>0</v>
      </c>
      <c s="6" r="O163">
        <v>0</v>
      </c>
      <c t="s" s="6" r="P163">
        <v>1464</v>
      </c>
      <c t="s" s="6" r="Q163">
        <v>145</v>
      </c>
      <c t="s" s="6" r="R163">
        <v>1465</v>
      </c>
      <c t="s" s="6" r="S163">
        <v>1466</v>
      </c>
      <c t="s" s="6" r="T163">
        <v>90</v>
      </c>
      <c t="s" s="6" r="U163">
        <v>1467</v>
      </c>
      <c s="6" r="V163">
        <v>1</v>
      </c>
      <c s="6" r="W163">
        <v>1</v>
      </c>
      <c s="6" r="X163">
        <v>0</v>
      </c>
      <c s="6" r="Y163">
        <v>0</v>
      </c>
      <c s="6" r="Z163">
        <v>0</v>
      </c>
      <c t="s" s="6" r="AA163">
        <v>92</v>
      </c>
      <c t="s" s="6" r="AB163">
        <v>92</v>
      </c>
      <c s="6" r="AC163">
        <v>5</v>
      </c>
      <c t="s" s="6" r="AD163">
        <v>92</v>
      </c>
      <c t="s" s="6" r="AE163">
        <v>92</v>
      </c>
      <c t="s" s="6" r="AF163">
        <v>92</v>
      </c>
      <c t="s" s="6" r="AG163">
        <v>92</v>
      </c>
      <c t="s" s="6" r="AH163">
        <v>92</v>
      </c>
      <c t="s" s="6" r="AI163">
        <v>92</v>
      </c>
      <c t="s" s="6" r="AJ163">
        <v>92</v>
      </c>
      <c s="6" r="AK163">
        <v>5</v>
      </c>
      <c s="6" r="AL163">
        <v>5</v>
      </c>
      <c t="s" s="6" r="AM163">
        <v>92</v>
      </c>
      <c t="s" s="6" r="AN163">
        <v>92</v>
      </c>
      <c s="6" r="AP163">
        <v>5</v>
      </c>
      <c t="s" s="6" r="AR163">
        <v>1468</v>
      </c>
      <c s="6" r="AS163">
        <v>0</v>
      </c>
      <c s="6" r="AT163">
        <v>0</v>
      </c>
      <c s="6" r="AU163">
        <v>0</v>
      </c>
      <c s="6" r="AV163">
        <v>0</v>
      </c>
      <c s="6" r="AW163">
        <v>0</v>
      </c>
      <c s="6" r="AX163">
        <v>0</v>
      </c>
      <c s="6" r="AY163">
        <v>0</v>
      </c>
      <c s="6" r="AZ163">
        <v>0</v>
      </c>
      <c s="6" r="BA163">
        <v>0</v>
      </c>
      <c s="6" r="BB163">
        <v>0</v>
      </c>
      <c s="6" r="BC163">
        <v>0</v>
      </c>
      <c s="6" r="BD163">
        <v>0</v>
      </c>
      <c s="6" r="BE163">
        <v>0</v>
      </c>
      <c s="6" r="BF163">
        <v>0</v>
      </c>
      <c s="6" r="BG163">
        <v>0</v>
      </c>
      <c s="6" r="BH163">
        <v>0</v>
      </c>
      <c s="6" r="BI163">
        <v>0</v>
      </c>
      <c s="6" r="BJ163">
        <v>0</v>
      </c>
      <c s="6" r="BK163">
        <v>0</v>
      </c>
      <c s="6" r="BL163">
        <v>0</v>
      </c>
      <c s="6" r="BM163">
        <v>0</v>
      </c>
      <c s="6" r="BN163">
        <v>0</v>
      </c>
      <c s="6" r="BO163">
        <v>0</v>
      </c>
      <c s="6" r="BP163">
        <v>0</v>
      </c>
      <c s="6" r="BQ163">
        <v>0</v>
      </c>
      <c t="str" s="6" r="BR163">
        <f>HYPERLINK("http://www.d20pfsrd.com/magic/all-spells/d/disrupting-weapon","Disrupting Weapon")</f>
        <v>Disrupting Weapon</v>
      </c>
      <c s="6" r="BS163">
        <v>162</v>
      </c>
      <c t="s" s="6" r="BT163">
        <v>92</v>
      </c>
      <c s="6" r="BY163">
        <v>0</v>
      </c>
    </row>
    <row customHeight="1" r="164" ht="14.25">
      <c t="s" s="6" r="A164">
        <v>1469</v>
      </c>
      <c t="s" s="6" r="B164">
        <v>227</v>
      </c>
      <c t="s" s="6" r="E164">
        <v>1470</v>
      </c>
      <c t="s" s="6" r="F164">
        <v>81</v>
      </c>
      <c t="s" s="6" r="G164">
        <v>106</v>
      </c>
      <c s="6" r="H164">
        <v>0</v>
      </c>
      <c t="s" s="6" r="I164">
        <v>107</v>
      </c>
      <c t="s" s="6" r="K164">
        <v>1344</v>
      </c>
      <c t="s" s="6" r="M164">
        <v>109</v>
      </c>
      <c s="6" r="N164">
        <v>0</v>
      </c>
      <c s="6" r="O164">
        <v>0</v>
      </c>
      <c t="s" s="6" r="P164">
        <v>86</v>
      </c>
      <c t="s" s="6" r="Q164">
        <v>188</v>
      </c>
      <c t="s" s="6" r="R164">
        <v>1471</v>
      </c>
      <c t="s" s="6" r="S164">
        <v>1472</v>
      </c>
      <c t="s" s="6" r="T164">
        <v>90</v>
      </c>
      <c t="s" s="6" r="U164">
        <v>1473</v>
      </c>
      <c s="6" r="V164">
        <v>1</v>
      </c>
      <c s="6" r="W164">
        <v>1</v>
      </c>
      <c s="6" r="X164">
        <v>0</v>
      </c>
      <c s="6" r="Y164">
        <v>0</v>
      </c>
      <c s="6" r="Z164">
        <v>0</v>
      </c>
      <c s="6" r="AA164">
        <v>0</v>
      </c>
      <c s="6" r="AB164">
        <v>0</v>
      </c>
      <c t="s" s="6" r="AC164">
        <v>92</v>
      </c>
      <c t="s" s="6" r="AD164">
        <v>92</v>
      </c>
      <c t="s" s="6" r="AE164">
        <v>92</v>
      </c>
      <c t="s" s="6" r="AF164">
        <v>92</v>
      </c>
      <c t="s" s="6" r="AG164">
        <v>92</v>
      </c>
      <c t="s" s="6" r="AH164">
        <v>92</v>
      </c>
      <c t="s" s="6" r="AI164">
        <v>92</v>
      </c>
      <c t="s" s="6" r="AJ164">
        <v>92</v>
      </c>
      <c s="6" r="AK164">
        <v>0</v>
      </c>
      <c t="s" s="6" r="AL164">
        <v>92</v>
      </c>
      <c t="s" s="6" r="AM164">
        <v>92</v>
      </c>
      <c s="6" r="AN164">
        <v>0</v>
      </c>
      <c s="6" r="AP164">
        <v>0</v>
      </c>
      <c t="s" s="6" r="AR164">
        <v>1474</v>
      </c>
      <c s="6" r="AS164">
        <v>0</v>
      </c>
      <c s="6" r="AT164">
        <v>0</v>
      </c>
      <c s="6" r="AU164">
        <v>0</v>
      </c>
      <c s="6" r="AV164">
        <v>0</v>
      </c>
      <c s="6" r="AW164">
        <v>0</v>
      </c>
      <c s="6" r="AX164">
        <v>0</v>
      </c>
      <c s="6" r="AY164">
        <v>0</v>
      </c>
      <c s="6" r="AZ164">
        <v>0</v>
      </c>
      <c s="6" r="BA164">
        <v>0</v>
      </c>
      <c s="6" r="BB164">
        <v>0</v>
      </c>
      <c s="6" r="BC164">
        <v>0</v>
      </c>
      <c s="6" r="BD164">
        <v>0</v>
      </c>
      <c s="6" r="BE164">
        <v>0</v>
      </c>
      <c s="6" r="BF164">
        <v>0</v>
      </c>
      <c s="6" r="BG164">
        <v>0</v>
      </c>
      <c s="6" r="BH164">
        <v>0</v>
      </c>
      <c s="6" r="BI164">
        <v>0</v>
      </c>
      <c s="6" r="BJ164">
        <v>0</v>
      </c>
      <c s="6" r="BK164">
        <v>0</v>
      </c>
      <c s="6" r="BL164">
        <v>0</v>
      </c>
      <c s="6" r="BM164">
        <v>0</v>
      </c>
      <c s="6" r="BN164">
        <v>0</v>
      </c>
      <c s="6" r="BO164">
        <v>0</v>
      </c>
      <c s="6" r="BP164">
        <v>0</v>
      </c>
      <c s="6" r="BQ164">
        <v>0</v>
      </c>
      <c t="str" s="6" r="BR164">
        <f>HYPERLINK("http://www.d20pfsrd.com/magic/all-spells/d/disrupt-undead","Disrupt Undead")</f>
        <v>Disrupt Undead</v>
      </c>
      <c s="6" r="BS164">
        <v>163</v>
      </c>
      <c t="s" s="6" r="BT164">
        <v>92</v>
      </c>
      <c s="6" r="BY164">
        <v>0</v>
      </c>
    </row>
    <row customHeight="1" r="165" ht="14.25">
      <c t="s" s="6" r="A165">
        <v>1475</v>
      </c>
      <c t="s" s="6" r="B165">
        <v>174</v>
      </c>
      <c t="s" s="6" r="E165">
        <v>1476</v>
      </c>
      <c t="s" s="6" r="F165">
        <v>311</v>
      </c>
      <c t="s" s="6" r="G165">
        <v>1477</v>
      </c>
      <c s="6" r="H165">
        <v>1</v>
      </c>
      <c t="s" s="6" r="I165">
        <v>155</v>
      </c>
      <c t="s" s="6" r="L165">
        <v>156</v>
      </c>
      <c t="s" s="6" r="M165">
        <v>109</v>
      </c>
      <c s="6" r="N165">
        <v>0</v>
      </c>
      <c s="6" r="O165">
        <v>0</v>
      </c>
      <c t="s" s="6" r="R165">
        <v>1478</v>
      </c>
      <c t="s" s="6" r="S165">
        <v>1479</v>
      </c>
      <c t="s" s="6" r="T165">
        <v>90</v>
      </c>
      <c t="s" s="6" r="U165">
        <v>1480</v>
      </c>
      <c s="6" r="V165">
        <v>1</v>
      </c>
      <c s="6" r="W165">
        <v>1</v>
      </c>
      <c s="6" r="X165">
        <v>1</v>
      </c>
      <c s="6" r="Y165">
        <v>0</v>
      </c>
      <c s="6" r="Z165">
        <v>0</v>
      </c>
      <c t="s" s="6" r="AA165">
        <v>92</v>
      </c>
      <c t="s" s="6" r="AB165">
        <v>92</v>
      </c>
      <c s="6" r="AC165">
        <v>4</v>
      </c>
      <c t="s" s="6" r="AD165">
        <v>92</v>
      </c>
      <c t="s" s="6" r="AE165">
        <v>92</v>
      </c>
      <c t="s" s="6" r="AF165">
        <v>92</v>
      </c>
      <c t="s" s="6" r="AG165">
        <v>92</v>
      </c>
      <c t="s" s="6" r="AH165">
        <v>92</v>
      </c>
      <c t="s" s="6" r="AI165">
        <v>92</v>
      </c>
      <c s="6" r="AJ165">
        <v>4</v>
      </c>
      <c s="6" r="AK165">
        <v>4</v>
      </c>
      <c s="6" r="AL165">
        <v>4</v>
      </c>
      <c t="s" s="6" r="AM165">
        <v>92</v>
      </c>
      <c t="s" s="6" r="AN165">
        <v>92</v>
      </c>
      <c s="6" r="AP165">
        <v>4</v>
      </c>
      <c t="s" s="6" r="AQ165">
        <v>1323</v>
      </c>
      <c t="s" s="6" r="AR165">
        <v>1481</v>
      </c>
      <c s="6" r="AS165">
        <v>0</v>
      </c>
      <c s="6" r="AT165">
        <v>0</v>
      </c>
      <c s="6" r="AU165">
        <v>0</v>
      </c>
      <c s="6" r="AV165">
        <v>0</v>
      </c>
      <c s="6" r="AW165">
        <v>0</v>
      </c>
      <c s="6" r="AX165">
        <v>0</v>
      </c>
      <c s="6" r="AY165">
        <v>0</v>
      </c>
      <c s="6" r="AZ165">
        <v>0</v>
      </c>
      <c s="6" r="BA165">
        <v>0</v>
      </c>
      <c s="6" r="BB165">
        <v>0</v>
      </c>
      <c s="6" r="BC165">
        <v>0</v>
      </c>
      <c s="6" r="BD165">
        <v>0</v>
      </c>
      <c s="6" r="BE165">
        <v>0</v>
      </c>
      <c s="6" r="BF165">
        <v>0</v>
      </c>
      <c s="6" r="BG165">
        <v>0</v>
      </c>
      <c s="6" r="BH165">
        <v>0</v>
      </c>
      <c s="6" r="BI165">
        <v>0</v>
      </c>
      <c s="6" r="BJ165">
        <v>0</v>
      </c>
      <c s="6" r="BK165">
        <v>0</v>
      </c>
      <c s="6" r="BL165">
        <v>0</v>
      </c>
      <c s="6" r="BM165">
        <v>0</v>
      </c>
      <c s="6" r="BN165">
        <v>0</v>
      </c>
      <c s="6" r="BO165">
        <v>0</v>
      </c>
      <c s="6" r="BP165">
        <v>0</v>
      </c>
      <c s="6" r="BQ165">
        <v>0</v>
      </c>
      <c t="str" s="6" r="BR165">
        <f>HYPERLINK("http://www.d20pfsrd.com/magic/all-spells/d/divination","Divination")</f>
        <v>Divination</v>
      </c>
      <c s="6" r="BS165">
        <v>164</v>
      </c>
      <c s="6" r="BT165">
        <v>25</v>
      </c>
      <c t="s" s="6" r="BU165">
        <v>359</v>
      </c>
      <c t="s" s="6" r="BV165">
        <v>848</v>
      </c>
      <c s="6" r="BY165">
        <v>0</v>
      </c>
    </row>
    <row customHeight="1" r="166" ht="14.25">
      <c t="s" s="6" r="A166">
        <v>1482</v>
      </c>
      <c t="s" s="6" r="B166">
        <v>493</v>
      </c>
      <c t="s" s="6" r="E166">
        <v>523</v>
      </c>
      <c t="s" s="6" r="F166">
        <v>81</v>
      </c>
      <c t="s" s="6" r="G166">
        <v>119</v>
      </c>
      <c s="6" r="H166">
        <v>0</v>
      </c>
      <c t="s" s="6" r="I166">
        <v>155</v>
      </c>
      <c t="s" s="6" r="L166">
        <v>156</v>
      </c>
      <c t="s" s="6" r="M166">
        <v>197</v>
      </c>
      <c s="6" r="N166">
        <v>0</v>
      </c>
      <c s="6" r="O166">
        <v>0</v>
      </c>
      <c t="s" s="6" r="R166">
        <v>1483</v>
      </c>
      <c t="s" s="6" r="S166">
        <v>1484</v>
      </c>
      <c t="s" s="6" r="T166">
        <v>90</v>
      </c>
      <c t="s" s="6" r="U166">
        <v>1485</v>
      </c>
      <c s="6" r="V166">
        <v>1</v>
      </c>
      <c s="6" r="W166">
        <v>1</v>
      </c>
      <c s="6" r="X166">
        <v>0</v>
      </c>
      <c s="6" r="Y166">
        <v>0</v>
      </c>
      <c s="6" r="Z166">
        <v>1</v>
      </c>
      <c t="s" s="6" r="AA166">
        <v>92</v>
      </c>
      <c t="s" s="6" r="AB166">
        <v>92</v>
      </c>
      <c s="6" r="AC166">
        <v>1</v>
      </c>
      <c t="s" s="6" r="AD166">
        <v>92</v>
      </c>
      <c t="s" s="6" r="AE166">
        <v>92</v>
      </c>
      <c t="s" s="6" r="AF166">
        <v>92</v>
      </c>
      <c s="6" r="AG166">
        <v>1</v>
      </c>
      <c t="s" s="6" r="AH166">
        <v>92</v>
      </c>
      <c t="s" s="6" r="AI166">
        <v>92</v>
      </c>
      <c t="s" s="6" r="AJ166">
        <v>92</v>
      </c>
      <c s="6" r="AK166">
        <v>1</v>
      </c>
      <c s="6" r="AL166">
        <v>1</v>
      </c>
      <c t="s" s="6" r="AM166">
        <v>92</v>
      </c>
      <c t="s" s="6" r="AN166">
        <v>92</v>
      </c>
      <c s="6" r="AP166">
        <v>1</v>
      </c>
      <c t="s" s="6" r="AQ166">
        <v>1486</v>
      </c>
      <c t="s" s="6" r="AR166">
        <v>1487</v>
      </c>
      <c s="6" r="AS166">
        <v>0</v>
      </c>
      <c s="6" r="AT166">
        <v>0</v>
      </c>
      <c s="6" r="AU166">
        <v>0</v>
      </c>
      <c s="6" r="AV166">
        <v>0</v>
      </c>
      <c s="6" r="AW166">
        <v>0</v>
      </c>
      <c s="6" r="AX166">
        <v>0</v>
      </c>
      <c s="6" r="AY166">
        <v>0</v>
      </c>
      <c s="6" r="AZ166">
        <v>0</v>
      </c>
      <c s="6" r="BA166">
        <v>0</v>
      </c>
      <c s="6" r="BB166">
        <v>0</v>
      </c>
      <c s="6" r="BC166">
        <v>0</v>
      </c>
      <c s="6" r="BD166">
        <v>0</v>
      </c>
      <c s="6" r="BE166">
        <v>0</v>
      </c>
      <c s="6" r="BF166">
        <v>0</v>
      </c>
      <c s="6" r="BG166">
        <v>0</v>
      </c>
      <c s="6" r="BH166">
        <v>0</v>
      </c>
      <c s="6" r="BI166">
        <v>0</v>
      </c>
      <c s="6" r="BJ166">
        <v>0</v>
      </c>
      <c s="6" r="BK166">
        <v>0</v>
      </c>
      <c s="6" r="BL166">
        <v>0</v>
      </c>
      <c s="6" r="BM166">
        <v>0</v>
      </c>
      <c s="6" r="BN166">
        <v>0</v>
      </c>
      <c s="6" r="BO166">
        <v>0</v>
      </c>
      <c s="6" r="BP166">
        <v>0</v>
      </c>
      <c s="6" r="BQ166">
        <v>0</v>
      </c>
      <c t="str" s="6" r="BR166">
        <f>HYPERLINK("http://www.d20pfsrd.com/magic/all-spells/d/divine-favor","Divine Favor")</f>
        <v>Divine Favor</v>
      </c>
      <c s="6" r="BS166">
        <v>165</v>
      </c>
      <c t="s" s="6" r="BT166">
        <v>92</v>
      </c>
      <c t="s" s="6" r="BV166">
        <v>626</v>
      </c>
      <c t="s" s="6" r="BW166">
        <v>1488</v>
      </c>
      <c s="6" r="BY166">
        <v>1</v>
      </c>
    </row>
    <row customHeight="1" r="167" ht="14.25">
      <c t="s" s="6" r="A167">
        <v>1489</v>
      </c>
      <c t="s" s="6" r="B167">
        <v>493</v>
      </c>
      <c t="s" s="6" r="E167">
        <v>1490</v>
      </c>
      <c t="s" s="6" r="F167">
        <v>81</v>
      </c>
      <c t="s" s="6" r="G167">
        <v>119</v>
      </c>
      <c s="6" r="H167">
        <v>0</v>
      </c>
      <c t="s" s="6" r="I167">
        <v>155</v>
      </c>
      <c t="s" s="6" r="L167">
        <v>156</v>
      </c>
      <c t="s" s="6" r="M167">
        <v>99</v>
      </c>
      <c s="6" r="N167">
        <v>0</v>
      </c>
      <c s="6" r="O167">
        <v>0</v>
      </c>
      <c t="s" s="6" r="R167">
        <v>1491</v>
      </c>
      <c t="s" s="6" r="S167">
        <v>1492</v>
      </c>
      <c t="s" s="6" r="T167">
        <v>90</v>
      </c>
      <c t="s" s="6" r="U167">
        <v>1493</v>
      </c>
      <c s="6" r="V167">
        <v>1</v>
      </c>
      <c s="6" r="W167">
        <v>1</v>
      </c>
      <c s="6" r="X167">
        <v>0</v>
      </c>
      <c s="6" r="Y167">
        <v>0</v>
      </c>
      <c s="6" r="Z167">
        <v>1</v>
      </c>
      <c t="s" s="6" r="AA167">
        <v>92</v>
      </c>
      <c t="s" s="6" r="AB167">
        <v>92</v>
      </c>
      <c s="6" r="AC167">
        <v>4</v>
      </c>
      <c t="s" s="6" r="AD167">
        <v>92</v>
      </c>
      <c t="s" s="6" r="AE167">
        <v>92</v>
      </c>
      <c t="s" s="6" r="AF167">
        <v>92</v>
      </c>
      <c t="s" s="6" r="AG167">
        <v>92</v>
      </c>
      <c t="s" s="6" r="AH167">
        <v>92</v>
      </c>
      <c t="s" s="6" r="AI167">
        <v>92</v>
      </c>
      <c t="s" s="6" r="AJ167">
        <v>92</v>
      </c>
      <c s="6" r="AK167">
        <v>4</v>
      </c>
      <c s="6" r="AL167">
        <v>4</v>
      </c>
      <c t="s" s="6" r="AM167">
        <v>92</v>
      </c>
      <c t="s" s="6" r="AN167">
        <v>92</v>
      </c>
      <c s="6" r="AP167">
        <v>4</v>
      </c>
      <c t="s" s="6" r="AQ167">
        <v>1494</v>
      </c>
      <c t="s" s="6" r="AR167">
        <v>1495</v>
      </c>
      <c s="6" r="AS167">
        <v>0</v>
      </c>
      <c s="6" r="AT167">
        <v>0</v>
      </c>
      <c s="6" r="AU167">
        <v>0</v>
      </c>
      <c s="6" r="AV167">
        <v>0</v>
      </c>
      <c s="6" r="AW167">
        <v>0</v>
      </c>
      <c s="6" r="AX167">
        <v>0</v>
      </c>
      <c s="6" r="AY167">
        <v>0</v>
      </c>
      <c s="6" r="AZ167">
        <v>0</v>
      </c>
      <c s="6" r="BA167">
        <v>0</v>
      </c>
      <c s="6" r="BB167">
        <v>0</v>
      </c>
      <c s="6" r="BC167">
        <v>0</v>
      </c>
      <c s="6" r="BD167">
        <v>0</v>
      </c>
      <c s="6" r="BE167">
        <v>0</v>
      </c>
      <c s="6" r="BF167">
        <v>0</v>
      </c>
      <c s="6" r="BG167">
        <v>0</v>
      </c>
      <c s="6" r="BH167">
        <v>0</v>
      </c>
      <c s="6" r="BI167">
        <v>0</v>
      </c>
      <c s="6" r="BJ167">
        <v>0</v>
      </c>
      <c s="6" r="BK167">
        <v>0</v>
      </c>
      <c s="6" r="BL167">
        <v>0</v>
      </c>
      <c s="6" r="BM167">
        <v>0</v>
      </c>
      <c s="6" r="BN167">
        <v>0</v>
      </c>
      <c s="6" r="BO167">
        <v>0</v>
      </c>
      <c s="6" r="BP167">
        <v>0</v>
      </c>
      <c s="6" r="BQ167">
        <v>0</v>
      </c>
      <c t="str" s="6" r="BR167">
        <f>HYPERLINK("http://www.d20pfsrd.com/magic/all-spells/d/divine-power","Divine Power")</f>
        <v>Divine Power</v>
      </c>
      <c s="6" r="BS167">
        <v>166</v>
      </c>
      <c t="s" s="6" r="BT167">
        <v>92</v>
      </c>
      <c t="s" s="6" r="BV167">
        <v>618</v>
      </c>
      <c s="6" r="BY167">
        <v>0</v>
      </c>
    </row>
    <row customHeight="1" r="168" ht="14.25">
      <c t="s" s="6" r="A168">
        <v>1496</v>
      </c>
      <c t="s" s="6" r="B168">
        <v>115</v>
      </c>
      <c t="s" s="6" r="C168">
        <v>116</v>
      </c>
      <c t="s" s="6" r="D168">
        <v>117</v>
      </c>
      <c t="s" s="6" r="E168">
        <v>641</v>
      </c>
      <c t="s" s="6" r="F168">
        <v>272</v>
      </c>
      <c t="s" s="6" r="G168">
        <v>106</v>
      </c>
      <c s="6" r="H168">
        <v>0</v>
      </c>
      <c t="s" s="6" r="I168">
        <v>107</v>
      </c>
      <c t="s" s="6" r="L168">
        <v>739</v>
      </c>
      <c t="s" s="6" r="M168">
        <v>99</v>
      </c>
      <c s="6" r="N168">
        <v>0</v>
      </c>
      <c s="6" r="O168">
        <v>0</v>
      </c>
      <c t="s" s="6" r="P168">
        <v>221</v>
      </c>
      <c t="s" s="6" r="Q168">
        <v>188</v>
      </c>
      <c t="s" s="6" r="R168">
        <v>1497</v>
      </c>
      <c t="s" s="6" r="S168">
        <v>1498</v>
      </c>
      <c t="s" s="6" r="T168">
        <v>90</v>
      </c>
      <c t="s" s="6" r="U168">
        <v>1499</v>
      </c>
      <c s="6" r="V168">
        <v>1</v>
      </c>
      <c s="6" r="W168">
        <v>1</v>
      </c>
      <c s="6" r="X168">
        <v>0</v>
      </c>
      <c s="6" r="Y168">
        <v>0</v>
      </c>
      <c s="6" r="Z168">
        <v>0</v>
      </c>
      <c t="s" s="6" r="AA168">
        <v>92</v>
      </c>
      <c t="s" s="6" r="AB168">
        <v>92</v>
      </c>
      <c t="s" s="6" r="AC168">
        <v>92</v>
      </c>
      <c s="6" r="AD168">
        <v>3</v>
      </c>
      <c t="s" s="6" r="AE168">
        <v>92</v>
      </c>
      <c t="s" s="6" r="AF168">
        <v>92</v>
      </c>
      <c t="s" s="6" r="AG168">
        <v>92</v>
      </c>
      <c t="s" s="6" r="AH168">
        <v>92</v>
      </c>
      <c t="s" s="6" r="AI168">
        <v>92</v>
      </c>
      <c t="s" s="6" r="AJ168">
        <v>92</v>
      </c>
      <c t="s" s="6" r="AK168">
        <v>92</v>
      </c>
      <c t="s" s="6" r="AL168">
        <v>92</v>
      </c>
      <c t="s" s="6" r="AM168">
        <v>92</v>
      </c>
      <c t="s" s="6" r="AN168">
        <v>92</v>
      </c>
      <c s="6" r="AP168">
        <v>3</v>
      </c>
      <c t="s" s="6" r="AQ168">
        <v>661</v>
      </c>
      <c t="s" s="6" r="AR168">
        <v>1500</v>
      </c>
      <c s="6" r="AS168">
        <v>0</v>
      </c>
      <c s="6" r="AT168">
        <v>0</v>
      </c>
      <c s="6" r="AU168">
        <v>0</v>
      </c>
      <c s="6" r="AV168">
        <v>0</v>
      </c>
      <c s="6" r="AW168">
        <v>0</v>
      </c>
      <c s="6" r="AX168">
        <v>0</v>
      </c>
      <c s="6" r="AY168">
        <v>0</v>
      </c>
      <c s="6" r="AZ168">
        <v>0</v>
      </c>
      <c s="6" r="BA168">
        <v>0</v>
      </c>
      <c s="6" r="BB168">
        <v>0</v>
      </c>
      <c s="6" r="BC168">
        <v>0</v>
      </c>
      <c s="6" r="BD168">
        <v>0</v>
      </c>
      <c s="6" r="BE168">
        <v>0</v>
      </c>
      <c s="6" r="BF168">
        <v>0</v>
      </c>
      <c s="6" r="BG168">
        <v>0</v>
      </c>
      <c s="6" r="BH168">
        <v>0</v>
      </c>
      <c s="6" r="BI168">
        <v>0</v>
      </c>
      <c s="6" r="BJ168">
        <v>0</v>
      </c>
      <c s="6" r="BK168">
        <v>0</v>
      </c>
      <c s="6" r="BL168">
        <v>1</v>
      </c>
      <c s="6" r="BM168">
        <v>0</v>
      </c>
      <c s="6" r="BN168">
        <v>0</v>
      </c>
      <c s="6" r="BO168">
        <v>0</v>
      </c>
      <c s="6" r="BP168">
        <v>0</v>
      </c>
      <c s="6" r="BQ168">
        <v>0</v>
      </c>
      <c t="str" s="6" r="BR168">
        <f>HYPERLINK("http://www.d20pfsrd.com/magic/all-spells/d/dominate-animal","Dominate Animal")</f>
        <v>Dominate Animal</v>
      </c>
      <c s="6" r="BS168">
        <v>167</v>
      </c>
      <c t="s" s="6" r="BT168">
        <v>92</v>
      </c>
      <c t="s" s="6" r="BV168">
        <v>194</v>
      </c>
      <c s="6" r="BY168">
        <v>0</v>
      </c>
    </row>
    <row customHeight="1" r="169" ht="14.25">
      <c t="s" s="6" r="A169">
        <v>1501</v>
      </c>
      <c t="s" s="6" r="B169">
        <v>115</v>
      </c>
      <c t="s" s="6" r="C169">
        <v>116</v>
      </c>
      <c t="s" s="6" r="D169">
        <v>117</v>
      </c>
      <c t="s" s="6" r="E169">
        <v>1502</v>
      </c>
      <c t="s" s="6" r="F169">
        <v>272</v>
      </c>
      <c t="s" s="6" r="G169">
        <v>106</v>
      </c>
      <c s="6" r="H169">
        <v>0</v>
      </c>
      <c t="s" s="6" r="I169">
        <v>107</v>
      </c>
      <c t="s" s="6" r="L169">
        <v>1235</v>
      </c>
      <c t="s" s="6" r="M169">
        <v>200</v>
      </c>
      <c s="6" r="N169">
        <v>0</v>
      </c>
      <c s="6" r="O169">
        <v>0</v>
      </c>
      <c t="s" s="6" r="P169">
        <v>221</v>
      </c>
      <c t="s" s="6" r="Q169">
        <v>188</v>
      </c>
      <c t="s" s="6" r="R169">
        <v>1503</v>
      </c>
      <c t="s" s="6" r="S169">
        <v>1504</v>
      </c>
      <c t="s" s="6" r="T169">
        <v>90</v>
      </c>
      <c t="s" s="6" r="U169">
        <v>1505</v>
      </c>
      <c s="6" r="V169">
        <v>1</v>
      </c>
      <c s="6" r="W169">
        <v>1</v>
      </c>
      <c s="6" r="X169">
        <v>0</v>
      </c>
      <c s="6" r="Y169">
        <v>0</v>
      </c>
      <c s="6" r="Z169">
        <v>0</v>
      </c>
      <c s="6" r="AA169">
        <v>9</v>
      </c>
      <c s="6" r="AB169">
        <v>9</v>
      </c>
      <c t="s" s="6" r="AC169">
        <v>92</v>
      </c>
      <c t="s" s="6" r="AD169">
        <v>92</v>
      </c>
      <c t="s" s="6" r="AE169">
        <v>92</v>
      </c>
      <c t="s" s="6" r="AF169">
        <v>92</v>
      </c>
      <c t="s" s="6" r="AG169">
        <v>92</v>
      </c>
      <c t="s" s="6" r="AH169">
        <v>92</v>
      </c>
      <c s="6" r="AI169">
        <v>6</v>
      </c>
      <c s="6" r="AJ169">
        <v>9</v>
      </c>
      <c t="s" s="6" r="AK169">
        <v>92</v>
      </c>
      <c t="s" s="6" r="AL169">
        <v>92</v>
      </c>
      <c t="s" s="6" r="AM169">
        <v>92</v>
      </c>
      <c t="s" s="6" r="AN169">
        <v>92</v>
      </c>
      <c s="6" r="AP169">
        <v>9</v>
      </c>
      <c t="s" s="6" r="AQ169">
        <v>735</v>
      </c>
      <c t="s" s="6" r="AR169">
        <v>1506</v>
      </c>
      <c s="6" r="AS169">
        <v>0</v>
      </c>
      <c s="6" r="AT169">
        <v>0</v>
      </c>
      <c s="6" r="AU169">
        <v>0</v>
      </c>
      <c s="6" r="AV169">
        <v>0</v>
      </c>
      <c s="6" r="AW169">
        <v>0</v>
      </c>
      <c s="6" r="AX169">
        <v>0</v>
      </c>
      <c s="6" r="AY169">
        <v>0</v>
      </c>
      <c s="6" r="AZ169">
        <v>0</v>
      </c>
      <c s="6" r="BA169">
        <v>0</v>
      </c>
      <c s="6" r="BB169">
        <v>0</v>
      </c>
      <c s="6" r="BC169">
        <v>0</v>
      </c>
      <c s="6" r="BD169">
        <v>0</v>
      </c>
      <c s="6" r="BE169">
        <v>0</v>
      </c>
      <c s="6" r="BF169">
        <v>0</v>
      </c>
      <c s="6" r="BG169">
        <v>0</v>
      </c>
      <c s="6" r="BH169">
        <v>0</v>
      </c>
      <c s="6" r="BI169">
        <v>0</v>
      </c>
      <c s="6" r="BJ169">
        <v>0</v>
      </c>
      <c s="6" r="BK169">
        <v>0</v>
      </c>
      <c s="6" r="BL169">
        <v>1</v>
      </c>
      <c s="6" r="BM169">
        <v>0</v>
      </c>
      <c s="6" r="BN169">
        <v>0</v>
      </c>
      <c s="6" r="BO169">
        <v>0</v>
      </c>
      <c s="6" r="BP169">
        <v>0</v>
      </c>
      <c s="6" r="BQ169">
        <v>0</v>
      </c>
      <c t="str" s="6" r="BR169">
        <f>HYPERLINK("http://www.d20pfsrd.com/magic/all-spells/d/dominate-monster","Dominate Monster")</f>
        <v>Dominate Monster</v>
      </c>
      <c s="6" r="BS169">
        <v>168</v>
      </c>
      <c t="s" s="6" r="BT169">
        <v>92</v>
      </c>
      <c t="s" s="6" r="BU169">
        <v>1507</v>
      </c>
      <c t="s" s="6" r="BV169">
        <v>1242</v>
      </c>
      <c s="6" r="BY169">
        <v>0</v>
      </c>
    </row>
    <row customHeight="1" r="170" ht="14.25">
      <c t="s" s="6" r="A170">
        <v>1508</v>
      </c>
      <c t="s" s="6" r="B170">
        <v>115</v>
      </c>
      <c t="s" s="6" r="C170">
        <v>116</v>
      </c>
      <c t="s" s="6" r="D170">
        <v>117</v>
      </c>
      <c t="s" s="6" r="E170">
        <v>1509</v>
      </c>
      <c t="s" s="6" r="F170">
        <v>272</v>
      </c>
      <c t="s" s="6" r="G170">
        <v>106</v>
      </c>
      <c s="6" r="H170">
        <v>0</v>
      </c>
      <c t="s" s="6" r="I170">
        <v>107</v>
      </c>
      <c t="s" s="6" r="L170">
        <v>1510</v>
      </c>
      <c t="s" s="6" r="M170">
        <v>200</v>
      </c>
      <c s="6" r="N170">
        <v>0</v>
      </c>
      <c s="6" r="O170">
        <v>0</v>
      </c>
      <c t="s" s="6" r="P170">
        <v>221</v>
      </c>
      <c t="s" s="6" r="Q170">
        <v>188</v>
      </c>
      <c t="s" s="6" r="R170">
        <v>1511</v>
      </c>
      <c t="s" s="6" r="S170">
        <v>1512</v>
      </c>
      <c t="s" s="6" r="T170">
        <v>90</v>
      </c>
      <c t="s" s="6" r="U170">
        <v>1513</v>
      </c>
      <c s="6" r="V170">
        <v>1</v>
      </c>
      <c s="6" r="W170">
        <v>1</v>
      </c>
      <c s="6" r="X170">
        <v>0</v>
      </c>
      <c s="6" r="Y170">
        <v>0</v>
      </c>
      <c s="6" r="Z170">
        <v>0</v>
      </c>
      <c s="6" r="AA170">
        <v>5</v>
      </c>
      <c s="6" r="AB170">
        <v>5</v>
      </c>
      <c t="s" s="6" r="AC170">
        <v>92</v>
      </c>
      <c t="s" s="6" r="AD170">
        <v>92</v>
      </c>
      <c t="s" s="6" r="AE170">
        <v>92</v>
      </c>
      <c s="6" r="AF170">
        <v>4</v>
      </c>
      <c t="s" s="6" r="AG170">
        <v>92</v>
      </c>
      <c t="s" s="6" r="AH170">
        <v>92</v>
      </c>
      <c t="s" s="6" r="AI170">
        <v>92</v>
      </c>
      <c s="6" r="AJ170">
        <v>5</v>
      </c>
      <c t="s" s="6" r="AK170">
        <v>92</v>
      </c>
      <c t="s" s="6" r="AL170">
        <v>92</v>
      </c>
      <c t="s" s="6" r="AM170">
        <v>92</v>
      </c>
      <c t="s" s="6" r="AN170">
        <v>92</v>
      </c>
      <c s="6" r="AP170">
        <v>5</v>
      </c>
      <c t="s" s="6" r="AR170">
        <v>1514</v>
      </c>
      <c s="6" r="AS170">
        <v>0</v>
      </c>
      <c s="6" r="AT170">
        <v>0</v>
      </c>
      <c s="6" r="AU170">
        <v>0</v>
      </c>
      <c s="6" r="AV170">
        <v>0</v>
      </c>
      <c s="6" r="AW170">
        <v>0</v>
      </c>
      <c s="6" r="AX170">
        <v>0</v>
      </c>
      <c s="6" r="AY170">
        <v>0</v>
      </c>
      <c s="6" r="AZ170">
        <v>0</v>
      </c>
      <c s="6" r="BA170">
        <v>0</v>
      </c>
      <c s="6" r="BB170">
        <v>0</v>
      </c>
      <c s="6" r="BC170">
        <v>0</v>
      </c>
      <c s="6" r="BD170">
        <v>0</v>
      </c>
      <c s="6" r="BE170">
        <v>0</v>
      </c>
      <c s="6" r="BF170">
        <v>0</v>
      </c>
      <c s="6" r="BG170">
        <v>0</v>
      </c>
      <c s="6" r="BH170">
        <v>0</v>
      </c>
      <c s="6" r="BI170">
        <v>0</v>
      </c>
      <c s="6" r="BJ170">
        <v>0</v>
      </c>
      <c s="6" r="BK170">
        <v>0</v>
      </c>
      <c s="6" r="BL170">
        <v>1</v>
      </c>
      <c s="6" r="BM170">
        <v>0</v>
      </c>
      <c s="6" r="BN170">
        <v>0</v>
      </c>
      <c s="6" r="BO170">
        <v>0</v>
      </c>
      <c s="6" r="BP170">
        <v>0</v>
      </c>
      <c s="6" r="BQ170">
        <v>0</v>
      </c>
      <c t="str" s="6" r="BR170">
        <f>HYPERLINK("http://www.d20pfsrd.com/magic/all-spells/d/dominate-person","Dominate Person")</f>
        <v>Dominate Person</v>
      </c>
      <c s="6" r="BS170">
        <v>169</v>
      </c>
      <c t="s" s="6" r="BT170">
        <v>92</v>
      </c>
      <c t="s" s="6" r="BU170">
        <v>1515</v>
      </c>
      <c t="s" s="6" r="BV170">
        <v>1242</v>
      </c>
      <c s="6" r="BY170">
        <v>0</v>
      </c>
    </row>
    <row customHeight="1" r="171" ht="14.25">
      <c t="s" s="6" r="A171">
        <v>1516</v>
      </c>
      <c t="s" s="6" r="B171">
        <v>227</v>
      </c>
      <c t="s" s="6" r="D171">
        <v>688</v>
      </c>
      <c t="s" s="6" r="E171">
        <v>388</v>
      </c>
      <c t="s" s="6" r="F171">
        <v>81</v>
      </c>
      <c t="s" s="6" r="G171">
        <v>119</v>
      </c>
      <c s="6" r="H171">
        <v>0</v>
      </c>
      <c t="s" s="6" r="I171">
        <v>97</v>
      </c>
      <c t="s" s="6" r="L171">
        <v>473</v>
      </c>
      <c t="s" s="6" r="M171">
        <v>122</v>
      </c>
      <c s="6" r="N171">
        <v>0</v>
      </c>
      <c s="6" r="O171">
        <v>0</v>
      </c>
      <c t="s" s="6" r="P171">
        <v>221</v>
      </c>
      <c t="s" s="6" r="Q171">
        <v>188</v>
      </c>
      <c t="s" s="6" r="R171">
        <v>1517</v>
      </c>
      <c t="s" s="6" r="S171">
        <v>1518</v>
      </c>
      <c t="s" s="6" r="T171">
        <v>90</v>
      </c>
      <c t="s" s="6" r="U171">
        <v>1519</v>
      </c>
      <c s="6" r="V171">
        <v>1</v>
      </c>
      <c s="6" r="W171">
        <v>1</v>
      </c>
      <c s="6" r="X171">
        <v>0</v>
      </c>
      <c s="6" r="Y171">
        <v>0</v>
      </c>
      <c s="6" r="Z171">
        <v>1</v>
      </c>
      <c t="s" s="6" r="AA171">
        <v>92</v>
      </c>
      <c t="s" s="6" r="AB171">
        <v>92</v>
      </c>
      <c s="6" r="AC171">
        <v>1</v>
      </c>
      <c t="s" s="6" r="AD171">
        <v>92</v>
      </c>
      <c t="s" s="6" r="AE171">
        <v>92</v>
      </c>
      <c t="s" s="6" r="AF171">
        <v>92</v>
      </c>
      <c t="s" s="6" r="AG171">
        <v>92</v>
      </c>
      <c t="s" s="6" r="AH171">
        <v>92</v>
      </c>
      <c t="s" s="6" r="AI171">
        <v>92</v>
      </c>
      <c t="s" s="6" r="AJ171">
        <v>92</v>
      </c>
      <c s="6" r="AK171">
        <v>1</v>
      </c>
      <c s="6" r="AL171">
        <v>1</v>
      </c>
      <c s="6" r="AM171">
        <v>1</v>
      </c>
      <c t="s" s="6" r="AN171">
        <v>92</v>
      </c>
      <c s="6" r="AP171">
        <v>1</v>
      </c>
      <c t="s" s="6" r="AQ171">
        <v>1520</v>
      </c>
      <c t="s" s="6" r="AR171">
        <v>1521</v>
      </c>
      <c s="6" r="AS171">
        <v>0</v>
      </c>
      <c s="6" r="AT171">
        <v>0</v>
      </c>
      <c s="6" r="AU171">
        <v>0</v>
      </c>
      <c s="6" r="AV171">
        <v>0</v>
      </c>
      <c s="6" r="AW171">
        <v>0</v>
      </c>
      <c s="6" r="AX171">
        <v>0</v>
      </c>
      <c s="6" r="AY171">
        <v>0</v>
      </c>
      <c s="6" r="AZ171">
        <v>0</v>
      </c>
      <c s="6" r="BA171">
        <v>0</v>
      </c>
      <c s="6" r="BB171">
        <v>0</v>
      </c>
      <c s="6" r="BC171">
        <v>1</v>
      </c>
      <c s="6" r="BD171">
        <v>0</v>
      </c>
      <c s="6" r="BE171">
        <v>1</v>
      </c>
      <c s="6" r="BF171">
        <v>0</v>
      </c>
      <c s="6" r="BG171">
        <v>0</v>
      </c>
      <c s="6" r="BH171">
        <v>0</v>
      </c>
      <c s="6" r="BI171">
        <v>0</v>
      </c>
      <c s="6" r="BJ171">
        <v>0</v>
      </c>
      <c s="6" r="BK171">
        <v>0</v>
      </c>
      <c s="6" r="BL171">
        <v>1</v>
      </c>
      <c s="6" r="BM171">
        <v>0</v>
      </c>
      <c s="6" r="BN171">
        <v>0</v>
      </c>
      <c s="6" r="BO171">
        <v>0</v>
      </c>
      <c s="6" r="BP171">
        <v>0</v>
      </c>
      <c s="6" r="BQ171">
        <v>0</v>
      </c>
      <c t="str" s="6" r="BR171">
        <f>HYPERLINK("http://www.d20pfsrd.com/magic/all-spells/d/doom","Doom")</f>
        <v>Doom</v>
      </c>
      <c s="6" r="BS171">
        <v>170</v>
      </c>
      <c t="s" s="6" r="BT171">
        <v>92</v>
      </c>
      <c s="6" r="BY171">
        <v>0</v>
      </c>
    </row>
    <row customHeight="1" r="172" ht="14.25">
      <c t="s" s="6" r="A172">
        <v>1522</v>
      </c>
      <c t="s" s="6" r="B172">
        <v>579</v>
      </c>
      <c t="s" s="6" r="C172">
        <v>1523</v>
      </c>
      <c t="s" s="6" r="D172">
        <v>117</v>
      </c>
      <c t="s" s="6" r="E172">
        <v>1524</v>
      </c>
      <c t="s" s="6" r="F172">
        <v>197</v>
      </c>
      <c t="s" s="6" r="G172">
        <v>106</v>
      </c>
      <c s="6" r="H172">
        <v>0</v>
      </c>
      <c t="s" s="6" r="I172">
        <v>313</v>
      </c>
      <c t="s" s="6" r="L172">
        <v>1525</v>
      </c>
      <c t="s" s="6" r="M172">
        <v>141</v>
      </c>
      <c s="6" r="N172">
        <v>0</v>
      </c>
      <c s="6" r="O172">
        <v>0</v>
      </c>
      <c t="s" s="6" r="P172">
        <v>86</v>
      </c>
      <c t="s" s="6" r="Q172">
        <v>188</v>
      </c>
      <c t="s" s="6" r="R172">
        <v>1526</v>
      </c>
      <c t="s" s="6" r="S172">
        <v>1527</v>
      </c>
      <c t="s" s="6" r="T172">
        <v>90</v>
      </c>
      <c t="s" s="6" r="U172">
        <v>1528</v>
      </c>
      <c s="6" r="V172">
        <v>1</v>
      </c>
      <c s="6" r="W172">
        <v>1</v>
      </c>
      <c s="6" r="X172">
        <v>0</v>
      </c>
      <c s="6" r="Y172">
        <v>0</v>
      </c>
      <c s="6" r="Z172">
        <v>0</v>
      </c>
      <c s="6" r="AA172">
        <v>5</v>
      </c>
      <c s="6" r="AB172">
        <v>5</v>
      </c>
      <c t="s" s="6" r="AC172">
        <v>92</v>
      </c>
      <c t="s" s="6" r="AD172">
        <v>92</v>
      </c>
      <c t="s" s="6" r="AE172">
        <v>92</v>
      </c>
      <c s="6" r="AF172">
        <v>5</v>
      </c>
      <c t="s" s="6" r="AG172">
        <v>92</v>
      </c>
      <c s="6" r="AH172">
        <v>5</v>
      </c>
      <c t="s" s="6" r="AI172">
        <v>92</v>
      </c>
      <c t="s" s="6" r="AJ172">
        <v>92</v>
      </c>
      <c t="s" s="6" r="AK172">
        <v>92</v>
      </c>
      <c t="s" s="6" r="AL172">
        <v>92</v>
      </c>
      <c t="s" s="6" r="AM172">
        <v>92</v>
      </c>
      <c t="s" s="6" r="AN172">
        <v>92</v>
      </c>
      <c s="6" r="AP172">
        <v>5</v>
      </c>
      <c t="s" s="6" r="AR172">
        <v>1529</v>
      </c>
      <c s="6" r="AS172">
        <v>0</v>
      </c>
      <c s="6" r="AT172">
        <v>0</v>
      </c>
      <c s="6" r="AU172">
        <v>0</v>
      </c>
      <c s="6" r="AV172">
        <v>0</v>
      </c>
      <c s="6" r="AW172">
        <v>0</v>
      </c>
      <c s="6" r="AX172">
        <v>0</v>
      </c>
      <c s="6" r="AY172">
        <v>0</v>
      </c>
      <c s="6" r="AZ172">
        <v>0</v>
      </c>
      <c s="6" r="BA172">
        <v>0</v>
      </c>
      <c s="6" r="BB172">
        <v>0</v>
      </c>
      <c s="6" r="BC172">
        <v>0</v>
      </c>
      <c s="6" r="BD172">
        <v>0</v>
      </c>
      <c s="6" r="BE172">
        <v>0</v>
      </c>
      <c s="6" r="BF172">
        <v>0</v>
      </c>
      <c s="6" r="BG172">
        <v>0</v>
      </c>
      <c s="6" r="BH172">
        <v>0</v>
      </c>
      <c s="6" r="BI172">
        <v>0</v>
      </c>
      <c s="6" r="BJ172">
        <v>0</v>
      </c>
      <c s="6" r="BK172">
        <v>0</v>
      </c>
      <c s="6" r="BL172">
        <v>1</v>
      </c>
      <c s="6" r="BM172">
        <v>0</v>
      </c>
      <c s="6" r="BN172">
        <v>0</v>
      </c>
      <c s="6" r="BO172">
        <v>0</v>
      </c>
      <c s="6" r="BP172">
        <v>0</v>
      </c>
      <c s="6" r="BQ172">
        <v>0</v>
      </c>
      <c t="str" s="6" r="BR172">
        <f>HYPERLINK("http://www.d20pfsrd.com/magic/all-spells/d/dream","Dream")</f>
        <v>Dream</v>
      </c>
      <c s="6" r="BS172">
        <v>171</v>
      </c>
      <c t="s" s="6" r="BT172">
        <v>92</v>
      </c>
      <c t="s" s="6" r="BU172">
        <v>359</v>
      </c>
      <c t="s" s="6" r="BV172">
        <v>1530</v>
      </c>
      <c t="s" s="6" r="BW172">
        <v>1531</v>
      </c>
      <c s="6" r="BY172">
        <v>1</v>
      </c>
    </row>
    <row customHeight="1" r="173" ht="14.25">
      <c t="s" s="6" r="A173">
        <v>1532</v>
      </c>
      <c t="s" s="6" r="B173">
        <v>131</v>
      </c>
      <c t="s" s="6" r="E173">
        <v>1533</v>
      </c>
      <c t="s" s="6" r="F173">
        <v>81</v>
      </c>
      <c t="s" s="6" r="G173">
        <v>1534</v>
      </c>
      <c s="6" r="H173">
        <v>0</v>
      </c>
      <c t="s" s="6" r="I173">
        <v>120</v>
      </c>
      <c t="s" s="6" r="L173">
        <v>420</v>
      </c>
      <c t="s" s="6" r="M173">
        <v>122</v>
      </c>
      <c s="6" r="N173">
        <v>0</v>
      </c>
      <c s="6" r="O173">
        <v>0</v>
      </c>
      <c t="s" s="6" r="P173">
        <v>421</v>
      </c>
      <c t="s" s="6" r="Q173">
        <v>188</v>
      </c>
      <c t="s" s="6" r="R173">
        <v>1535</v>
      </c>
      <c t="s" s="6" r="S173">
        <v>1536</v>
      </c>
      <c t="s" s="6" r="T173">
        <v>90</v>
      </c>
      <c t="s" s="6" r="U173">
        <v>1537</v>
      </c>
      <c s="6" r="V173">
        <v>1</v>
      </c>
      <c s="6" r="W173">
        <v>1</v>
      </c>
      <c s="6" r="X173">
        <v>1</v>
      </c>
      <c s="6" r="Y173">
        <v>0</v>
      </c>
      <c s="6" r="Z173">
        <v>1</v>
      </c>
      <c s="6" r="AA173">
        <v>2</v>
      </c>
      <c s="6" r="AB173">
        <v>2</v>
      </c>
      <c s="6" r="AC173">
        <v>2</v>
      </c>
      <c t="s" s="6" r="AD173">
        <v>92</v>
      </c>
      <c t="s" s="6" r="AE173">
        <v>92</v>
      </c>
      <c s="6" r="AF173">
        <v>2</v>
      </c>
      <c s="6" r="AG173">
        <v>2</v>
      </c>
      <c s="6" r="AH173">
        <v>2</v>
      </c>
      <c s="6" r="AI173">
        <v>2</v>
      </c>
      <c t="s" s="6" r="AJ173">
        <v>92</v>
      </c>
      <c t="s" s="6" r="AK173">
        <v>92</v>
      </c>
      <c s="6" r="AL173">
        <v>2</v>
      </c>
      <c s="6" r="AM173">
        <v>2</v>
      </c>
      <c t="s" s="6" r="AN173">
        <v>92</v>
      </c>
      <c s="6" r="AP173">
        <v>2</v>
      </c>
      <c t="s" s="6" r="AR173">
        <v>1538</v>
      </c>
      <c s="6" r="AS173">
        <v>0</v>
      </c>
      <c s="6" r="AT173">
        <v>0</v>
      </c>
      <c s="6" r="AU173">
        <v>0</v>
      </c>
      <c s="6" r="AV173">
        <v>0</v>
      </c>
      <c s="6" r="AW173">
        <v>0</v>
      </c>
      <c s="6" r="AX173">
        <v>0</v>
      </c>
      <c s="6" r="AY173">
        <v>0</v>
      </c>
      <c s="6" r="AZ173">
        <v>0</v>
      </c>
      <c s="6" r="BA173">
        <v>0</v>
      </c>
      <c s="6" r="BB173">
        <v>0</v>
      </c>
      <c s="6" r="BC173">
        <v>0</v>
      </c>
      <c s="6" r="BD173">
        <v>0</v>
      </c>
      <c s="6" r="BE173">
        <v>0</v>
      </c>
      <c s="6" r="BF173">
        <v>0</v>
      </c>
      <c s="6" r="BG173">
        <v>0</v>
      </c>
      <c s="6" r="BH173">
        <v>0</v>
      </c>
      <c s="6" r="BI173">
        <v>0</v>
      </c>
      <c s="6" r="BJ173">
        <v>0</v>
      </c>
      <c s="6" r="BK173">
        <v>0</v>
      </c>
      <c s="6" r="BL173">
        <v>0</v>
      </c>
      <c s="6" r="BM173">
        <v>0</v>
      </c>
      <c s="6" r="BN173">
        <v>0</v>
      </c>
      <c s="6" r="BO173">
        <v>0</v>
      </c>
      <c s="6" r="BP173">
        <v>0</v>
      </c>
      <c s="6" r="BQ173">
        <v>0</v>
      </c>
      <c t="str" s="6" r="BR173">
        <f>HYPERLINK("http://www.d20pfsrd.com/magic/all-spells/e/eagle-s-splendor","Eagle's Splendor")</f>
        <v>Eagle's Splendor</v>
      </c>
      <c s="6" r="BS173">
        <v>172</v>
      </c>
      <c t="s" s="6" r="BT173">
        <v>92</v>
      </c>
      <c t="s" s="6" r="BU173">
        <v>857</v>
      </c>
      <c s="6" r="BY173">
        <v>0</v>
      </c>
    </row>
    <row customHeight="1" r="174" ht="14.25">
      <c t="s" s="6" r="A174">
        <v>1539</v>
      </c>
      <c t="s" s="6" r="B174">
        <v>131</v>
      </c>
      <c t="s" s="6" r="E174">
        <v>1540</v>
      </c>
      <c t="s" s="6" r="F174">
        <v>81</v>
      </c>
      <c t="s" s="6" r="G174">
        <v>1534</v>
      </c>
      <c s="6" r="H174">
        <v>0</v>
      </c>
      <c t="s" s="6" r="I174">
        <v>107</v>
      </c>
      <c t="s" s="6" r="L174">
        <v>1541</v>
      </c>
      <c t="s" s="6" r="M174">
        <v>122</v>
      </c>
      <c s="6" r="N174">
        <v>0</v>
      </c>
      <c s="6" r="O174">
        <v>0</v>
      </c>
      <c t="s" s="6" r="P174">
        <v>421</v>
      </c>
      <c t="s" s="6" r="Q174">
        <v>188</v>
      </c>
      <c t="s" s="6" r="R174">
        <v>1542</v>
      </c>
      <c t="s" s="6" r="S174">
        <v>1543</v>
      </c>
      <c t="s" s="6" r="T174">
        <v>90</v>
      </c>
      <c t="s" s="6" r="U174">
        <v>1544</v>
      </c>
      <c s="6" r="V174">
        <v>1</v>
      </c>
      <c s="6" r="W174">
        <v>1</v>
      </c>
      <c s="6" r="X174">
        <v>1</v>
      </c>
      <c s="6" r="Y174">
        <v>0</v>
      </c>
      <c s="6" r="Z174">
        <v>1</v>
      </c>
      <c s="6" r="AA174">
        <v>6</v>
      </c>
      <c s="6" r="AB174">
        <v>6</v>
      </c>
      <c s="6" r="AC174">
        <v>6</v>
      </c>
      <c t="s" s="6" r="AD174">
        <v>92</v>
      </c>
      <c t="s" s="6" r="AE174">
        <v>92</v>
      </c>
      <c s="6" r="AF174">
        <v>6</v>
      </c>
      <c t="s" s="6" r="AG174">
        <v>92</v>
      </c>
      <c t="s" s="6" r="AH174">
        <v>92</v>
      </c>
      <c s="6" r="AI174">
        <v>4</v>
      </c>
      <c t="s" s="6" r="AJ174">
        <v>92</v>
      </c>
      <c t="s" s="6" r="AK174">
        <v>92</v>
      </c>
      <c s="6" r="AL174">
        <v>6</v>
      </c>
      <c t="s" s="6" r="AM174">
        <v>92</v>
      </c>
      <c t="s" s="6" r="AN174">
        <v>92</v>
      </c>
      <c s="6" r="AP174">
        <v>6</v>
      </c>
      <c t="s" s="6" r="AR174">
        <v>1545</v>
      </c>
      <c s="6" r="AS174">
        <v>0</v>
      </c>
      <c s="6" r="AT174">
        <v>0</v>
      </c>
      <c s="6" r="AU174">
        <v>0</v>
      </c>
      <c s="6" r="AV174">
        <v>0</v>
      </c>
      <c s="6" r="AW174">
        <v>0</v>
      </c>
      <c s="6" r="AX174">
        <v>0</v>
      </c>
      <c s="6" r="AY174">
        <v>0</v>
      </c>
      <c s="6" r="AZ174">
        <v>0</v>
      </c>
      <c s="6" r="BA174">
        <v>0</v>
      </c>
      <c s="6" r="BB174">
        <v>0</v>
      </c>
      <c s="6" r="BC174">
        <v>0</v>
      </c>
      <c s="6" r="BD174">
        <v>0</v>
      </c>
      <c s="6" r="BE174">
        <v>0</v>
      </c>
      <c s="6" r="BF174">
        <v>0</v>
      </c>
      <c s="6" r="BG174">
        <v>0</v>
      </c>
      <c s="6" r="BH174">
        <v>0</v>
      </c>
      <c s="6" r="BI174">
        <v>0</v>
      </c>
      <c s="6" r="BJ174">
        <v>0</v>
      </c>
      <c s="6" r="BK174">
        <v>0</v>
      </c>
      <c s="6" r="BL174">
        <v>0</v>
      </c>
      <c s="6" r="BM174">
        <v>0</v>
      </c>
      <c s="6" r="BN174">
        <v>0</v>
      </c>
      <c s="6" r="BO174">
        <v>0</v>
      </c>
      <c s="6" r="BP174">
        <v>0</v>
      </c>
      <c s="6" r="BQ174">
        <v>0</v>
      </c>
      <c t="str" s="6" r="BR174">
        <f>HYPERLINK("http://www.d20pfsrd.com/magic/all-spells/e/eagle-s-splendor","Eagle's Splendor, Mass")</f>
        <v>Eagle's Splendor, Mass</v>
      </c>
      <c s="6" r="BS174">
        <v>173</v>
      </c>
      <c t="s" s="6" r="BT174">
        <v>92</v>
      </c>
      <c s="6" r="BY174">
        <v>0</v>
      </c>
    </row>
    <row customHeight="1" r="175" ht="14.25">
      <c t="s" s="6" r="A175">
        <v>1546</v>
      </c>
      <c t="s" s="6" r="B175">
        <v>493</v>
      </c>
      <c t="s" s="6" r="D175">
        <v>52</v>
      </c>
      <c t="s" s="6" r="E175">
        <v>1547</v>
      </c>
      <c t="s" s="6" r="F175">
        <v>81</v>
      </c>
      <c t="s" s="6" r="G175">
        <v>119</v>
      </c>
      <c s="6" r="H175">
        <v>0</v>
      </c>
      <c t="s" s="6" r="I175">
        <v>83</v>
      </c>
      <c t="s" s="6" r="J175">
        <v>1548</v>
      </c>
      <c t="s" s="6" r="M175">
        <v>272</v>
      </c>
      <c s="6" r="N175">
        <v>0</v>
      </c>
      <c s="6" r="O175">
        <v>1</v>
      </c>
      <c t="s" s="6" r="P175">
        <v>141</v>
      </c>
      <c t="s" s="6" r="Q175">
        <v>87</v>
      </c>
      <c t="s" s="6" r="R175">
        <v>1549</v>
      </c>
      <c t="s" s="6" r="S175">
        <v>1550</v>
      </c>
      <c t="s" s="6" r="T175">
        <v>90</v>
      </c>
      <c t="s" s="6" r="U175">
        <v>1551</v>
      </c>
      <c s="6" r="V175">
        <v>1</v>
      </c>
      <c s="6" r="W175">
        <v>1</v>
      </c>
      <c s="6" r="X175">
        <v>0</v>
      </c>
      <c s="6" r="Y175">
        <v>0</v>
      </c>
      <c s="6" r="Z175">
        <v>1</v>
      </c>
      <c t="s" s="6" r="AA175">
        <v>92</v>
      </c>
      <c t="s" s="6" r="AB175">
        <v>92</v>
      </c>
      <c s="6" r="AC175">
        <v>8</v>
      </c>
      <c s="6" r="AD175">
        <v>8</v>
      </c>
      <c t="s" s="6" r="AE175">
        <v>92</v>
      </c>
      <c t="s" s="6" r="AF175">
        <v>92</v>
      </c>
      <c t="s" s="6" r="AG175">
        <v>92</v>
      </c>
      <c t="s" s="6" r="AH175">
        <v>92</v>
      </c>
      <c t="s" s="6" r="AI175">
        <v>92</v>
      </c>
      <c t="s" s="6" r="AJ175">
        <v>92</v>
      </c>
      <c t="s" s="6" r="AK175">
        <v>92</v>
      </c>
      <c s="6" r="AL175">
        <v>8</v>
      </c>
      <c t="s" s="6" r="AM175">
        <v>92</v>
      </c>
      <c t="s" s="6" r="AN175">
        <v>92</v>
      </c>
      <c s="6" r="AP175">
        <v>8</v>
      </c>
      <c t="s" s="6" r="AQ175">
        <v>1552</v>
      </c>
      <c t="s" s="6" r="AR175">
        <v>1553</v>
      </c>
      <c s="6" r="AS175">
        <v>0</v>
      </c>
      <c s="6" r="AT175">
        <v>0</v>
      </c>
      <c s="6" r="AU175">
        <v>0</v>
      </c>
      <c s="6" r="AV175">
        <v>0</v>
      </c>
      <c s="6" r="AW175">
        <v>0</v>
      </c>
      <c s="6" r="AX175">
        <v>0</v>
      </c>
      <c s="6" r="AY175">
        <v>0</v>
      </c>
      <c s="6" r="AZ175">
        <v>0</v>
      </c>
      <c s="6" r="BA175">
        <v>1</v>
      </c>
      <c s="6" r="BB175">
        <v>0</v>
      </c>
      <c s="6" r="BC175">
        <v>0</v>
      </c>
      <c s="6" r="BD175">
        <v>0</v>
      </c>
      <c s="6" r="BE175">
        <v>0</v>
      </c>
      <c s="6" r="BF175">
        <v>0</v>
      </c>
      <c s="6" r="BG175">
        <v>0</v>
      </c>
      <c s="6" r="BH175">
        <v>0</v>
      </c>
      <c s="6" r="BI175">
        <v>0</v>
      </c>
      <c s="6" r="BJ175">
        <v>0</v>
      </c>
      <c s="6" r="BK175">
        <v>0</v>
      </c>
      <c s="6" r="BL175">
        <v>0</v>
      </c>
      <c s="6" r="BM175">
        <v>0</v>
      </c>
      <c s="6" r="BN175">
        <v>0</v>
      </c>
      <c s="6" r="BO175">
        <v>0</v>
      </c>
      <c s="6" r="BP175">
        <v>0</v>
      </c>
      <c s="6" r="BQ175">
        <v>0</v>
      </c>
      <c t="str" s="6" r="BR175">
        <f>HYPERLINK("http://www.d20pfsrd.com/magic/all-spells/e/earthquake","Earthquake")</f>
        <v>Earthquake</v>
      </c>
      <c s="6" r="BS175">
        <v>174</v>
      </c>
      <c t="s" s="6" r="BT175">
        <v>92</v>
      </c>
      <c t="s" s="6" r="BU175">
        <v>1554</v>
      </c>
      <c t="s" s="6" r="BW175">
        <v>1555</v>
      </c>
      <c t="s" s="6" r="BX175">
        <v>1556</v>
      </c>
      <c s="6" r="BY175">
        <v>1</v>
      </c>
    </row>
    <row customHeight="1" r="176" ht="14.25">
      <c t="s" s="6" r="A176">
        <v>1557</v>
      </c>
      <c t="s" s="6" r="B176">
        <v>131</v>
      </c>
      <c t="s" s="6" r="C176">
        <v>152</v>
      </c>
      <c t="s" s="6" r="E176">
        <v>444</v>
      </c>
      <c t="s" s="6" r="F176">
        <v>81</v>
      </c>
      <c t="s" s="6" r="G176">
        <v>1558</v>
      </c>
      <c s="6" r="H176">
        <v>0</v>
      </c>
      <c t="s" s="6" r="I176">
        <v>155</v>
      </c>
      <c t="s" s="6" r="L176">
        <v>156</v>
      </c>
      <c t="s" s="6" r="M176">
        <v>1559</v>
      </c>
      <c s="6" r="N176">
        <v>1</v>
      </c>
      <c s="6" r="O176">
        <v>0</v>
      </c>
      <c t="s" s="6" r="R176">
        <v>1560</v>
      </c>
      <c t="s" s="6" r="S176">
        <v>1561</v>
      </c>
      <c t="s" s="6" r="T176">
        <v>90</v>
      </c>
      <c t="s" s="6" r="U176">
        <v>1562</v>
      </c>
      <c s="6" r="V176">
        <v>1</v>
      </c>
      <c s="6" r="W176">
        <v>1</v>
      </c>
      <c s="6" r="X176">
        <v>1</v>
      </c>
      <c s="6" r="Y176">
        <v>0</v>
      </c>
      <c s="6" r="Z176">
        <v>0</v>
      </c>
      <c s="6" r="AA176">
        <v>4</v>
      </c>
      <c s="6" r="AB176">
        <v>4</v>
      </c>
      <c t="s" s="6" r="AC176">
        <v>92</v>
      </c>
      <c t="s" s="6" r="AD176">
        <v>92</v>
      </c>
      <c t="s" s="6" r="AE176">
        <v>92</v>
      </c>
      <c t="s" s="6" r="AF176">
        <v>92</v>
      </c>
      <c t="s" s="6" r="AG176">
        <v>92</v>
      </c>
      <c s="6" r="AH176">
        <v>4</v>
      </c>
      <c t="s" s="6" r="AI176">
        <v>92</v>
      </c>
      <c t="s" s="6" r="AJ176">
        <v>92</v>
      </c>
      <c t="s" s="6" r="AK176">
        <v>92</v>
      </c>
      <c t="s" s="6" r="AL176">
        <v>92</v>
      </c>
      <c t="s" s="6" r="AM176">
        <v>92</v>
      </c>
      <c s="6" r="AN176">
        <v>4</v>
      </c>
      <c s="6" r="AP176">
        <v>4</v>
      </c>
      <c t="s" s="6" r="AR176">
        <v>1563</v>
      </c>
      <c s="6" r="AS176">
        <v>0</v>
      </c>
      <c s="6" r="AT176">
        <v>0</v>
      </c>
      <c s="6" r="AU176">
        <v>0</v>
      </c>
      <c s="6" r="AV176">
        <v>0</v>
      </c>
      <c s="6" r="AW176">
        <v>0</v>
      </c>
      <c s="6" r="AX176">
        <v>0</v>
      </c>
      <c s="6" r="AY176">
        <v>0</v>
      </c>
      <c s="6" r="AZ176">
        <v>0</v>
      </c>
      <c s="6" r="BA176">
        <v>0</v>
      </c>
      <c s="6" r="BB176">
        <v>0</v>
      </c>
      <c s="6" r="BC176">
        <v>0</v>
      </c>
      <c s="6" r="BD176">
        <v>0</v>
      </c>
      <c s="6" r="BE176">
        <v>0</v>
      </c>
      <c s="6" r="BF176">
        <v>0</v>
      </c>
      <c s="6" r="BG176">
        <v>0</v>
      </c>
      <c s="6" r="BH176">
        <v>0</v>
      </c>
      <c s="6" r="BI176">
        <v>0</v>
      </c>
      <c s="6" r="BJ176">
        <v>0</v>
      </c>
      <c s="6" r="BK176">
        <v>0</v>
      </c>
      <c s="6" r="BL176">
        <v>0</v>
      </c>
      <c s="6" r="BM176">
        <v>0</v>
      </c>
      <c s="6" r="BN176">
        <v>0</v>
      </c>
      <c s="6" r="BO176">
        <v>0</v>
      </c>
      <c s="6" r="BP176">
        <v>0</v>
      </c>
      <c s="6" r="BQ176">
        <v>0</v>
      </c>
      <c t="str" s="6" r="BR176">
        <f>HYPERLINK("http://www.d20pfsrd.com/magic/all-spells/e/elemental-body-i","Elemental Body I")</f>
        <v>Elemental Body I</v>
      </c>
      <c s="6" r="BS176">
        <v>175</v>
      </c>
      <c t="s" s="6" r="BT176">
        <v>92</v>
      </c>
      <c t="s" s="6" r="BU176">
        <v>1564</v>
      </c>
      <c s="6" r="BY176">
        <v>0</v>
      </c>
    </row>
    <row customHeight="1" r="177" ht="14.25">
      <c t="s" s="6" r="A177">
        <v>1565</v>
      </c>
      <c t="s" s="6" r="B177">
        <v>131</v>
      </c>
      <c t="s" s="6" r="C177">
        <v>152</v>
      </c>
      <c t="s" s="6" r="E177">
        <v>450</v>
      </c>
      <c t="s" s="6" r="F177">
        <v>81</v>
      </c>
      <c t="s" s="6" r="G177">
        <v>1558</v>
      </c>
      <c s="6" r="H177">
        <v>0</v>
      </c>
      <c t="s" s="6" r="I177">
        <v>155</v>
      </c>
      <c t="s" s="6" r="L177">
        <v>156</v>
      </c>
      <c t="s" s="6" r="M177">
        <v>1559</v>
      </c>
      <c s="6" r="N177">
        <v>1</v>
      </c>
      <c s="6" r="O177">
        <v>0</v>
      </c>
      <c t="s" s="6" r="R177">
        <v>1566</v>
      </c>
      <c t="s" s="6" r="S177">
        <v>1567</v>
      </c>
      <c t="s" s="6" r="T177">
        <v>90</v>
      </c>
      <c t="s" s="6" r="U177">
        <v>1568</v>
      </c>
      <c s="6" r="V177">
        <v>1</v>
      </c>
      <c s="6" r="W177">
        <v>1</v>
      </c>
      <c s="6" r="X177">
        <v>1</v>
      </c>
      <c s="6" r="Y177">
        <v>0</v>
      </c>
      <c s="6" r="Z177">
        <v>0</v>
      </c>
      <c s="6" r="AA177">
        <v>5</v>
      </c>
      <c s="6" r="AB177">
        <v>5</v>
      </c>
      <c t="s" s="6" r="AC177">
        <v>92</v>
      </c>
      <c t="s" s="6" r="AD177">
        <v>92</v>
      </c>
      <c t="s" s="6" r="AE177">
        <v>92</v>
      </c>
      <c t="s" s="6" r="AF177">
        <v>92</v>
      </c>
      <c t="s" s="6" r="AG177">
        <v>92</v>
      </c>
      <c s="6" r="AH177">
        <v>5</v>
      </c>
      <c t="s" s="6" r="AI177">
        <v>92</v>
      </c>
      <c t="s" s="6" r="AJ177">
        <v>92</v>
      </c>
      <c t="s" s="6" r="AK177">
        <v>92</v>
      </c>
      <c t="s" s="6" r="AL177">
        <v>92</v>
      </c>
      <c t="s" s="6" r="AM177">
        <v>92</v>
      </c>
      <c s="6" r="AN177">
        <v>5</v>
      </c>
      <c s="6" r="AP177">
        <v>5</v>
      </c>
      <c t="s" s="6" r="AR177">
        <v>1569</v>
      </c>
      <c s="6" r="AS177">
        <v>0</v>
      </c>
      <c s="6" r="AT177">
        <v>0</v>
      </c>
      <c s="6" r="AU177">
        <v>0</v>
      </c>
      <c s="6" r="AV177">
        <v>0</v>
      </c>
      <c s="6" r="AW177">
        <v>0</v>
      </c>
      <c s="6" r="AX177">
        <v>0</v>
      </c>
      <c s="6" r="AY177">
        <v>0</v>
      </c>
      <c s="6" r="AZ177">
        <v>0</v>
      </c>
      <c s="6" r="BA177">
        <v>0</v>
      </c>
      <c s="6" r="BB177">
        <v>0</v>
      </c>
      <c s="6" r="BC177">
        <v>0</v>
      </c>
      <c s="6" r="BD177">
        <v>0</v>
      </c>
      <c s="6" r="BE177">
        <v>0</v>
      </c>
      <c s="6" r="BF177">
        <v>0</v>
      </c>
      <c s="6" r="BG177">
        <v>0</v>
      </c>
      <c s="6" r="BH177">
        <v>0</v>
      </c>
      <c s="6" r="BI177">
        <v>0</v>
      </c>
      <c s="6" r="BJ177">
        <v>0</v>
      </c>
      <c s="6" r="BK177">
        <v>0</v>
      </c>
      <c s="6" r="BL177">
        <v>0</v>
      </c>
      <c s="6" r="BM177">
        <v>0</v>
      </c>
      <c s="6" r="BN177">
        <v>0</v>
      </c>
      <c s="6" r="BO177">
        <v>0</v>
      </c>
      <c s="6" r="BP177">
        <v>0</v>
      </c>
      <c s="6" r="BQ177">
        <v>0</v>
      </c>
      <c t="str" s="6" r="BR177">
        <f>HYPERLINK("http://www.d20pfsrd.com/magic/all-spells/e/elemental-body-i#TOC-Elemental-Body-II","Elemental Body II")</f>
        <v>Elemental Body II</v>
      </c>
      <c s="6" r="BS177">
        <v>176</v>
      </c>
      <c t="s" s="6" r="BT177">
        <v>92</v>
      </c>
      <c t="s" s="6" r="BU177">
        <v>1564</v>
      </c>
      <c s="6" r="BY177">
        <v>0</v>
      </c>
    </row>
    <row customHeight="1" r="178" ht="14.25">
      <c t="s" s="6" r="A178">
        <v>1570</v>
      </c>
      <c t="s" s="6" r="B178">
        <v>131</v>
      </c>
      <c t="s" s="6" r="C178">
        <v>152</v>
      </c>
      <c t="s" s="6" r="E178">
        <v>457</v>
      </c>
      <c t="s" s="6" r="F178">
        <v>81</v>
      </c>
      <c t="s" s="6" r="G178">
        <v>1558</v>
      </c>
      <c s="6" r="H178">
        <v>0</v>
      </c>
      <c t="s" s="6" r="I178">
        <v>155</v>
      </c>
      <c t="s" s="6" r="L178">
        <v>156</v>
      </c>
      <c t="s" s="6" r="M178">
        <v>1559</v>
      </c>
      <c s="6" r="N178">
        <v>1</v>
      </c>
      <c s="6" r="O178">
        <v>0</v>
      </c>
      <c t="s" s="6" r="R178">
        <v>1571</v>
      </c>
      <c t="s" s="6" r="S178">
        <v>1572</v>
      </c>
      <c t="s" s="6" r="T178">
        <v>90</v>
      </c>
      <c t="s" s="6" r="U178">
        <v>1573</v>
      </c>
      <c s="6" r="V178">
        <v>1</v>
      </c>
      <c s="6" r="W178">
        <v>1</v>
      </c>
      <c s="6" r="X178">
        <v>1</v>
      </c>
      <c s="6" r="Y178">
        <v>0</v>
      </c>
      <c s="6" r="Z178">
        <v>0</v>
      </c>
      <c s="6" r="AA178">
        <v>6</v>
      </c>
      <c s="6" r="AB178">
        <v>6</v>
      </c>
      <c t="s" s="6" r="AC178">
        <v>92</v>
      </c>
      <c t="s" s="6" r="AD178">
        <v>92</v>
      </c>
      <c t="s" s="6" r="AE178">
        <v>92</v>
      </c>
      <c t="s" s="6" r="AF178">
        <v>92</v>
      </c>
      <c t="s" s="6" r="AG178">
        <v>92</v>
      </c>
      <c s="6" r="AH178">
        <v>6</v>
      </c>
      <c t="s" s="6" r="AI178">
        <v>92</v>
      </c>
      <c t="s" s="6" r="AJ178">
        <v>92</v>
      </c>
      <c t="s" s="6" r="AK178">
        <v>92</v>
      </c>
      <c t="s" s="6" r="AL178">
        <v>92</v>
      </c>
      <c t="s" s="6" r="AM178">
        <v>92</v>
      </c>
      <c s="6" r="AN178">
        <v>6</v>
      </c>
      <c s="6" r="AP178">
        <v>6</v>
      </c>
      <c t="s" s="6" r="AR178">
        <v>1574</v>
      </c>
      <c s="6" r="AS178">
        <v>0</v>
      </c>
      <c s="6" r="AT178">
        <v>0</v>
      </c>
      <c s="6" r="AU178">
        <v>0</v>
      </c>
      <c s="6" r="AV178">
        <v>0</v>
      </c>
      <c s="6" r="AW178">
        <v>0</v>
      </c>
      <c s="6" r="AX178">
        <v>0</v>
      </c>
      <c s="6" r="AY178">
        <v>0</v>
      </c>
      <c s="6" r="AZ178">
        <v>0</v>
      </c>
      <c s="6" r="BA178">
        <v>0</v>
      </c>
      <c s="6" r="BB178">
        <v>0</v>
      </c>
      <c s="6" r="BC178">
        <v>0</v>
      </c>
      <c s="6" r="BD178">
        <v>0</v>
      </c>
      <c s="6" r="BE178">
        <v>0</v>
      </c>
      <c s="6" r="BF178">
        <v>0</v>
      </c>
      <c s="6" r="BG178">
        <v>0</v>
      </c>
      <c s="6" r="BH178">
        <v>0</v>
      </c>
      <c s="6" r="BI178">
        <v>0</v>
      </c>
      <c s="6" r="BJ178">
        <v>0</v>
      </c>
      <c s="6" r="BK178">
        <v>0</v>
      </c>
      <c s="6" r="BL178">
        <v>0</v>
      </c>
      <c s="6" r="BM178">
        <v>0</v>
      </c>
      <c s="6" r="BN178">
        <v>0</v>
      </c>
      <c s="6" r="BO178">
        <v>0</v>
      </c>
      <c s="6" r="BP178">
        <v>0</v>
      </c>
      <c s="6" r="BQ178">
        <v>0</v>
      </c>
      <c t="str" s="6" r="BR178">
        <f>HYPERLINK("http://www.d20pfsrd.com/magic/all-spells/e/elemental-body-i#TOC-Elemental-Body-III","Elemental Body III")</f>
        <v>Elemental Body III</v>
      </c>
      <c s="6" r="BS178">
        <v>177</v>
      </c>
      <c t="s" s="6" r="BT178">
        <v>92</v>
      </c>
      <c t="s" s="6" r="BU178">
        <v>1575</v>
      </c>
      <c t="s" s="6" r="BV178">
        <v>542</v>
      </c>
      <c s="6" r="BY178">
        <v>0</v>
      </c>
    </row>
    <row customHeight="1" r="179" ht="14.25">
      <c t="s" s="6" r="A179">
        <v>1576</v>
      </c>
      <c t="s" s="6" r="B179">
        <v>131</v>
      </c>
      <c t="s" s="6" r="C179">
        <v>152</v>
      </c>
      <c t="s" s="6" r="E179">
        <v>973</v>
      </c>
      <c t="s" s="6" r="F179">
        <v>81</v>
      </c>
      <c t="s" s="6" r="G179">
        <v>1558</v>
      </c>
      <c s="6" r="H179">
        <v>0</v>
      </c>
      <c t="s" s="6" r="I179">
        <v>155</v>
      </c>
      <c t="s" s="6" r="L179">
        <v>156</v>
      </c>
      <c t="s" s="6" r="M179">
        <v>1559</v>
      </c>
      <c s="6" r="N179">
        <v>1</v>
      </c>
      <c s="6" r="O179">
        <v>0</v>
      </c>
      <c t="s" s="6" r="R179">
        <v>1577</v>
      </c>
      <c t="s" s="6" r="S179">
        <v>1578</v>
      </c>
      <c t="s" s="6" r="T179">
        <v>90</v>
      </c>
      <c t="s" s="6" r="U179">
        <v>1579</v>
      </c>
      <c s="6" r="V179">
        <v>1</v>
      </c>
      <c s="6" r="W179">
        <v>1</v>
      </c>
      <c s="6" r="X179">
        <v>1</v>
      </c>
      <c s="6" r="Y179">
        <v>0</v>
      </c>
      <c s="6" r="Z179">
        <v>0</v>
      </c>
      <c s="6" r="AA179">
        <v>7</v>
      </c>
      <c s="6" r="AB179">
        <v>7</v>
      </c>
      <c t="s" s="6" r="AC179">
        <v>92</v>
      </c>
      <c t="s" s="6" r="AD179">
        <v>92</v>
      </c>
      <c t="s" s="6" r="AE179">
        <v>92</v>
      </c>
      <c t="s" s="6" r="AF179">
        <v>92</v>
      </c>
      <c t="s" s="6" r="AG179">
        <v>92</v>
      </c>
      <c t="s" s="6" r="AH179">
        <v>92</v>
      </c>
      <c t="s" s="6" r="AI179">
        <v>92</v>
      </c>
      <c t="s" s="6" r="AJ179">
        <v>92</v>
      </c>
      <c t="s" s="6" r="AK179">
        <v>92</v>
      </c>
      <c t="s" s="6" r="AL179">
        <v>92</v>
      </c>
      <c t="s" s="6" r="AM179">
        <v>92</v>
      </c>
      <c t="s" s="6" r="AN179">
        <v>92</v>
      </c>
      <c s="6" r="AP179">
        <v>7</v>
      </c>
      <c t="s" s="6" r="AQ179">
        <v>1580</v>
      </c>
      <c t="s" s="6" r="AR179">
        <v>1581</v>
      </c>
      <c s="6" r="AS179">
        <v>0</v>
      </c>
      <c s="6" r="AT179">
        <v>0</v>
      </c>
      <c s="6" r="AU179">
        <v>0</v>
      </c>
      <c s="6" r="AV179">
        <v>0</v>
      </c>
      <c s="6" r="AW179">
        <v>0</v>
      </c>
      <c s="6" r="AX179">
        <v>0</v>
      </c>
      <c s="6" r="AY179">
        <v>0</v>
      </c>
      <c s="6" r="AZ179">
        <v>0</v>
      </c>
      <c s="6" r="BA179">
        <v>0</v>
      </c>
      <c s="6" r="BB179">
        <v>0</v>
      </c>
      <c s="6" r="BC179">
        <v>0</v>
      </c>
      <c s="6" r="BD179">
        <v>0</v>
      </c>
      <c s="6" r="BE179">
        <v>0</v>
      </c>
      <c s="6" r="BF179">
        <v>0</v>
      </c>
      <c s="6" r="BG179">
        <v>0</v>
      </c>
      <c s="6" r="BH179">
        <v>0</v>
      </c>
      <c s="6" r="BI179">
        <v>0</v>
      </c>
      <c s="6" r="BJ179">
        <v>0</v>
      </c>
      <c s="6" r="BK179">
        <v>0</v>
      </c>
      <c s="6" r="BL179">
        <v>0</v>
      </c>
      <c s="6" r="BM179">
        <v>0</v>
      </c>
      <c s="6" r="BN179">
        <v>0</v>
      </c>
      <c s="6" r="BO179">
        <v>0</v>
      </c>
      <c s="6" r="BP179">
        <v>0</v>
      </c>
      <c s="6" r="BQ179">
        <v>0</v>
      </c>
      <c t="str" s="6" r="BR179">
        <f>HYPERLINK("http://www.d20pfsrd.com/magic/all-spells/e/elemental-body-i#TOC-Elemental-Body-IV","Elemental Body IV")</f>
        <v>Elemental Body IV</v>
      </c>
      <c s="6" r="BS179">
        <v>178</v>
      </c>
      <c t="s" s="6" r="BT179">
        <v>92</v>
      </c>
      <c t="s" s="6" r="BU179">
        <v>1564</v>
      </c>
      <c t="s" s="6" r="BV179">
        <v>542</v>
      </c>
      <c s="6" r="BY179">
        <v>0</v>
      </c>
    </row>
    <row customHeight="1" r="180" ht="14.25">
      <c t="s" s="6" r="A180">
        <v>1582</v>
      </c>
      <c t="s" s="6" r="B180">
        <v>78</v>
      </c>
      <c t="s" s="6" r="C180">
        <v>1042</v>
      </c>
      <c t="s" s="6" r="D180">
        <v>141</v>
      </c>
      <c t="s" s="6" r="E180">
        <v>1583</v>
      </c>
      <c t="s" s="6" r="F180">
        <v>311</v>
      </c>
      <c t="s" s="6" r="G180">
        <v>106</v>
      </c>
      <c s="6" r="H180">
        <v>0</v>
      </c>
      <c t="s" s="6" r="I180">
        <v>97</v>
      </c>
      <c t="s" s="6" r="K180">
        <v>1584</v>
      </c>
      <c t="s" s="6" r="M180">
        <v>134</v>
      </c>
      <c s="6" r="N180">
        <v>1</v>
      </c>
      <c s="6" r="O180">
        <v>0</v>
      </c>
      <c t="s" s="6" r="P180">
        <v>86</v>
      </c>
      <c t="s" s="6" r="Q180">
        <v>87</v>
      </c>
      <c t="s" s="6" r="R180">
        <v>1585</v>
      </c>
      <c t="s" s="6" r="S180">
        <v>1586</v>
      </c>
      <c t="s" s="6" r="T180">
        <v>90</v>
      </c>
      <c t="s" s="6" r="U180">
        <v>1587</v>
      </c>
      <c s="6" r="V180">
        <v>1</v>
      </c>
      <c s="6" r="W180">
        <v>1</v>
      </c>
      <c s="6" r="X180">
        <v>0</v>
      </c>
      <c s="6" r="Y180">
        <v>0</v>
      </c>
      <c s="6" r="Z180">
        <v>0</v>
      </c>
      <c t="s" s="6" r="AA180">
        <v>92</v>
      </c>
      <c t="s" s="6" r="AB180">
        <v>92</v>
      </c>
      <c t="s" s="6" r="AC180">
        <v>92</v>
      </c>
      <c s="6" r="AD180">
        <v>9</v>
      </c>
      <c t="s" s="6" r="AE180">
        <v>92</v>
      </c>
      <c t="s" s="6" r="AF180">
        <v>92</v>
      </c>
      <c t="s" s="6" r="AG180">
        <v>92</v>
      </c>
      <c t="s" s="6" r="AH180">
        <v>92</v>
      </c>
      <c t="s" s="6" r="AI180">
        <v>92</v>
      </c>
      <c s="6" r="AJ180">
        <v>9</v>
      </c>
      <c t="s" s="6" r="AK180">
        <v>92</v>
      </c>
      <c t="s" s="6" r="AL180">
        <v>92</v>
      </c>
      <c t="s" s="6" r="AM180">
        <v>92</v>
      </c>
      <c t="s" s="6" r="AN180">
        <v>92</v>
      </c>
      <c s="6" r="AP180">
        <v>9</v>
      </c>
      <c t="s" s="6" r="AQ180">
        <v>1580</v>
      </c>
      <c t="s" s="6" r="AR180">
        <v>1588</v>
      </c>
      <c s="6" r="AS180">
        <v>0</v>
      </c>
      <c s="6" r="AT180">
        <v>0</v>
      </c>
      <c s="6" r="AU180">
        <v>0</v>
      </c>
      <c s="6" r="AV180">
        <v>0</v>
      </c>
      <c s="6" r="AW180">
        <v>0</v>
      </c>
      <c s="6" r="AX180">
        <v>0</v>
      </c>
      <c s="6" r="AY180">
        <v>0</v>
      </c>
      <c s="6" r="AZ180">
        <v>0</v>
      </c>
      <c s="6" r="BA180">
        <v>0</v>
      </c>
      <c s="6" r="BB180">
        <v>0</v>
      </c>
      <c s="6" r="BC180">
        <v>0</v>
      </c>
      <c s="6" r="BD180">
        <v>0</v>
      </c>
      <c s="6" r="BE180">
        <v>0</v>
      </c>
      <c s="6" r="BF180">
        <v>0</v>
      </c>
      <c s="6" r="BG180">
        <v>0</v>
      </c>
      <c s="6" r="BH180">
        <v>0</v>
      </c>
      <c s="6" r="BI180">
        <v>0</v>
      </c>
      <c s="6" r="BJ180">
        <v>0</v>
      </c>
      <c s="6" r="BK180">
        <v>0</v>
      </c>
      <c s="6" r="BL180">
        <v>0</v>
      </c>
      <c s="6" r="BM180">
        <v>0</v>
      </c>
      <c s="6" r="BN180">
        <v>0</v>
      </c>
      <c s="6" r="BO180">
        <v>0</v>
      </c>
      <c s="6" r="BP180">
        <v>0</v>
      </c>
      <c s="6" r="BQ180">
        <v>0</v>
      </c>
      <c t="str" s="6" r="BR180">
        <f>HYPERLINK("http://www.d20pfsrd.com/magic/all-spells/e/elemental-swarm","Elemental Swarm")</f>
        <v>Elemental Swarm</v>
      </c>
      <c s="6" r="BS180">
        <v>179</v>
      </c>
      <c t="s" s="6" r="BT180">
        <v>92</v>
      </c>
      <c t="s" s="6" r="BU180">
        <v>1564</v>
      </c>
      <c s="6" r="BY180">
        <v>0</v>
      </c>
    </row>
    <row customHeight="1" r="181" ht="14.25">
      <c t="s" s="6" r="A181">
        <v>1589</v>
      </c>
      <c t="s" s="6" r="B181">
        <v>162</v>
      </c>
      <c t="s" s="6" r="E181">
        <v>1590</v>
      </c>
      <c t="s" s="6" r="F181">
        <v>81</v>
      </c>
      <c t="s" s="6" r="G181">
        <v>106</v>
      </c>
      <c s="6" r="H181">
        <v>0</v>
      </c>
      <c t="s" s="6" r="I181">
        <v>120</v>
      </c>
      <c t="s" s="6" r="L181">
        <v>420</v>
      </c>
      <c t="s" s="6" r="M181">
        <v>379</v>
      </c>
      <c s="6" r="N181">
        <v>0</v>
      </c>
      <c s="6" r="O181">
        <v>0</v>
      </c>
      <c t="s" s="6" r="P181">
        <v>421</v>
      </c>
      <c t="s" s="6" r="Q181">
        <v>123</v>
      </c>
      <c t="s" s="6" r="R181">
        <v>1591</v>
      </c>
      <c t="s" s="6" r="S181">
        <v>1592</v>
      </c>
      <c t="s" s="6" r="T181">
        <v>90</v>
      </c>
      <c t="s" s="6" r="U181">
        <v>1593</v>
      </c>
      <c s="6" r="V181">
        <v>1</v>
      </c>
      <c s="6" r="W181">
        <v>1</v>
      </c>
      <c s="6" r="X181">
        <v>0</v>
      </c>
      <c s="6" r="Y181">
        <v>0</v>
      </c>
      <c s="6" r="Z181">
        <v>0</v>
      </c>
      <c s="6" r="AA181">
        <v>1</v>
      </c>
      <c s="6" r="AB181">
        <v>1</v>
      </c>
      <c s="6" r="AC181">
        <v>1</v>
      </c>
      <c s="6" r="AD181">
        <v>1</v>
      </c>
      <c s="6" r="AE181">
        <v>1</v>
      </c>
      <c t="s" s="6" r="AF181">
        <v>92</v>
      </c>
      <c s="6" r="AG181">
        <v>1</v>
      </c>
      <c s="6" r="AH181">
        <v>1</v>
      </c>
      <c s="6" r="AI181">
        <v>1</v>
      </c>
      <c t="s" s="6" r="AJ181">
        <v>92</v>
      </c>
      <c t="s" s="6" r="AK181">
        <v>92</v>
      </c>
      <c s="6" r="AL181">
        <v>1</v>
      </c>
      <c t="s" s="6" r="AM181">
        <v>92</v>
      </c>
      <c t="s" s="6" r="AN181">
        <v>92</v>
      </c>
      <c s="6" r="AP181">
        <v>1</v>
      </c>
      <c t="s" s="6" r="AQ181">
        <v>1594</v>
      </c>
      <c t="s" s="6" r="AR181">
        <v>1595</v>
      </c>
      <c s="6" r="AS181">
        <v>0</v>
      </c>
      <c s="6" r="AT181">
        <v>0</v>
      </c>
      <c s="6" r="AU181">
        <v>0</v>
      </c>
      <c s="6" r="AV181">
        <v>0</v>
      </c>
      <c s="6" r="AW181">
        <v>0</v>
      </c>
      <c s="6" r="AX181">
        <v>0</v>
      </c>
      <c s="6" r="AY181">
        <v>0</v>
      </c>
      <c s="6" r="AZ181">
        <v>0</v>
      </c>
      <c s="6" r="BA181">
        <v>0</v>
      </c>
      <c s="6" r="BB181">
        <v>0</v>
      </c>
      <c s="6" r="BC181">
        <v>0</v>
      </c>
      <c s="6" r="BD181">
        <v>0</v>
      </c>
      <c s="6" r="BE181">
        <v>0</v>
      </c>
      <c s="6" r="BF181">
        <v>0</v>
      </c>
      <c s="6" r="BG181">
        <v>0</v>
      </c>
      <c s="6" r="BH181">
        <v>0</v>
      </c>
      <c s="6" r="BI181">
        <v>0</v>
      </c>
      <c s="6" r="BJ181">
        <v>0</v>
      </c>
      <c s="6" r="BK181">
        <v>0</v>
      </c>
      <c s="6" r="BL181">
        <v>0</v>
      </c>
      <c s="6" r="BM181">
        <v>0</v>
      </c>
      <c s="6" r="BN181">
        <v>0</v>
      </c>
      <c s="6" r="BO181">
        <v>0</v>
      </c>
      <c s="6" r="BP181">
        <v>0</v>
      </c>
      <c s="6" r="BQ181">
        <v>0</v>
      </c>
      <c t="str" s="6" r="BR181">
        <f>HYPERLINK("http://www.d20pfsrd.com/magic/all-spells/e/endure-elements","Endure Elements")</f>
        <v>Endure Elements</v>
      </c>
      <c s="6" r="BS181">
        <v>180</v>
      </c>
      <c t="s" s="6" r="BT181">
        <v>92</v>
      </c>
      <c t="s" s="6" r="BU181">
        <v>1596</v>
      </c>
      <c t="s" s="6" r="BV181">
        <v>434</v>
      </c>
      <c t="s" s="6" r="BW181">
        <v>1597</v>
      </c>
      <c s="6" r="BY181">
        <v>1</v>
      </c>
    </row>
    <row customHeight="1" r="182" ht="14.25">
      <c t="s" s="6" r="A182">
        <v>1598</v>
      </c>
      <c t="s" s="6" r="B182">
        <v>227</v>
      </c>
      <c t="s" s="6" r="E182">
        <v>1599</v>
      </c>
      <c t="s" s="6" r="F182">
        <v>81</v>
      </c>
      <c t="s" s="6" r="G182">
        <v>106</v>
      </c>
      <c s="6" r="H182">
        <v>0</v>
      </c>
      <c t="s" s="6" r="I182">
        <v>107</v>
      </c>
      <c t="s" s="6" r="K182">
        <v>1600</v>
      </c>
      <c t="s" s="6" r="M182">
        <v>109</v>
      </c>
      <c s="6" r="N182">
        <v>0</v>
      </c>
      <c s="6" r="O182">
        <v>0</v>
      </c>
      <c t="s" s="6" r="P182">
        <v>1601</v>
      </c>
      <c t="s" s="6" r="Q182">
        <v>188</v>
      </c>
      <c t="s" s="6" r="R182">
        <v>1602</v>
      </c>
      <c t="s" s="6" r="S182">
        <v>1603</v>
      </c>
      <c t="s" s="6" r="T182">
        <v>90</v>
      </c>
      <c t="s" s="6" r="U182">
        <v>1604</v>
      </c>
      <c s="6" r="V182">
        <v>1</v>
      </c>
      <c s="6" r="W182">
        <v>1</v>
      </c>
      <c s="6" r="X182">
        <v>0</v>
      </c>
      <c s="6" r="Y182">
        <v>0</v>
      </c>
      <c s="6" r="Z182">
        <v>0</v>
      </c>
      <c s="6" r="AA182">
        <v>9</v>
      </c>
      <c s="6" r="AB182">
        <v>9</v>
      </c>
      <c s="6" r="AC182">
        <v>9</v>
      </c>
      <c t="s" s="6" r="AD182">
        <v>92</v>
      </c>
      <c t="s" s="6" r="AE182">
        <v>92</v>
      </c>
      <c t="s" s="6" r="AF182">
        <v>92</v>
      </c>
      <c t="s" s="6" r="AG182">
        <v>92</v>
      </c>
      <c t="s" s="6" r="AH182">
        <v>92</v>
      </c>
      <c t="s" s="6" r="AI182">
        <v>92</v>
      </c>
      <c t="s" s="6" r="AJ182">
        <v>92</v>
      </c>
      <c t="s" s="6" r="AK182">
        <v>92</v>
      </c>
      <c s="6" r="AL182">
        <v>9</v>
      </c>
      <c t="s" s="6" r="AM182">
        <v>92</v>
      </c>
      <c t="s" s="6" r="AN182">
        <v>92</v>
      </c>
      <c s="6" r="AP182">
        <v>9</v>
      </c>
      <c t="s" s="6" r="AQ182">
        <v>1605</v>
      </c>
      <c t="s" s="6" r="AR182">
        <v>1606</v>
      </c>
      <c s="6" r="AS182">
        <v>0</v>
      </c>
      <c s="6" r="AT182">
        <v>0</v>
      </c>
      <c s="6" r="AU182">
        <v>0</v>
      </c>
      <c s="6" r="AV182">
        <v>0</v>
      </c>
      <c s="6" r="AW182">
        <v>0</v>
      </c>
      <c s="6" r="AX182">
        <v>0</v>
      </c>
      <c s="6" r="AY182">
        <v>0</v>
      </c>
      <c s="6" r="AZ182">
        <v>0</v>
      </c>
      <c s="6" r="BA182">
        <v>0</v>
      </c>
      <c s="6" r="BB182">
        <v>0</v>
      </c>
      <c s="6" r="BC182">
        <v>0</v>
      </c>
      <c s="6" r="BD182">
        <v>0</v>
      </c>
      <c s="6" r="BE182">
        <v>0</v>
      </c>
      <c s="6" r="BF182">
        <v>0</v>
      </c>
      <c s="6" r="BG182">
        <v>0</v>
      </c>
      <c s="6" r="BH182">
        <v>0</v>
      </c>
      <c s="6" r="BI182">
        <v>0</v>
      </c>
      <c s="6" r="BJ182">
        <v>0</v>
      </c>
      <c s="6" r="BK182">
        <v>0</v>
      </c>
      <c s="6" r="BL182">
        <v>0</v>
      </c>
      <c s="6" r="BM182">
        <v>0</v>
      </c>
      <c s="6" r="BN182">
        <v>0</v>
      </c>
      <c s="6" r="BO182">
        <v>0</v>
      </c>
      <c s="6" r="BP182">
        <v>0</v>
      </c>
      <c s="6" r="BQ182">
        <v>0</v>
      </c>
      <c t="str" s="6" r="BR182">
        <f>HYPERLINK("http://www.d20pfsrd.com/magic/all-spells/e/energy-drain","Energy Drain")</f>
        <v>Energy Drain</v>
      </c>
      <c s="6" r="BS182">
        <v>181</v>
      </c>
      <c t="s" s="6" r="BT182">
        <v>92</v>
      </c>
      <c t="s" s="6" r="BU182">
        <v>1607</v>
      </c>
      <c t="s" s="6" r="BV182">
        <v>237</v>
      </c>
      <c s="6" r="BY182">
        <v>0</v>
      </c>
    </row>
    <row customHeight="1" r="183" ht="14.25">
      <c t="s" s="6" r="A183">
        <v>1608</v>
      </c>
      <c t="s" s="6" r="B183">
        <v>227</v>
      </c>
      <c t="s" s="6" r="E183">
        <v>1609</v>
      </c>
      <c t="s" s="6" r="F183">
        <v>81</v>
      </c>
      <c t="s" s="6" r="G183">
        <v>106</v>
      </c>
      <c s="6" r="H183">
        <v>0</v>
      </c>
      <c t="s" s="6" r="I183">
        <v>107</v>
      </c>
      <c t="s" s="6" r="K183">
        <v>1600</v>
      </c>
      <c t="s" s="6" r="M183">
        <v>109</v>
      </c>
      <c s="6" r="N183">
        <v>0</v>
      </c>
      <c s="6" r="O183">
        <v>0</v>
      </c>
      <c t="s" s="6" r="P183">
        <v>86</v>
      </c>
      <c t="s" s="6" r="Q183">
        <v>188</v>
      </c>
      <c t="s" s="6" r="R183">
        <v>1610</v>
      </c>
      <c t="s" s="6" r="S183">
        <v>1611</v>
      </c>
      <c t="s" s="6" r="T183">
        <v>90</v>
      </c>
      <c t="s" s="6" r="U183">
        <v>1612</v>
      </c>
      <c s="6" r="V183">
        <v>1</v>
      </c>
      <c s="6" r="W183">
        <v>1</v>
      </c>
      <c s="6" r="X183">
        <v>0</v>
      </c>
      <c s="6" r="Y183">
        <v>0</v>
      </c>
      <c s="6" r="Z183">
        <v>0</v>
      </c>
      <c s="6" r="AA183">
        <v>4</v>
      </c>
      <c s="6" r="AB183">
        <v>4</v>
      </c>
      <c t="s" s="6" r="AC183">
        <v>92</v>
      </c>
      <c t="s" s="6" r="AD183">
        <v>92</v>
      </c>
      <c t="s" s="6" r="AE183">
        <v>92</v>
      </c>
      <c t="s" s="6" r="AF183">
        <v>92</v>
      </c>
      <c t="s" s="6" r="AG183">
        <v>92</v>
      </c>
      <c t="s" s="6" r="AH183">
        <v>92</v>
      </c>
      <c t="s" s="6" r="AI183">
        <v>92</v>
      </c>
      <c s="6" r="AJ183">
        <v>4</v>
      </c>
      <c t="s" s="6" r="AK183">
        <v>92</v>
      </c>
      <c t="s" s="6" r="AL183">
        <v>92</v>
      </c>
      <c t="s" s="6" r="AM183">
        <v>92</v>
      </c>
      <c t="s" s="6" r="AN183">
        <v>92</v>
      </c>
      <c s="6" r="AP183">
        <v>4</v>
      </c>
      <c t="s" s="6" r="AQ183">
        <v>1605</v>
      </c>
      <c t="s" s="6" r="AR183">
        <v>1613</v>
      </c>
      <c s="6" r="AS183">
        <v>0</v>
      </c>
      <c s="6" r="AT183">
        <v>0</v>
      </c>
      <c s="6" r="AU183">
        <v>0</v>
      </c>
      <c s="6" r="AV183">
        <v>0</v>
      </c>
      <c s="6" r="AW183">
        <v>0</v>
      </c>
      <c s="6" r="AX183">
        <v>0</v>
      </c>
      <c s="6" r="AY183">
        <v>0</v>
      </c>
      <c s="6" r="AZ183">
        <v>0</v>
      </c>
      <c s="6" r="BA183">
        <v>0</v>
      </c>
      <c s="6" r="BB183">
        <v>0</v>
      </c>
      <c s="6" r="BC183">
        <v>0</v>
      </c>
      <c s="6" r="BD183">
        <v>0</v>
      </c>
      <c s="6" r="BE183">
        <v>0</v>
      </c>
      <c s="6" r="BF183">
        <v>0</v>
      </c>
      <c s="6" r="BG183">
        <v>0</v>
      </c>
      <c s="6" r="BH183">
        <v>0</v>
      </c>
      <c s="6" r="BI183">
        <v>0</v>
      </c>
      <c s="6" r="BJ183">
        <v>0</v>
      </c>
      <c s="6" r="BK183">
        <v>0</v>
      </c>
      <c s="6" r="BL183">
        <v>0</v>
      </c>
      <c s="6" r="BM183">
        <v>0</v>
      </c>
      <c s="6" r="BN183">
        <v>0</v>
      </c>
      <c s="6" r="BO183">
        <v>0</v>
      </c>
      <c s="6" r="BP183">
        <v>0</v>
      </c>
      <c s="6" r="BQ183">
        <v>0</v>
      </c>
      <c t="str" s="6" r="BR183">
        <f>HYPERLINK("http://www.d20pfsrd.com/magic/all-spells/e/enervation","Enervation")</f>
        <v>Enervation</v>
      </c>
      <c s="6" r="BS183">
        <v>182</v>
      </c>
      <c t="s" s="6" r="BT183">
        <v>92</v>
      </c>
      <c t="s" s="6" r="BW183">
        <v>1614</v>
      </c>
      <c t="s" s="6" r="BX183">
        <v>1615</v>
      </c>
      <c s="6" r="BY183">
        <v>1</v>
      </c>
    </row>
    <row customHeight="1" r="184" ht="14.25">
      <c t="s" s="6" r="A184">
        <v>1616</v>
      </c>
      <c t="s" s="6" r="B184">
        <v>131</v>
      </c>
      <c t="s" s="6" r="E184">
        <v>1617</v>
      </c>
      <c t="s" s="6" r="F184">
        <v>272</v>
      </c>
      <c t="s" s="6" r="G184">
        <v>1618</v>
      </c>
      <c s="6" r="H184">
        <v>0</v>
      </c>
      <c t="s" s="6" r="I184">
        <v>107</v>
      </c>
      <c t="s" s="6" r="L184">
        <v>731</v>
      </c>
      <c t="s" s="6" r="M184">
        <v>496</v>
      </c>
      <c s="6" r="N184">
        <v>1</v>
      </c>
      <c s="6" r="O184">
        <v>0</v>
      </c>
      <c t="s" s="6" r="P184">
        <v>187</v>
      </c>
      <c t="s" s="6" r="Q184">
        <v>188</v>
      </c>
      <c t="s" s="6" r="R184">
        <v>1619</v>
      </c>
      <c t="s" s="6" r="S184">
        <v>1620</v>
      </c>
      <c t="s" s="6" r="T184">
        <v>90</v>
      </c>
      <c t="s" s="6" r="U184">
        <v>1621</v>
      </c>
      <c s="6" r="V184">
        <v>1</v>
      </c>
      <c s="6" r="W184">
        <v>1</v>
      </c>
      <c s="6" r="X184">
        <v>1</v>
      </c>
      <c s="6" r="Y184">
        <v>0</v>
      </c>
      <c s="6" r="Z184">
        <v>0</v>
      </c>
      <c s="6" r="AA184">
        <v>1</v>
      </c>
      <c s="6" r="AB184">
        <v>1</v>
      </c>
      <c t="s" s="6" r="AC184">
        <v>92</v>
      </c>
      <c t="s" s="6" r="AD184">
        <v>92</v>
      </c>
      <c t="s" s="6" r="AE184">
        <v>92</v>
      </c>
      <c t="s" s="6" r="AF184">
        <v>92</v>
      </c>
      <c t="s" s="6" r="AG184">
        <v>92</v>
      </c>
      <c s="6" r="AH184">
        <v>1</v>
      </c>
      <c s="6" r="AI184">
        <v>1</v>
      </c>
      <c s="6" r="AJ184">
        <v>1</v>
      </c>
      <c t="s" s="6" r="AK184">
        <v>92</v>
      </c>
      <c t="s" s="6" r="AL184">
        <v>92</v>
      </c>
      <c t="s" s="6" r="AM184">
        <v>92</v>
      </c>
      <c s="6" r="AN184">
        <v>1</v>
      </c>
      <c s="6" r="AP184">
        <v>1</v>
      </c>
      <c t="s" s="6" r="AQ184">
        <v>1622</v>
      </c>
      <c t="s" s="6" r="AR184">
        <v>1623</v>
      </c>
      <c s="6" r="AS184">
        <v>0</v>
      </c>
      <c s="6" r="AT184">
        <v>0</v>
      </c>
      <c s="6" r="AU184">
        <v>0</v>
      </c>
      <c s="6" r="AV184">
        <v>0</v>
      </c>
      <c s="6" r="AW184">
        <v>0</v>
      </c>
      <c s="6" r="AX184">
        <v>0</v>
      </c>
      <c s="6" r="AY184">
        <v>0</v>
      </c>
      <c s="6" r="AZ184">
        <v>0</v>
      </c>
      <c s="6" r="BA184">
        <v>0</v>
      </c>
      <c s="6" r="BB184">
        <v>0</v>
      </c>
      <c s="6" r="BC184">
        <v>0</v>
      </c>
      <c s="6" r="BD184">
        <v>0</v>
      </c>
      <c s="6" r="BE184">
        <v>0</v>
      </c>
      <c s="6" r="BF184">
        <v>0</v>
      </c>
      <c s="6" r="BG184">
        <v>0</v>
      </c>
      <c s="6" r="BH184">
        <v>0</v>
      </c>
      <c s="6" r="BI184">
        <v>0</v>
      </c>
      <c s="6" r="BJ184">
        <v>0</v>
      </c>
      <c s="6" r="BK184">
        <v>0</v>
      </c>
      <c s="6" r="BL184">
        <v>0</v>
      </c>
      <c s="6" r="BM184">
        <v>0</v>
      </c>
      <c s="6" r="BN184">
        <v>0</v>
      </c>
      <c s="6" r="BO184">
        <v>0</v>
      </c>
      <c s="6" r="BP184">
        <v>0</v>
      </c>
      <c s="6" r="BQ184">
        <v>0</v>
      </c>
      <c t="str" s="6" r="BR184">
        <f>HYPERLINK("http://www.d20pfsrd.com/magic/all-spells/e/enlarge-person","Enlarge Person")</f>
        <v>Enlarge Person</v>
      </c>
      <c s="6" r="BS184">
        <v>183</v>
      </c>
      <c t="s" s="6" r="BT184">
        <v>92</v>
      </c>
      <c t="s" s="6" r="BU184">
        <v>1624</v>
      </c>
      <c t="s" s="6" r="BW184">
        <v>1625</v>
      </c>
      <c s="6" r="BY184">
        <v>1</v>
      </c>
    </row>
    <row customHeight="1" r="185" ht="14.25">
      <c t="s" s="6" r="A185">
        <v>1626</v>
      </c>
      <c t="s" s="6" r="B185">
        <v>131</v>
      </c>
      <c t="s" s="6" r="E185">
        <v>1627</v>
      </c>
      <c t="s" s="6" r="F185">
        <v>272</v>
      </c>
      <c t="s" s="6" r="G185">
        <v>1618</v>
      </c>
      <c s="6" r="H185">
        <v>0</v>
      </c>
      <c t="s" s="6" r="I185">
        <v>107</v>
      </c>
      <c t="s" s="6" r="L185">
        <v>1628</v>
      </c>
      <c t="s" s="6" r="M185">
        <v>122</v>
      </c>
      <c s="6" r="N185">
        <v>1</v>
      </c>
      <c s="6" r="O185">
        <v>0</v>
      </c>
      <c t="s" s="6" r="P185">
        <v>187</v>
      </c>
      <c t="s" s="6" r="Q185">
        <v>188</v>
      </c>
      <c t="s" s="6" r="R185">
        <v>1629</v>
      </c>
      <c t="s" s="6" r="S185">
        <v>1630</v>
      </c>
      <c t="s" s="6" r="T185">
        <v>90</v>
      </c>
      <c t="s" s="6" r="U185">
        <v>1631</v>
      </c>
      <c s="6" r="V185">
        <v>1</v>
      </c>
      <c s="6" r="W185">
        <v>1</v>
      </c>
      <c s="6" r="X185">
        <v>1</v>
      </c>
      <c s="6" r="Y185">
        <v>0</v>
      </c>
      <c s="6" r="Z185">
        <v>0</v>
      </c>
      <c s="6" r="AA185">
        <v>4</v>
      </c>
      <c s="6" r="AB185">
        <v>4</v>
      </c>
      <c t="s" s="6" r="AC185">
        <v>92</v>
      </c>
      <c t="s" s="6" r="AD185">
        <v>92</v>
      </c>
      <c t="s" s="6" r="AE185">
        <v>92</v>
      </c>
      <c t="s" s="6" r="AF185">
        <v>92</v>
      </c>
      <c t="s" s="6" r="AG185">
        <v>92</v>
      </c>
      <c t="s" s="6" r="AH185">
        <v>92</v>
      </c>
      <c s="6" r="AI185">
        <v>3</v>
      </c>
      <c t="s" s="6" r="AJ185">
        <v>92</v>
      </c>
      <c t="s" s="6" r="AK185">
        <v>92</v>
      </c>
      <c t="s" s="6" r="AL185">
        <v>92</v>
      </c>
      <c t="s" s="6" r="AM185">
        <v>92</v>
      </c>
      <c t="s" s="6" r="AN185">
        <v>92</v>
      </c>
      <c s="6" r="AP185">
        <v>4</v>
      </c>
      <c t="s" s="6" r="AR185">
        <v>1632</v>
      </c>
      <c s="6" r="AS185">
        <v>0</v>
      </c>
      <c s="6" r="AT185">
        <v>0</v>
      </c>
      <c s="6" r="AU185">
        <v>0</v>
      </c>
      <c s="6" r="AV185">
        <v>0</v>
      </c>
      <c s="6" r="AW185">
        <v>0</v>
      </c>
      <c s="6" r="AX185">
        <v>0</v>
      </c>
      <c s="6" r="AY185">
        <v>0</v>
      </c>
      <c s="6" r="AZ185">
        <v>0</v>
      </c>
      <c s="6" r="BA185">
        <v>0</v>
      </c>
      <c s="6" r="BB185">
        <v>0</v>
      </c>
      <c s="6" r="BC185">
        <v>0</v>
      </c>
      <c s="6" r="BD185">
        <v>0</v>
      </c>
      <c s="6" r="BE185">
        <v>0</v>
      </c>
      <c s="6" r="BF185">
        <v>0</v>
      </c>
      <c s="6" r="BG185">
        <v>0</v>
      </c>
      <c s="6" r="BH185">
        <v>0</v>
      </c>
      <c s="6" r="BI185">
        <v>0</v>
      </c>
      <c s="6" r="BJ185">
        <v>0</v>
      </c>
      <c s="6" r="BK185">
        <v>0</v>
      </c>
      <c s="6" r="BL185">
        <v>0</v>
      </c>
      <c s="6" r="BM185">
        <v>0</v>
      </c>
      <c s="6" r="BN185">
        <v>0</v>
      </c>
      <c s="6" r="BO185">
        <v>0</v>
      </c>
      <c s="6" r="BP185">
        <v>0</v>
      </c>
      <c s="6" r="BQ185">
        <v>0</v>
      </c>
      <c t="str" s="6" r="BR185">
        <f>HYPERLINK("http://www.d20pfsrd.com/magic/all-spells/e/enlarge-person","Enlarge Person, Mass")</f>
        <v>Enlarge Person, Mass</v>
      </c>
      <c s="6" r="BS185">
        <v>184</v>
      </c>
      <c t="s" s="6" r="BT185">
        <v>92</v>
      </c>
      <c s="6" r="BY185">
        <v>0</v>
      </c>
    </row>
    <row customHeight="1" r="186" ht="14.25">
      <c t="s" s="6" r="A186">
        <v>1633</v>
      </c>
      <c t="s" s="6" r="B186">
        <v>131</v>
      </c>
      <c t="s" s="6" r="E186">
        <v>656</v>
      </c>
      <c t="s" s="6" r="F186">
        <v>81</v>
      </c>
      <c t="s" s="6" r="G186">
        <v>119</v>
      </c>
      <c s="6" r="H186">
        <v>0</v>
      </c>
      <c t="s" s="6" r="I186">
        <v>83</v>
      </c>
      <c t="s" s="6" r="J186">
        <v>1634</v>
      </c>
      <c t="s" s="6" r="M186">
        <v>496</v>
      </c>
      <c s="6" r="N186">
        <v>1</v>
      </c>
      <c s="6" r="O186">
        <v>0</v>
      </c>
      <c t="s" s="6" r="P186">
        <v>1635</v>
      </c>
      <c t="s" s="6" r="Q186">
        <v>87</v>
      </c>
      <c t="s" s="6" r="R186">
        <v>1636</v>
      </c>
      <c t="s" s="6" r="S186">
        <v>1637</v>
      </c>
      <c t="s" s="6" r="T186">
        <v>90</v>
      </c>
      <c t="s" s="6" r="U186">
        <v>1638</v>
      </c>
      <c s="6" r="V186">
        <v>1</v>
      </c>
      <c s="6" r="W186">
        <v>1</v>
      </c>
      <c s="6" r="X186">
        <v>0</v>
      </c>
      <c s="6" r="Y186">
        <v>0</v>
      </c>
      <c s="6" r="Z186">
        <v>1</v>
      </c>
      <c t="s" s="6" r="AA186">
        <v>92</v>
      </c>
      <c t="s" s="6" r="AB186">
        <v>92</v>
      </c>
      <c t="s" s="6" r="AC186">
        <v>92</v>
      </c>
      <c s="6" r="AD186">
        <v>1</v>
      </c>
      <c s="6" r="AE186">
        <v>1</v>
      </c>
      <c t="s" s="6" r="AF186">
        <v>92</v>
      </c>
      <c t="s" s="6" r="AG186">
        <v>92</v>
      </c>
      <c t="s" s="6" r="AH186">
        <v>92</v>
      </c>
      <c t="s" s="6" r="AI186">
        <v>92</v>
      </c>
      <c t="s" s="6" r="AJ186">
        <v>92</v>
      </c>
      <c t="s" s="6" r="AK186">
        <v>92</v>
      </c>
      <c t="s" s="6" r="AL186">
        <v>92</v>
      </c>
      <c t="s" s="6" r="AM186">
        <v>92</v>
      </c>
      <c t="s" s="6" r="AN186">
        <v>92</v>
      </c>
      <c s="6" r="AP186">
        <v>1</v>
      </c>
      <c t="s" s="6" r="AQ186">
        <v>257</v>
      </c>
      <c t="s" s="6" r="AR186">
        <v>1639</v>
      </c>
      <c s="6" r="AS186">
        <v>0</v>
      </c>
      <c s="6" r="AT186">
        <v>0</v>
      </c>
      <c s="6" r="AU186">
        <v>0</v>
      </c>
      <c s="6" r="AV186">
        <v>0</v>
      </c>
      <c s="6" r="AW186">
        <v>0</v>
      </c>
      <c s="6" r="AX186">
        <v>0</v>
      </c>
      <c s="6" r="AY186">
        <v>0</v>
      </c>
      <c s="6" r="AZ186">
        <v>0</v>
      </c>
      <c s="6" r="BA186">
        <v>0</v>
      </c>
      <c s="6" r="BB186">
        <v>0</v>
      </c>
      <c s="6" r="BC186">
        <v>0</v>
      </c>
      <c s="6" r="BD186">
        <v>0</v>
      </c>
      <c s="6" r="BE186">
        <v>0</v>
      </c>
      <c s="6" r="BF186">
        <v>0</v>
      </c>
      <c s="6" r="BG186">
        <v>0</v>
      </c>
      <c s="6" r="BH186">
        <v>0</v>
      </c>
      <c s="6" r="BI186">
        <v>0</v>
      </c>
      <c s="6" r="BJ186">
        <v>0</v>
      </c>
      <c s="6" r="BK186">
        <v>0</v>
      </c>
      <c s="6" r="BL186">
        <v>0</v>
      </c>
      <c s="6" r="BM186">
        <v>0</v>
      </c>
      <c s="6" r="BN186">
        <v>0</v>
      </c>
      <c s="6" r="BO186">
        <v>0</v>
      </c>
      <c s="6" r="BP186">
        <v>0</v>
      </c>
      <c s="6" r="BQ186">
        <v>0</v>
      </c>
      <c t="str" s="6" r="BR186">
        <f>HYPERLINK("http://www.d20pfsrd.com/magic/all-spells/e/entangle","Entangle")</f>
        <v>Entangle</v>
      </c>
      <c s="6" r="BS186">
        <v>185</v>
      </c>
      <c t="s" s="6" r="BT186">
        <v>92</v>
      </c>
      <c t="s" s="6" r="BU186">
        <v>1640</v>
      </c>
      <c t="s" s="6" r="BW186">
        <v>1641</v>
      </c>
      <c s="6" r="BY186">
        <v>1</v>
      </c>
    </row>
    <row customHeight="1" r="187" ht="14.25">
      <c t="s" s="6" r="A187">
        <v>1642</v>
      </c>
      <c t="s" s="6" r="B187">
        <v>115</v>
      </c>
      <c t="s" s="6" r="C187">
        <v>729</v>
      </c>
      <c t="s" s="6" r="D187">
        <v>1643</v>
      </c>
      <c t="s" s="6" r="E187">
        <v>1644</v>
      </c>
      <c t="s" s="6" r="F187">
        <v>272</v>
      </c>
      <c t="s" s="6" r="G187">
        <v>106</v>
      </c>
      <c s="6" r="H187">
        <v>0</v>
      </c>
      <c t="s" s="6" r="I187">
        <v>97</v>
      </c>
      <c t="s" s="6" r="L187">
        <v>1645</v>
      </c>
      <c t="s" s="6" r="M187">
        <v>1646</v>
      </c>
      <c s="6" r="N187">
        <v>0</v>
      </c>
      <c s="6" r="O187">
        <v>0</v>
      </c>
      <c t="s" s="6" r="P187">
        <v>474</v>
      </c>
      <c t="s" s="6" r="Q187">
        <v>188</v>
      </c>
      <c t="s" s="6" r="R187">
        <v>1647</v>
      </c>
      <c t="s" s="6" r="S187">
        <v>1648</v>
      </c>
      <c t="s" s="6" r="T187">
        <v>90</v>
      </c>
      <c t="s" s="6" r="U187">
        <v>1649</v>
      </c>
      <c s="6" r="V187">
        <v>1</v>
      </c>
      <c s="6" r="W187">
        <v>1</v>
      </c>
      <c s="6" r="X187">
        <v>0</v>
      </c>
      <c s="6" r="Y187">
        <v>0</v>
      </c>
      <c s="6" r="Z187">
        <v>0</v>
      </c>
      <c t="s" s="6" r="AA187">
        <v>92</v>
      </c>
      <c t="s" s="6" r="AB187">
        <v>92</v>
      </c>
      <c s="6" r="AC187">
        <v>2</v>
      </c>
      <c t="s" s="6" r="AD187">
        <v>92</v>
      </c>
      <c t="s" s="6" r="AE187">
        <v>92</v>
      </c>
      <c s="6" r="AF187">
        <v>2</v>
      </c>
      <c t="s" s="6" r="AG187">
        <v>92</v>
      </c>
      <c t="s" s="6" r="AH187">
        <v>92</v>
      </c>
      <c t="s" s="6" r="AI187">
        <v>92</v>
      </c>
      <c s="6" r="AJ187">
        <v>2</v>
      </c>
      <c s="6" r="AK187">
        <v>2</v>
      </c>
      <c s="6" r="AL187">
        <v>2</v>
      </c>
      <c t="s" s="6" r="AM187">
        <v>92</v>
      </c>
      <c t="s" s="6" r="AN187">
        <v>92</v>
      </c>
      <c s="6" r="AP187">
        <v>2</v>
      </c>
      <c t="s" s="6" r="AQ187">
        <v>1650</v>
      </c>
      <c t="s" s="6" r="AR187">
        <v>1651</v>
      </c>
      <c s="6" r="AS187">
        <v>0</v>
      </c>
      <c s="6" r="AT187">
        <v>0</v>
      </c>
      <c s="6" r="AU187">
        <v>0</v>
      </c>
      <c s="6" r="AV187">
        <v>0</v>
      </c>
      <c s="6" r="AW187">
        <v>0</v>
      </c>
      <c s="6" r="AX187">
        <v>0</v>
      </c>
      <c s="6" r="AY187">
        <v>0</v>
      </c>
      <c s="6" r="AZ187">
        <v>0</v>
      </c>
      <c s="6" r="BA187">
        <v>0</v>
      </c>
      <c s="6" r="BB187">
        <v>0</v>
      </c>
      <c s="6" r="BC187">
        <v>0</v>
      </c>
      <c s="6" r="BD187">
        <v>0</v>
      </c>
      <c s="6" r="BE187">
        <v>0</v>
      </c>
      <c s="6" r="BF187">
        <v>0</v>
      </c>
      <c s="6" r="BG187">
        <v>0</v>
      </c>
      <c s="6" r="BH187">
        <v>0</v>
      </c>
      <c s="6" r="BI187">
        <v>1</v>
      </c>
      <c s="6" r="BJ187">
        <v>0</v>
      </c>
      <c s="6" r="BK187">
        <v>0</v>
      </c>
      <c s="6" r="BL187">
        <v>1</v>
      </c>
      <c s="6" r="BM187">
        <v>0</v>
      </c>
      <c s="6" r="BN187">
        <v>0</v>
      </c>
      <c s="6" r="BO187">
        <v>0</v>
      </c>
      <c s="6" r="BP187">
        <v>1</v>
      </c>
      <c s="6" r="BQ187">
        <v>0</v>
      </c>
      <c t="str" s="6" r="BR187">
        <f>HYPERLINK("http://www.d20pfsrd.com/magic/all-spells/e/enthrall","Enthrall")</f>
        <v>Enthrall</v>
      </c>
      <c s="6" r="BS187">
        <v>186</v>
      </c>
      <c t="s" s="6" r="BT187">
        <v>92</v>
      </c>
      <c s="6" r="BY187">
        <v>0</v>
      </c>
    </row>
    <row customHeight="1" r="188" ht="14.25">
      <c t="s" s="6" r="A188">
        <v>1652</v>
      </c>
      <c t="s" s="6" r="B188">
        <v>162</v>
      </c>
      <c t="s" s="6" r="E188">
        <v>1653</v>
      </c>
      <c t="s" s="6" r="F188">
        <v>81</v>
      </c>
      <c t="s" s="6" r="G188">
        <v>106</v>
      </c>
      <c s="6" r="H188">
        <v>0</v>
      </c>
      <c t="s" s="6" r="I188">
        <v>155</v>
      </c>
      <c t="s" s="6" r="L188">
        <v>156</v>
      </c>
      <c t="s" s="6" r="M188">
        <v>496</v>
      </c>
      <c s="6" r="N188">
        <v>1</v>
      </c>
      <c s="6" r="O188">
        <v>0</v>
      </c>
      <c t="s" s="6" r="R188">
        <v>1654</v>
      </c>
      <c t="s" s="6" r="S188">
        <v>1655</v>
      </c>
      <c t="s" s="6" r="T188">
        <v>90</v>
      </c>
      <c t="s" s="6" r="U188">
        <v>1656</v>
      </c>
      <c s="6" r="V188">
        <v>1</v>
      </c>
      <c s="6" r="W188">
        <v>1</v>
      </c>
      <c s="6" r="X188">
        <v>0</v>
      </c>
      <c s="6" r="Y188">
        <v>0</v>
      </c>
      <c s="6" r="Z188">
        <v>0</v>
      </c>
      <c t="s" s="6" r="AA188">
        <v>92</v>
      </c>
      <c t="s" s="6" r="AB188">
        <v>92</v>
      </c>
      <c s="6" r="AC188">
        <v>1</v>
      </c>
      <c t="s" s="6" r="AD188">
        <v>92</v>
      </c>
      <c t="s" s="6" r="AE188">
        <v>92</v>
      </c>
      <c t="s" s="6" r="AF188">
        <v>92</v>
      </c>
      <c t="s" s="6" r="AG188">
        <v>92</v>
      </c>
      <c t="s" s="6" r="AH188">
        <v>92</v>
      </c>
      <c t="s" s="6" r="AI188">
        <v>92</v>
      </c>
      <c t="s" s="6" r="AJ188">
        <v>92</v>
      </c>
      <c t="s" s="6" r="AK188">
        <v>92</v>
      </c>
      <c s="6" r="AL188">
        <v>1</v>
      </c>
      <c t="s" s="6" r="AM188">
        <v>92</v>
      </c>
      <c t="s" s="6" r="AN188">
        <v>92</v>
      </c>
      <c s="6" r="AP188">
        <v>1</v>
      </c>
      <c t="s" s="6" r="AR188">
        <v>1657</v>
      </c>
      <c s="6" r="AS188">
        <v>0</v>
      </c>
      <c s="6" r="AT188">
        <v>0</v>
      </c>
      <c s="6" r="AU188">
        <v>0</v>
      </c>
      <c s="6" r="AV188">
        <v>0</v>
      </c>
      <c s="6" r="AW188">
        <v>0</v>
      </c>
      <c s="6" r="AX188">
        <v>0</v>
      </c>
      <c s="6" r="AY188">
        <v>0</v>
      </c>
      <c s="6" r="AZ188">
        <v>0</v>
      </c>
      <c s="6" r="BA188">
        <v>0</v>
      </c>
      <c s="6" r="BB188">
        <v>0</v>
      </c>
      <c s="6" r="BC188">
        <v>0</v>
      </c>
      <c s="6" r="BD188">
        <v>0</v>
      </c>
      <c s="6" r="BE188">
        <v>0</v>
      </c>
      <c s="6" r="BF188">
        <v>0</v>
      </c>
      <c s="6" r="BG188">
        <v>0</v>
      </c>
      <c s="6" r="BH188">
        <v>0</v>
      </c>
      <c s="6" r="BI188">
        <v>0</v>
      </c>
      <c s="6" r="BJ188">
        <v>0</v>
      </c>
      <c s="6" r="BK188">
        <v>0</v>
      </c>
      <c s="6" r="BL188">
        <v>0</v>
      </c>
      <c s="6" r="BM188">
        <v>0</v>
      </c>
      <c s="6" r="BN188">
        <v>0</v>
      </c>
      <c s="6" r="BO188">
        <v>0</v>
      </c>
      <c s="6" r="BP188">
        <v>0</v>
      </c>
      <c s="6" r="BQ188">
        <v>0</v>
      </c>
      <c t="str" s="6" r="BR188">
        <f>HYPERLINK("http://www.d20pfsrd.com/magic/all-spells/e/entropic-shield","Entropic Shield")</f>
        <v>Entropic Shield</v>
      </c>
      <c s="6" r="BS188">
        <v>187</v>
      </c>
      <c t="s" s="6" r="BT188">
        <v>92</v>
      </c>
      <c t="s" s="6" r="BW188">
        <v>1658</v>
      </c>
      <c s="6" r="BY188">
        <v>1</v>
      </c>
    </row>
    <row customHeight="1" r="189" ht="14.25">
      <c t="s" s="6" r="A189">
        <v>1659</v>
      </c>
      <c t="s" s="6" r="B189">
        <v>131</v>
      </c>
      <c t="s" s="6" r="E189">
        <v>262</v>
      </c>
      <c t="s" s="6" r="F189">
        <v>81</v>
      </c>
      <c t="s" s="6" r="G189">
        <v>106</v>
      </c>
      <c s="6" r="H189">
        <v>0</v>
      </c>
      <c t="s" s="6" r="I189">
        <v>107</v>
      </c>
      <c t="s" s="6" r="L189">
        <v>1660</v>
      </c>
      <c t="s" s="6" r="M189">
        <v>109</v>
      </c>
      <c s="6" r="N189">
        <v>0</v>
      </c>
      <c s="6" r="O189">
        <v>0</v>
      </c>
      <c t="s" s="6" r="P189">
        <v>141</v>
      </c>
      <c t="s" s="6" r="Q189">
        <v>87</v>
      </c>
      <c t="s" s="6" r="R189">
        <v>1661</v>
      </c>
      <c t="s" s="6" r="S189">
        <v>1662</v>
      </c>
      <c t="s" s="6" r="T189">
        <v>90</v>
      </c>
      <c t="s" s="6" r="U189">
        <v>1663</v>
      </c>
      <c s="6" r="V189">
        <v>1</v>
      </c>
      <c s="6" r="W189">
        <v>1</v>
      </c>
      <c s="6" r="X189">
        <v>0</v>
      </c>
      <c s="6" r="Y189">
        <v>0</v>
      </c>
      <c s="6" r="Z189">
        <v>0</v>
      </c>
      <c s="6" r="AA189">
        <v>1</v>
      </c>
      <c s="6" r="AB189">
        <v>1</v>
      </c>
      <c t="s" s="6" r="AC189">
        <v>92</v>
      </c>
      <c t="s" s="6" r="AD189">
        <v>92</v>
      </c>
      <c t="s" s="6" r="AE189">
        <v>92</v>
      </c>
      <c s="6" r="AF189">
        <v>1</v>
      </c>
      <c t="s" s="6" r="AG189">
        <v>92</v>
      </c>
      <c t="s" s="6" r="AH189">
        <v>92</v>
      </c>
      <c t="s" s="6" r="AI189">
        <v>92</v>
      </c>
      <c t="s" s="6" r="AJ189">
        <v>92</v>
      </c>
      <c t="s" s="6" r="AK189">
        <v>92</v>
      </c>
      <c t="s" s="6" r="AL189">
        <v>92</v>
      </c>
      <c t="s" s="6" r="AM189">
        <v>92</v>
      </c>
      <c t="s" s="6" r="AN189">
        <v>92</v>
      </c>
      <c s="6" r="AP189">
        <v>1</v>
      </c>
      <c t="s" s="6" r="AQ189">
        <v>1664</v>
      </c>
      <c t="s" s="6" r="AR189">
        <v>1665</v>
      </c>
      <c s="6" r="AS189">
        <v>0</v>
      </c>
      <c s="6" r="AT189">
        <v>0</v>
      </c>
      <c s="6" r="AU189">
        <v>0</v>
      </c>
      <c s="6" r="AV189">
        <v>0</v>
      </c>
      <c s="6" r="AW189">
        <v>0</v>
      </c>
      <c s="6" r="AX189">
        <v>0</v>
      </c>
      <c s="6" r="AY189">
        <v>0</v>
      </c>
      <c s="6" r="AZ189">
        <v>0</v>
      </c>
      <c s="6" r="BA189">
        <v>0</v>
      </c>
      <c s="6" r="BB189">
        <v>0</v>
      </c>
      <c s="6" r="BC189">
        <v>0</v>
      </c>
      <c s="6" r="BD189">
        <v>0</v>
      </c>
      <c s="6" r="BE189">
        <v>0</v>
      </c>
      <c s="6" r="BF189">
        <v>0</v>
      </c>
      <c s="6" r="BG189">
        <v>0</v>
      </c>
      <c s="6" r="BH189">
        <v>0</v>
      </c>
      <c s="6" r="BI189">
        <v>0</v>
      </c>
      <c s="6" r="BJ189">
        <v>0</v>
      </c>
      <c s="6" r="BK189">
        <v>0</v>
      </c>
      <c s="6" r="BL189">
        <v>0</v>
      </c>
      <c s="6" r="BM189">
        <v>0</v>
      </c>
      <c s="6" r="BN189">
        <v>0</v>
      </c>
      <c s="6" r="BO189">
        <v>0</v>
      </c>
      <c s="6" r="BP189">
        <v>0</v>
      </c>
      <c s="6" r="BQ189">
        <v>0</v>
      </c>
      <c t="str" s="6" r="BR189">
        <f>HYPERLINK("http://www.d20pfsrd.com/magic/all-spells/e/erase","Erase")</f>
        <v>Erase</v>
      </c>
      <c s="6" r="BS189">
        <v>188</v>
      </c>
      <c t="s" s="6" r="BT189">
        <v>92</v>
      </c>
      <c s="6" r="BY189">
        <v>0</v>
      </c>
    </row>
    <row customHeight="1" r="190" ht="14.25">
      <c t="s" s="6" r="A190">
        <v>1666</v>
      </c>
      <c t="s" s="6" r="B190">
        <v>131</v>
      </c>
      <c t="s" s="6" r="E190">
        <v>1667</v>
      </c>
      <c t="s" s="6" r="F190">
        <v>81</v>
      </c>
      <c t="s" s="6" r="G190">
        <v>106</v>
      </c>
      <c s="6" r="H190">
        <v>0</v>
      </c>
      <c t="s" s="6" r="I190">
        <v>155</v>
      </c>
      <c t="s" s="6" r="L190">
        <v>156</v>
      </c>
      <c t="s" s="6" r="M190">
        <v>99</v>
      </c>
      <c s="6" r="N190">
        <v>1</v>
      </c>
      <c s="6" r="O190">
        <v>0</v>
      </c>
      <c t="s" s="6" r="R190">
        <v>1668</v>
      </c>
      <c t="s" s="6" r="S190">
        <v>1669</v>
      </c>
      <c t="s" s="6" r="T190">
        <v>90</v>
      </c>
      <c t="s" s="6" r="U190">
        <v>1670</v>
      </c>
      <c s="6" r="V190">
        <v>1</v>
      </c>
      <c s="6" r="W190">
        <v>1</v>
      </c>
      <c s="6" r="X190">
        <v>0</v>
      </c>
      <c s="6" r="Y190">
        <v>0</v>
      </c>
      <c s="6" r="Z190">
        <v>0</v>
      </c>
      <c s="6" r="AA190">
        <v>7</v>
      </c>
      <c s="6" r="AB190">
        <v>7</v>
      </c>
      <c s="6" r="AC190">
        <v>7</v>
      </c>
      <c t="s" s="6" r="AD190">
        <v>92</v>
      </c>
      <c t="s" s="6" r="AE190">
        <v>92</v>
      </c>
      <c t="s" s="6" r="AF190">
        <v>92</v>
      </c>
      <c t="s" s="6" r="AG190">
        <v>92</v>
      </c>
      <c t="s" s="6" r="AH190">
        <v>92</v>
      </c>
      <c t="s" s="6" r="AI190">
        <v>92</v>
      </c>
      <c t="s" s="6" r="AJ190">
        <v>92</v>
      </c>
      <c t="s" s="6" r="AK190">
        <v>92</v>
      </c>
      <c s="6" r="AL190">
        <v>7</v>
      </c>
      <c t="s" s="6" r="AM190">
        <v>92</v>
      </c>
      <c t="s" s="6" r="AN190">
        <v>92</v>
      </c>
      <c s="6" r="AP190">
        <v>7</v>
      </c>
      <c t="s" s="6" r="AQ190">
        <v>1671</v>
      </c>
      <c t="s" s="6" r="AR190">
        <v>1672</v>
      </c>
      <c s="6" r="AS190">
        <v>0</v>
      </c>
      <c s="6" r="AT190">
        <v>0</v>
      </c>
      <c s="6" r="AU190">
        <v>0</v>
      </c>
      <c s="6" r="AV190">
        <v>0</v>
      </c>
      <c s="6" r="AW190">
        <v>0</v>
      </c>
      <c s="6" r="AX190">
        <v>0</v>
      </c>
      <c s="6" r="AY190">
        <v>0</v>
      </c>
      <c s="6" r="AZ190">
        <v>0</v>
      </c>
      <c s="6" r="BA190">
        <v>0</v>
      </c>
      <c s="6" r="BB190">
        <v>0</v>
      </c>
      <c s="6" r="BC190">
        <v>0</v>
      </c>
      <c s="6" r="BD190">
        <v>0</v>
      </c>
      <c s="6" r="BE190">
        <v>0</v>
      </c>
      <c s="6" r="BF190">
        <v>0</v>
      </c>
      <c s="6" r="BG190">
        <v>0</v>
      </c>
      <c s="6" r="BH190">
        <v>0</v>
      </c>
      <c s="6" r="BI190">
        <v>0</v>
      </c>
      <c s="6" r="BJ190">
        <v>0</v>
      </c>
      <c s="6" r="BK190">
        <v>0</v>
      </c>
      <c s="6" r="BL190">
        <v>0</v>
      </c>
      <c s="6" r="BM190">
        <v>0</v>
      </c>
      <c s="6" r="BN190">
        <v>0</v>
      </c>
      <c s="6" r="BO190">
        <v>0</v>
      </c>
      <c s="6" r="BP190">
        <v>0</v>
      </c>
      <c s="6" r="BQ190">
        <v>0</v>
      </c>
      <c t="str" s="6" r="BR190">
        <f>HYPERLINK("http://www.d20pfsrd.com/magic/all-spells/e/ethereal-jaunt","Ethereal Jaunt")</f>
        <v>Ethereal Jaunt</v>
      </c>
      <c s="6" r="BS190">
        <v>189</v>
      </c>
      <c t="s" s="6" r="BT190">
        <v>92</v>
      </c>
      <c t="s" s="6" r="BV190">
        <v>1673</v>
      </c>
      <c s="6" r="BY190">
        <v>0</v>
      </c>
    </row>
    <row customHeight="1" r="191" ht="14.25">
      <c t="s" s="6" r="A191">
        <v>1674</v>
      </c>
      <c t="s" s="6" r="B191">
        <v>131</v>
      </c>
      <c t="s" s="6" r="E191">
        <v>1599</v>
      </c>
      <c t="s" s="6" r="F191">
        <v>81</v>
      </c>
      <c t="s" s="6" r="G191">
        <v>106</v>
      </c>
      <c s="6" r="H191">
        <v>0</v>
      </c>
      <c t="s" s="6" r="I191">
        <v>1675</v>
      </c>
      <c t="s" s="6" r="L191">
        <v>1676</v>
      </c>
      <c t="s" s="6" r="M191">
        <v>122</v>
      </c>
      <c s="6" r="N191">
        <v>1</v>
      </c>
      <c s="6" r="O191">
        <v>0</v>
      </c>
      <c t="s" s="6" r="Q191">
        <v>188</v>
      </c>
      <c t="s" s="6" r="R191">
        <v>1677</v>
      </c>
      <c t="s" s="6" r="S191">
        <v>1678</v>
      </c>
      <c t="s" s="6" r="T191">
        <v>90</v>
      </c>
      <c t="s" s="6" r="U191">
        <v>1679</v>
      </c>
      <c s="6" r="V191">
        <v>1</v>
      </c>
      <c s="6" r="W191">
        <v>1</v>
      </c>
      <c s="6" r="X191">
        <v>0</v>
      </c>
      <c s="6" r="Y191">
        <v>0</v>
      </c>
      <c s="6" r="Z191">
        <v>0</v>
      </c>
      <c s="6" r="AA191">
        <v>9</v>
      </c>
      <c s="6" r="AB191">
        <v>9</v>
      </c>
      <c s="6" r="AC191">
        <v>9</v>
      </c>
      <c t="s" s="6" r="AD191">
        <v>92</v>
      </c>
      <c t="s" s="6" r="AE191">
        <v>92</v>
      </c>
      <c t="s" s="6" r="AF191">
        <v>92</v>
      </c>
      <c t="s" s="6" r="AG191">
        <v>92</v>
      </c>
      <c t="s" s="6" r="AH191">
        <v>92</v>
      </c>
      <c t="s" s="6" r="AI191">
        <v>92</v>
      </c>
      <c t="s" s="6" r="AJ191">
        <v>92</v>
      </c>
      <c t="s" s="6" r="AK191">
        <v>92</v>
      </c>
      <c s="6" r="AL191">
        <v>9</v>
      </c>
      <c t="s" s="6" r="AM191">
        <v>92</v>
      </c>
      <c t="s" s="6" r="AN191">
        <v>92</v>
      </c>
      <c s="6" r="AP191">
        <v>9</v>
      </c>
      <c t="s" s="6" r="AR191">
        <v>1680</v>
      </c>
      <c s="6" r="AS191">
        <v>0</v>
      </c>
      <c s="6" r="AT191">
        <v>0</v>
      </c>
      <c s="6" r="AU191">
        <v>0</v>
      </c>
      <c s="6" r="AV191">
        <v>0</v>
      </c>
      <c s="6" r="AW191">
        <v>0</v>
      </c>
      <c s="6" r="AX191">
        <v>0</v>
      </c>
      <c s="6" r="AY191">
        <v>0</v>
      </c>
      <c s="6" r="AZ191">
        <v>0</v>
      </c>
      <c s="6" r="BA191">
        <v>0</v>
      </c>
      <c s="6" r="BB191">
        <v>0</v>
      </c>
      <c s="6" r="BC191">
        <v>0</v>
      </c>
      <c s="6" r="BD191">
        <v>0</v>
      </c>
      <c s="6" r="BE191">
        <v>0</v>
      </c>
      <c s="6" r="BF191">
        <v>0</v>
      </c>
      <c s="6" r="BG191">
        <v>0</v>
      </c>
      <c s="6" r="BH191">
        <v>0</v>
      </c>
      <c s="6" r="BI191">
        <v>0</v>
      </c>
      <c s="6" r="BJ191">
        <v>0</v>
      </c>
      <c s="6" r="BK191">
        <v>0</v>
      </c>
      <c s="6" r="BL191">
        <v>0</v>
      </c>
      <c s="6" r="BM191">
        <v>0</v>
      </c>
      <c s="6" r="BN191">
        <v>0</v>
      </c>
      <c s="6" r="BO191">
        <v>0</v>
      </c>
      <c s="6" r="BP191">
        <v>0</v>
      </c>
      <c s="6" r="BQ191">
        <v>0</v>
      </c>
      <c t="str" s="6" r="BR191">
        <f>HYPERLINK("http://www.d20pfsrd.com/magic/all-spells/e/etherealness","Etherealness")</f>
        <v>Etherealness</v>
      </c>
      <c s="6" r="BS191">
        <v>190</v>
      </c>
      <c t="s" s="6" r="BT191">
        <v>92</v>
      </c>
      <c t="s" s="6" r="BV191">
        <v>1681</v>
      </c>
      <c s="6" r="BY191">
        <v>0</v>
      </c>
    </row>
    <row customHeight="1" r="192" ht="14.25">
      <c t="s" s="6" r="A192">
        <v>1682</v>
      </c>
      <c t="s" s="6" r="B192">
        <v>131</v>
      </c>
      <c t="s" s="6" r="E192">
        <v>1683</v>
      </c>
      <c t="s" s="6" r="F192">
        <v>81</v>
      </c>
      <c t="s" s="6" r="G192">
        <v>106</v>
      </c>
      <c s="6" r="H192">
        <v>0</v>
      </c>
      <c t="s" s="6" r="I192">
        <v>155</v>
      </c>
      <c t="s" s="6" r="L192">
        <v>156</v>
      </c>
      <c t="s" s="6" r="M192">
        <v>496</v>
      </c>
      <c s="6" r="N192">
        <v>1</v>
      </c>
      <c s="6" r="O192">
        <v>0</v>
      </c>
      <c t="s" s="6" r="R192">
        <v>1684</v>
      </c>
      <c t="s" s="6" r="S192">
        <v>1685</v>
      </c>
      <c t="s" s="6" r="T192">
        <v>90</v>
      </c>
      <c t="s" s="6" r="U192">
        <v>1686</v>
      </c>
      <c s="6" r="V192">
        <v>1</v>
      </c>
      <c s="6" r="W192">
        <v>1</v>
      </c>
      <c s="6" r="X192">
        <v>0</v>
      </c>
      <c s="6" r="Y192">
        <v>0</v>
      </c>
      <c s="6" r="Z192">
        <v>0</v>
      </c>
      <c s="6" r="AA192">
        <v>1</v>
      </c>
      <c s="6" r="AB192">
        <v>1</v>
      </c>
      <c t="s" s="6" r="AC192">
        <v>92</v>
      </c>
      <c t="s" s="6" r="AD192">
        <v>92</v>
      </c>
      <c t="s" s="6" r="AE192">
        <v>92</v>
      </c>
      <c s="6" r="AF192">
        <v>1</v>
      </c>
      <c t="s" s="6" r="AG192">
        <v>92</v>
      </c>
      <c s="6" r="AH192">
        <v>1</v>
      </c>
      <c s="6" r="AI192">
        <v>1</v>
      </c>
      <c t="s" s="6" r="AJ192">
        <v>92</v>
      </c>
      <c s="6" r="AK192">
        <v>1</v>
      </c>
      <c t="s" s="6" r="AL192">
        <v>92</v>
      </c>
      <c t="s" s="6" r="AM192">
        <v>92</v>
      </c>
      <c s="6" r="AN192">
        <v>1</v>
      </c>
      <c s="6" r="AP192">
        <v>1</v>
      </c>
      <c t="s" s="6" r="AQ192">
        <v>1687</v>
      </c>
      <c t="s" s="6" r="AR192">
        <v>1688</v>
      </c>
      <c s="6" r="AS192">
        <v>0</v>
      </c>
      <c s="6" r="AT192">
        <v>0</v>
      </c>
      <c s="6" r="AU192">
        <v>0</v>
      </c>
      <c s="6" r="AV192">
        <v>0</v>
      </c>
      <c s="6" r="AW192">
        <v>0</v>
      </c>
      <c s="6" r="AX192">
        <v>0</v>
      </c>
      <c s="6" r="AY192">
        <v>0</v>
      </c>
      <c s="6" r="AZ192">
        <v>0</v>
      </c>
      <c s="6" r="BA192">
        <v>0</v>
      </c>
      <c s="6" r="BB192">
        <v>0</v>
      </c>
      <c s="6" r="BC192">
        <v>0</v>
      </c>
      <c s="6" r="BD192">
        <v>0</v>
      </c>
      <c s="6" r="BE192">
        <v>0</v>
      </c>
      <c s="6" r="BF192">
        <v>0</v>
      </c>
      <c s="6" r="BG192">
        <v>0</v>
      </c>
      <c s="6" r="BH192">
        <v>0</v>
      </c>
      <c s="6" r="BI192">
        <v>0</v>
      </c>
      <c s="6" r="BJ192">
        <v>0</v>
      </c>
      <c s="6" r="BK192">
        <v>0</v>
      </c>
      <c s="6" r="BL192">
        <v>0</v>
      </c>
      <c s="6" r="BM192">
        <v>0</v>
      </c>
      <c s="6" r="BN192">
        <v>0</v>
      </c>
      <c s="6" r="BO192">
        <v>0</v>
      </c>
      <c s="6" r="BP192">
        <v>0</v>
      </c>
      <c s="6" r="BQ192">
        <v>0</v>
      </c>
      <c t="str" s="6" r="BR192">
        <f>HYPERLINK("http://www.d20pfsrd.com/magic/all-spells/e/expeditious-retreat","Expeditious Retreat")</f>
        <v>Expeditious Retreat</v>
      </c>
      <c s="6" r="BS192">
        <v>191</v>
      </c>
      <c t="s" s="6" r="BT192">
        <v>92</v>
      </c>
      <c t="s" s="6" r="BW192">
        <v>1689</v>
      </c>
      <c s="6" r="BY192">
        <v>1</v>
      </c>
    </row>
    <row customHeight="1" r="193" ht="14.25">
      <c t="s" s="6" r="A193">
        <v>1690</v>
      </c>
      <c t="s" s="6" r="B193">
        <v>162</v>
      </c>
      <c t="s" s="6" r="D193">
        <v>58</v>
      </c>
      <c t="s" s="6" r="E193">
        <v>1691</v>
      </c>
      <c t="s" s="6" r="F193">
        <v>81</v>
      </c>
      <c t="s" s="6" r="G193">
        <v>106</v>
      </c>
      <c s="6" r="H193">
        <v>0</v>
      </c>
      <c t="s" s="6" r="I193">
        <v>120</v>
      </c>
      <c t="s" s="6" r="L193">
        <v>1692</v>
      </c>
      <c t="s" s="6" r="M193">
        <v>1693</v>
      </c>
      <c s="6" r="N193">
        <v>1</v>
      </c>
      <c s="6" r="O193">
        <v>0</v>
      </c>
      <c t="s" s="6" r="P193">
        <v>141</v>
      </c>
      <c t="s" s="6" r="Q193">
        <v>188</v>
      </c>
      <c t="s" s="6" r="R193">
        <v>1694</v>
      </c>
      <c t="s" s="6" r="S193">
        <v>1695</v>
      </c>
      <c t="s" s="6" r="T193">
        <v>90</v>
      </c>
      <c t="s" s="6" r="U193">
        <v>1696</v>
      </c>
      <c s="6" r="V193">
        <v>1</v>
      </c>
      <c s="6" r="W193">
        <v>1</v>
      </c>
      <c s="6" r="X193">
        <v>0</v>
      </c>
      <c s="6" r="Y193">
        <v>0</v>
      </c>
      <c s="6" r="Z193">
        <v>0</v>
      </c>
      <c s="6" r="AA193">
        <v>3</v>
      </c>
      <c s="6" r="AB193">
        <v>3</v>
      </c>
      <c t="s" s="6" r="AC193">
        <v>92</v>
      </c>
      <c t="s" s="6" r="AD193">
        <v>92</v>
      </c>
      <c t="s" s="6" r="AE193">
        <v>92</v>
      </c>
      <c t="s" s="6" r="AF193">
        <v>92</v>
      </c>
      <c t="s" s="6" r="AG193">
        <v>92</v>
      </c>
      <c t="s" s="6" r="AH193">
        <v>92</v>
      </c>
      <c t="s" s="6" r="AI193">
        <v>92</v>
      </c>
      <c t="s" s="6" r="AJ193">
        <v>92</v>
      </c>
      <c t="s" s="6" r="AK193">
        <v>92</v>
      </c>
      <c t="s" s="6" r="AL193">
        <v>92</v>
      </c>
      <c t="s" s="6" r="AM193">
        <v>92</v>
      </c>
      <c t="s" s="6" r="AN193">
        <v>92</v>
      </c>
      <c s="6" r="AP193">
        <v>3</v>
      </c>
      <c t="s" s="6" r="AQ193">
        <v>1664</v>
      </c>
      <c t="s" s="6" r="AR193">
        <v>1697</v>
      </c>
      <c s="6" r="AS193">
        <v>0</v>
      </c>
      <c s="6" r="AT193">
        <v>0</v>
      </c>
      <c s="6" r="AU193">
        <v>0</v>
      </c>
      <c s="6" r="AV193">
        <v>0</v>
      </c>
      <c s="6" r="AW193">
        <v>0</v>
      </c>
      <c s="6" r="AX193">
        <v>0</v>
      </c>
      <c s="6" r="AY193">
        <v>0</v>
      </c>
      <c s="6" r="AZ193">
        <v>0</v>
      </c>
      <c s="6" r="BA193">
        <v>0</v>
      </c>
      <c s="6" r="BB193">
        <v>0</v>
      </c>
      <c s="6" r="BC193">
        <v>0</v>
      </c>
      <c s="6" r="BD193">
        <v>0</v>
      </c>
      <c s="6" r="BE193">
        <v>0</v>
      </c>
      <c s="6" r="BF193">
        <v>0</v>
      </c>
      <c s="6" r="BG193">
        <v>1</v>
      </c>
      <c s="6" r="BH193">
        <v>0</v>
      </c>
      <c s="6" r="BI193">
        <v>0</v>
      </c>
      <c s="6" r="BJ193">
        <v>0</v>
      </c>
      <c s="6" r="BK193">
        <v>0</v>
      </c>
      <c s="6" r="BL193">
        <v>0</v>
      </c>
      <c s="6" r="BM193">
        <v>0</v>
      </c>
      <c s="6" r="BN193">
        <v>0</v>
      </c>
      <c s="6" r="BO193">
        <v>0</v>
      </c>
      <c s="6" r="BP193">
        <v>0</v>
      </c>
      <c s="6" r="BQ193">
        <v>0</v>
      </c>
      <c t="str" s="6" r="BR193">
        <f>HYPERLINK("http://www.d20pfsrd.com/magic/all-spells/e/explosive-runes","Explosive Runes")</f>
        <v>Explosive Runes</v>
      </c>
      <c s="6" r="BS193">
        <v>192</v>
      </c>
      <c t="s" s="6" r="BT193">
        <v>92</v>
      </c>
      <c t="s" s="6" r="BU193">
        <v>1698</v>
      </c>
      <c s="6" r="BY193">
        <v>0</v>
      </c>
    </row>
    <row customHeight="1" r="194" ht="14.25">
      <c t="s" s="6" r="A194">
        <v>1699</v>
      </c>
      <c t="s" s="6" r="B194">
        <v>227</v>
      </c>
      <c t="s" s="6" r="D194">
        <v>1700</v>
      </c>
      <c t="s" s="6" r="E194">
        <v>1701</v>
      </c>
      <c t="s" s="6" r="F194">
        <v>81</v>
      </c>
      <c t="s" s="6" r="G194">
        <v>106</v>
      </c>
      <c s="6" r="H194">
        <v>0</v>
      </c>
      <c t="s" s="6" r="I194">
        <v>107</v>
      </c>
      <c t="s" s="6" r="L194">
        <v>473</v>
      </c>
      <c t="s" s="6" r="M194">
        <v>99</v>
      </c>
      <c s="6" r="N194">
        <v>0</v>
      </c>
      <c s="6" r="O194">
        <v>0</v>
      </c>
      <c t="s" s="6" r="P194">
        <v>187</v>
      </c>
      <c t="s" s="6" r="Q194">
        <v>188</v>
      </c>
      <c t="s" s="6" r="R194">
        <v>1702</v>
      </c>
      <c t="s" s="6" r="S194">
        <v>1703</v>
      </c>
      <c t="s" s="6" r="T194">
        <v>90</v>
      </c>
      <c t="s" s="6" r="U194">
        <v>1704</v>
      </c>
      <c s="6" r="V194">
        <v>1</v>
      </c>
      <c s="6" r="W194">
        <v>1</v>
      </c>
      <c s="6" r="X194">
        <v>0</v>
      </c>
      <c s="6" r="Y194">
        <v>0</v>
      </c>
      <c s="6" r="Z194">
        <v>0</v>
      </c>
      <c s="6" r="AA194">
        <v>6</v>
      </c>
      <c s="6" r="AB194">
        <v>6</v>
      </c>
      <c t="s" s="6" r="AC194">
        <v>92</v>
      </c>
      <c t="s" s="6" r="AD194">
        <v>92</v>
      </c>
      <c t="s" s="6" r="AE194">
        <v>92</v>
      </c>
      <c s="6" r="AF194">
        <v>6</v>
      </c>
      <c t="s" s="6" r="AG194">
        <v>92</v>
      </c>
      <c s="6" r="AH194">
        <v>6</v>
      </c>
      <c t="s" s="6" r="AI194">
        <v>92</v>
      </c>
      <c s="6" r="AJ194">
        <v>6</v>
      </c>
      <c t="s" s="6" r="AK194">
        <v>92</v>
      </c>
      <c t="s" s="6" r="AL194">
        <v>92</v>
      </c>
      <c t="s" s="6" r="AM194">
        <v>92</v>
      </c>
      <c t="s" s="6" r="AN194">
        <v>92</v>
      </c>
      <c s="6" r="AP194">
        <v>6</v>
      </c>
      <c t="s" s="6" r="AQ194">
        <v>1705</v>
      </c>
      <c t="s" s="6" r="AR194">
        <v>1706</v>
      </c>
      <c s="6" r="AS194">
        <v>0</v>
      </c>
      <c s="6" r="AT194">
        <v>0</v>
      </c>
      <c s="6" r="AU194">
        <v>0</v>
      </c>
      <c s="6" r="AV194">
        <v>0</v>
      </c>
      <c s="6" r="AW194">
        <v>0</v>
      </c>
      <c s="6" r="AX194">
        <v>0</v>
      </c>
      <c s="6" r="AY194">
        <v>0</v>
      </c>
      <c s="6" r="AZ194">
        <v>0</v>
      </c>
      <c s="6" r="BA194">
        <v>0</v>
      </c>
      <c s="6" r="BB194">
        <v>0</v>
      </c>
      <c s="6" r="BC194">
        <v>1</v>
      </c>
      <c s="6" r="BD194">
        <v>0</v>
      </c>
      <c s="6" r="BE194">
        <v>0</v>
      </c>
      <c s="6" r="BF194">
        <v>0</v>
      </c>
      <c s="6" r="BG194">
        <v>0</v>
      </c>
      <c s="6" r="BH194">
        <v>0</v>
      </c>
      <c s="6" r="BI194">
        <v>0</v>
      </c>
      <c s="6" r="BJ194">
        <v>0</v>
      </c>
      <c s="6" r="BK194">
        <v>0</v>
      </c>
      <c s="6" r="BL194">
        <v>0</v>
      </c>
      <c s="6" r="BM194">
        <v>1</v>
      </c>
      <c s="6" r="BN194">
        <v>0</v>
      </c>
      <c s="6" r="BO194">
        <v>0</v>
      </c>
      <c s="6" r="BP194">
        <v>0</v>
      </c>
      <c s="6" r="BQ194">
        <v>0</v>
      </c>
      <c t="str" s="6" r="BR194">
        <f>HYPERLINK("http://www.d20pfsrd.com/magic/all-spells/e/eyebite","Eyebite")</f>
        <v>Eyebite</v>
      </c>
      <c s="6" r="BS194">
        <v>193</v>
      </c>
      <c t="s" s="6" r="BT194">
        <v>92</v>
      </c>
      <c t="s" s="6" r="BU194">
        <v>1707</v>
      </c>
      <c s="6" r="BY194">
        <v>0</v>
      </c>
    </row>
    <row customHeight="1" r="195" ht="14.25">
      <c t="s" s="6" r="A195">
        <v>1708</v>
      </c>
      <c t="s" s="6" r="B195">
        <v>131</v>
      </c>
      <c t="s" s="6" r="E195">
        <v>1709</v>
      </c>
      <c t="s" s="6" r="F195">
        <v>141</v>
      </c>
      <c t="s" s="6" r="G195">
        <v>1710</v>
      </c>
      <c s="6" r="H195">
        <v>0</v>
      </c>
      <c t="s" s="6" r="I195">
        <v>107</v>
      </c>
      <c t="s" s="6" r="L195">
        <v>1711</v>
      </c>
      <c t="s" s="6" r="M195">
        <v>109</v>
      </c>
      <c s="6" r="N195">
        <v>0</v>
      </c>
      <c s="6" r="O195">
        <v>0</v>
      </c>
      <c t="s" s="6" r="P195">
        <v>86</v>
      </c>
      <c t="s" s="6" r="Q195">
        <v>87</v>
      </c>
      <c t="s" s="6" r="R195">
        <v>1712</v>
      </c>
      <c t="s" s="6" r="S195">
        <v>1713</v>
      </c>
      <c t="s" s="6" r="T195">
        <v>90</v>
      </c>
      <c t="s" s="6" r="U195">
        <v>1714</v>
      </c>
      <c s="6" r="V195">
        <v>1</v>
      </c>
      <c s="6" r="W195">
        <v>1</v>
      </c>
      <c s="6" r="X195">
        <v>1</v>
      </c>
      <c s="6" r="Y195">
        <v>0</v>
      </c>
      <c s="6" r="Z195">
        <v>0</v>
      </c>
      <c s="6" r="AA195">
        <v>5</v>
      </c>
      <c s="6" r="AB195">
        <v>5</v>
      </c>
      <c t="s" s="6" r="AC195">
        <v>92</v>
      </c>
      <c t="s" s="6" r="AD195">
        <v>92</v>
      </c>
      <c t="s" s="6" r="AE195">
        <v>92</v>
      </c>
      <c t="s" s="6" r="AF195">
        <v>92</v>
      </c>
      <c t="s" s="6" r="AG195">
        <v>92</v>
      </c>
      <c t="s" s="6" r="AH195">
        <v>92</v>
      </c>
      <c t="s" s="6" r="AI195">
        <v>92</v>
      </c>
      <c t="s" s="6" r="AJ195">
        <v>92</v>
      </c>
      <c t="s" s="6" r="AK195">
        <v>92</v>
      </c>
      <c t="s" s="6" r="AL195">
        <v>92</v>
      </c>
      <c t="s" s="6" r="AM195">
        <v>92</v>
      </c>
      <c t="s" s="6" r="AN195">
        <v>92</v>
      </c>
      <c s="6" r="AP195">
        <v>5</v>
      </c>
      <c t="s" s="6" r="AQ195">
        <v>267</v>
      </c>
      <c t="s" s="6" r="AR195">
        <v>1715</v>
      </c>
      <c s="6" r="AS195">
        <v>0</v>
      </c>
      <c s="6" r="AT195">
        <v>0</v>
      </c>
      <c s="6" r="AU195">
        <v>0</v>
      </c>
      <c s="6" r="AV195">
        <v>0</v>
      </c>
      <c s="6" r="AW195">
        <v>0</v>
      </c>
      <c s="6" r="AX195">
        <v>0</v>
      </c>
      <c s="6" r="AY195">
        <v>0</v>
      </c>
      <c s="6" r="AZ195">
        <v>0</v>
      </c>
      <c s="6" r="BA195">
        <v>0</v>
      </c>
      <c s="6" r="BB195">
        <v>0</v>
      </c>
      <c s="6" r="BC195">
        <v>0</v>
      </c>
      <c s="6" r="BD195">
        <v>0</v>
      </c>
      <c s="6" r="BE195">
        <v>0</v>
      </c>
      <c s="6" r="BF195">
        <v>0</v>
      </c>
      <c s="6" r="BG195">
        <v>0</v>
      </c>
      <c s="6" r="BH195">
        <v>0</v>
      </c>
      <c s="6" r="BI195">
        <v>0</v>
      </c>
      <c s="6" r="BJ195">
        <v>0</v>
      </c>
      <c s="6" r="BK195">
        <v>0</v>
      </c>
      <c s="6" r="BL195">
        <v>0</v>
      </c>
      <c s="6" r="BM195">
        <v>0</v>
      </c>
      <c s="6" r="BN195">
        <v>0</v>
      </c>
      <c s="6" r="BO195">
        <v>0</v>
      </c>
      <c s="6" r="BP195">
        <v>0</v>
      </c>
      <c s="6" r="BQ195">
        <v>0</v>
      </c>
      <c t="str" s="6" r="BR195">
        <f>HYPERLINK("http://www.d20pfsrd.com/magic/all-spells/f/fabricate","Fabricate")</f>
        <v>Fabricate</v>
      </c>
      <c s="6" r="BS195">
        <v>194</v>
      </c>
      <c t="s" s="6" r="BT195">
        <v>92</v>
      </c>
      <c s="6" r="BY195">
        <v>0</v>
      </c>
    </row>
    <row customHeight="1" r="196" ht="14.25">
      <c t="s" s="6" r="A196">
        <v>1716</v>
      </c>
      <c t="s" s="6" r="B196">
        <v>493</v>
      </c>
      <c t="s" s="6" r="D196">
        <v>62</v>
      </c>
      <c t="s" s="6" r="E196">
        <v>1717</v>
      </c>
      <c t="s" s="6" r="F196">
        <v>81</v>
      </c>
      <c t="s" s="6" r="G196">
        <v>119</v>
      </c>
      <c s="6" r="H196">
        <v>0</v>
      </c>
      <c t="s" s="6" r="I196">
        <v>83</v>
      </c>
      <c t="s" s="6" r="J196">
        <v>1718</v>
      </c>
      <c t="s" s="6" r="M196">
        <v>496</v>
      </c>
      <c s="6" r="N196">
        <v>1</v>
      </c>
      <c s="6" r="O196">
        <v>0</v>
      </c>
      <c t="s" s="6" r="P196">
        <v>86</v>
      </c>
      <c t="s" s="6" r="Q196">
        <v>188</v>
      </c>
      <c t="s" s="6" r="R196">
        <v>1719</v>
      </c>
      <c t="s" s="6" r="S196">
        <v>1720</v>
      </c>
      <c t="s" s="6" r="T196">
        <v>90</v>
      </c>
      <c t="s" s="6" r="U196">
        <v>1721</v>
      </c>
      <c s="6" r="V196">
        <v>1</v>
      </c>
      <c s="6" r="W196">
        <v>1</v>
      </c>
      <c s="6" r="X196">
        <v>0</v>
      </c>
      <c s="6" r="Y196">
        <v>0</v>
      </c>
      <c s="6" r="Z196">
        <v>1</v>
      </c>
      <c t="s" s="6" r="AA196">
        <v>92</v>
      </c>
      <c t="s" s="6" r="AB196">
        <v>92</v>
      </c>
      <c t="s" s="6" r="AC196">
        <v>92</v>
      </c>
      <c s="6" r="AD196">
        <v>1</v>
      </c>
      <c t="s" s="6" r="AE196">
        <v>92</v>
      </c>
      <c t="s" s="6" r="AF196">
        <v>92</v>
      </c>
      <c t="s" s="6" r="AG196">
        <v>92</v>
      </c>
      <c t="s" s="6" r="AH196">
        <v>92</v>
      </c>
      <c t="s" s="6" r="AI196">
        <v>92</v>
      </c>
      <c t="s" s="6" r="AJ196">
        <v>92</v>
      </c>
      <c t="s" s="6" r="AK196">
        <v>92</v>
      </c>
      <c t="s" s="6" r="AL196">
        <v>92</v>
      </c>
      <c t="s" s="6" r="AM196">
        <v>92</v>
      </c>
      <c t="s" s="6" r="AN196">
        <v>92</v>
      </c>
      <c s="6" r="AP196">
        <v>1</v>
      </c>
      <c t="s" s="6" r="AQ196">
        <v>966</v>
      </c>
      <c t="s" s="6" r="AR196">
        <v>1722</v>
      </c>
      <c s="6" r="AS196">
        <v>0</v>
      </c>
      <c s="6" r="AT196">
        <v>0</v>
      </c>
      <c s="6" r="AU196">
        <v>0</v>
      </c>
      <c s="6" r="AV196">
        <v>0</v>
      </c>
      <c s="6" r="AW196">
        <v>0</v>
      </c>
      <c s="6" r="AX196">
        <v>0</v>
      </c>
      <c s="6" r="AY196">
        <v>0</v>
      </c>
      <c s="6" r="AZ196">
        <v>0</v>
      </c>
      <c s="6" r="BA196">
        <v>0</v>
      </c>
      <c s="6" r="BB196">
        <v>0</v>
      </c>
      <c s="6" r="BC196">
        <v>0</v>
      </c>
      <c s="6" r="BD196">
        <v>0</v>
      </c>
      <c s="6" r="BE196">
        <v>0</v>
      </c>
      <c s="6" r="BF196">
        <v>0</v>
      </c>
      <c s="6" r="BG196">
        <v>0</v>
      </c>
      <c s="6" r="BH196">
        <v>0</v>
      </c>
      <c s="6" r="BI196">
        <v>0</v>
      </c>
      <c s="6" r="BJ196">
        <v>0</v>
      </c>
      <c s="6" r="BK196">
        <v>1</v>
      </c>
      <c s="6" r="BL196">
        <v>0</v>
      </c>
      <c s="6" r="BM196">
        <v>0</v>
      </c>
      <c s="6" r="BN196">
        <v>0</v>
      </c>
      <c s="6" r="BO196">
        <v>0</v>
      </c>
      <c s="6" r="BP196">
        <v>0</v>
      </c>
      <c s="6" r="BQ196">
        <v>0</v>
      </c>
      <c t="str" s="6" r="BR196">
        <f>HYPERLINK("http://www.d20pfsrd.com/magic/all-spells/f/faerie-fire","Faerie Fire")</f>
        <v>Faerie Fire</v>
      </c>
      <c s="6" r="BS196">
        <v>195</v>
      </c>
      <c t="s" s="6" r="BT196">
        <v>92</v>
      </c>
      <c t="s" s="6" r="BV196">
        <v>360</v>
      </c>
      <c t="s" s="6" r="BW196">
        <v>1723</v>
      </c>
      <c t="s" s="6" r="BX196">
        <v>1724</v>
      </c>
      <c s="6" r="BY196">
        <v>1</v>
      </c>
    </row>
    <row customHeight="1" r="197" ht="14.25">
      <c t="s" s="6" r="A197">
        <v>1725</v>
      </c>
      <c t="s" s="6" r="B197">
        <v>227</v>
      </c>
      <c t="s" s="6" r="E197">
        <v>1726</v>
      </c>
      <c t="s" s="6" r="F197">
        <v>81</v>
      </c>
      <c t="s" s="6" r="G197">
        <v>1727</v>
      </c>
      <c s="6" r="H197">
        <v>0</v>
      </c>
      <c t="s" s="6" r="I197">
        <v>155</v>
      </c>
      <c t="s" s="6" r="L197">
        <v>156</v>
      </c>
      <c t="s" s="6" r="M197">
        <v>1728</v>
      </c>
      <c s="6" r="N197">
        <v>0</v>
      </c>
      <c s="6" r="O197">
        <v>0</v>
      </c>
      <c t="s" s="6" r="R197">
        <v>1729</v>
      </c>
      <c t="s" s="6" r="S197">
        <v>1730</v>
      </c>
      <c t="s" s="6" r="T197">
        <v>90</v>
      </c>
      <c t="s" s="6" r="U197">
        <v>1731</v>
      </c>
      <c s="6" r="V197">
        <v>1</v>
      </c>
      <c s="6" r="W197">
        <v>1</v>
      </c>
      <c s="6" r="X197">
        <v>1</v>
      </c>
      <c s="6" r="Y197">
        <v>0</v>
      </c>
      <c s="6" r="Z197">
        <v>0</v>
      </c>
      <c s="6" r="AA197">
        <v>2</v>
      </c>
      <c s="6" r="AB197">
        <v>2</v>
      </c>
      <c t="s" s="6" r="AC197">
        <v>92</v>
      </c>
      <c t="s" s="6" r="AD197">
        <v>92</v>
      </c>
      <c t="s" s="6" r="AE197">
        <v>92</v>
      </c>
      <c t="s" s="6" r="AF197">
        <v>92</v>
      </c>
      <c t="s" s="6" r="AG197">
        <v>92</v>
      </c>
      <c s="6" r="AH197">
        <v>2</v>
      </c>
      <c t="s" s="6" r="AI197">
        <v>92</v>
      </c>
      <c s="6" r="AJ197">
        <v>2</v>
      </c>
      <c t="s" s="6" r="AK197">
        <v>92</v>
      </c>
      <c t="s" s="6" r="AL197">
        <v>92</v>
      </c>
      <c t="s" s="6" r="AM197">
        <v>92</v>
      </c>
      <c t="s" s="6" r="AN197">
        <v>92</v>
      </c>
      <c s="6" r="AP197">
        <v>2</v>
      </c>
      <c t="s" s="6" r="AR197">
        <v>1732</v>
      </c>
      <c s="6" r="AS197">
        <v>0</v>
      </c>
      <c s="6" r="AT197">
        <v>0</v>
      </c>
      <c s="6" r="AU197">
        <v>0</v>
      </c>
      <c s="6" r="AV197">
        <v>0</v>
      </c>
      <c s="6" r="AW197">
        <v>0</v>
      </c>
      <c s="6" r="AX197">
        <v>0</v>
      </c>
      <c s="6" r="AY197">
        <v>0</v>
      </c>
      <c s="6" r="AZ197">
        <v>0</v>
      </c>
      <c s="6" r="BA197">
        <v>0</v>
      </c>
      <c s="6" r="BB197">
        <v>0</v>
      </c>
      <c s="6" r="BC197">
        <v>0</v>
      </c>
      <c s="6" r="BD197">
        <v>0</v>
      </c>
      <c s="6" r="BE197">
        <v>0</v>
      </c>
      <c s="6" r="BF197">
        <v>0</v>
      </c>
      <c s="6" r="BG197">
        <v>0</v>
      </c>
      <c s="6" r="BH197">
        <v>0</v>
      </c>
      <c s="6" r="BI197">
        <v>0</v>
      </c>
      <c s="6" r="BJ197">
        <v>0</v>
      </c>
      <c s="6" r="BK197">
        <v>0</v>
      </c>
      <c s="6" r="BL197">
        <v>0</v>
      </c>
      <c s="6" r="BM197">
        <v>0</v>
      </c>
      <c s="6" r="BN197">
        <v>0</v>
      </c>
      <c s="6" r="BO197">
        <v>0</v>
      </c>
      <c s="6" r="BP197">
        <v>0</v>
      </c>
      <c s="6" r="BQ197">
        <v>0</v>
      </c>
      <c t="str" s="6" r="BR197">
        <f>HYPERLINK("http://www.d20pfsrd.com/magic/all-spells/f/false-life","False Life")</f>
        <v>False Life</v>
      </c>
      <c s="6" r="BS197">
        <v>196</v>
      </c>
      <c t="s" s="6" r="BT197">
        <v>92</v>
      </c>
      <c t="s" s="6" r="BU197">
        <v>236</v>
      </c>
      <c s="6" r="BY197">
        <v>0</v>
      </c>
    </row>
    <row customHeight="1" r="198" ht="14.25">
      <c t="s" s="6" r="A198">
        <v>1733</v>
      </c>
      <c t="s" s="6" r="B198">
        <v>579</v>
      </c>
      <c t="s" s="6" r="C198">
        <v>580</v>
      </c>
      <c t="s" s="6" r="E198">
        <v>1734</v>
      </c>
      <c t="s" s="6" r="F198">
        <v>81</v>
      </c>
      <c t="s" s="6" r="G198">
        <v>1735</v>
      </c>
      <c s="6" r="H198">
        <v>1</v>
      </c>
      <c t="s" s="6" r="I198">
        <v>120</v>
      </c>
      <c t="s" s="6" r="J198">
        <v>1736</v>
      </c>
      <c t="s" s="6" r="M198">
        <v>209</v>
      </c>
      <c s="6" r="N198">
        <v>1</v>
      </c>
      <c s="6" r="O198">
        <v>0</v>
      </c>
      <c t="s" s="6" r="P198">
        <v>86</v>
      </c>
      <c t="s" s="6" r="Q198">
        <v>87</v>
      </c>
      <c t="s" s="6" r="R198">
        <v>1737</v>
      </c>
      <c t="s" s="6" r="S198">
        <v>1738</v>
      </c>
      <c t="s" s="6" r="T198">
        <v>90</v>
      </c>
      <c t="s" s="6" r="U198">
        <v>1739</v>
      </c>
      <c s="6" r="V198">
        <v>1</v>
      </c>
      <c s="6" r="W198">
        <v>1</v>
      </c>
      <c s="6" r="X198">
        <v>1</v>
      </c>
      <c s="6" r="Y198">
        <v>0</v>
      </c>
      <c s="6" r="Z198">
        <v>0</v>
      </c>
      <c s="6" r="AA198">
        <v>5</v>
      </c>
      <c s="6" r="AB198">
        <v>5</v>
      </c>
      <c t="s" s="6" r="AC198">
        <v>92</v>
      </c>
      <c t="s" s="6" r="AD198">
        <v>92</v>
      </c>
      <c t="s" s="6" r="AE198">
        <v>92</v>
      </c>
      <c s="6" r="AF198">
        <v>5</v>
      </c>
      <c t="s" s="6" r="AG198">
        <v>92</v>
      </c>
      <c t="s" s="6" r="AH198">
        <v>92</v>
      </c>
      <c t="s" s="6" r="AI198">
        <v>92</v>
      </c>
      <c t="s" s="6" r="AJ198">
        <v>92</v>
      </c>
      <c t="s" s="6" r="AK198">
        <v>92</v>
      </c>
      <c t="s" s="6" r="AL198">
        <v>92</v>
      </c>
      <c t="s" s="6" r="AM198">
        <v>92</v>
      </c>
      <c t="s" s="6" r="AN198">
        <v>92</v>
      </c>
      <c s="6" r="AP198">
        <v>5</v>
      </c>
      <c t="s" s="6" r="AQ198">
        <v>269</v>
      </c>
      <c t="s" s="6" r="AR198">
        <v>1740</v>
      </c>
      <c s="6" r="AS198">
        <v>0</v>
      </c>
      <c s="6" r="AT198">
        <v>0</v>
      </c>
      <c s="6" r="AU198">
        <v>0</v>
      </c>
      <c s="6" r="AV198">
        <v>0</v>
      </c>
      <c s="6" r="AW198">
        <v>0</v>
      </c>
      <c s="6" r="AX198">
        <v>0</v>
      </c>
      <c s="6" r="AY198">
        <v>0</v>
      </c>
      <c s="6" r="AZ198">
        <v>0</v>
      </c>
      <c s="6" r="BA198">
        <v>0</v>
      </c>
      <c s="6" r="BB198">
        <v>0</v>
      </c>
      <c s="6" r="BC198">
        <v>0</v>
      </c>
      <c s="6" r="BD198">
        <v>0</v>
      </c>
      <c s="6" r="BE198">
        <v>0</v>
      </c>
      <c s="6" r="BF198">
        <v>0</v>
      </c>
      <c s="6" r="BG198">
        <v>0</v>
      </c>
      <c s="6" r="BH198">
        <v>0</v>
      </c>
      <c s="6" r="BI198">
        <v>0</v>
      </c>
      <c s="6" r="BJ198">
        <v>0</v>
      </c>
      <c s="6" r="BK198">
        <v>0</v>
      </c>
      <c s="6" r="BL198">
        <v>0</v>
      </c>
      <c s="6" r="BM198">
        <v>0</v>
      </c>
      <c s="6" r="BN198">
        <v>0</v>
      </c>
      <c s="6" r="BO198">
        <v>0</v>
      </c>
      <c s="6" r="BP198">
        <v>0</v>
      </c>
      <c s="6" r="BQ198">
        <v>0</v>
      </c>
      <c t="str" s="6" r="BR198">
        <f>HYPERLINK("http://www.d20pfsrd.com/magic/all-spells/f/false-vision","False Vision")</f>
        <v>False Vision</v>
      </c>
      <c s="6" r="BS198">
        <v>197</v>
      </c>
      <c s="6" r="BT198">
        <v>250</v>
      </c>
      <c s="6" r="BY198">
        <v>0</v>
      </c>
    </row>
    <row customHeight="1" r="199" ht="14.25">
      <c t="s" s="6" r="A199">
        <v>1741</v>
      </c>
      <c t="s" s="6" r="B199">
        <v>131</v>
      </c>
      <c t="s" s="6" r="E199">
        <v>1742</v>
      </c>
      <c t="s" s="6" r="F199">
        <v>1743</v>
      </c>
      <c t="s" s="6" r="G199">
        <v>251</v>
      </c>
      <c s="6" r="H199">
        <v>0</v>
      </c>
      <c t="s" s="6" r="I199">
        <v>107</v>
      </c>
      <c t="s" s="6" r="L199">
        <v>1744</v>
      </c>
      <c t="s" s="6" r="M199">
        <v>1745</v>
      </c>
      <c s="6" r="N199">
        <v>0</v>
      </c>
      <c s="6" r="O199">
        <v>0</v>
      </c>
      <c t="s" s="6" r="P199">
        <v>1746</v>
      </c>
      <c t="s" s="6" r="Q199">
        <v>536</v>
      </c>
      <c t="s" s="6" r="R199">
        <v>1747</v>
      </c>
      <c t="s" s="6" r="S199">
        <v>1748</v>
      </c>
      <c t="s" s="6" r="T199">
        <v>90</v>
      </c>
      <c t="s" s="6" r="U199">
        <v>1749</v>
      </c>
      <c s="6" r="V199">
        <v>1</v>
      </c>
      <c s="6" r="W199">
        <v>0</v>
      </c>
      <c s="6" r="X199">
        <v>0</v>
      </c>
      <c s="6" r="Y199">
        <v>0</v>
      </c>
      <c s="6" r="Z199">
        <v>0</v>
      </c>
      <c s="6" r="AA199">
        <v>1</v>
      </c>
      <c s="6" r="AB199">
        <v>1</v>
      </c>
      <c t="s" s="6" r="AC199">
        <v>92</v>
      </c>
      <c t="s" s="6" r="AD199">
        <v>92</v>
      </c>
      <c t="s" s="6" r="AE199">
        <v>92</v>
      </c>
      <c s="6" r="AF199">
        <v>1</v>
      </c>
      <c t="s" s="6" r="AG199">
        <v>92</v>
      </c>
      <c t="s" s="6" r="AH199">
        <v>92</v>
      </c>
      <c s="6" r="AI199">
        <v>1</v>
      </c>
      <c t="s" s="6" r="AJ199">
        <v>92</v>
      </c>
      <c t="s" s="6" r="AK199">
        <v>92</v>
      </c>
      <c t="s" s="6" r="AL199">
        <v>92</v>
      </c>
      <c t="s" s="6" r="AM199">
        <v>92</v>
      </c>
      <c s="6" r="AN199">
        <v>1</v>
      </c>
      <c s="6" r="AP199">
        <v>1</v>
      </c>
      <c t="s" s="6" r="AQ199">
        <v>1750</v>
      </c>
      <c t="s" s="6" r="AR199">
        <v>1751</v>
      </c>
      <c s="6" r="AS199">
        <v>0</v>
      </c>
      <c s="6" r="AT199">
        <v>0</v>
      </c>
      <c s="6" r="AU199">
        <v>0</v>
      </c>
      <c s="6" r="AV199">
        <v>0</v>
      </c>
      <c s="6" r="AW199">
        <v>0</v>
      </c>
      <c s="6" r="AX199">
        <v>0</v>
      </c>
      <c s="6" r="AY199">
        <v>0</v>
      </c>
      <c s="6" r="AZ199">
        <v>0</v>
      </c>
      <c s="6" r="BA199">
        <v>0</v>
      </c>
      <c s="6" r="BB199">
        <v>0</v>
      </c>
      <c s="6" r="BC199">
        <v>0</v>
      </c>
      <c s="6" r="BD199">
        <v>0</v>
      </c>
      <c s="6" r="BE199">
        <v>0</v>
      </c>
      <c s="6" r="BF199">
        <v>0</v>
      </c>
      <c s="6" r="BG199">
        <v>0</v>
      </c>
      <c s="6" r="BH199">
        <v>0</v>
      </c>
      <c s="6" r="BI199">
        <v>0</v>
      </c>
      <c s="6" r="BJ199">
        <v>0</v>
      </c>
      <c s="6" r="BK199">
        <v>0</v>
      </c>
      <c s="6" r="BL199">
        <v>0</v>
      </c>
      <c s="6" r="BM199">
        <v>0</v>
      </c>
      <c s="6" r="BN199">
        <v>0</v>
      </c>
      <c s="6" r="BO199">
        <v>0</v>
      </c>
      <c s="6" r="BP199">
        <v>0</v>
      </c>
      <c s="6" r="BQ199">
        <v>0</v>
      </c>
      <c t="str" s="6" r="BR199">
        <f>HYPERLINK("http://www.d20pfsrd.com/magic/all-spells/f/feather-fall","Feather Fall")</f>
        <v>Feather Fall</v>
      </c>
      <c s="6" r="BS199">
        <v>198</v>
      </c>
      <c t="s" s="6" r="BT199">
        <v>92</v>
      </c>
      <c t="s" s="6" r="BW199">
        <v>1752</v>
      </c>
      <c t="s" s="6" r="BX199">
        <v>1753</v>
      </c>
      <c s="6" r="BY199">
        <v>1</v>
      </c>
    </row>
    <row customHeight="1" r="200" ht="14.25">
      <c t="s" s="6" r="A200">
        <v>1754</v>
      </c>
      <c t="s" s="6" r="B200">
        <v>115</v>
      </c>
      <c t="s" s="6" r="C200">
        <v>116</v>
      </c>
      <c t="s" s="6" r="D200">
        <v>117</v>
      </c>
      <c t="s" s="6" r="E200">
        <v>1755</v>
      </c>
      <c t="s" s="6" r="F200">
        <v>81</v>
      </c>
      <c t="s" s="6" r="G200">
        <v>1756</v>
      </c>
      <c s="6" r="H200">
        <v>0</v>
      </c>
      <c t="s" s="6" r="I200">
        <v>97</v>
      </c>
      <c t="s" s="6" r="L200">
        <v>1235</v>
      </c>
      <c t="s" s="6" r="M200">
        <v>109</v>
      </c>
      <c s="6" r="N200">
        <v>0</v>
      </c>
      <c s="6" r="O200">
        <v>0</v>
      </c>
      <c t="s" s="6" r="P200">
        <v>474</v>
      </c>
      <c t="s" s="6" r="Q200">
        <v>188</v>
      </c>
      <c t="s" s="6" r="R200">
        <v>1757</v>
      </c>
      <c t="s" s="6" r="S200">
        <v>1758</v>
      </c>
      <c t="s" s="6" r="T200">
        <v>90</v>
      </c>
      <c t="s" s="6" r="U200">
        <v>1759</v>
      </c>
      <c s="6" r="V200">
        <v>1</v>
      </c>
      <c s="6" r="W200">
        <v>1</v>
      </c>
      <c s="6" r="X200">
        <v>1</v>
      </c>
      <c s="6" r="Y200">
        <v>0</v>
      </c>
      <c s="6" r="Z200">
        <v>0</v>
      </c>
      <c s="6" r="AA200">
        <v>5</v>
      </c>
      <c s="6" r="AB200">
        <v>5</v>
      </c>
      <c t="s" s="6" r="AC200">
        <v>92</v>
      </c>
      <c t="s" s="6" r="AD200">
        <v>92</v>
      </c>
      <c t="s" s="6" r="AE200">
        <v>92</v>
      </c>
      <c t="s" s="6" r="AF200">
        <v>92</v>
      </c>
      <c t="s" s="6" r="AG200">
        <v>92</v>
      </c>
      <c t="s" s="6" r="AH200">
        <v>92</v>
      </c>
      <c t="s" s="6" r="AI200">
        <v>92</v>
      </c>
      <c s="6" r="AJ200">
        <v>5</v>
      </c>
      <c t="s" s="6" r="AK200">
        <v>92</v>
      </c>
      <c t="s" s="6" r="AL200">
        <v>92</v>
      </c>
      <c t="s" s="6" r="AM200">
        <v>92</v>
      </c>
      <c t="s" s="6" r="AN200">
        <v>92</v>
      </c>
      <c s="6" r="AP200">
        <v>5</v>
      </c>
      <c t="s" s="6" r="AR200">
        <v>1760</v>
      </c>
      <c s="6" r="AS200">
        <v>0</v>
      </c>
      <c s="6" r="AT200">
        <v>0</v>
      </c>
      <c s="6" r="AU200">
        <v>0</v>
      </c>
      <c s="6" r="AV200">
        <v>0</v>
      </c>
      <c s="6" r="AW200">
        <v>0</v>
      </c>
      <c s="6" r="AX200">
        <v>0</v>
      </c>
      <c s="6" r="AY200">
        <v>0</v>
      </c>
      <c s="6" r="AZ200">
        <v>0</v>
      </c>
      <c s="6" r="BA200">
        <v>0</v>
      </c>
      <c s="6" r="BB200">
        <v>0</v>
      </c>
      <c s="6" r="BC200">
        <v>0</v>
      </c>
      <c s="6" r="BD200">
        <v>0</v>
      </c>
      <c s="6" r="BE200">
        <v>0</v>
      </c>
      <c s="6" r="BF200">
        <v>0</v>
      </c>
      <c s="6" r="BG200">
        <v>0</v>
      </c>
      <c s="6" r="BH200">
        <v>0</v>
      </c>
      <c s="6" r="BI200">
        <v>0</v>
      </c>
      <c s="6" r="BJ200">
        <v>0</v>
      </c>
      <c s="6" r="BK200">
        <v>0</v>
      </c>
      <c s="6" r="BL200">
        <v>1</v>
      </c>
      <c s="6" r="BM200">
        <v>0</v>
      </c>
      <c s="6" r="BN200">
        <v>0</v>
      </c>
      <c s="6" r="BO200">
        <v>0</v>
      </c>
      <c s="6" r="BP200">
        <v>0</v>
      </c>
      <c s="6" r="BQ200">
        <v>0</v>
      </c>
      <c t="str" s="6" r="BR200">
        <f>HYPERLINK("http://www.d20pfsrd.com/magic/all-spells/f/feeblemind","Feeblemind")</f>
        <v>Feeblemind</v>
      </c>
      <c s="6" r="BS200">
        <v>199</v>
      </c>
      <c t="s" s="6" r="BT200">
        <v>92</v>
      </c>
      <c t="s" s="6" r="BU200">
        <v>1761</v>
      </c>
      <c s="6" r="BY200">
        <v>0</v>
      </c>
    </row>
    <row customHeight="1" r="201" ht="14.25">
      <c t="s" s="6" r="A201">
        <v>1762</v>
      </c>
      <c t="s" s="6" r="B201">
        <v>174</v>
      </c>
      <c t="s" s="6" r="E201">
        <v>1763</v>
      </c>
      <c t="s" s="6" r="F201">
        <v>1764</v>
      </c>
      <c t="s" s="6" r="G201">
        <v>1765</v>
      </c>
      <c s="6" r="H201">
        <v>0</v>
      </c>
      <c t="s" s="6" r="I201">
        <v>1766</v>
      </c>
      <c t="s" s="6" r="L201">
        <v>1767</v>
      </c>
      <c t="s" s="6" r="M201">
        <v>134</v>
      </c>
      <c s="6" r="N201">
        <v>0</v>
      </c>
      <c s="6" r="O201">
        <v>0</v>
      </c>
      <c t="s" s="6" r="P201">
        <v>1768</v>
      </c>
      <c t="s" s="6" r="Q201">
        <v>1769</v>
      </c>
      <c t="s" s="6" r="R201">
        <v>1770</v>
      </c>
      <c t="s" s="6" r="S201">
        <v>1771</v>
      </c>
      <c t="s" s="6" r="T201">
        <v>90</v>
      </c>
      <c t="s" s="6" r="U201">
        <v>1772</v>
      </c>
      <c s="6" r="V201">
        <v>1</v>
      </c>
      <c s="6" r="W201">
        <v>1</v>
      </c>
      <c s="6" r="X201">
        <v>0</v>
      </c>
      <c s="6" r="Y201">
        <v>1</v>
      </c>
      <c s="6" r="Z201">
        <v>0</v>
      </c>
      <c t="s" s="6" r="AA201">
        <v>92</v>
      </c>
      <c t="s" s="6" r="AB201">
        <v>92</v>
      </c>
      <c s="6" r="AC201">
        <v>6</v>
      </c>
      <c s="6" r="AD201">
        <v>6</v>
      </c>
      <c t="s" s="6" r="AE201">
        <v>92</v>
      </c>
      <c s="6" r="AF201">
        <v>6</v>
      </c>
      <c t="s" s="6" r="AG201">
        <v>92</v>
      </c>
      <c t="s" s="6" r="AH201">
        <v>92</v>
      </c>
      <c t="s" s="6" r="AI201">
        <v>92</v>
      </c>
      <c s="6" r="AJ201">
        <v>6</v>
      </c>
      <c s="6" r="AK201">
        <v>6</v>
      </c>
      <c s="6" r="AL201">
        <v>6</v>
      </c>
      <c t="s" s="6" r="AM201">
        <v>92</v>
      </c>
      <c t="s" s="6" r="AN201">
        <v>92</v>
      </c>
      <c s="6" r="AP201">
        <v>6</v>
      </c>
      <c t="s" s="6" r="AQ201">
        <v>1773</v>
      </c>
      <c t="s" s="6" r="AR201">
        <v>1774</v>
      </c>
      <c s="6" r="AS201">
        <v>0</v>
      </c>
      <c s="6" r="AT201">
        <v>0</v>
      </c>
      <c s="6" r="AU201">
        <v>0</v>
      </c>
      <c s="6" r="AV201">
        <v>0</v>
      </c>
      <c s="6" r="AW201">
        <v>0</v>
      </c>
      <c s="6" r="AX201">
        <v>0</v>
      </c>
      <c s="6" r="AY201">
        <v>0</v>
      </c>
      <c s="6" r="AZ201">
        <v>0</v>
      </c>
      <c s="6" r="BA201">
        <v>0</v>
      </c>
      <c s="6" r="BB201">
        <v>0</v>
      </c>
      <c s="6" r="BC201">
        <v>0</v>
      </c>
      <c s="6" r="BD201">
        <v>0</v>
      </c>
      <c s="6" r="BE201">
        <v>0</v>
      </c>
      <c s="6" r="BF201">
        <v>0</v>
      </c>
      <c s="6" r="BG201">
        <v>0</v>
      </c>
      <c s="6" r="BH201">
        <v>0</v>
      </c>
      <c s="6" r="BI201">
        <v>0</v>
      </c>
      <c s="6" r="BJ201">
        <v>0</v>
      </c>
      <c s="6" r="BK201">
        <v>0</v>
      </c>
      <c s="6" r="BL201">
        <v>0</v>
      </c>
      <c s="6" r="BM201">
        <v>0</v>
      </c>
      <c s="6" r="BN201">
        <v>0</v>
      </c>
      <c s="6" r="BO201">
        <v>0</v>
      </c>
      <c s="6" r="BP201">
        <v>0</v>
      </c>
      <c s="6" r="BQ201">
        <v>0</v>
      </c>
      <c t="str" s="6" r="BR201">
        <f>HYPERLINK("http://www.d20pfsrd.com/magic/all-spells/f/find-the-path","Find the Path")</f>
        <v>Find the Path</v>
      </c>
      <c s="6" r="BS201">
        <v>200</v>
      </c>
      <c t="s" s="6" r="BT201">
        <v>92</v>
      </c>
      <c s="6" r="BY201">
        <v>0</v>
      </c>
    </row>
    <row customHeight="1" r="202" ht="14.25">
      <c t="s" s="6" r="A202">
        <v>1775</v>
      </c>
      <c t="s" s="6" r="B202">
        <v>174</v>
      </c>
      <c t="s" s="6" r="E202">
        <v>1776</v>
      </c>
      <c t="s" s="6" r="F202">
        <v>81</v>
      </c>
      <c t="s" s="6" r="G202">
        <v>106</v>
      </c>
      <c s="6" r="H202">
        <v>0</v>
      </c>
      <c t="s" s="6" r="I202">
        <v>155</v>
      </c>
      <c t="s" s="6" r="L202">
        <v>156</v>
      </c>
      <c t="s" s="6" r="M202">
        <v>122</v>
      </c>
      <c s="6" r="N202">
        <v>0</v>
      </c>
      <c s="6" r="O202">
        <v>0</v>
      </c>
      <c t="s" s="6" r="R202">
        <v>1777</v>
      </c>
      <c t="s" s="6" r="S202">
        <v>1778</v>
      </c>
      <c t="s" s="6" r="T202">
        <v>90</v>
      </c>
      <c t="s" s="6" r="U202">
        <v>1779</v>
      </c>
      <c s="6" r="V202">
        <v>1</v>
      </c>
      <c s="6" r="W202">
        <v>1</v>
      </c>
      <c s="6" r="X202">
        <v>0</v>
      </c>
      <c s="6" r="Y202">
        <v>0</v>
      </c>
      <c s="6" r="Z202">
        <v>0</v>
      </c>
      <c t="s" s="6" r="AA202">
        <v>92</v>
      </c>
      <c t="s" s="6" r="AB202">
        <v>92</v>
      </c>
      <c s="6" r="AC202">
        <v>2</v>
      </c>
      <c t="s" s="6" r="AD202">
        <v>92</v>
      </c>
      <c t="s" s="6" r="AE202">
        <v>92</v>
      </c>
      <c t="s" s="6" r="AF202">
        <v>92</v>
      </c>
      <c t="s" s="6" r="AG202">
        <v>92</v>
      </c>
      <c t="s" s="6" r="AH202">
        <v>92</v>
      </c>
      <c t="s" s="6" r="AI202">
        <v>92</v>
      </c>
      <c s="6" r="AJ202">
        <v>2</v>
      </c>
      <c s="6" r="AK202">
        <v>2</v>
      </c>
      <c s="6" r="AL202">
        <v>2</v>
      </c>
      <c t="s" s="6" r="AM202">
        <v>92</v>
      </c>
      <c t="s" s="6" r="AN202">
        <v>92</v>
      </c>
      <c s="6" r="AP202">
        <v>2</v>
      </c>
      <c t="s" s="6" r="AR202">
        <v>1780</v>
      </c>
      <c s="6" r="AS202">
        <v>0</v>
      </c>
      <c s="6" r="AT202">
        <v>0</v>
      </c>
      <c s="6" r="AU202">
        <v>0</v>
      </c>
      <c s="6" r="AV202">
        <v>0</v>
      </c>
      <c s="6" r="AW202">
        <v>0</v>
      </c>
      <c s="6" r="AX202">
        <v>0</v>
      </c>
      <c s="6" r="AY202">
        <v>0</v>
      </c>
      <c s="6" r="AZ202">
        <v>0</v>
      </c>
      <c s="6" r="BA202">
        <v>0</v>
      </c>
      <c s="6" r="BB202">
        <v>0</v>
      </c>
      <c s="6" r="BC202">
        <v>0</v>
      </c>
      <c s="6" r="BD202">
        <v>0</v>
      </c>
      <c s="6" r="BE202">
        <v>0</v>
      </c>
      <c s="6" r="BF202">
        <v>0</v>
      </c>
      <c s="6" r="BG202">
        <v>0</v>
      </c>
      <c s="6" r="BH202">
        <v>0</v>
      </c>
      <c s="6" r="BI202">
        <v>0</v>
      </c>
      <c s="6" r="BJ202">
        <v>0</v>
      </c>
      <c s="6" r="BK202">
        <v>0</v>
      </c>
      <c s="6" r="BL202">
        <v>0</v>
      </c>
      <c s="6" r="BM202">
        <v>0</v>
      </c>
      <c s="6" r="BN202">
        <v>0</v>
      </c>
      <c s="6" r="BO202">
        <v>0</v>
      </c>
      <c s="6" r="BP202">
        <v>0</v>
      </c>
      <c s="6" r="BQ202">
        <v>0</v>
      </c>
      <c t="str" s="6" r="BR202">
        <f>HYPERLINK("http://www.d20pfsrd.com/magic/all-spells/f/find-traps","Find Traps")</f>
        <v>Find Traps</v>
      </c>
      <c s="6" r="BS202">
        <v>201</v>
      </c>
      <c t="s" s="6" r="BT202">
        <v>92</v>
      </c>
      <c s="6" r="BY202">
        <v>0</v>
      </c>
    </row>
    <row customHeight="1" r="203" ht="14.25">
      <c t="s" s="6" r="A203">
        <v>1781</v>
      </c>
      <c t="s" s="6" r="B203">
        <v>227</v>
      </c>
      <c t="s" s="6" r="D203">
        <v>50</v>
      </c>
      <c t="s" s="6" r="E203">
        <v>1782</v>
      </c>
      <c t="s" s="6" r="F203">
        <v>81</v>
      </c>
      <c t="s" s="6" r="G203">
        <v>106</v>
      </c>
      <c s="6" r="H203">
        <v>0</v>
      </c>
      <c t="s" s="6" r="I203">
        <v>107</v>
      </c>
      <c t="s" s="6" r="L203">
        <v>1235</v>
      </c>
      <c t="s" s="6" r="M203">
        <v>109</v>
      </c>
      <c s="6" r="N203">
        <v>0</v>
      </c>
      <c s="6" r="O203">
        <v>0</v>
      </c>
      <c t="s" s="6" r="P203">
        <v>1254</v>
      </c>
      <c t="s" s="6" r="Q203">
        <v>188</v>
      </c>
      <c t="s" s="6" r="R203">
        <v>1783</v>
      </c>
      <c t="s" s="6" r="S203">
        <v>1784</v>
      </c>
      <c t="s" s="6" r="T203">
        <v>90</v>
      </c>
      <c t="s" s="6" r="U203">
        <v>1785</v>
      </c>
      <c s="6" r="V203">
        <v>1</v>
      </c>
      <c s="6" r="W203">
        <v>1</v>
      </c>
      <c s="6" r="X203">
        <v>0</v>
      </c>
      <c s="6" r="Y203">
        <v>0</v>
      </c>
      <c s="6" r="Z203">
        <v>0</v>
      </c>
      <c s="6" r="AA203">
        <v>7</v>
      </c>
      <c s="6" r="AB203">
        <v>7</v>
      </c>
      <c t="s" s="6" r="AC203">
        <v>92</v>
      </c>
      <c s="6" r="AD203">
        <v>8</v>
      </c>
      <c t="s" s="6" r="AE203">
        <v>92</v>
      </c>
      <c t="s" s="6" r="AF203">
        <v>92</v>
      </c>
      <c t="s" s="6" r="AG203">
        <v>92</v>
      </c>
      <c t="s" s="6" r="AH203">
        <v>92</v>
      </c>
      <c t="s" s="6" r="AI203">
        <v>92</v>
      </c>
      <c t="s" s="6" r="AJ203">
        <v>92</v>
      </c>
      <c t="s" s="6" r="AK203">
        <v>92</v>
      </c>
      <c t="s" s="6" r="AL203">
        <v>92</v>
      </c>
      <c t="s" s="6" r="AM203">
        <v>92</v>
      </c>
      <c t="s" s="6" r="AN203">
        <v>92</v>
      </c>
      <c s="6" r="AP203">
        <v>7</v>
      </c>
      <c t="s" s="6" r="AR203">
        <v>1786</v>
      </c>
      <c s="6" r="AS203">
        <v>0</v>
      </c>
      <c s="6" r="AT203">
        <v>0</v>
      </c>
      <c s="6" r="AU203">
        <v>0</v>
      </c>
      <c s="6" r="AV203">
        <v>0</v>
      </c>
      <c s="6" r="AW203">
        <v>0</v>
      </c>
      <c s="6" r="AX203">
        <v>1</v>
      </c>
      <c s="6" r="AY203">
        <v>0</v>
      </c>
      <c s="6" r="AZ203">
        <v>0</v>
      </c>
      <c s="6" r="BA203">
        <v>0</v>
      </c>
      <c s="6" r="BB203">
        <v>0</v>
      </c>
      <c s="6" r="BC203">
        <v>0</v>
      </c>
      <c s="6" r="BD203">
        <v>0</v>
      </c>
      <c s="6" r="BE203">
        <v>0</v>
      </c>
      <c s="6" r="BF203">
        <v>0</v>
      </c>
      <c s="6" r="BG203">
        <v>0</v>
      </c>
      <c s="6" r="BH203">
        <v>0</v>
      </c>
      <c s="6" r="BI203">
        <v>0</v>
      </c>
      <c s="6" r="BJ203">
        <v>0</v>
      </c>
      <c s="6" r="BK203">
        <v>0</v>
      </c>
      <c s="6" r="BL203">
        <v>0</v>
      </c>
      <c s="6" r="BM203">
        <v>0</v>
      </c>
      <c s="6" r="BN203">
        <v>0</v>
      </c>
      <c s="6" r="BO203">
        <v>0</v>
      </c>
      <c s="6" r="BP203">
        <v>0</v>
      </c>
      <c s="6" r="BQ203">
        <v>0</v>
      </c>
      <c t="str" s="6" r="BR203">
        <f>HYPERLINK("http://www.d20pfsrd.com/magic/all-spells/f/finger-of-death","Finger of Death")</f>
        <v>Finger of Death</v>
      </c>
      <c s="6" r="BS203">
        <v>202</v>
      </c>
      <c t="s" s="6" r="BT203">
        <v>92</v>
      </c>
      <c t="s" s="6" r="BU203">
        <v>236</v>
      </c>
      <c t="s" s="6" r="BV203">
        <v>783</v>
      </c>
      <c t="s" s="6" r="BW203">
        <v>1787</v>
      </c>
      <c s="6" r="BY203">
        <v>1</v>
      </c>
    </row>
    <row customHeight="1" r="204" ht="14.25">
      <c t="s" s="6" r="A204">
        <v>1788</v>
      </c>
      <c t="s" s="6" r="B204">
        <v>493</v>
      </c>
      <c t="s" s="6" r="D204">
        <v>1789</v>
      </c>
      <c t="s" s="6" r="E204">
        <v>1790</v>
      </c>
      <c t="s" s="6" r="F204">
        <v>81</v>
      </c>
      <c t="s" s="6" r="G204">
        <v>1791</v>
      </c>
      <c s="6" r="H204">
        <v>0</v>
      </c>
      <c t="s" s="6" r="I204">
        <v>155</v>
      </c>
      <c t="s" s="6" r="L204">
        <v>156</v>
      </c>
      <c t="s" s="6" r="M204">
        <v>483</v>
      </c>
      <c s="6" r="N204">
        <v>1</v>
      </c>
      <c s="6" r="O204">
        <v>0</v>
      </c>
      <c t="s" s="6" r="R204">
        <v>1792</v>
      </c>
      <c t="s" s="6" r="S204">
        <v>1793</v>
      </c>
      <c t="s" s="6" r="T204">
        <v>90</v>
      </c>
      <c t="s" s="6" r="U204">
        <v>1794</v>
      </c>
      <c s="6" r="V204">
        <v>1</v>
      </c>
      <c s="6" r="W204">
        <v>1</v>
      </c>
      <c s="6" r="X204">
        <v>1</v>
      </c>
      <c s="6" r="Y204">
        <v>0</v>
      </c>
      <c s="6" r="Z204">
        <v>0</v>
      </c>
      <c s="6" r="AA204">
        <v>4</v>
      </c>
      <c s="6" r="AB204">
        <v>4</v>
      </c>
      <c t="s" s="6" r="AC204">
        <v>92</v>
      </c>
      <c t="s" s="6" r="AD204">
        <v>92</v>
      </c>
      <c t="s" s="6" r="AE204">
        <v>92</v>
      </c>
      <c t="s" s="6" r="AF204">
        <v>92</v>
      </c>
      <c t="s" s="6" r="AG204">
        <v>92</v>
      </c>
      <c s="6" r="AH204">
        <v>4</v>
      </c>
      <c s="6" r="AI204">
        <v>3</v>
      </c>
      <c t="s" s="6" r="AJ204">
        <v>92</v>
      </c>
      <c t="s" s="6" r="AK204">
        <v>92</v>
      </c>
      <c t="s" s="6" r="AL204">
        <v>92</v>
      </c>
      <c t="s" s="6" r="AM204">
        <v>92</v>
      </c>
      <c s="6" r="AN204">
        <v>4</v>
      </c>
      <c s="6" r="AP204">
        <v>4</v>
      </c>
      <c t="s" s="6" r="AQ204">
        <v>1795</v>
      </c>
      <c t="s" s="6" r="AR204">
        <v>1796</v>
      </c>
      <c s="6" r="AS204">
        <v>0</v>
      </c>
      <c s="6" r="AT204">
        <v>0</v>
      </c>
      <c s="6" r="AU204">
        <v>0</v>
      </c>
      <c s="6" r="AV204">
        <v>1</v>
      </c>
      <c s="6" r="AW204">
        <v>0</v>
      </c>
      <c s="6" r="AX204">
        <v>0</v>
      </c>
      <c s="6" r="AY204">
        <v>0</v>
      </c>
      <c s="6" r="AZ204">
        <v>0</v>
      </c>
      <c s="6" r="BA204">
        <v>0</v>
      </c>
      <c s="6" r="BB204">
        <v>0</v>
      </c>
      <c s="6" r="BC204">
        <v>0</v>
      </c>
      <c s="6" r="BD204">
        <v>0</v>
      </c>
      <c s="6" r="BE204">
        <v>0</v>
      </c>
      <c s="6" r="BF204">
        <v>1</v>
      </c>
      <c s="6" r="BG204">
        <v>0</v>
      </c>
      <c s="6" r="BH204">
        <v>0</v>
      </c>
      <c s="6" r="BI204">
        <v>0</v>
      </c>
      <c s="6" r="BJ204">
        <v>0</v>
      </c>
      <c s="6" r="BK204">
        <v>0</v>
      </c>
      <c s="6" r="BL204">
        <v>0</v>
      </c>
      <c s="6" r="BM204">
        <v>0</v>
      </c>
      <c s="6" r="BN204">
        <v>0</v>
      </c>
      <c s="6" r="BO204">
        <v>0</v>
      </c>
      <c s="6" r="BP204">
        <v>0</v>
      </c>
      <c s="6" r="BQ204">
        <v>0</v>
      </c>
      <c t="str" s="6" r="BR204">
        <f>HYPERLINK("http://www.d20pfsrd.com/magic/all-spells/f/fire-shield","Fire Shield")</f>
        <v>Fire Shield</v>
      </c>
      <c s="6" r="BS204">
        <v>203</v>
      </c>
      <c t="s" s="6" r="BT204">
        <v>92</v>
      </c>
      <c t="s" s="6" r="BW204">
        <v>1797</v>
      </c>
      <c s="6" r="BY204">
        <v>1</v>
      </c>
    </row>
    <row customHeight="1" r="205" ht="14.25">
      <c t="s" s="6" r="A205">
        <v>1798</v>
      </c>
      <c t="s" s="6" r="B205">
        <v>78</v>
      </c>
      <c t="s" s="6" r="C205">
        <v>79</v>
      </c>
      <c t="s" s="6" r="D205">
        <v>57</v>
      </c>
      <c t="s" s="6" r="E205">
        <v>1799</v>
      </c>
      <c t="s" s="6" r="F205">
        <v>81</v>
      </c>
      <c t="s" s="6" r="G205">
        <v>1800</v>
      </c>
      <c s="6" r="H205">
        <v>0</v>
      </c>
      <c t="s" s="6" r="I205">
        <v>120</v>
      </c>
      <c t="s" s="6" r="L205">
        <v>1801</v>
      </c>
      <c t="s" s="6" r="M205">
        <v>1802</v>
      </c>
      <c s="6" r="N205">
        <v>0</v>
      </c>
      <c s="6" r="O205">
        <v>0</v>
      </c>
      <c t="s" s="6" r="P205">
        <v>1803</v>
      </c>
      <c t="s" s="6" r="Q205">
        <v>87</v>
      </c>
      <c t="s" s="6" r="R205">
        <v>1804</v>
      </c>
      <c t="s" s="6" r="S205">
        <v>1805</v>
      </c>
      <c t="s" s="6" r="T205">
        <v>90</v>
      </c>
      <c t="s" s="6" r="U205">
        <v>1806</v>
      </c>
      <c s="6" r="V205">
        <v>1</v>
      </c>
      <c s="6" r="W205">
        <v>1</v>
      </c>
      <c s="6" r="X205">
        <v>1</v>
      </c>
      <c s="6" r="Y205">
        <v>0</v>
      </c>
      <c s="6" r="Z205">
        <v>0</v>
      </c>
      <c t="s" s="6" r="AA205">
        <v>92</v>
      </c>
      <c t="s" s="6" r="AB205">
        <v>92</v>
      </c>
      <c t="s" s="6" r="AC205">
        <v>92</v>
      </c>
      <c s="6" r="AD205">
        <v>6</v>
      </c>
      <c t="s" s="6" r="AE205">
        <v>92</v>
      </c>
      <c t="s" s="6" r="AF205">
        <v>92</v>
      </c>
      <c t="s" s="6" r="AG205">
        <v>92</v>
      </c>
      <c t="s" s="6" r="AH205">
        <v>92</v>
      </c>
      <c t="s" s="6" r="AI205">
        <v>92</v>
      </c>
      <c t="s" s="6" r="AJ205">
        <v>92</v>
      </c>
      <c t="s" s="6" r="AK205">
        <v>92</v>
      </c>
      <c t="s" s="6" r="AL205">
        <v>92</v>
      </c>
      <c t="s" s="6" r="AM205">
        <v>92</v>
      </c>
      <c t="s" s="6" r="AN205">
        <v>92</v>
      </c>
      <c s="6" r="AP205">
        <v>6</v>
      </c>
      <c t="s" s="6" r="AQ205">
        <v>1795</v>
      </c>
      <c t="s" s="6" r="AR205">
        <v>1807</v>
      </c>
      <c s="6" r="AS205">
        <v>0</v>
      </c>
      <c s="6" r="AT205">
        <v>0</v>
      </c>
      <c s="6" r="AU205">
        <v>0</v>
      </c>
      <c s="6" r="AV205">
        <v>0</v>
      </c>
      <c s="6" r="AW205">
        <v>0</v>
      </c>
      <c s="6" r="AX205">
        <v>0</v>
      </c>
      <c s="6" r="AY205">
        <v>0</v>
      </c>
      <c s="6" r="AZ205">
        <v>0</v>
      </c>
      <c s="6" r="BA205">
        <v>0</v>
      </c>
      <c s="6" r="BB205">
        <v>0</v>
      </c>
      <c s="6" r="BC205">
        <v>0</v>
      </c>
      <c s="6" r="BD205">
        <v>0</v>
      </c>
      <c s="6" r="BE205">
        <v>0</v>
      </c>
      <c s="6" r="BF205">
        <v>1</v>
      </c>
      <c s="6" r="BG205">
        <v>0</v>
      </c>
      <c s="6" r="BH205">
        <v>0</v>
      </c>
      <c s="6" r="BI205">
        <v>0</v>
      </c>
      <c s="6" r="BJ205">
        <v>0</v>
      </c>
      <c s="6" r="BK205">
        <v>0</v>
      </c>
      <c s="6" r="BL205">
        <v>0</v>
      </c>
      <c s="6" r="BM205">
        <v>0</v>
      </c>
      <c s="6" r="BN205">
        <v>0</v>
      </c>
      <c s="6" r="BO205">
        <v>0</v>
      </c>
      <c s="6" r="BP205">
        <v>0</v>
      </c>
      <c s="6" r="BQ205">
        <v>0</v>
      </c>
      <c t="str" s="6" r="BR205">
        <f>HYPERLINK("http://www.d20pfsrd.com/magic/all-spells/f/fire-seeds","Fire Seeds")</f>
        <v>Fire Seeds</v>
      </c>
      <c s="6" r="BS205">
        <v>204</v>
      </c>
      <c t="s" s="6" r="BT205">
        <v>92</v>
      </c>
      <c t="s" s="6" r="BW205">
        <v>1808</v>
      </c>
      <c s="6" r="BY205">
        <v>1</v>
      </c>
    </row>
    <row customHeight="1" r="206" ht="14.25">
      <c t="s" s="6" r="A206">
        <v>1809</v>
      </c>
      <c t="s" s="6" r="B206">
        <v>493</v>
      </c>
      <c t="s" s="6" r="D206">
        <v>57</v>
      </c>
      <c t="s" s="6" r="E206">
        <v>1810</v>
      </c>
      <c t="s" s="6" r="F206">
        <v>81</v>
      </c>
      <c t="s" s="6" r="G206">
        <v>106</v>
      </c>
      <c s="6" r="H206">
        <v>0</v>
      </c>
      <c t="s" s="6" r="I206">
        <v>97</v>
      </c>
      <c t="s" s="6" r="J206">
        <v>1811</v>
      </c>
      <c t="s" s="6" r="M206">
        <v>109</v>
      </c>
      <c s="6" r="N206">
        <v>0</v>
      </c>
      <c s="6" r="O206">
        <v>1</v>
      </c>
      <c t="s" s="6" r="P206">
        <v>631</v>
      </c>
      <c t="s" s="6" r="Q206">
        <v>188</v>
      </c>
      <c t="s" s="6" r="R206">
        <v>1812</v>
      </c>
      <c t="s" s="6" r="S206">
        <v>1813</v>
      </c>
      <c t="s" s="6" r="T206">
        <v>90</v>
      </c>
      <c t="s" s="6" r="U206">
        <v>1814</v>
      </c>
      <c s="6" r="V206">
        <v>1</v>
      </c>
      <c s="6" r="W206">
        <v>1</v>
      </c>
      <c s="6" r="X206">
        <v>0</v>
      </c>
      <c s="6" r="Y206">
        <v>0</v>
      </c>
      <c s="6" r="Z206">
        <v>0</v>
      </c>
      <c t="s" s="6" r="AA206">
        <v>92</v>
      </c>
      <c t="s" s="6" r="AB206">
        <v>92</v>
      </c>
      <c s="6" r="AC206">
        <v>8</v>
      </c>
      <c s="6" r="AD206">
        <v>7</v>
      </c>
      <c t="s" s="6" r="AE206">
        <v>92</v>
      </c>
      <c t="s" s="6" r="AF206">
        <v>92</v>
      </c>
      <c t="s" s="6" r="AG206">
        <v>92</v>
      </c>
      <c t="s" s="6" r="AH206">
        <v>92</v>
      </c>
      <c t="s" s="6" r="AI206">
        <v>92</v>
      </c>
      <c t="s" s="6" r="AJ206">
        <v>92</v>
      </c>
      <c t="s" s="6" r="AK206">
        <v>92</v>
      </c>
      <c s="6" r="AL206">
        <v>8</v>
      </c>
      <c t="s" s="6" r="AM206">
        <v>92</v>
      </c>
      <c t="s" s="6" r="AN206">
        <v>92</v>
      </c>
      <c s="6" r="AP206">
        <v>8</v>
      </c>
      <c t="s" s="6" r="AR206">
        <v>1815</v>
      </c>
      <c s="6" r="AS206">
        <v>0</v>
      </c>
      <c s="6" r="AT206">
        <v>0</v>
      </c>
      <c s="6" r="AU206">
        <v>0</v>
      </c>
      <c s="6" r="AV206">
        <v>0</v>
      </c>
      <c s="6" r="AW206">
        <v>0</v>
      </c>
      <c s="6" r="AX206">
        <v>0</v>
      </c>
      <c s="6" r="AY206">
        <v>0</v>
      </c>
      <c s="6" r="AZ206">
        <v>0</v>
      </c>
      <c s="6" r="BA206">
        <v>0</v>
      </c>
      <c s="6" r="BB206">
        <v>0</v>
      </c>
      <c s="6" r="BC206">
        <v>0</v>
      </c>
      <c s="6" r="BD206">
        <v>0</v>
      </c>
      <c s="6" r="BE206">
        <v>0</v>
      </c>
      <c s="6" r="BF206">
        <v>1</v>
      </c>
      <c s="6" r="BG206">
        <v>0</v>
      </c>
      <c s="6" r="BH206">
        <v>0</v>
      </c>
      <c s="6" r="BI206">
        <v>0</v>
      </c>
      <c s="6" r="BJ206">
        <v>0</v>
      </c>
      <c s="6" r="BK206">
        <v>0</v>
      </c>
      <c s="6" r="BL206">
        <v>0</v>
      </c>
      <c s="6" r="BM206">
        <v>0</v>
      </c>
      <c s="6" r="BN206">
        <v>0</v>
      </c>
      <c s="6" r="BO206">
        <v>0</v>
      </c>
      <c s="6" r="BP206">
        <v>0</v>
      </c>
      <c s="6" r="BQ206">
        <v>0</v>
      </c>
      <c t="str" s="6" r="BR206">
        <f>HYPERLINK("http://www.d20pfsrd.com/magic/all-spells/f/fire-storm","Fire Storm")</f>
        <v>Fire Storm</v>
      </c>
      <c s="6" r="BS206">
        <v>205</v>
      </c>
      <c t="s" s="6" r="BT206">
        <v>92</v>
      </c>
      <c t="s" s="6" r="BV206">
        <v>1816</v>
      </c>
      <c t="s" s="6" r="BW206">
        <v>1817</v>
      </c>
      <c t="s" s="6" r="BX206">
        <v>1818</v>
      </c>
      <c s="6" r="BY206">
        <v>1</v>
      </c>
    </row>
    <row customHeight="1" r="207" ht="14.25">
      <c t="s" s="6" r="A207">
        <v>1819</v>
      </c>
      <c t="s" s="6" r="B207">
        <v>162</v>
      </c>
      <c t="s" s="6" r="D207">
        <v>57</v>
      </c>
      <c t="s" s="6" r="E207">
        <v>1820</v>
      </c>
      <c t="s" s="6" r="F207">
        <v>311</v>
      </c>
      <c t="s" s="6" r="G207">
        <v>321</v>
      </c>
      <c s="6" r="H207">
        <v>1</v>
      </c>
      <c t="s" s="6" r="I207">
        <v>120</v>
      </c>
      <c t="s" s="6" r="L207">
        <v>1137</v>
      </c>
      <c t="s" s="6" r="M207">
        <v>1821</v>
      </c>
      <c s="6" r="N207">
        <v>1</v>
      </c>
      <c s="6" r="O207">
        <v>0</v>
      </c>
      <c t="s" s="6" r="P207">
        <v>1822</v>
      </c>
      <c t="s" s="6" r="Q207">
        <v>188</v>
      </c>
      <c t="s" s="6" r="R207">
        <v>1823</v>
      </c>
      <c t="s" s="6" r="S207">
        <v>1824</v>
      </c>
      <c t="s" s="6" r="T207">
        <v>90</v>
      </c>
      <c t="s" s="6" r="U207">
        <v>1825</v>
      </c>
      <c s="6" r="V207">
        <v>1</v>
      </c>
      <c s="6" r="W207">
        <v>1</v>
      </c>
      <c s="6" r="X207">
        <v>1</v>
      </c>
      <c s="6" r="Y207">
        <v>0</v>
      </c>
      <c s="6" r="Z207">
        <v>0</v>
      </c>
      <c s="6" r="AA207">
        <v>4</v>
      </c>
      <c s="6" r="AB207">
        <v>4</v>
      </c>
      <c t="s" s="6" r="AC207">
        <v>92</v>
      </c>
      <c s="6" r="AD207">
        <v>2</v>
      </c>
      <c t="s" s="6" r="AE207">
        <v>92</v>
      </c>
      <c t="s" s="6" r="AF207">
        <v>92</v>
      </c>
      <c t="s" s="6" r="AG207">
        <v>92</v>
      </c>
      <c t="s" s="6" r="AH207">
        <v>92</v>
      </c>
      <c t="s" s="6" r="AI207">
        <v>92</v>
      </c>
      <c t="s" s="6" r="AJ207">
        <v>92</v>
      </c>
      <c t="s" s="6" r="AK207">
        <v>92</v>
      </c>
      <c t="s" s="6" r="AL207">
        <v>92</v>
      </c>
      <c t="s" s="6" r="AM207">
        <v>92</v>
      </c>
      <c t="s" s="6" r="AN207">
        <v>92</v>
      </c>
      <c s="6" r="AP207">
        <v>4</v>
      </c>
      <c t="s" s="6" r="AR207">
        <v>1826</v>
      </c>
      <c s="6" r="AS207">
        <v>0</v>
      </c>
      <c s="6" r="AT207">
        <v>0</v>
      </c>
      <c s="6" r="AU207">
        <v>0</v>
      </c>
      <c s="6" r="AV207">
        <v>0</v>
      </c>
      <c s="6" r="AW207">
        <v>0</v>
      </c>
      <c s="6" r="AX207">
        <v>0</v>
      </c>
      <c s="6" r="AY207">
        <v>0</v>
      </c>
      <c s="6" r="AZ207">
        <v>0</v>
      </c>
      <c s="6" r="BA207">
        <v>0</v>
      </c>
      <c s="6" r="BB207">
        <v>0</v>
      </c>
      <c s="6" r="BC207">
        <v>0</v>
      </c>
      <c s="6" r="BD207">
        <v>0</v>
      </c>
      <c s="6" r="BE207">
        <v>0</v>
      </c>
      <c s="6" r="BF207">
        <v>1</v>
      </c>
      <c s="6" r="BG207">
        <v>0</v>
      </c>
      <c s="6" r="BH207">
        <v>0</v>
      </c>
      <c s="6" r="BI207">
        <v>0</v>
      </c>
      <c s="6" r="BJ207">
        <v>0</v>
      </c>
      <c s="6" r="BK207">
        <v>0</v>
      </c>
      <c s="6" r="BL207">
        <v>0</v>
      </c>
      <c s="6" r="BM207">
        <v>0</v>
      </c>
      <c s="6" r="BN207">
        <v>0</v>
      </c>
      <c s="6" r="BO207">
        <v>0</v>
      </c>
      <c s="6" r="BP207">
        <v>0</v>
      </c>
      <c s="6" r="BQ207">
        <v>0</v>
      </c>
      <c t="str" s="6" r="BR207">
        <f>HYPERLINK("http://www.d20pfsrd.com/magic/all-spells/f/fire-trap","Fire Trap")</f>
        <v>Fire Trap</v>
      </c>
      <c s="6" r="BS207">
        <v>206</v>
      </c>
      <c s="6" r="BT207">
        <v>25</v>
      </c>
      <c s="6" r="BY207">
        <v>0</v>
      </c>
    </row>
    <row customHeight="1" r="208" ht="14.25">
      <c t="s" s="6" r="A208">
        <v>1827</v>
      </c>
      <c t="s" s="6" r="B208">
        <v>493</v>
      </c>
      <c t="s" s="6" r="D208">
        <v>57</v>
      </c>
      <c t="s" s="6" r="E208">
        <v>1828</v>
      </c>
      <c t="s" s="6" r="F208">
        <v>81</v>
      </c>
      <c t="s" s="6" r="G208">
        <v>1218</v>
      </c>
      <c s="6" r="H208">
        <v>0</v>
      </c>
      <c t="s" s="6" r="I208">
        <v>83</v>
      </c>
      <c t="s" s="6" r="J208">
        <v>482</v>
      </c>
      <c t="s" s="6" r="M208">
        <v>109</v>
      </c>
      <c s="6" r="N208">
        <v>0</v>
      </c>
      <c s="6" r="O208">
        <v>0</v>
      </c>
      <c t="s" s="6" r="P208">
        <v>631</v>
      </c>
      <c t="s" s="6" r="Q208">
        <v>188</v>
      </c>
      <c t="s" s="6" r="R208">
        <v>1829</v>
      </c>
      <c t="s" s="6" r="S208">
        <v>1830</v>
      </c>
      <c t="s" s="6" r="T208">
        <v>90</v>
      </c>
      <c t="s" s="6" r="U208">
        <v>1831</v>
      </c>
      <c s="6" r="V208">
        <v>1</v>
      </c>
      <c s="6" r="W208">
        <v>1</v>
      </c>
      <c s="6" r="X208">
        <v>1</v>
      </c>
      <c s="6" r="Y208">
        <v>0</v>
      </c>
      <c s="6" r="Z208">
        <v>0</v>
      </c>
      <c s="6" r="AA208">
        <v>3</v>
      </c>
      <c s="6" r="AB208">
        <v>3</v>
      </c>
      <c t="s" s="6" r="AC208">
        <v>92</v>
      </c>
      <c t="s" s="6" r="AD208">
        <v>92</v>
      </c>
      <c t="s" s="6" r="AE208">
        <v>92</v>
      </c>
      <c t="s" s="6" r="AF208">
        <v>92</v>
      </c>
      <c t="s" s="6" r="AG208">
        <v>92</v>
      </c>
      <c t="s" s="6" r="AH208">
        <v>92</v>
      </c>
      <c t="s" s="6" r="AI208">
        <v>92</v>
      </c>
      <c t="s" s="6" r="AJ208">
        <v>92</v>
      </c>
      <c t="s" s="6" r="AK208">
        <v>92</v>
      </c>
      <c t="s" s="6" r="AL208">
        <v>92</v>
      </c>
      <c t="s" s="6" r="AM208">
        <v>92</v>
      </c>
      <c s="6" r="AN208">
        <v>3</v>
      </c>
      <c s="6" r="AP208">
        <v>3</v>
      </c>
      <c t="s" s="6" r="AQ208">
        <v>635</v>
      </c>
      <c t="s" s="6" r="AR208">
        <v>1832</v>
      </c>
      <c s="6" r="AS208">
        <v>0</v>
      </c>
      <c s="6" r="AT208">
        <v>0</v>
      </c>
      <c s="6" r="AU208">
        <v>0</v>
      </c>
      <c s="6" r="AV208">
        <v>0</v>
      </c>
      <c s="6" r="AW208">
        <v>0</v>
      </c>
      <c s="6" r="AX208">
        <v>0</v>
      </c>
      <c s="6" r="AY208">
        <v>0</v>
      </c>
      <c s="6" r="AZ208">
        <v>0</v>
      </c>
      <c s="6" r="BA208">
        <v>0</v>
      </c>
      <c s="6" r="BB208">
        <v>0</v>
      </c>
      <c s="6" r="BC208">
        <v>0</v>
      </c>
      <c s="6" r="BD208">
        <v>0</v>
      </c>
      <c s="6" r="BE208">
        <v>0</v>
      </c>
      <c s="6" r="BF208">
        <v>1</v>
      </c>
      <c s="6" r="BG208">
        <v>0</v>
      </c>
      <c s="6" r="BH208">
        <v>0</v>
      </c>
      <c s="6" r="BI208">
        <v>0</v>
      </c>
      <c s="6" r="BJ208">
        <v>0</v>
      </c>
      <c s="6" r="BK208">
        <v>0</v>
      </c>
      <c s="6" r="BL208">
        <v>0</v>
      </c>
      <c s="6" r="BM208">
        <v>0</v>
      </c>
      <c s="6" r="BN208">
        <v>0</v>
      </c>
      <c s="6" r="BO208">
        <v>0</v>
      </c>
      <c s="6" r="BP208">
        <v>0</v>
      </c>
      <c s="6" r="BQ208">
        <v>0</v>
      </c>
      <c t="str" s="6" r="BR208">
        <f>HYPERLINK("http://www.d20pfsrd.com/magic/all-spells/f/fireball","Fireball")</f>
        <v>Fireball</v>
      </c>
      <c s="6" r="BS208">
        <v>207</v>
      </c>
      <c t="s" s="6" r="BT208">
        <v>92</v>
      </c>
      <c t="s" s="6" r="BU208">
        <v>1833</v>
      </c>
      <c t="s" s="6" r="BV208">
        <v>1816</v>
      </c>
      <c t="s" s="6" r="BW208">
        <v>1834</v>
      </c>
      <c t="s" s="6" r="BX208">
        <v>1835</v>
      </c>
      <c s="6" r="BY208">
        <v>1</v>
      </c>
    </row>
    <row customHeight="1" r="209" ht="14.25">
      <c t="s" s="6" r="A209">
        <v>1836</v>
      </c>
      <c t="s" s="6" r="B209">
        <v>131</v>
      </c>
      <c t="s" s="6" r="D209">
        <v>57</v>
      </c>
      <c t="s" s="6" r="E209">
        <v>1828</v>
      </c>
      <c t="s" s="6" r="F209">
        <v>81</v>
      </c>
      <c t="s" s="6" r="G209">
        <v>1837</v>
      </c>
      <c s="6" r="H209">
        <v>0</v>
      </c>
      <c t="s" s="6" r="I209">
        <v>107</v>
      </c>
      <c t="s" s="6" r="L209">
        <v>1838</v>
      </c>
      <c t="s" s="6" r="M209">
        <v>134</v>
      </c>
      <c s="6" r="N209">
        <v>0</v>
      </c>
      <c s="6" r="O209">
        <v>0</v>
      </c>
      <c t="s" s="6" r="P209">
        <v>86</v>
      </c>
      <c t="s" s="6" r="Q209">
        <v>87</v>
      </c>
      <c t="s" s="6" r="R209">
        <v>1839</v>
      </c>
      <c t="s" s="6" r="S209">
        <v>1840</v>
      </c>
      <c t="s" s="6" r="T209">
        <v>90</v>
      </c>
      <c t="s" s="6" r="U209">
        <v>1841</v>
      </c>
      <c s="6" r="V209">
        <v>1</v>
      </c>
      <c s="6" r="W209">
        <v>1</v>
      </c>
      <c s="6" r="X209">
        <v>1</v>
      </c>
      <c s="6" r="Y209">
        <v>0</v>
      </c>
      <c s="6" r="Z209">
        <v>0</v>
      </c>
      <c s="6" r="AA209">
        <v>3</v>
      </c>
      <c s="6" r="AB209">
        <v>3</v>
      </c>
      <c t="s" s="6" r="AC209">
        <v>92</v>
      </c>
      <c t="s" s="6" r="AD209">
        <v>92</v>
      </c>
      <c t="s" s="6" r="AE209">
        <v>92</v>
      </c>
      <c t="s" s="6" r="AF209">
        <v>92</v>
      </c>
      <c t="s" s="6" r="AG209">
        <v>92</v>
      </c>
      <c t="s" s="6" r="AH209">
        <v>92</v>
      </c>
      <c t="s" s="6" r="AI209">
        <v>92</v>
      </c>
      <c t="s" s="6" r="AJ209">
        <v>92</v>
      </c>
      <c t="s" s="6" r="AK209">
        <v>92</v>
      </c>
      <c t="s" s="6" r="AL209">
        <v>92</v>
      </c>
      <c t="s" s="6" r="AM209">
        <v>92</v>
      </c>
      <c s="6" r="AN209">
        <v>3</v>
      </c>
      <c s="6" r="AP209">
        <v>3</v>
      </c>
      <c t="s" s="6" r="AR209">
        <v>1842</v>
      </c>
      <c s="6" r="AS209">
        <v>0</v>
      </c>
      <c s="6" r="AT209">
        <v>0</v>
      </c>
      <c s="6" r="AU209">
        <v>0</v>
      </c>
      <c s="6" r="AV209">
        <v>0</v>
      </c>
      <c s="6" r="AW209">
        <v>0</v>
      </c>
      <c s="6" r="AX209">
        <v>0</v>
      </c>
      <c s="6" r="AY209">
        <v>0</v>
      </c>
      <c s="6" r="AZ209">
        <v>0</v>
      </c>
      <c s="6" r="BA209">
        <v>0</v>
      </c>
      <c s="6" r="BB209">
        <v>0</v>
      </c>
      <c s="6" r="BC209">
        <v>0</v>
      </c>
      <c s="6" r="BD209">
        <v>0</v>
      </c>
      <c s="6" r="BE209">
        <v>0</v>
      </c>
      <c s="6" r="BF209">
        <v>1</v>
      </c>
      <c s="6" r="BG209">
        <v>0</v>
      </c>
      <c s="6" r="BH209">
        <v>0</v>
      </c>
      <c s="6" r="BI209">
        <v>0</v>
      </c>
      <c s="6" r="BJ209">
        <v>0</v>
      </c>
      <c s="6" r="BK209">
        <v>0</v>
      </c>
      <c s="6" r="BL209">
        <v>0</v>
      </c>
      <c s="6" r="BM209">
        <v>0</v>
      </c>
      <c s="6" r="BN209">
        <v>0</v>
      </c>
      <c s="6" r="BO209">
        <v>0</v>
      </c>
      <c s="6" r="BP209">
        <v>0</v>
      </c>
      <c s="6" r="BQ209">
        <v>0</v>
      </c>
      <c t="str" s="6" r="BR209">
        <f>HYPERLINK("http://www.d20pfsrd.com/magic/all-spells/f/flame-arrow","Flame Arrow")</f>
        <v>Flame Arrow</v>
      </c>
      <c s="6" r="BS209">
        <v>208</v>
      </c>
      <c t="s" s="6" r="BT209">
        <v>92</v>
      </c>
      <c s="6" r="BY209">
        <v>0</v>
      </c>
    </row>
    <row customHeight="1" r="210" ht="14.25">
      <c t="s" s="6" r="A210">
        <v>1843</v>
      </c>
      <c t="s" s="6" r="B210">
        <v>493</v>
      </c>
      <c t="s" s="6" r="D210">
        <v>57</v>
      </c>
      <c t="s" s="6" r="E210">
        <v>760</v>
      </c>
      <c t="s" s="6" r="F210">
        <v>81</v>
      </c>
      <c t="s" s="6" r="G210">
        <v>119</v>
      </c>
      <c s="6" r="H210">
        <v>0</v>
      </c>
      <c t="s" s="6" r="I210">
        <v>813</v>
      </c>
      <c t="s" s="6" r="K210">
        <v>1844</v>
      </c>
      <c t="s" s="6" r="M210">
        <v>496</v>
      </c>
      <c s="6" r="N210">
        <v>1</v>
      </c>
      <c s="6" r="O210">
        <v>0</v>
      </c>
      <c t="s" s="6" r="P210">
        <v>86</v>
      </c>
      <c t="s" s="6" r="Q210">
        <v>188</v>
      </c>
      <c t="s" s="6" r="R210">
        <v>1845</v>
      </c>
      <c t="s" s="6" r="S210">
        <v>1846</v>
      </c>
      <c t="s" s="6" r="T210">
        <v>90</v>
      </c>
      <c t="s" s="6" r="U210">
        <v>1847</v>
      </c>
      <c s="6" r="V210">
        <v>1</v>
      </c>
      <c s="6" r="W210">
        <v>1</v>
      </c>
      <c s="6" r="X210">
        <v>0</v>
      </c>
      <c s="6" r="Y210">
        <v>0</v>
      </c>
      <c s="6" r="Z210">
        <v>1</v>
      </c>
      <c t="s" s="6" r="AA210">
        <v>92</v>
      </c>
      <c t="s" s="6" r="AB210">
        <v>92</v>
      </c>
      <c t="s" s="6" r="AC210">
        <v>92</v>
      </c>
      <c s="6" r="AD210">
        <v>2</v>
      </c>
      <c t="s" s="6" r="AE210">
        <v>92</v>
      </c>
      <c t="s" s="6" r="AF210">
        <v>92</v>
      </c>
      <c t="s" s="6" r="AG210">
        <v>92</v>
      </c>
      <c t="s" s="6" r="AH210">
        <v>92</v>
      </c>
      <c t="s" s="6" r="AI210">
        <v>92</v>
      </c>
      <c t="s" s="6" r="AJ210">
        <v>92</v>
      </c>
      <c t="s" s="6" r="AK210">
        <v>92</v>
      </c>
      <c t="s" s="6" r="AL210">
        <v>92</v>
      </c>
      <c t="s" s="6" r="AM210">
        <v>92</v>
      </c>
      <c t="s" s="6" r="AN210">
        <v>92</v>
      </c>
      <c s="6" r="AP210">
        <v>2</v>
      </c>
      <c t="s" s="6" r="AR210">
        <v>1848</v>
      </c>
      <c s="6" r="AS210">
        <v>0</v>
      </c>
      <c s="6" r="AT210">
        <v>0</v>
      </c>
      <c s="6" r="AU210">
        <v>0</v>
      </c>
      <c s="6" r="AV210">
        <v>0</v>
      </c>
      <c s="6" r="AW210">
        <v>0</v>
      </c>
      <c s="6" r="AX210">
        <v>0</v>
      </c>
      <c s="6" r="AY210">
        <v>0</v>
      </c>
      <c s="6" r="AZ210">
        <v>0</v>
      </c>
      <c s="6" r="BA210">
        <v>0</v>
      </c>
      <c s="6" r="BB210">
        <v>0</v>
      </c>
      <c s="6" r="BC210">
        <v>0</v>
      </c>
      <c s="6" r="BD210">
        <v>0</v>
      </c>
      <c s="6" r="BE210">
        <v>0</v>
      </c>
      <c s="6" r="BF210">
        <v>1</v>
      </c>
      <c s="6" r="BG210">
        <v>0</v>
      </c>
      <c s="6" r="BH210">
        <v>0</v>
      </c>
      <c s="6" r="BI210">
        <v>0</v>
      </c>
      <c s="6" r="BJ210">
        <v>0</v>
      </c>
      <c s="6" r="BK210">
        <v>0</v>
      </c>
      <c s="6" r="BL210">
        <v>0</v>
      </c>
      <c s="6" r="BM210">
        <v>0</v>
      </c>
      <c s="6" r="BN210">
        <v>0</v>
      </c>
      <c s="6" r="BO210">
        <v>0</v>
      </c>
      <c s="6" r="BP210">
        <v>0</v>
      </c>
      <c s="6" r="BQ210">
        <v>0</v>
      </c>
      <c t="str" s="6" r="BR210">
        <f>HYPERLINK("http://www.d20pfsrd.com/magic/all-spells/f/flame-blade","Flame Blade")</f>
        <v>Flame Blade</v>
      </c>
      <c s="6" r="BS210">
        <v>209</v>
      </c>
      <c t="s" s="6" r="BT210">
        <v>92</v>
      </c>
      <c t="s" s="6" r="BW210">
        <v>1849</v>
      </c>
      <c t="s" s="6" r="BX210">
        <v>1850</v>
      </c>
      <c s="6" r="BY210">
        <v>1</v>
      </c>
    </row>
    <row customHeight="1" r="211" ht="14.25">
      <c t="s" s="6" r="A211">
        <v>1851</v>
      </c>
      <c t="s" s="6" r="B211">
        <v>493</v>
      </c>
      <c t="s" s="6" r="D211">
        <v>57</v>
      </c>
      <c t="s" s="6" r="E211">
        <v>1852</v>
      </c>
      <c t="s" s="6" r="F211">
        <v>81</v>
      </c>
      <c t="s" s="6" r="G211">
        <v>119</v>
      </c>
      <c s="6" r="H211">
        <v>0</v>
      </c>
      <c t="s" s="6" r="I211">
        <v>97</v>
      </c>
      <c t="s" s="6" r="J211">
        <v>1853</v>
      </c>
      <c t="s" s="6" r="M211">
        <v>109</v>
      </c>
      <c s="6" r="N211">
        <v>0</v>
      </c>
      <c s="6" r="O211">
        <v>0</v>
      </c>
      <c t="s" s="6" r="P211">
        <v>631</v>
      </c>
      <c t="s" s="6" r="Q211">
        <v>188</v>
      </c>
      <c t="s" s="6" r="R211">
        <v>1854</v>
      </c>
      <c t="s" s="6" r="S211">
        <v>1855</v>
      </c>
      <c t="s" s="6" r="T211">
        <v>90</v>
      </c>
      <c t="s" s="6" r="U211">
        <v>1856</v>
      </c>
      <c s="6" r="V211">
        <v>1</v>
      </c>
      <c s="6" r="W211">
        <v>1</v>
      </c>
      <c s="6" r="X211">
        <v>0</v>
      </c>
      <c s="6" r="Y211">
        <v>0</v>
      </c>
      <c s="6" r="Z211">
        <v>1</v>
      </c>
      <c t="s" s="6" r="AA211">
        <v>92</v>
      </c>
      <c t="s" s="6" r="AB211">
        <v>92</v>
      </c>
      <c s="6" r="AC211">
        <v>5</v>
      </c>
      <c s="6" r="AD211">
        <v>4</v>
      </c>
      <c t="s" s="6" r="AE211">
        <v>92</v>
      </c>
      <c t="s" s="6" r="AF211">
        <v>92</v>
      </c>
      <c t="s" s="6" r="AG211">
        <v>92</v>
      </c>
      <c t="s" s="6" r="AH211">
        <v>92</v>
      </c>
      <c t="s" s="6" r="AI211">
        <v>92</v>
      </c>
      <c t="s" s="6" r="AJ211">
        <v>92</v>
      </c>
      <c s="6" r="AK211">
        <v>5</v>
      </c>
      <c s="6" r="AL211">
        <v>5</v>
      </c>
      <c t="s" s="6" r="AM211">
        <v>92</v>
      </c>
      <c t="s" s="6" r="AN211">
        <v>92</v>
      </c>
      <c s="6" r="AP211">
        <v>5</v>
      </c>
      <c t="s" s="6" r="AQ211">
        <v>1857</v>
      </c>
      <c t="s" s="6" r="AR211">
        <v>1858</v>
      </c>
      <c s="6" r="AS211">
        <v>0</v>
      </c>
      <c s="6" r="AT211">
        <v>0</v>
      </c>
      <c s="6" r="AU211">
        <v>0</v>
      </c>
      <c s="6" r="AV211">
        <v>0</v>
      </c>
      <c s="6" r="AW211">
        <v>0</v>
      </c>
      <c s="6" r="AX211">
        <v>0</v>
      </c>
      <c s="6" r="AY211">
        <v>0</v>
      </c>
      <c s="6" r="AZ211">
        <v>0</v>
      </c>
      <c s="6" r="BA211">
        <v>0</v>
      </c>
      <c s="6" r="BB211">
        <v>0</v>
      </c>
      <c s="6" r="BC211">
        <v>0</v>
      </c>
      <c s="6" r="BD211">
        <v>0</v>
      </c>
      <c s="6" r="BE211">
        <v>0</v>
      </c>
      <c s="6" r="BF211">
        <v>1</v>
      </c>
      <c s="6" r="BG211">
        <v>0</v>
      </c>
      <c s="6" r="BH211">
        <v>0</v>
      </c>
      <c s="6" r="BI211">
        <v>0</v>
      </c>
      <c s="6" r="BJ211">
        <v>0</v>
      </c>
      <c s="6" r="BK211">
        <v>0</v>
      </c>
      <c s="6" r="BL211">
        <v>0</v>
      </c>
      <c s="6" r="BM211">
        <v>0</v>
      </c>
      <c s="6" r="BN211">
        <v>0</v>
      </c>
      <c s="6" r="BO211">
        <v>0</v>
      </c>
      <c s="6" r="BP211">
        <v>0</v>
      </c>
      <c s="6" r="BQ211">
        <v>0</v>
      </c>
      <c t="str" s="6" r="BR211">
        <f>HYPERLINK("http://www.d20pfsrd.com/magic/all-spells/f/flame-strike","Flame Strike")</f>
        <v>Flame Strike</v>
      </c>
      <c s="6" r="BS211">
        <v>210</v>
      </c>
      <c t="s" s="6" r="BT211">
        <v>92</v>
      </c>
      <c t="s" s="6" r="BU211">
        <v>406</v>
      </c>
      <c t="s" s="6" r="BV211">
        <v>1859</v>
      </c>
      <c t="s" s="6" r="BW211">
        <v>1860</v>
      </c>
      <c s="6" r="BY211">
        <v>1</v>
      </c>
    </row>
    <row customHeight="1" r="212" ht="14.25">
      <c t="s" s="6" r="A212">
        <v>1861</v>
      </c>
      <c t="s" s="6" r="B212">
        <v>493</v>
      </c>
      <c t="s" s="6" r="D212">
        <v>57</v>
      </c>
      <c t="s" s="6" r="E212">
        <v>1862</v>
      </c>
      <c t="s" s="6" r="F212">
        <v>81</v>
      </c>
      <c t="s" s="6" r="G212">
        <v>1863</v>
      </c>
      <c s="6" r="H212">
        <v>0</v>
      </c>
      <c t="s" s="6" r="I212">
        <v>97</v>
      </c>
      <c t="s" s="6" r="K212">
        <v>1864</v>
      </c>
      <c t="s" s="6" r="M212">
        <v>99</v>
      </c>
      <c s="6" r="N212">
        <v>0</v>
      </c>
      <c s="6" r="O212">
        <v>0</v>
      </c>
      <c t="s" s="6" r="P212">
        <v>1865</v>
      </c>
      <c t="s" s="6" r="Q212">
        <v>188</v>
      </c>
      <c t="s" s="6" r="R212">
        <v>1866</v>
      </c>
      <c t="s" s="6" r="S212">
        <v>1867</v>
      </c>
      <c t="s" s="6" r="T212">
        <v>90</v>
      </c>
      <c t="s" s="6" r="U212">
        <v>1868</v>
      </c>
      <c s="6" r="V212">
        <v>1</v>
      </c>
      <c s="6" r="W212">
        <v>1</v>
      </c>
      <c s="6" r="X212">
        <v>1</v>
      </c>
      <c s="6" r="Y212">
        <v>0</v>
      </c>
      <c s="6" r="Z212">
        <v>1</v>
      </c>
      <c s="6" r="AA212">
        <v>2</v>
      </c>
      <c s="6" r="AB212">
        <v>2</v>
      </c>
      <c t="s" s="6" r="AC212">
        <v>92</v>
      </c>
      <c s="6" r="AD212">
        <v>2</v>
      </c>
      <c t="s" s="6" r="AE212">
        <v>92</v>
      </c>
      <c t="s" s="6" r="AF212">
        <v>92</v>
      </c>
      <c t="s" s="6" r="AG212">
        <v>92</v>
      </c>
      <c t="s" s="6" r="AH212">
        <v>92</v>
      </c>
      <c t="s" s="6" r="AI212">
        <v>92</v>
      </c>
      <c t="s" s="6" r="AJ212">
        <v>92</v>
      </c>
      <c t="s" s="6" r="AK212">
        <v>92</v>
      </c>
      <c t="s" s="6" r="AL212">
        <v>92</v>
      </c>
      <c t="s" s="6" r="AM212">
        <v>92</v>
      </c>
      <c s="6" r="AN212">
        <v>2</v>
      </c>
      <c s="6" r="AP212">
        <v>2</v>
      </c>
      <c t="s" s="6" r="AR212">
        <v>1869</v>
      </c>
      <c s="6" r="AS212">
        <v>0</v>
      </c>
      <c s="6" r="AT212">
        <v>0</v>
      </c>
      <c s="6" r="AU212">
        <v>0</v>
      </c>
      <c s="6" r="AV212">
        <v>0</v>
      </c>
      <c s="6" r="AW212">
        <v>0</v>
      </c>
      <c s="6" r="AX212">
        <v>0</v>
      </c>
      <c s="6" r="AY212">
        <v>0</v>
      </c>
      <c s="6" r="AZ212">
        <v>0</v>
      </c>
      <c s="6" r="BA212">
        <v>0</v>
      </c>
      <c s="6" r="BB212">
        <v>0</v>
      </c>
      <c s="6" r="BC212">
        <v>0</v>
      </c>
      <c s="6" r="BD212">
        <v>0</v>
      </c>
      <c s="6" r="BE212">
        <v>0</v>
      </c>
      <c s="6" r="BF212">
        <v>1</v>
      </c>
      <c s="6" r="BG212">
        <v>0</v>
      </c>
      <c s="6" r="BH212">
        <v>0</v>
      </c>
      <c s="6" r="BI212">
        <v>0</v>
      </c>
      <c s="6" r="BJ212">
        <v>0</v>
      </c>
      <c s="6" r="BK212">
        <v>0</v>
      </c>
      <c s="6" r="BL212">
        <v>0</v>
      </c>
      <c s="6" r="BM212">
        <v>0</v>
      </c>
      <c s="6" r="BN212">
        <v>0</v>
      </c>
      <c s="6" r="BO212">
        <v>0</v>
      </c>
      <c s="6" r="BP212">
        <v>0</v>
      </c>
      <c s="6" r="BQ212">
        <v>0</v>
      </c>
      <c t="str" s="6" r="BR212">
        <f>HYPERLINK("http://www.d20pfsrd.com/magic/all-spells/f/flaming-sphere","Flaming Sphere")</f>
        <v>Flaming Sphere</v>
      </c>
      <c s="6" r="BS212">
        <v>211</v>
      </c>
      <c t="s" s="6" r="BT212">
        <v>92</v>
      </c>
      <c t="s" s="6" r="BV212">
        <v>1816</v>
      </c>
      <c s="6" r="BY212">
        <v>0</v>
      </c>
    </row>
    <row customHeight="1" r="213" ht="14.25">
      <c t="s" s="6" r="A213">
        <v>1870</v>
      </c>
      <c t="s" s="6" r="B213">
        <v>493</v>
      </c>
      <c t="s" s="6" r="D213">
        <v>62</v>
      </c>
      <c t="s" s="6" r="E213">
        <v>1871</v>
      </c>
      <c t="s" s="6" r="F213">
        <v>81</v>
      </c>
      <c t="s" s="6" r="G213">
        <v>251</v>
      </c>
      <c s="6" r="H213">
        <v>0</v>
      </c>
      <c t="s" s="6" r="I213">
        <v>107</v>
      </c>
      <c t="s" s="6" r="K213">
        <v>1872</v>
      </c>
      <c t="s" s="6" r="M213">
        <v>109</v>
      </c>
      <c s="6" r="N213">
        <v>0</v>
      </c>
      <c s="6" r="O213">
        <v>0</v>
      </c>
      <c t="s" s="6" r="P213">
        <v>187</v>
      </c>
      <c t="s" s="6" r="Q213">
        <v>188</v>
      </c>
      <c t="s" s="6" r="R213">
        <v>1873</v>
      </c>
      <c t="s" s="6" r="S213">
        <v>1874</v>
      </c>
      <c t="s" s="6" r="T213">
        <v>90</v>
      </c>
      <c t="s" s="6" r="U213">
        <v>1875</v>
      </c>
      <c s="6" r="V213">
        <v>1</v>
      </c>
      <c s="6" r="W213">
        <v>0</v>
      </c>
      <c s="6" r="X213">
        <v>0</v>
      </c>
      <c s="6" r="Y213">
        <v>0</v>
      </c>
      <c s="6" r="Z213">
        <v>0</v>
      </c>
      <c s="6" r="AA213">
        <v>0</v>
      </c>
      <c s="6" r="AB213">
        <v>0</v>
      </c>
      <c t="s" s="6" r="AC213">
        <v>92</v>
      </c>
      <c s="6" r="AD213">
        <v>0</v>
      </c>
      <c t="s" s="6" r="AE213">
        <v>92</v>
      </c>
      <c s="6" r="AF213">
        <v>0</v>
      </c>
      <c t="s" s="6" r="AG213">
        <v>92</v>
      </c>
      <c t="s" s="6" r="AH213">
        <v>92</v>
      </c>
      <c t="s" s="6" r="AI213">
        <v>92</v>
      </c>
      <c t="s" s="6" r="AJ213">
        <v>92</v>
      </c>
      <c t="s" s="6" r="AK213">
        <v>92</v>
      </c>
      <c t="s" s="6" r="AL213">
        <v>92</v>
      </c>
      <c t="s" s="6" r="AM213">
        <v>92</v>
      </c>
      <c s="6" r="AN213">
        <v>0</v>
      </c>
      <c s="6" r="AP213">
        <v>0</v>
      </c>
      <c t="s" s="6" r="AR213">
        <v>1876</v>
      </c>
      <c s="6" r="AS213">
        <v>0</v>
      </c>
      <c s="6" r="AT213">
        <v>0</v>
      </c>
      <c s="6" r="AU213">
        <v>0</v>
      </c>
      <c s="6" r="AV213">
        <v>0</v>
      </c>
      <c s="6" r="AW213">
        <v>0</v>
      </c>
      <c s="6" r="AX213">
        <v>0</v>
      </c>
      <c s="6" r="AY213">
        <v>0</v>
      </c>
      <c s="6" r="AZ213">
        <v>0</v>
      </c>
      <c s="6" r="BA213">
        <v>0</v>
      </c>
      <c s="6" r="BB213">
        <v>0</v>
      </c>
      <c s="6" r="BC213">
        <v>0</v>
      </c>
      <c s="6" r="BD213">
        <v>0</v>
      </c>
      <c s="6" r="BE213">
        <v>0</v>
      </c>
      <c s="6" r="BF213">
        <v>0</v>
      </c>
      <c s="6" r="BG213">
        <v>0</v>
      </c>
      <c s="6" r="BH213">
        <v>0</v>
      </c>
      <c s="6" r="BI213">
        <v>0</v>
      </c>
      <c s="6" r="BJ213">
        <v>0</v>
      </c>
      <c s="6" r="BK213">
        <v>1</v>
      </c>
      <c s="6" r="BL213">
        <v>0</v>
      </c>
      <c s="6" r="BM213">
        <v>0</v>
      </c>
      <c s="6" r="BN213">
        <v>0</v>
      </c>
      <c s="6" r="BO213">
        <v>0</v>
      </c>
      <c s="6" r="BP213">
        <v>0</v>
      </c>
      <c s="6" r="BQ213">
        <v>0</v>
      </c>
      <c t="str" s="6" r="BR213">
        <f>HYPERLINK("http://www.d20pfsrd.com/magic/all-spells/f/flare","Flare")</f>
        <v>Flare</v>
      </c>
      <c s="6" r="BS213">
        <v>212</v>
      </c>
      <c t="s" s="6" r="BT213">
        <v>92</v>
      </c>
      <c s="6" r="BY213">
        <v>0</v>
      </c>
    </row>
    <row customHeight="1" r="214" ht="14.25">
      <c t="s" s="6" r="A214">
        <v>1877</v>
      </c>
      <c t="s" s="6" r="B214">
        <v>131</v>
      </c>
      <c t="s" s="6" r="E214">
        <v>1878</v>
      </c>
      <c t="s" s="6" r="F214">
        <v>81</v>
      </c>
      <c t="s" s="6" r="G214">
        <v>1879</v>
      </c>
      <c s="6" r="H214">
        <v>0</v>
      </c>
      <c t="s" s="6" r="I214">
        <v>97</v>
      </c>
      <c t="s" s="6" r="L214">
        <v>1235</v>
      </c>
      <c t="s" s="6" r="M214">
        <v>109</v>
      </c>
      <c s="6" r="N214">
        <v>0</v>
      </c>
      <c s="6" r="O214">
        <v>0</v>
      </c>
      <c t="s" s="6" r="P214">
        <v>187</v>
      </c>
      <c t="s" s="6" r="Q214">
        <v>188</v>
      </c>
      <c t="s" s="6" r="R214">
        <v>1880</v>
      </c>
      <c t="s" s="6" r="S214">
        <v>1881</v>
      </c>
      <c t="s" s="6" r="T214">
        <v>90</v>
      </c>
      <c t="s" s="6" r="U214">
        <v>1882</v>
      </c>
      <c s="6" r="V214">
        <v>1</v>
      </c>
      <c s="6" r="W214">
        <v>1</v>
      </c>
      <c s="6" r="X214">
        <v>1</v>
      </c>
      <c s="6" r="Y214">
        <v>0</v>
      </c>
      <c s="6" r="Z214">
        <v>0</v>
      </c>
      <c s="6" r="AA214">
        <v>6</v>
      </c>
      <c s="6" r="AB214">
        <v>6</v>
      </c>
      <c t="s" s="6" r="AC214">
        <v>92</v>
      </c>
      <c t="s" s="6" r="AD214">
        <v>92</v>
      </c>
      <c t="s" s="6" r="AE214">
        <v>92</v>
      </c>
      <c t="s" s="6" r="AF214">
        <v>92</v>
      </c>
      <c t="s" s="6" r="AG214">
        <v>92</v>
      </c>
      <c t="s" s="6" r="AH214">
        <v>92</v>
      </c>
      <c t="s" s="6" r="AI214">
        <v>92</v>
      </c>
      <c s="6" r="AJ214">
        <v>6</v>
      </c>
      <c t="s" s="6" r="AK214">
        <v>92</v>
      </c>
      <c t="s" s="6" r="AL214">
        <v>92</v>
      </c>
      <c t="s" s="6" r="AM214">
        <v>92</v>
      </c>
      <c s="6" r="AN214">
        <v>6</v>
      </c>
      <c s="6" r="AP214">
        <v>6</v>
      </c>
      <c t="s" s="6" r="AR214">
        <v>1883</v>
      </c>
      <c s="6" r="AS214">
        <v>0</v>
      </c>
      <c s="6" r="AT214">
        <v>0</v>
      </c>
      <c s="6" r="AU214">
        <v>0</v>
      </c>
      <c s="6" r="AV214">
        <v>0</v>
      </c>
      <c s="6" r="AW214">
        <v>0</v>
      </c>
      <c s="6" r="AX214">
        <v>0</v>
      </c>
      <c s="6" r="AY214">
        <v>0</v>
      </c>
      <c s="6" r="AZ214">
        <v>0</v>
      </c>
      <c s="6" r="BA214">
        <v>0</v>
      </c>
      <c s="6" r="BB214">
        <v>0</v>
      </c>
      <c s="6" r="BC214">
        <v>0</v>
      </c>
      <c s="6" r="BD214">
        <v>0</v>
      </c>
      <c s="6" r="BE214">
        <v>0</v>
      </c>
      <c s="6" r="BF214">
        <v>0</v>
      </c>
      <c s="6" r="BG214">
        <v>0</v>
      </c>
      <c s="6" r="BH214">
        <v>0</v>
      </c>
      <c s="6" r="BI214">
        <v>0</v>
      </c>
      <c s="6" r="BJ214">
        <v>0</v>
      </c>
      <c s="6" r="BK214">
        <v>0</v>
      </c>
      <c s="6" r="BL214">
        <v>0</v>
      </c>
      <c s="6" r="BM214">
        <v>0</v>
      </c>
      <c s="6" r="BN214">
        <v>0</v>
      </c>
      <c s="6" r="BO214">
        <v>0</v>
      </c>
      <c s="6" r="BP214">
        <v>0</v>
      </c>
      <c s="6" r="BQ214">
        <v>0</v>
      </c>
      <c t="str" s="6" r="BR214">
        <f>HYPERLINK("http://www.d20pfsrd.com/magic/all-spells/f/flesh-to-stone","Flesh to Stone")</f>
        <v>Flesh to Stone</v>
      </c>
      <c s="6" r="BS214">
        <v>213</v>
      </c>
      <c t="s" s="6" r="BT214">
        <v>92</v>
      </c>
      <c s="6" r="BY214">
        <v>0</v>
      </c>
    </row>
    <row customHeight="1" r="215" ht="14.25">
      <c t="s" s="6" r="A215">
        <v>1884</v>
      </c>
      <c t="s" s="6" r="B215">
        <v>493</v>
      </c>
      <c t="s" s="6" r="D215">
        <v>58</v>
      </c>
      <c t="s" s="6" r="E215">
        <v>832</v>
      </c>
      <c t="s" s="6" r="F215">
        <v>81</v>
      </c>
      <c t="s" s="6" r="G215">
        <v>1885</v>
      </c>
      <c s="6" r="H215">
        <v>0</v>
      </c>
      <c t="s" s="6" r="I215">
        <v>107</v>
      </c>
      <c t="s" s="6" r="K215">
        <v>1886</v>
      </c>
      <c t="s" s="6" r="M215">
        <v>209</v>
      </c>
      <c s="6" r="N215">
        <v>0</v>
      </c>
      <c s="6" r="O215">
        <v>0</v>
      </c>
      <c t="s" s="6" r="P215">
        <v>86</v>
      </c>
      <c t="s" s="6" r="Q215">
        <v>87</v>
      </c>
      <c t="s" s="6" r="R215">
        <v>1887</v>
      </c>
      <c t="s" s="6" r="S215">
        <v>1888</v>
      </c>
      <c t="s" s="6" r="T215">
        <v>90</v>
      </c>
      <c t="s" s="6" r="U215">
        <v>1889</v>
      </c>
      <c s="6" r="V215">
        <v>1</v>
      </c>
      <c s="6" r="W215">
        <v>1</v>
      </c>
      <c s="6" r="X215">
        <v>1</v>
      </c>
      <c s="6" r="Y215">
        <v>0</v>
      </c>
      <c s="6" r="Z215">
        <v>0</v>
      </c>
      <c s="6" r="AA215">
        <v>1</v>
      </c>
      <c s="6" r="AB215">
        <v>1</v>
      </c>
      <c t="s" s="6" r="AC215">
        <v>92</v>
      </c>
      <c t="s" s="6" r="AD215">
        <v>92</v>
      </c>
      <c t="s" s="6" r="AE215">
        <v>92</v>
      </c>
      <c t="s" s="6" r="AF215">
        <v>92</v>
      </c>
      <c t="s" s="6" r="AG215">
        <v>92</v>
      </c>
      <c t="s" s="6" r="AH215">
        <v>92</v>
      </c>
      <c t="s" s="6" r="AI215">
        <v>92</v>
      </c>
      <c t="s" s="6" r="AJ215">
        <v>92</v>
      </c>
      <c t="s" s="6" r="AK215">
        <v>92</v>
      </c>
      <c t="s" s="6" r="AL215">
        <v>92</v>
      </c>
      <c t="s" s="6" r="AM215">
        <v>92</v>
      </c>
      <c s="6" r="AN215">
        <v>1</v>
      </c>
      <c s="6" r="AP215">
        <v>1</v>
      </c>
      <c t="s" s="6" r="AQ215">
        <v>1890</v>
      </c>
      <c t="s" s="6" r="AR215">
        <v>1891</v>
      </c>
      <c s="6" r="AS215">
        <v>0</v>
      </c>
      <c s="6" r="AT215">
        <v>0</v>
      </c>
      <c s="6" r="AU215">
        <v>0</v>
      </c>
      <c s="6" r="AV215">
        <v>0</v>
      </c>
      <c s="6" r="AW215">
        <v>0</v>
      </c>
      <c s="6" r="AX215">
        <v>0</v>
      </c>
      <c s="6" r="AY215">
        <v>0</v>
      </c>
      <c s="6" r="AZ215">
        <v>0</v>
      </c>
      <c s="6" r="BA215">
        <v>0</v>
      </c>
      <c s="6" r="BB215">
        <v>0</v>
      </c>
      <c s="6" r="BC215">
        <v>0</v>
      </c>
      <c s="6" r="BD215">
        <v>0</v>
      </c>
      <c s="6" r="BE215">
        <v>0</v>
      </c>
      <c s="6" r="BF215">
        <v>0</v>
      </c>
      <c s="6" r="BG215">
        <v>1</v>
      </c>
      <c s="6" r="BH215">
        <v>0</v>
      </c>
      <c s="6" r="BI215">
        <v>0</v>
      </c>
      <c s="6" r="BJ215">
        <v>0</v>
      </c>
      <c s="6" r="BK215">
        <v>0</v>
      </c>
      <c s="6" r="BL215">
        <v>0</v>
      </c>
      <c s="6" r="BM215">
        <v>0</v>
      </c>
      <c s="6" r="BN215">
        <v>0</v>
      </c>
      <c s="6" r="BO215">
        <v>0</v>
      </c>
      <c s="6" r="BP215">
        <v>0</v>
      </c>
      <c s="6" r="BQ215">
        <v>0</v>
      </c>
      <c t="str" s="6" r="BR215">
        <f>HYPERLINK("http://www.d20pfsrd.com/magic/all-spells/f/floating-disk","Floating Disk")</f>
        <v>Floating Disk</v>
      </c>
      <c s="6" r="BS215">
        <v>214</v>
      </c>
      <c t="s" s="6" r="BT215">
        <v>92</v>
      </c>
      <c s="6" r="BY215">
        <v>0</v>
      </c>
    </row>
    <row customHeight="1" r="216" ht="14.25">
      <c t="s" s="6" r="A216">
        <v>1892</v>
      </c>
      <c t="s" s="6" r="B216">
        <v>131</v>
      </c>
      <c t="s" s="6" r="E216">
        <v>1893</v>
      </c>
      <c t="s" s="6" r="F216">
        <v>81</v>
      </c>
      <c t="s" s="6" r="G216">
        <v>1894</v>
      </c>
      <c s="6" r="H216">
        <v>0</v>
      </c>
      <c t="s" s="6" r="I216">
        <v>120</v>
      </c>
      <c t="s" s="6" r="L216">
        <v>420</v>
      </c>
      <c t="s" s="6" r="M216">
        <v>122</v>
      </c>
      <c s="6" r="N216">
        <v>0</v>
      </c>
      <c s="6" r="O216">
        <v>0</v>
      </c>
      <c t="s" s="6" r="P216">
        <v>421</v>
      </c>
      <c t="s" s="6" r="Q216">
        <v>123</v>
      </c>
      <c t="s" s="6" r="R216">
        <v>1895</v>
      </c>
      <c t="s" s="6" r="S216">
        <v>1896</v>
      </c>
      <c t="s" s="6" r="T216">
        <v>90</v>
      </c>
      <c t="s" s="6" r="U216">
        <v>1897</v>
      </c>
      <c s="6" r="V216">
        <v>1</v>
      </c>
      <c s="6" r="W216">
        <v>1</v>
      </c>
      <c s="6" r="X216">
        <v>0</v>
      </c>
      <c s="6" r="Y216">
        <v>0</v>
      </c>
      <c s="6" r="Z216">
        <v>0</v>
      </c>
      <c s="6" r="AA216">
        <v>3</v>
      </c>
      <c s="6" r="AB216">
        <v>3</v>
      </c>
      <c t="s" s="6" r="AC216">
        <v>92</v>
      </c>
      <c t="s" s="6" r="AD216">
        <v>92</v>
      </c>
      <c t="s" s="6" r="AE216">
        <v>92</v>
      </c>
      <c t="s" s="6" r="AF216">
        <v>92</v>
      </c>
      <c t="s" s="6" r="AG216">
        <v>92</v>
      </c>
      <c s="6" r="AH216">
        <v>3</v>
      </c>
      <c s="6" r="AI216">
        <v>3</v>
      </c>
      <c s="6" r="AJ216">
        <v>3</v>
      </c>
      <c t="s" s="6" r="AK216">
        <v>92</v>
      </c>
      <c t="s" s="6" r="AL216">
        <v>92</v>
      </c>
      <c t="s" s="6" r="AM216">
        <v>92</v>
      </c>
      <c s="6" r="AN216">
        <v>3</v>
      </c>
      <c s="6" r="AP216">
        <v>3</v>
      </c>
      <c t="s" s="6" r="AQ216">
        <v>1898</v>
      </c>
      <c t="s" s="6" r="AR216">
        <v>1899</v>
      </c>
      <c s="6" r="AS216">
        <v>0</v>
      </c>
      <c s="6" r="AT216">
        <v>0</v>
      </c>
      <c s="6" r="AU216">
        <v>0</v>
      </c>
      <c s="6" r="AV216">
        <v>0</v>
      </c>
      <c s="6" r="AW216">
        <v>0</v>
      </c>
      <c s="6" r="AX216">
        <v>0</v>
      </c>
      <c s="6" r="AY216">
        <v>0</v>
      </c>
      <c s="6" r="AZ216">
        <v>0</v>
      </c>
      <c s="6" r="BA216">
        <v>0</v>
      </c>
      <c s="6" r="BB216">
        <v>0</v>
      </c>
      <c s="6" r="BC216">
        <v>0</v>
      </c>
      <c s="6" r="BD216">
        <v>0</v>
      </c>
      <c s="6" r="BE216">
        <v>0</v>
      </c>
      <c s="6" r="BF216">
        <v>0</v>
      </c>
      <c s="6" r="BG216">
        <v>0</v>
      </c>
      <c s="6" r="BH216">
        <v>0</v>
      </c>
      <c s="6" r="BI216">
        <v>0</v>
      </c>
      <c s="6" r="BJ216">
        <v>0</v>
      </c>
      <c s="6" r="BK216">
        <v>0</v>
      </c>
      <c s="6" r="BL216">
        <v>0</v>
      </c>
      <c s="6" r="BM216">
        <v>0</v>
      </c>
      <c s="6" r="BN216">
        <v>0</v>
      </c>
      <c s="6" r="BO216">
        <v>0</v>
      </c>
      <c s="6" r="BP216">
        <v>0</v>
      </c>
      <c s="6" r="BQ216">
        <v>0</v>
      </c>
      <c t="str" s="6" r="BR216">
        <f>HYPERLINK("http://www.d20pfsrd.com/magic/all-spells/f/fly","Fly")</f>
        <v>Fly</v>
      </c>
      <c s="6" r="BS216">
        <v>215</v>
      </c>
      <c t="s" s="6" r="BT216">
        <v>92</v>
      </c>
      <c t="s" s="6" r="BU216">
        <v>1900</v>
      </c>
      <c t="s" s="6" r="BW216">
        <v>1901</v>
      </c>
      <c t="s" s="6" r="BX216">
        <v>1902</v>
      </c>
      <c s="6" r="BY216">
        <v>1</v>
      </c>
    </row>
    <row customHeight="1" r="217" ht="14.25">
      <c t="s" s="6" r="A217">
        <v>1903</v>
      </c>
      <c t="s" s="6" r="B217">
        <v>78</v>
      </c>
      <c t="s" s="6" r="C217">
        <v>79</v>
      </c>
      <c t="s" s="6" r="E217">
        <v>1904</v>
      </c>
      <c t="s" s="6" r="F217">
        <v>81</v>
      </c>
      <c t="s" s="6" r="G217">
        <v>106</v>
      </c>
      <c s="6" r="H217">
        <v>0</v>
      </c>
      <c t="s" s="6" r="I217">
        <v>1905</v>
      </c>
      <c t="s" s="6" r="K217">
        <v>1906</v>
      </c>
      <c t="s" s="6" r="M217">
        <v>134</v>
      </c>
      <c s="6" r="N217">
        <v>0</v>
      </c>
      <c s="6" r="O217">
        <v>0</v>
      </c>
      <c t="s" s="6" r="P217">
        <v>86</v>
      </c>
      <c t="s" s="6" r="Q217">
        <v>87</v>
      </c>
      <c t="s" s="6" r="R217">
        <v>1907</v>
      </c>
      <c t="s" s="6" r="S217">
        <v>1908</v>
      </c>
      <c t="s" s="6" r="T217">
        <v>90</v>
      </c>
      <c t="s" s="6" r="U217">
        <v>1909</v>
      </c>
      <c s="6" r="V217">
        <v>1</v>
      </c>
      <c s="6" r="W217">
        <v>1</v>
      </c>
      <c s="6" r="X217">
        <v>0</v>
      </c>
      <c s="6" r="Y217">
        <v>0</v>
      </c>
      <c s="6" r="Z217">
        <v>0</v>
      </c>
      <c s="6" r="AA217">
        <v>2</v>
      </c>
      <c s="6" r="AB217">
        <v>2</v>
      </c>
      <c t="s" s="6" r="AC217">
        <v>92</v>
      </c>
      <c s="6" r="AD217">
        <v>2</v>
      </c>
      <c t="s" s="6" r="AE217">
        <v>92</v>
      </c>
      <c t="s" s="6" r="AF217">
        <v>92</v>
      </c>
      <c t="s" s="6" r="AG217">
        <v>92</v>
      </c>
      <c t="s" s="6" r="AH217">
        <v>92</v>
      </c>
      <c t="s" s="6" r="AI217">
        <v>92</v>
      </c>
      <c s="6" r="AJ217">
        <v>2</v>
      </c>
      <c t="s" s="6" r="AK217">
        <v>92</v>
      </c>
      <c t="s" s="6" r="AL217">
        <v>92</v>
      </c>
      <c t="s" s="6" r="AM217">
        <v>92</v>
      </c>
      <c s="6" r="AN217">
        <v>2</v>
      </c>
      <c s="6" r="AP217">
        <v>2</v>
      </c>
      <c t="s" s="6" r="AQ217">
        <v>1910</v>
      </c>
      <c t="s" s="6" r="AR217">
        <v>1911</v>
      </c>
      <c s="6" r="AS217">
        <v>0</v>
      </c>
      <c s="6" r="AT217">
        <v>0</v>
      </c>
      <c s="6" r="AU217">
        <v>0</v>
      </c>
      <c s="6" r="AV217">
        <v>0</v>
      </c>
      <c s="6" r="AW217">
        <v>0</v>
      </c>
      <c s="6" r="AX217">
        <v>0</v>
      </c>
      <c s="6" r="AY217">
        <v>0</v>
      </c>
      <c s="6" r="AZ217">
        <v>0</v>
      </c>
      <c s="6" r="BA217">
        <v>0</v>
      </c>
      <c s="6" r="BB217">
        <v>0</v>
      </c>
      <c s="6" r="BC217">
        <v>0</v>
      </c>
      <c s="6" r="BD217">
        <v>0</v>
      </c>
      <c s="6" r="BE217">
        <v>0</v>
      </c>
      <c s="6" r="BF217">
        <v>0</v>
      </c>
      <c s="6" r="BG217">
        <v>0</v>
      </c>
      <c s="6" r="BH217">
        <v>0</v>
      </c>
      <c s="6" r="BI217">
        <v>0</v>
      </c>
      <c s="6" r="BJ217">
        <v>0</v>
      </c>
      <c s="6" r="BK217">
        <v>0</v>
      </c>
      <c s="6" r="BL217">
        <v>0</v>
      </c>
      <c s="6" r="BM217">
        <v>0</v>
      </c>
      <c s="6" r="BN217">
        <v>0</v>
      </c>
      <c s="6" r="BO217">
        <v>0</v>
      </c>
      <c s="6" r="BP217">
        <v>0</v>
      </c>
      <c s="6" r="BQ217">
        <v>0</v>
      </c>
      <c t="str" s="6" r="BR217">
        <f>HYPERLINK("http://www.d20pfsrd.com/magic/all-spells/f/fog-cloud","Fog Cloud")</f>
        <v>Fog Cloud</v>
      </c>
      <c s="6" r="BS217">
        <v>216</v>
      </c>
      <c t="s" s="6" r="BT217">
        <v>92</v>
      </c>
      <c t="s" s="6" r="BW217">
        <v>1912</v>
      </c>
      <c t="s" s="6" r="BX217">
        <v>1913</v>
      </c>
      <c s="6" r="BY217">
        <v>1</v>
      </c>
    </row>
    <row customHeight="1" r="218" ht="14.25">
      <c t="s" s="6" r="A218">
        <v>1914</v>
      </c>
      <c t="s" s="6" r="B218">
        <v>162</v>
      </c>
      <c t="s" s="6" r="E218">
        <v>1915</v>
      </c>
      <c t="s" s="6" r="F218">
        <v>1916</v>
      </c>
      <c t="s" s="6" r="G218">
        <v>1917</v>
      </c>
      <c s="6" r="H218">
        <v>1</v>
      </c>
      <c t="s" s="6" r="I218">
        <v>97</v>
      </c>
      <c t="s" s="6" r="J218">
        <v>1918</v>
      </c>
      <c t="s" s="6" r="M218">
        <v>323</v>
      </c>
      <c s="6" r="N218">
        <v>0</v>
      </c>
      <c s="6" r="O218">
        <v>1</v>
      </c>
      <c t="s" s="6" r="P218">
        <v>141</v>
      </c>
      <c t="s" s="6" r="Q218">
        <v>188</v>
      </c>
      <c t="s" s="6" r="R218">
        <v>1919</v>
      </c>
      <c t="s" s="6" r="S218">
        <v>1920</v>
      </c>
      <c t="s" s="6" r="T218">
        <v>90</v>
      </c>
      <c t="s" s="6" r="U218">
        <v>1921</v>
      </c>
      <c s="6" r="V218">
        <v>1</v>
      </c>
      <c s="6" r="W218">
        <v>1</v>
      </c>
      <c s="6" r="X218">
        <v>1</v>
      </c>
      <c s="6" r="Y218">
        <v>0</v>
      </c>
      <c s="6" r="Z218">
        <v>1</v>
      </c>
      <c t="s" s="6" r="AA218">
        <v>92</v>
      </c>
      <c t="s" s="6" r="AB218">
        <v>92</v>
      </c>
      <c s="6" r="AC218">
        <v>6</v>
      </c>
      <c t="s" s="6" r="AD218">
        <v>92</v>
      </c>
      <c t="s" s="6" r="AE218">
        <v>92</v>
      </c>
      <c t="s" s="6" r="AF218">
        <v>92</v>
      </c>
      <c t="s" s="6" r="AG218">
        <v>92</v>
      </c>
      <c t="s" s="6" r="AH218">
        <v>92</v>
      </c>
      <c t="s" s="6" r="AI218">
        <v>92</v>
      </c>
      <c t="s" s="6" r="AJ218">
        <v>92</v>
      </c>
      <c s="6" r="AK218">
        <v>6</v>
      </c>
      <c s="6" r="AL218">
        <v>6</v>
      </c>
      <c t="s" s="6" r="AM218">
        <v>92</v>
      </c>
      <c t="s" s="6" r="AN218">
        <v>92</v>
      </c>
      <c s="6" r="AP218">
        <v>6</v>
      </c>
      <c t="s" s="6" r="AR218">
        <v>1922</v>
      </c>
      <c s="6" r="AS218">
        <v>0</v>
      </c>
      <c s="6" r="AT218">
        <v>0</v>
      </c>
      <c s="6" r="AU218">
        <v>0</v>
      </c>
      <c s="6" r="AV218">
        <v>0</v>
      </c>
      <c s="6" r="AW218">
        <v>0</v>
      </c>
      <c s="6" r="AX218">
        <v>0</v>
      </c>
      <c s="6" r="AY218">
        <v>0</v>
      </c>
      <c s="6" r="AZ218">
        <v>0</v>
      </c>
      <c s="6" r="BA218">
        <v>0</v>
      </c>
      <c s="6" r="BB218">
        <v>0</v>
      </c>
      <c s="6" r="BC218">
        <v>0</v>
      </c>
      <c s="6" r="BD218">
        <v>0</v>
      </c>
      <c s="6" r="BE218">
        <v>0</v>
      </c>
      <c s="6" r="BF218">
        <v>0</v>
      </c>
      <c s="6" r="BG218">
        <v>0</v>
      </c>
      <c s="6" r="BH218">
        <v>0</v>
      </c>
      <c s="6" r="BI218">
        <v>0</v>
      </c>
      <c s="6" r="BJ218">
        <v>0</v>
      </c>
      <c s="6" r="BK218">
        <v>0</v>
      </c>
      <c s="6" r="BL218">
        <v>0</v>
      </c>
      <c s="6" r="BM218">
        <v>0</v>
      </c>
      <c s="6" r="BN218">
        <v>0</v>
      </c>
      <c s="6" r="BO218">
        <v>0</v>
      </c>
      <c s="6" r="BP218">
        <v>0</v>
      </c>
      <c s="6" r="BQ218">
        <v>0</v>
      </c>
      <c t="str" s="6" r="BR218">
        <f>HYPERLINK("http://www.d20pfsrd.com/magic/all-spells/f/forbiddance","Forbiddance")</f>
        <v>Forbiddance</v>
      </c>
      <c s="6" r="BS218">
        <v>217</v>
      </c>
      <c s="6" r="BT218">
        <v>1500</v>
      </c>
      <c s="6" r="BY218">
        <v>0</v>
      </c>
    </row>
    <row customHeight="1" r="219" ht="14.25">
      <c t="s" s="6" r="A219">
        <v>1923</v>
      </c>
      <c t="s" s="6" r="B219">
        <v>493</v>
      </c>
      <c t="s" s="6" r="D219">
        <v>58</v>
      </c>
      <c t="s" s="6" r="E219">
        <v>973</v>
      </c>
      <c t="s" s="6" r="F219">
        <v>81</v>
      </c>
      <c t="s" s="6" r="G219">
        <v>1924</v>
      </c>
      <c s="6" r="H219">
        <v>1</v>
      </c>
      <c t="s" s="6" r="I219">
        <v>107</v>
      </c>
      <c t="s" s="6" r="J219">
        <v>1925</v>
      </c>
      <c t="s" s="6" r="M219">
        <v>99</v>
      </c>
      <c s="6" r="N219">
        <v>1</v>
      </c>
      <c s="6" r="O219">
        <v>0</v>
      </c>
      <c t="s" s="6" r="P219">
        <v>1865</v>
      </c>
      <c t="s" s="6" r="Q219">
        <v>87</v>
      </c>
      <c t="s" s="6" r="R219">
        <v>1926</v>
      </c>
      <c t="s" s="6" r="S219">
        <v>1927</v>
      </c>
      <c t="s" s="6" r="T219">
        <v>90</v>
      </c>
      <c t="s" s="6" r="U219">
        <v>1928</v>
      </c>
      <c s="6" r="V219">
        <v>1</v>
      </c>
      <c s="6" r="W219">
        <v>1</v>
      </c>
      <c s="6" r="X219">
        <v>1</v>
      </c>
      <c s="6" r="Y219">
        <v>0</v>
      </c>
      <c s="6" r="Z219">
        <v>0</v>
      </c>
      <c s="6" r="AA219">
        <v>7</v>
      </c>
      <c s="6" r="AB219">
        <v>7</v>
      </c>
      <c t="s" s="6" r="AC219">
        <v>92</v>
      </c>
      <c t="s" s="6" r="AD219">
        <v>92</v>
      </c>
      <c t="s" s="6" r="AE219">
        <v>92</v>
      </c>
      <c t="s" s="6" r="AF219">
        <v>92</v>
      </c>
      <c t="s" s="6" r="AG219">
        <v>92</v>
      </c>
      <c t="s" s="6" r="AH219">
        <v>92</v>
      </c>
      <c t="s" s="6" r="AI219">
        <v>92</v>
      </c>
      <c t="s" s="6" r="AJ219">
        <v>92</v>
      </c>
      <c t="s" s="6" r="AK219">
        <v>92</v>
      </c>
      <c t="s" s="6" r="AL219">
        <v>92</v>
      </c>
      <c t="s" s="6" r="AM219">
        <v>92</v>
      </c>
      <c t="s" s="6" r="AN219">
        <v>92</v>
      </c>
      <c s="6" r="AP219">
        <v>7</v>
      </c>
      <c t="s" s="6" r="AR219">
        <v>1929</v>
      </c>
      <c s="6" r="AS219">
        <v>0</v>
      </c>
      <c s="6" r="AT219">
        <v>0</v>
      </c>
      <c s="6" r="AU219">
        <v>0</v>
      </c>
      <c s="6" r="AV219">
        <v>0</v>
      </c>
      <c s="6" r="AW219">
        <v>0</v>
      </c>
      <c s="6" r="AX219">
        <v>0</v>
      </c>
      <c s="6" r="AY219">
        <v>0</v>
      </c>
      <c s="6" r="AZ219">
        <v>0</v>
      </c>
      <c s="6" r="BA219">
        <v>0</v>
      </c>
      <c s="6" r="BB219">
        <v>0</v>
      </c>
      <c s="6" r="BC219">
        <v>0</v>
      </c>
      <c s="6" r="BD219">
        <v>0</v>
      </c>
      <c s="6" r="BE219">
        <v>0</v>
      </c>
      <c s="6" r="BF219">
        <v>0</v>
      </c>
      <c s="6" r="BG219">
        <v>1</v>
      </c>
      <c s="6" r="BH219">
        <v>0</v>
      </c>
      <c s="6" r="BI219">
        <v>0</v>
      </c>
      <c s="6" r="BJ219">
        <v>0</v>
      </c>
      <c s="6" r="BK219">
        <v>0</v>
      </c>
      <c s="6" r="BL219">
        <v>0</v>
      </c>
      <c s="6" r="BM219">
        <v>0</v>
      </c>
      <c s="6" r="BN219">
        <v>0</v>
      </c>
      <c s="6" r="BO219">
        <v>0</v>
      </c>
      <c s="6" r="BP219">
        <v>0</v>
      </c>
      <c s="6" r="BQ219">
        <v>0</v>
      </c>
      <c t="str" s="6" r="BR219">
        <f>HYPERLINK("http://www.d20pfsrd.com/magic/all-spells/f/forcecage","Forcecage")</f>
        <v>Forcecage</v>
      </c>
      <c s="6" r="BS219">
        <v>218</v>
      </c>
      <c s="6" r="BT219">
        <v>500</v>
      </c>
      <c t="s" s="6" r="BV219">
        <v>301</v>
      </c>
      <c s="6" r="BY219">
        <v>0</v>
      </c>
    </row>
    <row customHeight="1" r="220" ht="14.25">
      <c t="s" s="6" r="A220">
        <v>1930</v>
      </c>
      <c t="s" s="6" r="B220">
        <v>493</v>
      </c>
      <c t="s" s="6" r="D220">
        <v>58</v>
      </c>
      <c t="s" s="6" r="E220">
        <v>95</v>
      </c>
      <c t="s" s="6" r="F220">
        <v>81</v>
      </c>
      <c t="s" s="6" r="G220">
        <v>1059</v>
      </c>
      <c s="6" r="H220">
        <v>0</v>
      </c>
      <c t="s" s="6" r="I220">
        <v>97</v>
      </c>
      <c t="s" s="6" r="K220">
        <v>796</v>
      </c>
      <c t="s" s="6" r="M220">
        <v>99</v>
      </c>
      <c s="6" r="N220">
        <v>1</v>
      </c>
      <c s="6" r="O220">
        <v>0</v>
      </c>
      <c t="s" s="6" r="P220">
        <v>86</v>
      </c>
      <c t="s" s="6" r="Q220">
        <v>188</v>
      </c>
      <c t="s" s="6" r="R220">
        <v>1931</v>
      </c>
      <c t="s" s="6" r="S220">
        <v>1932</v>
      </c>
      <c t="s" s="6" r="T220">
        <v>90</v>
      </c>
      <c t="s" s="6" r="U220">
        <v>1933</v>
      </c>
      <c s="6" r="V220">
        <v>1</v>
      </c>
      <c s="6" r="W220">
        <v>1</v>
      </c>
      <c s="6" r="X220">
        <v>0</v>
      </c>
      <c s="6" r="Y220">
        <v>1</v>
      </c>
      <c s="6" r="Z220">
        <v>0</v>
      </c>
      <c s="6" r="AA220">
        <v>6</v>
      </c>
      <c s="6" r="AB220">
        <v>6</v>
      </c>
      <c t="s" s="6" r="AC220">
        <v>92</v>
      </c>
      <c t="s" s="6" r="AD220">
        <v>92</v>
      </c>
      <c t="s" s="6" r="AE220">
        <v>92</v>
      </c>
      <c t="s" s="6" r="AF220">
        <v>92</v>
      </c>
      <c t="s" s="6" r="AG220">
        <v>92</v>
      </c>
      <c t="s" s="6" r="AH220">
        <v>92</v>
      </c>
      <c t="s" s="6" r="AI220">
        <v>92</v>
      </c>
      <c t="s" s="6" r="AJ220">
        <v>92</v>
      </c>
      <c t="s" s="6" r="AK220">
        <v>92</v>
      </c>
      <c t="s" s="6" r="AL220">
        <v>92</v>
      </c>
      <c t="s" s="6" r="AM220">
        <v>92</v>
      </c>
      <c s="6" r="AN220">
        <v>6</v>
      </c>
      <c s="6" r="AP220">
        <v>6</v>
      </c>
      <c t="s" s="6" r="AR220">
        <v>1934</v>
      </c>
      <c s="6" r="AS220">
        <v>0</v>
      </c>
      <c s="6" r="AT220">
        <v>0</v>
      </c>
      <c s="6" r="AU220">
        <v>0</v>
      </c>
      <c s="6" r="AV220">
        <v>0</v>
      </c>
      <c s="6" r="AW220">
        <v>0</v>
      </c>
      <c s="6" r="AX220">
        <v>0</v>
      </c>
      <c s="6" r="AY220">
        <v>0</v>
      </c>
      <c s="6" r="AZ220">
        <v>0</v>
      </c>
      <c s="6" r="BA220">
        <v>0</v>
      </c>
      <c s="6" r="BB220">
        <v>0</v>
      </c>
      <c s="6" r="BC220">
        <v>0</v>
      </c>
      <c s="6" r="BD220">
        <v>0</v>
      </c>
      <c s="6" r="BE220">
        <v>0</v>
      </c>
      <c s="6" r="BF220">
        <v>0</v>
      </c>
      <c s="6" r="BG220">
        <v>1</v>
      </c>
      <c s="6" r="BH220">
        <v>0</v>
      </c>
      <c s="6" r="BI220">
        <v>0</v>
      </c>
      <c s="6" r="BJ220">
        <v>0</v>
      </c>
      <c s="6" r="BK220">
        <v>0</v>
      </c>
      <c s="6" r="BL220">
        <v>0</v>
      </c>
      <c s="6" r="BM220">
        <v>0</v>
      </c>
      <c s="6" r="BN220">
        <v>0</v>
      </c>
      <c s="6" r="BO220">
        <v>0</v>
      </c>
      <c s="6" r="BP220">
        <v>0</v>
      </c>
      <c s="6" r="BQ220">
        <v>0</v>
      </c>
      <c t="str" s="6" r="BR220">
        <f>HYPERLINK("http://www.d20pfsrd.com/magic/all-spells/f/forceful-hand","Forceful Hand")</f>
        <v>Forceful Hand</v>
      </c>
      <c s="6" r="BS220">
        <v>219</v>
      </c>
      <c t="s" s="6" r="BT220">
        <v>92</v>
      </c>
      <c s="6" r="BY220">
        <v>0</v>
      </c>
    </row>
    <row customHeight="1" r="221" ht="14.25">
      <c t="s" s="6" r="A221">
        <v>1935</v>
      </c>
      <c t="s" s="6" r="B221">
        <v>174</v>
      </c>
      <c t="s" s="6" r="E221">
        <v>1936</v>
      </c>
      <c t="s" s="6" r="F221">
        <v>81</v>
      </c>
      <c t="s" s="6" r="G221">
        <v>1937</v>
      </c>
      <c s="6" r="H221">
        <v>0</v>
      </c>
      <c t="s" s="6" r="I221">
        <v>1766</v>
      </c>
      <c t="s" s="6" r="L221">
        <v>141</v>
      </c>
      <c t="s" s="6" r="M221">
        <v>134</v>
      </c>
      <c s="6" r="N221">
        <v>0</v>
      </c>
      <c s="6" r="O221">
        <v>0</v>
      </c>
      <c t="s" s="6" r="P221">
        <v>1768</v>
      </c>
      <c t="s" s="6" r="Q221">
        <v>1769</v>
      </c>
      <c t="s" s="6" r="R221">
        <v>1938</v>
      </c>
      <c t="s" s="6" r="S221">
        <v>1939</v>
      </c>
      <c t="s" s="6" r="T221">
        <v>90</v>
      </c>
      <c t="s" s="6" r="U221">
        <v>1940</v>
      </c>
      <c s="6" r="V221">
        <v>1</v>
      </c>
      <c s="6" r="W221">
        <v>1</v>
      </c>
      <c s="6" r="X221">
        <v>1</v>
      </c>
      <c s="6" r="Y221">
        <v>0</v>
      </c>
      <c s="6" r="Z221">
        <v>1</v>
      </c>
      <c s="6" r="AA221">
        <v>9</v>
      </c>
      <c s="6" r="AB221">
        <v>9</v>
      </c>
      <c t="s" s="6" r="AC221">
        <v>92</v>
      </c>
      <c s="6" r="AD221">
        <v>9</v>
      </c>
      <c t="s" s="6" r="AE221">
        <v>92</v>
      </c>
      <c t="s" s="6" r="AF221">
        <v>92</v>
      </c>
      <c t="s" s="6" r="AG221">
        <v>92</v>
      </c>
      <c t="s" s="6" r="AH221">
        <v>92</v>
      </c>
      <c t="s" s="6" r="AI221">
        <v>92</v>
      </c>
      <c s="6" r="AJ221">
        <v>9</v>
      </c>
      <c t="s" s="6" r="AK221">
        <v>92</v>
      </c>
      <c t="s" s="6" r="AL221">
        <v>92</v>
      </c>
      <c t="s" s="6" r="AM221">
        <v>92</v>
      </c>
      <c t="s" s="6" r="AN221">
        <v>92</v>
      </c>
      <c s="6" r="AP221">
        <v>9</v>
      </c>
      <c t="s" s="6" r="AQ221">
        <v>1323</v>
      </c>
      <c t="s" s="6" r="AR221">
        <v>1941</v>
      </c>
      <c s="6" r="AS221">
        <v>0</v>
      </c>
      <c s="6" r="AT221">
        <v>0</v>
      </c>
      <c s="6" r="AU221">
        <v>0</v>
      </c>
      <c s="6" r="AV221">
        <v>0</v>
      </c>
      <c s="6" r="AW221">
        <v>0</v>
      </c>
      <c s="6" r="AX221">
        <v>0</v>
      </c>
      <c s="6" r="AY221">
        <v>0</v>
      </c>
      <c s="6" r="AZ221">
        <v>0</v>
      </c>
      <c s="6" r="BA221">
        <v>0</v>
      </c>
      <c s="6" r="BB221">
        <v>0</v>
      </c>
      <c s="6" r="BC221">
        <v>0</v>
      </c>
      <c s="6" r="BD221">
        <v>0</v>
      </c>
      <c s="6" r="BE221">
        <v>0</v>
      </c>
      <c s="6" r="BF221">
        <v>0</v>
      </c>
      <c s="6" r="BG221">
        <v>0</v>
      </c>
      <c s="6" r="BH221">
        <v>0</v>
      </c>
      <c s="6" r="BI221">
        <v>0</v>
      </c>
      <c s="6" r="BJ221">
        <v>0</v>
      </c>
      <c s="6" r="BK221">
        <v>0</v>
      </c>
      <c s="6" r="BL221">
        <v>0</v>
      </c>
      <c s="6" r="BM221">
        <v>0</v>
      </c>
      <c s="6" r="BN221">
        <v>0</v>
      </c>
      <c s="6" r="BO221">
        <v>0</v>
      </c>
      <c s="6" r="BP221">
        <v>0</v>
      </c>
      <c s="6" r="BQ221">
        <v>0</v>
      </c>
      <c t="str" s="6" r="BR221">
        <f>HYPERLINK("http://www.d20pfsrd.com/magic/all-spells/f/foresight","Foresight")</f>
        <v>Foresight</v>
      </c>
      <c s="6" r="BS221">
        <v>220</v>
      </c>
      <c t="s" s="6" r="BT221">
        <v>92</v>
      </c>
      <c t="s" s="6" r="BU221">
        <v>586</v>
      </c>
      <c t="s" s="6" r="BV221">
        <v>848</v>
      </c>
      <c t="s" s="6" r="BW221">
        <v>1942</v>
      </c>
      <c s="6" r="BY221">
        <v>1</v>
      </c>
    </row>
    <row customHeight="1" r="222" ht="14.25">
      <c t="s" s="6" r="A222">
        <v>1943</v>
      </c>
      <c t="s" s="6" r="B222">
        <v>131</v>
      </c>
      <c t="s" s="6" r="C222">
        <v>152</v>
      </c>
      <c t="s" s="6" r="E222">
        <v>457</v>
      </c>
      <c t="s" s="6" r="F222">
        <v>81</v>
      </c>
      <c t="s" s="6" r="G222">
        <v>1944</v>
      </c>
      <c s="6" r="H222">
        <v>0</v>
      </c>
      <c t="s" s="6" r="I222">
        <v>155</v>
      </c>
      <c t="s" s="6" r="L222">
        <v>156</v>
      </c>
      <c t="s" s="6" r="M222">
        <v>122</v>
      </c>
      <c s="6" r="N222">
        <v>1</v>
      </c>
      <c s="6" r="O222">
        <v>0</v>
      </c>
      <c t="s" s="6" r="P222">
        <v>1945</v>
      </c>
      <c t="s" s="6" r="Q222">
        <v>87</v>
      </c>
      <c t="s" s="6" r="R222">
        <v>1946</v>
      </c>
      <c t="s" s="6" r="S222">
        <v>1947</v>
      </c>
      <c t="s" s="6" r="T222">
        <v>90</v>
      </c>
      <c t="s" s="6" r="U222">
        <v>1948</v>
      </c>
      <c s="6" r="V222">
        <v>1</v>
      </c>
      <c s="6" r="W222">
        <v>1</v>
      </c>
      <c s="6" r="X222">
        <v>1</v>
      </c>
      <c s="6" r="Y222">
        <v>0</v>
      </c>
      <c s="6" r="Z222">
        <v>0</v>
      </c>
      <c s="6" r="AA222">
        <v>6</v>
      </c>
      <c s="6" r="AB222">
        <v>6</v>
      </c>
      <c t="s" s="6" r="AC222">
        <v>92</v>
      </c>
      <c t="s" s="6" r="AD222">
        <v>92</v>
      </c>
      <c t="s" s="6" r="AE222">
        <v>92</v>
      </c>
      <c t="s" s="6" r="AF222">
        <v>92</v>
      </c>
      <c t="s" s="6" r="AG222">
        <v>92</v>
      </c>
      <c s="6" r="AH222">
        <v>6</v>
      </c>
      <c t="s" s="6" r="AI222">
        <v>92</v>
      </c>
      <c t="s" s="6" r="AJ222">
        <v>92</v>
      </c>
      <c t="s" s="6" r="AK222">
        <v>92</v>
      </c>
      <c t="s" s="6" r="AL222">
        <v>92</v>
      </c>
      <c t="s" s="6" r="AM222">
        <v>92</v>
      </c>
      <c s="6" r="AN222">
        <v>6</v>
      </c>
      <c s="6" r="AP222">
        <v>6</v>
      </c>
      <c t="s" s="6" r="AQ222">
        <v>1949</v>
      </c>
      <c t="s" s="6" r="AR222">
        <v>1950</v>
      </c>
      <c s="6" r="AS222">
        <v>0</v>
      </c>
      <c s="6" r="AT222">
        <v>0</v>
      </c>
      <c s="6" r="AU222">
        <v>0</v>
      </c>
      <c s="6" r="AV222">
        <v>0</v>
      </c>
      <c s="6" r="AW222">
        <v>0</v>
      </c>
      <c s="6" r="AX222">
        <v>0</v>
      </c>
      <c s="6" r="AY222">
        <v>0</v>
      </c>
      <c s="6" r="AZ222">
        <v>0</v>
      </c>
      <c s="6" r="BA222">
        <v>0</v>
      </c>
      <c s="6" r="BB222">
        <v>0</v>
      </c>
      <c s="6" r="BC222">
        <v>0</v>
      </c>
      <c s="6" r="BD222">
        <v>0</v>
      </c>
      <c s="6" r="BE222">
        <v>0</v>
      </c>
      <c s="6" r="BF222">
        <v>0</v>
      </c>
      <c s="6" r="BG222">
        <v>0</v>
      </c>
      <c s="6" r="BH222">
        <v>0</v>
      </c>
      <c s="6" r="BI222">
        <v>0</v>
      </c>
      <c s="6" r="BJ222">
        <v>0</v>
      </c>
      <c s="6" r="BK222">
        <v>0</v>
      </c>
      <c s="6" r="BL222">
        <v>0</v>
      </c>
      <c s="6" r="BM222">
        <v>0</v>
      </c>
      <c s="6" r="BN222">
        <v>0</v>
      </c>
      <c s="6" r="BO222">
        <v>0</v>
      </c>
      <c s="6" r="BP222">
        <v>0</v>
      </c>
      <c s="6" r="BQ222">
        <v>0</v>
      </c>
      <c t="str" s="6" r="BR222">
        <f>HYPERLINK("http://www.d20pfsrd.com/magic/all-spells/f/form-of-the-dragon-i","Form of the Dragon I")</f>
        <v>Form of the Dragon I</v>
      </c>
      <c s="6" r="BS222">
        <v>221</v>
      </c>
      <c t="s" s="6" r="BT222">
        <v>92</v>
      </c>
      <c t="s" s="6" r="BU222">
        <v>1951</v>
      </c>
      <c t="s" s="6" r="BV222">
        <v>442</v>
      </c>
      <c s="6" r="BY222">
        <v>0</v>
      </c>
    </row>
    <row customHeight="1" r="223" ht="14.25">
      <c t="s" s="6" r="A223">
        <v>1952</v>
      </c>
      <c t="s" s="6" r="B223">
        <v>131</v>
      </c>
      <c t="s" s="6" r="C223">
        <v>152</v>
      </c>
      <c t="s" s="6" r="E223">
        <v>973</v>
      </c>
      <c t="s" s="6" r="F223">
        <v>81</v>
      </c>
      <c t="s" s="6" r="G223">
        <v>1944</v>
      </c>
      <c s="6" r="H223">
        <v>0</v>
      </c>
      <c t="s" s="6" r="I223">
        <v>155</v>
      </c>
      <c t="s" s="6" r="L223">
        <v>156</v>
      </c>
      <c t="s" s="6" r="M223">
        <v>122</v>
      </c>
      <c s="6" r="N223">
        <v>1</v>
      </c>
      <c s="6" r="O223">
        <v>0</v>
      </c>
      <c t="s" s="6" r="P223">
        <v>1945</v>
      </c>
      <c t="s" s="6" r="Q223">
        <v>87</v>
      </c>
      <c t="s" s="6" r="R223">
        <v>1953</v>
      </c>
      <c t="s" s="6" r="S223">
        <v>1954</v>
      </c>
      <c t="s" s="6" r="T223">
        <v>90</v>
      </c>
      <c t="s" s="6" r="U223">
        <v>1955</v>
      </c>
      <c s="6" r="V223">
        <v>1</v>
      </c>
      <c s="6" r="W223">
        <v>1</v>
      </c>
      <c s="6" r="X223">
        <v>1</v>
      </c>
      <c s="6" r="Y223">
        <v>0</v>
      </c>
      <c s="6" r="Z223">
        <v>0</v>
      </c>
      <c s="6" r="AA223">
        <v>7</v>
      </c>
      <c s="6" r="AB223">
        <v>7</v>
      </c>
      <c t="s" s="6" r="AC223">
        <v>92</v>
      </c>
      <c t="s" s="6" r="AD223">
        <v>92</v>
      </c>
      <c t="s" s="6" r="AE223">
        <v>92</v>
      </c>
      <c t="s" s="6" r="AF223">
        <v>92</v>
      </c>
      <c t="s" s="6" r="AG223">
        <v>92</v>
      </c>
      <c t="s" s="6" r="AH223">
        <v>92</v>
      </c>
      <c t="s" s="6" r="AI223">
        <v>92</v>
      </c>
      <c t="s" s="6" r="AJ223">
        <v>92</v>
      </c>
      <c t="s" s="6" r="AK223">
        <v>92</v>
      </c>
      <c t="s" s="6" r="AL223">
        <v>92</v>
      </c>
      <c t="s" s="6" r="AM223">
        <v>92</v>
      </c>
      <c t="s" s="6" r="AN223">
        <v>92</v>
      </c>
      <c s="6" r="AP223">
        <v>7</v>
      </c>
      <c t="s" s="6" r="AR223">
        <v>1956</v>
      </c>
      <c s="6" r="AS223">
        <v>0</v>
      </c>
      <c s="6" r="AT223">
        <v>0</v>
      </c>
      <c s="6" r="AU223">
        <v>0</v>
      </c>
      <c s="6" r="AV223">
        <v>0</v>
      </c>
      <c s="6" r="AW223">
        <v>0</v>
      </c>
      <c s="6" r="AX223">
        <v>0</v>
      </c>
      <c s="6" r="AY223">
        <v>0</v>
      </c>
      <c s="6" r="AZ223">
        <v>0</v>
      </c>
      <c s="6" r="BA223">
        <v>0</v>
      </c>
      <c s="6" r="BB223">
        <v>0</v>
      </c>
      <c s="6" r="BC223">
        <v>0</v>
      </c>
      <c s="6" r="BD223">
        <v>0</v>
      </c>
      <c s="6" r="BE223">
        <v>0</v>
      </c>
      <c s="6" r="BF223">
        <v>0</v>
      </c>
      <c s="6" r="BG223">
        <v>0</v>
      </c>
      <c s="6" r="BH223">
        <v>0</v>
      </c>
      <c s="6" r="BI223">
        <v>0</v>
      </c>
      <c s="6" r="BJ223">
        <v>0</v>
      </c>
      <c s="6" r="BK223">
        <v>0</v>
      </c>
      <c s="6" r="BL223">
        <v>0</v>
      </c>
      <c s="6" r="BM223">
        <v>0</v>
      </c>
      <c s="6" r="BN223">
        <v>0</v>
      </c>
      <c s="6" r="BO223">
        <v>0</v>
      </c>
      <c s="6" r="BP223">
        <v>0</v>
      </c>
      <c s="6" r="BQ223">
        <v>0</v>
      </c>
      <c t="str" s="6" r="BR223">
        <f>HYPERLINK("http://www.d20pfsrd.com/magic/all-spells/f/form-of-the-dragon-i#TOC-Form-of-the-Dragon-II","Form of the Dragon II")</f>
        <v>Form of the Dragon II</v>
      </c>
      <c s="6" r="BS223">
        <v>222</v>
      </c>
      <c t="s" s="6" r="BT223">
        <v>92</v>
      </c>
      <c t="s" s="6" r="BU223">
        <v>1951</v>
      </c>
      <c t="s" s="6" r="BV223">
        <v>442</v>
      </c>
      <c s="6" r="BY223">
        <v>0</v>
      </c>
    </row>
    <row customHeight="1" r="224" ht="14.25">
      <c t="s" s="6" r="A224">
        <v>1957</v>
      </c>
      <c t="s" s="6" r="B224">
        <v>131</v>
      </c>
      <c t="s" s="6" r="C224">
        <v>152</v>
      </c>
      <c t="s" s="6" r="E224">
        <v>794</v>
      </c>
      <c t="s" s="6" r="F224">
        <v>81</v>
      </c>
      <c t="s" s="6" r="G224">
        <v>1944</v>
      </c>
      <c s="6" r="H224">
        <v>0</v>
      </c>
      <c t="s" s="6" r="I224">
        <v>155</v>
      </c>
      <c t="s" s="6" r="L224">
        <v>156</v>
      </c>
      <c t="s" s="6" r="M224">
        <v>122</v>
      </c>
      <c s="6" r="N224">
        <v>1</v>
      </c>
      <c s="6" r="O224">
        <v>0</v>
      </c>
      <c t="s" s="6" r="P224">
        <v>1945</v>
      </c>
      <c t="s" s="6" r="Q224">
        <v>87</v>
      </c>
      <c t="s" s="6" r="R224">
        <v>1958</v>
      </c>
      <c t="s" s="6" r="S224">
        <v>1959</v>
      </c>
      <c t="s" s="6" r="T224">
        <v>90</v>
      </c>
      <c t="s" s="6" r="U224">
        <v>1960</v>
      </c>
      <c s="6" r="V224">
        <v>1</v>
      </c>
      <c s="6" r="W224">
        <v>1</v>
      </c>
      <c s="6" r="X224">
        <v>1</v>
      </c>
      <c s="6" r="Y224">
        <v>0</v>
      </c>
      <c s="6" r="Z224">
        <v>0</v>
      </c>
      <c s="6" r="AA224">
        <v>8</v>
      </c>
      <c s="6" r="AB224">
        <v>8</v>
      </c>
      <c t="s" s="6" r="AC224">
        <v>92</v>
      </c>
      <c t="s" s="6" r="AD224">
        <v>92</v>
      </c>
      <c t="s" s="6" r="AE224">
        <v>92</v>
      </c>
      <c t="s" s="6" r="AF224">
        <v>92</v>
      </c>
      <c t="s" s="6" r="AG224">
        <v>92</v>
      </c>
      <c t="s" s="6" r="AH224">
        <v>92</v>
      </c>
      <c t="s" s="6" r="AI224">
        <v>92</v>
      </c>
      <c t="s" s="6" r="AJ224">
        <v>92</v>
      </c>
      <c t="s" s="6" r="AK224">
        <v>92</v>
      </c>
      <c t="s" s="6" r="AL224">
        <v>92</v>
      </c>
      <c t="s" s="6" r="AM224">
        <v>92</v>
      </c>
      <c t="s" s="6" r="AN224">
        <v>92</v>
      </c>
      <c s="6" r="AP224">
        <v>8</v>
      </c>
      <c t="s" s="6" r="AR224">
        <v>1961</v>
      </c>
      <c s="6" r="AS224">
        <v>0</v>
      </c>
      <c s="6" r="AT224">
        <v>0</v>
      </c>
      <c s="6" r="AU224">
        <v>0</v>
      </c>
      <c s="6" r="AV224">
        <v>0</v>
      </c>
      <c s="6" r="AW224">
        <v>0</v>
      </c>
      <c s="6" r="AX224">
        <v>0</v>
      </c>
      <c s="6" r="AY224">
        <v>0</v>
      </c>
      <c s="6" r="AZ224">
        <v>0</v>
      </c>
      <c s="6" r="BA224">
        <v>0</v>
      </c>
      <c s="6" r="BB224">
        <v>0</v>
      </c>
      <c s="6" r="BC224">
        <v>0</v>
      </c>
      <c s="6" r="BD224">
        <v>0</v>
      </c>
      <c s="6" r="BE224">
        <v>0</v>
      </c>
      <c s="6" r="BF224">
        <v>0</v>
      </c>
      <c s="6" r="BG224">
        <v>0</v>
      </c>
      <c s="6" r="BH224">
        <v>0</v>
      </c>
      <c s="6" r="BI224">
        <v>0</v>
      </c>
      <c s="6" r="BJ224">
        <v>0</v>
      </c>
      <c s="6" r="BK224">
        <v>0</v>
      </c>
      <c s="6" r="BL224">
        <v>0</v>
      </c>
      <c s="6" r="BM224">
        <v>0</v>
      </c>
      <c s="6" r="BN224">
        <v>0</v>
      </c>
      <c s="6" r="BO224">
        <v>0</v>
      </c>
      <c s="6" r="BP224">
        <v>0</v>
      </c>
      <c s="6" r="BQ224">
        <v>0</v>
      </c>
      <c t="str" s="6" r="BR224">
        <f>HYPERLINK("http://www.d20pfsrd.com/magic/all-spells/f/form-of-the-dragon-i#TOC-Form-of-the-Dragon-III","Form of the Dragon III")</f>
        <v>Form of the Dragon III</v>
      </c>
      <c s="6" r="BS224">
        <v>223</v>
      </c>
      <c t="s" s="6" r="BT224">
        <v>92</v>
      </c>
      <c t="s" s="6" r="BU224">
        <v>1962</v>
      </c>
      <c t="s" s="6" r="BV224">
        <v>442</v>
      </c>
      <c s="6" r="BY224">
        <v>0</v>
      </c>
    </row>
    <row customHeight="1" r="225" ht="14.25">
      <c t="s" s="6" r="A225">
        <v>1963</v>
      </c>
      <c t="s" s="6" r="B225">
        <v>131</v>
      </c>
      <c t="s" s="6" r="E225">
        <v>1964</v>
      </c>
      <c t="s" s="6" r="F225">
        <v>81</v>
      </c>
      <c t="s" s="6" r="G225">
        <v>1965</v>
      </c>
      <c s="6" r="H225">
        <v>0</v>
      </c>
      <c t="s" s="6" r="I225">
        <v>120</v>
      </c>
      <c t="s" s="6" r="L225">
        <v>420</v>
      </c>
      <c t="s" s="6" r="M225">
        <v>122</v>
      </c>
      <c s="6" r="N225">
        <v>0</v>
      </c>
      <c s="6" r="O225">
        <v>0</v>
      </c>
      <c t="s" s="6" r="P225">
        <v>421</v>
      </c>
      <c t="s" s="6" r="Q225">
        <v>188</v>
      </c>
      <c t="s" s="6" r="R225">
        <v>1966</v>
      </c>
      <c t="s" s="6" r="S225">
        <v>1967</v>
      </c>
      <c t="s" s="6" r="T225">
        <v>90</v>
      </c>
      <c t="s" s="6" r="U225">
        <v>1968</v>
      </c>
      <c s="6" r="V225">
        <v>1</v>
      </c>
      <c s="6" r="W225">
        <v>1</v>
      </c>
      <c s="6" r="X225">
        <v>1</v>
      </c>
      <c s="6" r="Y225">
        <v>0</v>
      </c>
      <c s="6" r="Z225">
        <v>1</v>
      </c>
      <c s="6" r="AA225">
        <v>2</v>
      </c>
      <c s="6" r="AB225">
        <v>2</v>
      </c>
      <c t="s" s="6" r="AC225">
        <v>92</v>
      </c>
      <c t="s" s="6" r="AD225">
        <v>92</v>
      </c>
      <c t="s" s="6" r="AE225">
        <v>92</v>
      </c>
      <c s="6" r="AF225">
        <v>2</v>
      </c>
      <c t="s" s="6" r="AG225">
        <v>92</v>
      </c>
      <c s="6" r="AH225">
        <v>2</v>
      </c>
      <c s="6" r="AI225">
        <v>2</v>
      </c>
      <c t="s" s="6" r="AJ225">
        <v>92</v>
      </c>
      <c t="s" s="6" r="AK225">
        <v>92</v>
      </c>
      <c t="s" s="6" r="AL225">
        <v>92</v>
      </c>
      <c t="s" s="6" r="AM225">
        <v>92</v>
      </c>
      <c t="s" s="6" r="AN225">
        <v>92</v>
      </c>
      <c s="6" r="AP225">
        <v>2</v>
      </c>
      <c t="s" s="6" r="AR225">
        <v>1969</v>
      </c>
      <c s="6" r="AS225">
        <v>0</v>
      </c>
      <c s="6" r="AT225">
        <v>0</v>
      </c>
      <c s="6" r="AU225">
        <v>0</v>
      </c>
      <c s="6" r="AV225">
        <v>0</v>
      </c>
      <c s="6" r="AW225">
        <v>0</v>
      </c>
      <c s="6" r="AX225">
        <v>0</v>
      </c>
      <c s="6" r="AY225">
        <v>0</v>
      </c>
      <c s="6" r="AZ225">
        <v>0</v>
      </c>
      <c s="6" r="BA225">
        <v>0</v>
      </c>
      <c s="6" r="BB225">
        <v>0</v>
      </c>
      <c s="6" r="BC225">
        <v>0</v>
      </c>
      <c s="6" r="BD225">
        <v>0</v>
      </c>
      <c s="6" r="BE225">
        <v>0</v>
      </c>
      <c s="6" r="BF225">
        <v>0</v>
      </c>
      <c s="6" r="BG225">
        <v>0</v>
      </c>
      <c s="6" r="BH225">
        <v>0</v>
      </c>
      <c s="6" r="BI225">
        <v>0</v>
      </c>
      <c s="6" r="BJ225">
        <v>0</v>
      </c>
      <c s="6" r="BK225">
        <v>0</v>
      </c>
      <c s="6" r="BL225">
        <v>0</v>
      </c>
      <c s="6" r="BM225">
        <v>0</v>
      </c>
      <c s="6" r="BN225">
        <v>0</v>
      </c>
      <c s="6" r="BO225">
        <v>0</v>
      </c>
      <c s="6" r="BP225">
        <v>0</v>
      </c>
      <c s="6" r="BQ225">
        <v>0</v>
      </c>
      <c t="str" s="6" r="BR225">
        <f>HYPERLINK("http://www.d20pfsrd.com/magic/all-spells/f/fox-s-cunning","Fox's Cunning")</f>
        <v>Fox's Cunning</v>
      </c>
      <c s="6" r="BS225">
        <v>224</v>
      </c>
      <c t="s" s="6" r="BT225">
        <v>92</v>
      </c>
      <c s="6" r="BY225">
        <v>0</v>
      </c>
    </row>
    <row customHeight="1" r="226" ht="14.25">
      <c t="s" s="6" r="A226">
        <v>1970</v>
      </c>
      <c t="s" s="6" r="B226">
        <v>131</v>
      </c>
      <c t="s" s="6" r="E226">
        <v>1971</v>
      </c>
      <c t="s" s="6" r="F226">
        <v>81</v>
      </c>
      <c t="s" s="6" r="G226">
        <v>1965</v>
      </c>
      <c s="6" r="H226">
        <v>0</v>
      </c>
      <c t="s" s="6" r="I226">
        <v>107</v>
      </c>
      <c t="s" s="6" r="L226">
        <v>620</v>
      </c>
      <c t="s" s="6" r="M226">
        <v>122</v>
      </c>
      <c s="6" r="N226">
        <v>0</v>
      </c>
      <c s="6" r="O226">
        <v>0</v>
      </c>
      <c t="s" s="6" r="P226">
        <v>421</v>
      </c>
      <c t="s" s="6" r="Q226">
        <v>188</v>
      </c>
      <c t="s" s="6" r="R226">
        <v>1972</v>
      </c>
      <c t="s" s="6" r="S226">
        <v>1973</v>
      </c>
      <c t="s" s="6" r="T226">
        <v>90</v>
      </c>
      <c t="s" s="6" r="U226">
        <v>1974</v>
      </c>
      <c s="6" r="V226">
        <v>1</v>
      </c>
      <c s="6" r="W226">
        <v>1</v>
      </c>
      <c s="6" r="X226">
        <v>1</v>
      </c>
      <c s="6" r="Y226">
        <v>0</v>
      </c>
      <c s="6" r="Z226">
        <v>1</v>
      </c>
      <c s="6" r="AA226">
        <v>6</v>
      </c>
      <c s="6" r="AB226">
        <v>6</v>
      </c>
      <c t="s" s="6" r="AC226">
        <v>92</v>
      </c>
      <c t="s" s="6" r="AD226">
        <v>92</v>
      </c>
      <c t="s" s="6" r="AE226">
        <v>92</v>
      </c>
      <c s="6" r="AF226">
        <v>6</v>
      </c>
      <c t="s" s="6" r="AG226">
        <v>92</v>
      </c>
      <c t="s" s="6" r="AH226">
        <v>92</v>
      </c>
      <c s="6" r="AI226">
        <v>4</v>
      </c>
      <c t="s" s="6" r="AJ226">
        <v>92</v>
      </c>
      <c t="s" s="6" r="AK226">
        <v>92</v>
      </c>
      <c t="s" s="6" r="AL226">
        <v>92</v>
      </c>
      <c t="s" s="6" r="AM226">
        <v>92</v>
      </c>
      <c t="s" s="6" r="AN226">
        <v>92</v>
      </c>
      <c s="6" r="AP226">
        <v>6</v>
      </c>
      <c t="s" s="6" r="AR226">
        <v>1975</v>
      </c>
      <c s="6" r="AS226">
        <v>0</v>
      </c>
      <c s="6" r="AT226">
        <v>0</v>
      </c>
      <c s="6" r="AU226">
        <v>0</v>
      </c>
      <c s="6" r="AV226">
        <v>0</v>
      </c>
      <c s="6" r="AW226">
        <v>0</v>
      </c>
      <c s="6" r="AX226">
        <v>0</v>
      </c>
      <c s="6" r="AY226">
        <v>0</v>
      </c>
      <c s="6" r="AZ226">
        <v>0</v>
      </c>
      <c s="6" r="BA226">
        <v>0</v>
      </c>
      <c s="6" r="BB226">
        <v>0</v>
      </c>
      <c s="6" r="BC226">
        <v>0</v>
      </c>
      <c s="6" r="BD226">
        <v>0</v>
      </c>
      <c s="6" r="BE226">
        <v>0</v>
      </c>
      <c s="6" r="BF226">
        <v>0</v>
      </c>
      <c s="6" r="BG226">
        <v>0</v>
      </c>
      <c s="6" r="BH226">
        <v>0</v>
      </c>
      <c s="6" r="BI226">
        <v>0</v>
      </c>
      <c s="6" r="BJ226">
        <v>0</v>
      </c>
      <c s="6" r="BK226">
        <v>0</v>
      </c>
      <c s="6" r="BL226">
        <v>0</v>
      </c>
      <c s="6" r="BM226">
        <v>0</v>
      </c>
      <c s="6" r="BN226">
        <v>0</v>
      </c>
      <c s="6" r="BO226">
        <v>0</v>
      </c>
      <c s="6" r="BP226">
        <v>0</v>
      </c>
      <c s="6" r="BQ226">
        <v>0</v>
      </c>
      <c t="str" s="6" r="BR226">
        <f>HYPERLINK("http://www.d20pfsrd.com/magic/all-spells/f/fox-s-cunning","Fox's Cunning, Mass")</f>
        <v>Fox's Cunning, Mass</v>
      </c>
      <c s="6" r="BS226">
        <v>225</v>
      </c>
      <c t="s" s="6" r="BT226">
        <v>92</v>
      </c>
      <c s="6" r="BY226">
        <v>0</v>
      </c>
    </row>
    <row customHeight="1" r="227" ht="14.25">
      <c t="s" s="6" r="A227">
        <v>1976</v>
      </c>
      <c t="s" s="6" r="B227">
        <v>162</v>
      </c>
      <c t="s" s="6" r="E227">
        <v>1058</v>
      </c>
      <c t="s" s="6" r="F227">
        <v>81</v>
      </c>
      <c t="s" s="6" r="G227">
        <v>106</v>
      </c>
      <c s="6" r="H227">
        <v>0</v>
      </c>
      <c t="s" s="6" r="I227">
        <v>1977</v>
      </c>
      <c t="s" s="6" r="L227">
        <v>1235</v>
      </c>
      <c t="s" s="6" r="M227">
        <v>109</v>
      </c>
      <c s="6" r="N227">
        <v>0</v>
      </c>
      <c s="6" r="O227">
        <v>0</v>
      </c>
      <c t="s" s="6" r="P227">
        <v>421</v>
      </c>
      <c t="s" s="6" r="Q227">
        <v>188</v>
      </c>
      <c t="s" s="6" r="R227">
        <v>1978</v>
      </c>
      <c t="s" s="6" r="S227">
        <v>1979</v>
      </c>
      <c t="s" s="6" r="T227">
        <v>90</v>
      </c>
      <c t="s" s="6" r="U227">
        <v>1980</v>
      </c>
      <c s="6" r="V227">
        <v>1</v>
      </c>
      <c s="6" r="W227">
        <v>1</v>
      </c>
      <c s="6" r="X227">
        <v>0</v>
      </c>
      <c s="6" r="Y227">
        <v>0</v>
      </c>
      <c s="6" r="Z227">
        <v>0</v>
      </c>
      <c s="6" r="AA227">
        <v>9</v>
      </c>
      <c s="6" r="AB227">
        <v>9</v>
      </c>
      <c t="s" s="6" r="AC227">
        <v>92</v>
      </c>
      <c t="s" s="6" r="AD227">
        <v>92</v>
      </c>
      <c t="s" s="6" r="AE227">
        <v>92</v>
      </c>
      <c t="s" s="6" r="AF227">
        <v>92</v>
      </c>
      <c t="s" s="6" r="AG227">
        <v>92</v>
      </c>
      <c t="s" s="6" r="AH227">
        <v>92</v>
      </c>
      <c t="s" s="6" r="AI227">
        <v>92</v>
      </c>
      <c t="s" s="6" r="AJ227">
        <v>92</v>
      </c>
      <c t="s" s="6" r="AK227">
        <v>92</v>
      </c>
      <c t="s" s="6" r="AL227">
        <v>92</v>
      </c>
      <c t="s" s="6" r="AM227">
        <v>92</v>
      </c>
      <c t="s" s="6" r="AN227">
        <v>92</v>
      </c>
      <c s="6" r="AP227">
        <v>9</v>
      </c>
      <c t="s" s="6" r="AQ227">
        <v>1451</v>
      </c>
      <c t="s" s="6" r="AR227">
        <v>1981</v>
      </c>
      <c s="6" r="AS227">
        <v>0</v>
      </c>
      <c s="6" r="AT227">
        <v>0</v>
      </c>
      <c s="6" r="AU227">
        <v>0</v>
      </c>
      <c s="6" r="AV227">
        <v>0</v>
      </c>
      <c s="6" r="AW227">
        <v>0</v>
      </c>
      <c s="6" r="AX227">
        <v>0</v>
      </c>
      <c s="6" r="AY227">
        <v>0</v>
      </c>
      <c s="6" r="AZ227">
        <v>0</v>
      </c>
      <c s="6" r="BA227">
        <v>0</v>
      </c>
      <c s="6" r="BB227">
        <v>0</v>
      </c>
      <c s="6" r="BC227">
        <v>0</v>
      </c>
      <c s="6" r="BD227">
        <v>0</v>
      </c>
      <c s="6" r="BE227">
        <v>0</v>
      </c>
      <c s="6" r="BF227">
        <v>0</v>
      </c>
      <c s="6" r="BG227">
        <v>0</v>
      </c>
      <c s="6" r="BH227">
        <v>0</v>
      </c>
      <c s="6" r="BI227">
        <v>0</v>
      </c>
      <c s="6" r="BJ227">
        <v>0</v>
      </c>
      <c s="6" r="BK227">
        <v>0</v>
      </c>
      <c s="6" r="BL227">
        <v>0</v>
      </c>
      <c s="6" r="BM227">
        <v>0</v>
      </c>
      <c s="6" r="BN227">
        <v>0</v>
      </c>
      <c s="6" r="BO227">
        <v>0</v>
      </c>
      <c s="6" r="BP227">
        <v>0</v>
      </c>
      <c s="6" r="BQ227">
        <v>0</v>
      </c>
      <c t="str" s="6" r="BR227">
        <f>HYPERLINK("http://www.d20pfsrd.com/magic/all-spells/f/freedom","Freedom")</f>
        <v>Freedom</v>
      </c>
      <c s="6" r="BS227">
        <v>226</v>
      </c>
      <c t="s" s="6" r="BT227">
        <v>92</v>
      </c>
      <c s="6" r="BY227">
        <v>0</v>
      </c>
    </row>
    <row customHeight="1" r="228" ht="14.25">
      <c t="s" s="6" r="A228">
        <v>1982</v>
      </c>
      <c t="s" s="6" r="B228">
        <v>162</v>
      </c>
      <c t="s" s="6" r="E228">
        <v>1983</v>
      </c>
      <c t="s" s="6" r="F228">
        <v>81</v>
      </c>
      <c t="s" s="6" r="G228">
        <v>1984</v>
      </c>
      <c s="6" r="H228">
        <v>0</v>
      </c>
      <c t="s" s="6" r="I228">
        <v>1766</v>
      </c>
      <c t="s" s="6" r="L228">
        <v>1767</v>
      </c>
      <c t="s" s="6" r="M228">
        <v>134</v>
      </c>
      <c s="6" r="N228">
        <v>0</v>
      </c>
      <c s="6" r="O228">
        <v>0</v>
      </c>
      <c t="s" s="6" r="P228">
        <v>421</v>
      </c>
      <c t="s" s="6" r="Q228">
        <v>123</v>
      </c>
      <c t="s" s="6" r="R228">
        <v>1985</v>
      </c>
      <c t="s" s="6" r="S228">
        <v>1986</v>
      </c>
      <c t="s" s="6" r="T228">
        <v>90</v>
      </c>
      <c t="s" s="6" r="U228">
        <v>1987</v>
      </c>
      <c s="6" r="V228">
        <v>1</v>
      </c>
      <c s="6" r="W228">
        <v>1</v>
      </c>
      <c s="6" r="X228">
        <v>1</v>
      </c>
      <c s="6" r="Y228">
        <v>0</v>
      </c>
      <c s="6" r="Z228">
        <v>1</v>
      </c>
      <c t="s" s="6" r="AA228">
        <v>92</v>
      </c>
      <c t="s" s="6" r="AB228">
        <v>92</v>
      </c>
      <c s="6" r="AC228">
        <v>4</v>
      </c>
      <c s="6" r="AD228">
        <v>4</v>
      </c>
      <c s="6" r="AE228">
        <v>4</v>
      </c>
      <c s="6" r="AF228">
        <v>4</v>
      </c>
      <c t="s" s="6" r="AG228">
        <v>92</v>
      </c>
      <c s="6" r="AH228">
        <v>4</v>
      </c>
      <c t="s" s="6" r="AI228">
        <v>92</v>
      </c>
      <c t="s" s="6" r="AJ228">
        <v>92</v>
      </c>
      <c s="6" r="AK228">
        <v>4</v>
      </c>
      <c s="6" r="AL228">
        <v>4</v>
      </c>
      <c t="s" s="6" r="AM228">
        <v>92</v>
      </c>
      <c t="s" s="6" r="AN228">
        <v>92</v>
      </c>
      <c s="6" r="AP228">
        <v>4</v>
      </c>
      <c t="s" s="6" r="AQ228">
        <v>1988</v>
      </c>
      <c t="s" s="6" r="AR228">
        <v>1989</v>
      </c>
      <c s="6" r="AS228">
        <v>0</v>
      </c>
      <c s="6" r="AT228">
        <v>0</v>
      </c>
      <c s="6" r="AU228">
        <v>0</v>
      </c>
      <c s="6" r="AV228">
        <v>0</v>
      </c>
      <c s="6" r="AW228">
        <v>0</v>
      </c>
      <c s="6" r="AX228">
        <v>0</v>
      </c>
      <c s="6" r="AY228">
        <v>0</v>
      </c>
      <c s="6" r="AZ228">
        <v>0</v>
      </c>
      <c s="6" r="BA228">
        <v>0</v>
      </c>
      <c s="6" r="BB228">
        <v>0</v>
      </c>
      <c s="6" r="BC228">
        <v>0</v>
      </c>
      <c s="6" r="BD228">
        <v>0</v>
      </c>
      <c s="6" r="BE228">
        <v>0</v>
      </c>
      <c s="6" r="BF228">
        <v>0</v>
      </c>
      <c s="6" r="BG228">
        <v>0</v>
      </c>
      <c s="6" r="BH228">
        <v>0</v>
      </c>
      <c s="6" r="BI228">
        <v>0</v>
      </c>
      <c s="6" r="BJ228">
        <v>0</v>
      </c>
      <c s="6" r="BK228">
        <v>0</v>
      </c>
      <c s="6" r="BL228">
        <v>0</v>
      </c>
      <c s="6" r="BM228">
        <v>0</v>
      </c>
      <c s="6" r="BN228">
        <v>0</v>
      </c>
      <c s="6" r="BO228">
        <v>0</v>
      </c>
      <c s="6" r="BP228">
        <v>0</v>
      </c>
      <c s="6" r="BQ228">
        <v>0</v>
      </c>
      <c t="str" s="6" r="BR228">
        <f>HYPERLINK("http://www.d20pfsrd.com/magic/all-spells/f/freedom-of-movement","Freedom of Movement")</f>
        <v>Freedom of Movement</v>
      </c>
      <c s="6" r="BS228">
        <v>227</v>
      </c>
      <c t="s" s="6" r="BT228">
        <v>92</v>
      </c>
      <c t="s" s="6" r="BU228">
        <v>586</v>
      </c>
      <c t="s" s="6" r="BV228">
        <v>680</v>
      </c>
      <c s="6" r="BY228">
        <v>0</v>
      </c>
    </row>
    <row customHeight="1" r="229" ht="14.25">
      <c t="s" s="6" r="A229">
        <v>1990</v>
      </c>
      <c t="s" s="6" r="B229">
        <v>493</v>
      </c>
      <c t="s" s="6" r="D229">
        <v>47</v>
      </c>
      <c t="s" s="6" r="E229">
        <v>95</v>
      </c>
      <c t="s" s="6" r="F229">
        <v>81</v>
      </c>
      <c t="s" s="6" r="G229">
        <v>1991</v>
      </c>
      <c s="6" r="H229">
        <v>0</v>
      </c>
      <c t="s" s="6" r="I229">
        <v>83</v>
      </c>
      <c t="s" s="6" r="L229">
        <v>1992</v>
      </c>
      <c t="s" s="6" r="M229">
        <v>1993</v>
      </c>
      <c s="6" r="N229">
        <v>0</v>
      </c>
      <c s="6" r="O229">
        <v>0</v>
      </c>
      <c t="s" s="6" r="P229">
        <v>1822</v>
      </c>
      <c t="s" s="6" r="Q229">
        <v>188</v>
      </c>
      <c t="s" s="6" r="R229">
        <v>1994</v>
      </c>
      <c t="s" s="6" r="S229">
        <v>1995</v>
      </c>
      <c t="s" s="6" r="T229">
        <v>90</v>
      </c>
      <c t="s" s="6" r="U229">
        <v>1996</v>
      </c>
      <c s="6" r="V229">
        <v>1</v>
      </c>
      <c s="6" r="W229">
        <v>1</v>
      </c>
      <c s="6" r="X229">
        <v>1</v>
      </c>
      <c s="6" r="Y229">
        <v>1</v>
      </c>
      <c s="6" r="Z229">
        <v>0</v>
      </c>
      <c s="6" r="AA229">
        <v>6</v>
      </c>
      <c s="6" r="AB229">
        <v>6</v>
      </c>
      <c t="s" s="6" r="AC229">
        <v>92</v>
      </c>
      <c t="s" s="6" r="AD229">
        <v>92</v>
      </c>
      <c t="s" s="6" r="AE229">
        <v>92</v>
      </c>
      <c t="s" s="6" r="AF229">
        <v>92</v>
      </c>
      <c t="s" s="6" r="AG229">
        <v>92</v>
      </c>
      <c t="s" s="6" r="AH229">
        <v>92</v>
      </c>
      <c t="s" s="6" r="AI229">
        <v>92</v>
      </c>
      <c t="s" s="6" r="AJ229">
        <v>92</v>
      </c>
      <c t="s" s="6" r="AK229">
        <v>92</v>
      </c>
      <c t="s" s="6" r="AL229">
        <v>92</v>
      </c>
      <c t="s" s="6" r="AM229">
        <v>92</v>
      </c>
      <c s="6" r="AN229">
        <v>6</v>
      </c>
      <c s="6" r="AP229">
        <v>6</v>
      </c>
      <c t="s" s="6" r="AQ229">
        <v>1997</v>
      </c>
      <c t="s" s="6" r="AR229">
        <v>1998</v>
      </c>
      <c s="6" r="AS229">
        <v>0</v>
      </c>
      <c s="6" r="AT229">
        <v>0</v>
      </c>
      <c s="6" r="AU229">
        <v>0</v>
      </c>
      <c s="6" r="AV229">
        <v>1</v>
      </c>
      <c s="6" r="AW229">
        <v>0</v>
      </c>
      <c s="6" r="AX229">
        <v>0</v>
      </c>
      <c s="6" r="AY229">
        <v>0</v>
      </c>
      <c s="6" r="AZ229">
        <v>0</v>
      </c>
      <c s="6" r="BA229">
        <v>0</v>
      </c>
      <c s="6" r="BB229">
        <v>0</v>
      </c>
      <c s="6" r="BC229">
        <v>0</v>
      </c>
      <c s="6" r="BD229">
        <v>0</v>
      </c>
      <c s="6" r="BE229">
        <v>0</v>
      </c>
      <c s="6" r="BF229">
        <v>0</v>
      </c>
      <c s="6" r="BG229">
        <v>0</v>
      </c>
      <c s="6" r="BH229">
        <v>0</v>
      </c>
      <c s="6" r="BI229">
        <v>0</v>
      </c>
      <c s="6" r="BJ229">
        <v>0</v>
      </c>
      <c s="6" r="BK229">
        <v>0</v>
      </c>
      <c s="6" r="BL229">
        <v>0</v>
      </c>
      <c s="6" r="BM229">
        <v>0</v>
      </c>
      <c s="6" r="BN229">
        <v>0</v>
      </c>
      <c s="6" r="BO229">
        <v>0</v>
      </c>
      <c s="6" r="BP229">
        <v>0</v>
      </c>
      <c s="6" r="BQ229">
        <v>0</v>
      </c>
      <c t="str" s="6" r="BR229">
        <f>HYPERLINK("http://www.d20pfsrd.com/magic/all-spells/f/freezing-sphere","Freezing Sphere")</f>
        <v>Freezing Sphere</v>
      </c>
      <c s="6" r="BS229">
        <v>228</v>
      </c>
      <c t="s" s="6" r="BT229">
        <v>92</v>
      </c>
      <c t="s" s="6" r="BV229">
        <v>1999</v>
      </c>
      <c s="6" r="BY229">
        <v>0</v>
      </c>
    </row>
    <row customHeight="1" r="230" ht="14.25">
      <c t="s" s="6" r="A230">
        <v>2000</v>
      </c>
      <c t="s" s="6" r="B230">
        <v>131</v>
      </c>
      <c t="s" s="6" r="E230">
        <v>2001</v>
      </c>
      <c t="s" s="6" r="F230">
        <v>81</v>
      </c>
      <c t="s" s="6" r="G230">
        <v>2002</v>
      </c>
      <c s="6" r="H230">
        <v>0</v>
      </c>
      <c t="s" s="6" r="I230">
        <v>120</v>
      </c>
      <c t="s" s="6" r="L230">
        <v>2003</v>
      </c>
      <c t="s" s="6" r="M230">
        <v>2004</v>
      </c>
      <c s="6" r="N230">
        <v>1</v>
      </c>
      <c s="6" r="O230">
        <v>0</v>
      </c>
      <c t="s" s="6" r="P230">
        <v>86</v>
      </c>
      <c t="s" s="6" r="Q230">
        <v>87</v>
      </c>
      <c t="s" s="6" r="R230">
        <v>2005</v>
      </c>
      <c t="s" s="6" r="S230">
        <v>2006</v>
      </c>
      <c t="s" s="6" r="T230">
        <v>90</v>
      </c>
      <c t="s" s="6" r="U230">
        <v>2007</v>
      </c>
      <c s="6" r="V230">
        <v>0</v>
      </c>
      <c s="6" r="W230">
        <v>1</v>
      </c>
      <c s="6" r="X230">
        <v>1</v>
      </c>
      <c s="6" r="Y230">
        <v>0</v>
      </c>
      <c s="6" r="Z230">
        <v>1</v>
      </c>
      <c s="6" r="AA230">
        <v>3</v>
      </c>
      <c s="6" r="AB230">
        <v>3</v>
      </c>
      <c t="s" s="6" r="AC230">
        <v>92</v>
      </c>
      <c t="s" s="6" r="AD230">
        <v>92</v>
      </c>
      <c t="s" s="6" r="AE230">
        <v>92</v>
      </c>
      <c s="6" r="AF230">
        <v>3</v>
      </c>
      <c t="s" s="6" r="AG230">
        <v>92</v>
      </c>
      <c s="6" r="AH230">
        <v>3</v>
      </c>
      <c t="s" s="6" r="AI230">
        <v>92</v>
      </c>
      <c t="s" s="6" r="AJ230">
        <v>92</v>
      </c>
      <c t="s" s="6" r="AK230">
        <v>92</v>
      </c>
      <c t="s" s="6" r="AL230">
        <v>92</v>
      </c>
      <c t="s" s="6" r="AM230">
        <v>92</v>
      </c>
      <c s="6" r="AN230">
        <v>3</v>
      </c>
      <c s="6" r="AP230">
        <v>3</v>
      </c>
      <c t="s" s="6" r="AQ230">
        <v>138</v>
      </c>
      <c t="s" s="6" r="AR230">
        <v>2008</v>
      </c>
      <c s="6" r="AS230">
        <v>0</v>
      </c>
      <c s="6" r="AT230">
        <v>0</v>
      </c>
      <c s="6" r="AU230">
        <v>0</v>
      </c>
      <c s="6" r="AV230">
        <v>0</v>
      </c>
      <c s="6" r="AW230">
        <v>0</v>
      </c>
      <c s="6" r="AX230">
        <v>0</v>
      </c>
      <c s="6" r="AY230">
        <v>0</v>
      </c>
      <c s="6" r="AZ230">
        <v>0</v>
      </c>
      <c s="6" r="BA230">
        <v>0</v>
      </c>
      <c s="6" r="BB230">
        <v>0</v>
      </c>
      <c s="6" r="BC230">
        <v>0</v>
      </c>
      <c s="6" r="BD230">
        <v>0</v>
      </c>
      <c s="6" r="BE230">
        <v>0</v>
      </c>
      <c s="6" r="BF230">
        <v>0</v>
      </c>
      <c s="6" r="BG230">
        <v>0</v>
      </c>
      <c s="6" r="BH230">
        <v>0</v>
      </c>
      <c s="6" r="BI230">
        <v>0</v>
      </c>
      <c s="6" r="BJ230">
        <v>0</v>
      </c>
      <c s="6" r="BK230">
        <v>0</v>
      </c>
      <c s="6" r="BL230">
        <v>0</v>
      </c>
      <c s="6" r="BM230">
        <v>0</v>
      </c>
      <c s="6" r="BN230">
        <v>0</v>
      </c>
      <c s="6" r="BO230">
        <v>0</v>
      </c>
      <c s="6" r="BP230">
        <v>0</v>
      </c>
      <c s="6" r="BQ230">
        <v>0</v>
      </c>
      <c t="str" s="6" r="BR230">
        <f>HYPERLINK("http://www.d20pfsrd.com/magic/all-spells/g/gaseous-form","Gaseous Form")</f>
        <v>Gaseous Form</v>
      </c>
      <c s="6" r="BS230">
        <v>229</v>
      </c>
      <c t="s" s="6" r="BT230">
        <v>92</v>
      </c>
      <c t="s" s="6" r="BU230">
        <v>2009</v>
      </c>
      <c t="s" s="6" r="BW230">
        <v>2010</v>
      </c>
      <c t="s" s="6" r="BX230">
        <v>2011</v>
      </c>
      <c s="6" r="BY230">
        <v>1</v>
      </c>
    </row>
    <row customHeight="1" r="231" ht="14.25">
      <c t="s" s="6" r="A231">
        <v>2012</v>
      </c>
      <c t="s" s="6" r="B231">
        <v>78</v>
      </c>
      <c t="s" s="6" r="C231">
        <v>2013</v>
      </c>
      <c t="s" s="6" r="E231">
        <v>1599</v>
      </c>
      <c t="s" s="6" r="F231">
        <v>81</v>
      </c>
      <c t="s" s="6" r="G231">
        <v>2014</v>
      </c>
      <c s="6" r="H231">
        <v>0</v>
      </c>
      <c t="s" s="6" r="I231">
        <v>97</v>
      </c>
      <c t="s" s="6" r="K231">
        <v>141</v>
      </c>
      <c t="s" s="6" r="M231">
        <v>2015</v>
      </c>
      <c s="6" r="N231">
        <v>0</v>
      </c>
      <c s="6" r="O231">
        <v>0</v>
      </c>
      <c t="s" s="6" r="P231">
        <v>86</v>
      </c>
      <c t="s" s="6" r="Q231">
        <v>87</v>
      </c>
      <c t="s" s="6" r="R231">
        <v>2016</v>
      </c>
      <c t="s" s="6" r="S231">
        <v>2017</v>
      </c>
      <c t="s" s="6" r="T231">
        <v>90</v>
      </c>
      <c t="s" s="6" r="U231">
        <v>2018</v>
      </c>
      <c s="6" r="V231">
        <v>1</v>
      </c>
      <c s="6" r="W231">
        <v>1</v>
      </c>
      <c s="6" r="X231">
        <v>1</v>
      </c>
      <c s="6" r="Y231">
        <v>0</v>
      </c>
      <c s="6" r="Z231">
        <v>0</v>
      </c>
      <c s="6" r="AA231">
        <v>9</v>
      </c>
      <c s="6" r="AB231">
        <v>9</v>
      </c>
      <c s="6" r="AC231">
        <v>9</v>
      </c>
      <c t="s" s="6" r="AD231">
        <v>92</v>
      </c>
      <c t="s" s="6" r="AE231">
        <v>92</v>
      </c>
      <c t="s" s="6" r="AF231">
        <v>92</v>
      </c>
      <c t="s" s="6" r="AG231">
        <v>92</v>
      </c>
      <c t="s" s="6" r="AH231">
        <v>92</v>
      </c>
      <c t="s" s="6" r="AI231">
        <v>92</v>
      </c>
      <c t="s" s="6" r="AJ231">
        <v>92</v>
      </c>
      <c t="s" s="6" r="AK231">
        <v>92</v>
      </c>
      <c s="6" r="AL231">
        <v>9</v>
      </c>
      <c t="s" s="6" r="AM231">
        <v>92</v>
      </c>
      <c t="s" s="6" r="AN231">
        <v>92</v>
      </c>
      <c s="6" r="AP231">
        <v>9</v>
      </c>
      <c t="s" s="6" r="AQ231">
        <v>2019</v>
      </c>
      <c t="s" s="6" r="AR231">
        <v>2020</v>
      </c>
      <c s="6" r="AS231">
        <v>0</v>
      </c>
      <c s="6" r="AT231">
        <v>0</v>
      </c>
      <c s="6" r="AU231">
        <v>0</v>
      </c>
      <c s="6" r="AV231">
        <v>0</v>
      </c>
      <c s="6" r="AW231">
        <v>0</v>
      </c>
      <c s="6" r="AX231">
        <v>0</v>
      </c>
      <c s="6" r="AY231">
        <v>0</v>
      </c>
      <c s="6" r="AZ231">
        <v>0</v>
      </c>
      <c s="6" r="BA231">
        <v>0</v>
      </c>
      <c s="6" r="BB231">
        <v>0</v>
      </c>
      <c s="6" r="BC231">
        <v>0</v>
      </c>
      <c s="6" r="BD231">
        <v>0</v>
      </c>
      <c s="6" r="BE231">
        <v>0</v>
      </c>
      <c s="6" r="BF231">
        <v>0</v>
      </c>
      <c s="6" r="BG231">
        <v>0</v>
      </c>
      <c s="6" r="BH231">
        <v>0</v>
      </c>
      <c s="6" r="BI231">
        <v>0</v>
      </c>
      <c s="6" r="BJ231">
        <v>0</v>
      </c>
      <c s="6" r="BK231">
        <v>0</v>
      </c>
      <c s="6" r="BL231">
        <v>0</v>
      </c>
      <c s="6" r="BM231">
        <v>0</v>
      </c>
      <c s="6" r="BN231">
        <v>0</v>
      </c>
      <c s="6" r="BO231">
        <v>0</v>
      </c>
      <c s="6" r="BP231">
        <v>0</v>
      </c>
      <c s="6" r="BQ231">
        <v>0</v>
      </c>
      <c t="str" s="6" r="BR231">
        <f>HYPERLINK("http://www.d20pfsrd.com/magic/all-spells/g/gate","Gate")</f>
        <v>Gate</v>
      </c>
      <c s="6" r="BS231">
        <v>230</v>
      </c>
      <c t="s" s="6" r="BT231">
        <v>92</v>
      </c>
      <c t="s" s="6" r="BU231">
        <v>406</v>
      </c>
      <c t="s" s="6" r="BV231">
        <v>2021</v>
      </c>
      <c s="6" r="BY231">
        <v>0</v>
      </c>
    </row>
    <row customHeight="1" r="232" ht="14.25">
      <c t="s" s="6" r="A232">
        <v>2022</v>
      </c>
      <c t="s" s="6" r="B232">
        <v>115</v>
      </c>
      <c t="s" s="6" r="C232">
        <v>116</v>
      </c>
      <c t="s" s="6" r="D232">
        <v>2023</v>
      </c>
      <c t="s" s="6" r="E232">
        <v>2024</v>
      </c>
      <c t="s" s="6" r="F232">
        <v>311</v>
      </c>
      <c t="s" s="6" r="G232">
        <v>251</v>
      </c>
      <c s="6" r="H232">
        <v>0</v>
      </c>
      <c t="s" s="6" r="I232">
        <v>107</v>
      </c>
      <c t="s" s="6" r="L232">
        <v>473</v>
      </c>
      <c t="s" s="6" r="M232">
        <v>2025</v>
      </c>
      <c s="6" r="N232">
        <v>1</v>
      </c>
      <c s="6" r="O232">
        <v>0</v>
      </c>
      <c t="s" s="6" r="P232">
        <v>86</v>
      </c>
      <c t="s" s="6" r="Q232">
        <v>188</v>
      </c>
      <c t="s" s="6" r="R232">
        <v>2026</v>
      </c>
      <c t="s" s="6" r="S232">
        <v>2027</v>
      </c>
      <c t="s" s="6" r="T232">
        <v>90</v>
      </c>
      <c t="s" s="6" r="U232">
        <v>2028</v>
      </c>
      <c s="6" r="V232">
        <v>1</v>
      </c>
      <c s="6" r="W232">
        <v>0</v>
      </c>
      <c s="6" r="X232">
        <v>0</v>
      </c>
      <c s="6" r="Y232">
        <v>0</v>
      </c>
      <c s="6" r="Z232">
        <v>0</v>
      </c>
      <c s="6" r="AA232">
        <v>6</v>
      </c>
      <c s="6" r="AB232">
        <v>6</v>
      </c>
      <c s="6" r="AC232">
        <v>6</v>
      </c>
      <c t="s" s="6" r="AD232">
        <v>92</v>
      </c>
      <c t="s" s="6" r="AE232">
        <v>92</v>
      </c>
      <c s="6" r="AF232">
        <v>6</v>
      </c>
      <c t="s" s="6" r="AG232">
        <v>92</v>
      </c>
      <c t="s" s="6" r="AH232">
        <v>92</v>
      </c>
      <c t="s" s="6" r="AI232">
        <v>92</v>
      </c>
      <c s="6" r="AJ232">
        <v>6</v>
      </c>
      <c s="6" r="AK232">
        <v>5</v>
      </c>
      <c s="6" r="AL232">
        <v>6</v>
      </c>
      <c t="s" s="6" r="AM232">
        <v>92</v>
      </c>
      <c t="s" s="6" r="AN232">
        <v>92</v>
      </c>
      <c s="6" r="AP232">
        <v>6</v>
      </c>
      <c t="s" s="6" r="AQ232">
        <v>2029</v>
      </c>
      <c t="s" s="6" r="AR232">
        <v>2030</v>
      </c>
      <c s="6" r="AS232">
        <v>0</v>
      </c>
      <c s="6" r="AT232">
        <v>0</v>
      </c>
      <c s="6" r="AU232">
        <v>0</v>
      </c>
      <c s="6" r="AV232">
        <v>0</v>
      </c>
      <c s="6" r="AW232">
        <v>1</v>
      </c>
      <c s="6" r="AX232">
        <v>0</v>
      </c>
      <c s="6" r="AY232">
        <v>0</v>
      </c>
      <c s="6" r="AZ232">
        <v>0</v>
      </c>
      <c s="6" r="BA232">
        <v>0</v>
      </c>
      <c s="6" r="BB232">
        <v>0</v>
      </c>
      <c s="6" r="BC232">
        <v>0</v>
      </c>
      <c s="6" r="BD232">
        <v>0</v>
      </c>
      <c s="6" r="BE232">
        <v>0</v>
      </c>
      <c s="6" r="BF232">
        <v>0</v>
      </c>
      <c s="6" r="BG232">
        <v>0</v>
      </c>
      <c s="6" r="BH232">
        <v>0</v>
      </c>
      <c s="6" r="BI232">
        <v>1</v>
      </c>
      <c s="6" r="BJ232">
        <v>0</v>
      </c>
      <c s="6" r="BK232">
        <v>0</v>
      </c>
      <c s="6" r="BL232">
        <v>1</v>
      </c>
      <c s="6" r="BM232">
        <v>0</v>
      </c>
      <c s="6" r="BN232">
        <v>0</v>
      </c>
      <c s="6" r="BO232">
        <v>0</v>
      </c>
      <c s="6" r="BP232">
        <v>0</v>
      </c>
      <c s="6" r="BQ232">
        <v>0</v>
      </c>
      <c t="str" s="6" r="BR232">
        <f>HYPERLINK("http://www.d20pfsrd.com/magic/all-spells/g/geas-quest","Geas/Quest")</f>
        <v>Geas/Quest</v>
      </c>
      <c s="6" r="BS232">
        <v>231</v>
      </c>
      <c t="s" s="6" r="BT232">
        <v>92</v>
      </c>
      <c t="s" s="6" r="BV232">
        <v>1242</v>
      </c>
      <c s="6" r="BY232">
        <v>0</v>
      </c>
    </row>
    <row customHeight="1" r="233" ht="14.25">
      <c t="s" s="6" r="A233">
        <v>2031</v>
      </c>
      <c t="s" s="6" r="B233">
        <v>115</v>
      </c>
      <c t="s" s="6" r="C233">
        <v>116</v>
      </c>
      <c t="s" s="6" r="D233">
        <v>2023</v>
      </c>
      <c t="s" s="6" r="E233">
        <v>2032</v>
      </c>
      <c t="s" s="6" r="F233">
        <v>272</v>
      </c>
      <c t="s" s="6" r="G233">
        <v>251</v>
      </c>
      <c s="6" r="H233">
        <v>0</v>
      </c>
      <c t="s" s="6" r="I233">
        <v>107</v>
      </c>
      <c t="s" s="6" r="L233">
        <v>2033</v>
      </c>
      <c t="s" s="6" r="M233">
        <v>2025</v>
      </c>
      <c s="6" r="N233">
        <v>1</v>
      </c>
      <c s="6" r="O233">
        <v>0</v>
      </c>
      <c t="s" s="6" r="P233">
        <v>221</v>
      </c>
      <c t="s" s="6" r="Q233">
        <v>188</v>
      </c>
      <c t="s" s="6" r="R233">
        <v>2034</v>
      </c>
      <c t="s" s="6" r="S233">
        <v>2035</v>
      </c>
      <c t="s" s="6" r="T233">
        <v>90</v>
      </c>
      <c t="s" s="6" r="U233">
        <v>2036</v>
      </c>
      <c s="6" r="V233">
        <v>1</v>
      </c>
      <c s="6" r="W233">
        <v>0</v>
      </c>
      <c s="6" r="X233">
        <v>0</v>
      </c>
      <c s="6" r="Y233">
        <v>0</v>
      </c>
      <c s="6" r="Z233">
        <v>0</v>
      </c>
      <c s="6" r="AA233">
        <v>4</v>
      </c>
      <c s="6" r="AB233">
        <v>4</v>
      </c>
      <c t="s" s="6" r="AC233">
        <v>92</v>
      </c>
      <c t="s" s="6" r="AD233">
        <v>92</v>
      </c>
      <c t="s" s="6" r="AE233">
        <v>92</v>
      </c>
      <c s="6" r="AF233">
        <v>3</v>
      </c>
      <c t="s" s="6" r="AG233">
        <v>92</v>
      </c>
      <c t="s" s="6" r="AH233">
        <v>92</v>
      </c>
      <c t="s" s="6" r="AI233">
        <v>92</v>
      </c>
      <c s="6" r="AJ233">
        <v>4</v>
      </c>
      <c s="6" r="AK233">
        <v>4</v>
      </c>
      <c t="s" s="6" r="AL233">
        <v>92</v>
      </c>
      <c t="s" s="6" r="AM233">
        <v>92</v>
      </c>
      <c t="s" s="6" r="AN233">
        <v>92</v>
      </c>
      <c s="6" r="AP233">
        <v>4</v>
      </c>
      <c t="s" s="6" r="AR233">
        <v>2037</v>
      </c>
      <c s="6" r="AS233">
        <v>0</v>
      </c>
      <c s="6" r="AT233">
        <v>0</v>
      </c>
      <c s="6" r="AU233">
        <v>0</v>
      </c>
      <c s="6" r="AV233">
        <v>0</v>
      </c>
      <c s="6" r="AW233">
        <v>1</v>
      </c>
      <c s="6" r="AX233">
        <v>0</v>
      </c>
      <c s="6" r="AY233">
        <v>0</v>
      </c>
      <c s="6" r="AZ233">
        <v>0</v>
      </c>
      <c s="6" r="BA233">
        <v>0</v>
      </c>
      <c s="6" r="BB233">
        <v>0</v>
      </c>
      <c s="6" r="BC233">
        <v>0</v>
      </c>
      <c s="6" r="BD233">
        <v>0</v>
      </c>
      <c s="6" r="BE233">
        <v>0</v>
      </c>
      <c s="6" r="BF233">
        <v>0</v>
      </c>
      <c s="6" r="BG233">
        <v>0</v>
      </c>
      <c s="6" r="BH233">
        <v>0</v>
      </c>
      <c s="6" r="BI233">
        <v>1</v>
      </c>
      <c s="6" r="BJ233">
        <v>0</v>
      </c>
      <c s="6" r="BK233">
        <v>0</v>
      </c>
      <c s="6" r="BL233">
        <v>1</v>
      </c>
      <c s="6" r="BM233">
        <v>0</v>
      </c>
      <c s="6" r="BN233">
        <v>0</v>
      </c>
      <c s="6" r="BO233">
        <v>0</v>
      </c>
      <c s="6" r="BP233">
        <v>0</v>
      </c>
      <c s="6" r="BQ233">
        <v>0</v>
      </c>
      <c t="str" s="6" r="BR233">
        <f>HYPERLINK("http://www.d20pfsrd.com/magic/all-spells/g/geas-quest","Geas, Lesser")</f>
        <v>Geas, Lesser</v>
      </c>
      <c s="6" r="BS233">
        <v>232</v>
      </c>
      <c t="s" s="6" r="BT233">
        <v>92</v>
      </c>
      <c s="6" r="BY233">
        <v>0</v>
      </c>
    </row>
    <row customHeight="1" r="234" ht="14.25">
      <c t="s" s="6" r="A234">
        <v>2038</v>
      </c>
      <c t="s" s="6" r="B234">
        <v>227</v>
      </c>
      <c t="s" s="6" r="E234">
        <v>2039</v>
      </c>
      <c t="s" s="6" r="F234">
        <v>81</v>
      </c>
      <c t="s" s="6" r="G234">
        <v>2040</v>
      </c>
      <c s="6" r="H234">
        <v>0</v>
      </c>
      <c t="s" s="6" r="I234">
        <v>120</v>
      </c>
      <c t="s" s="6" r="L234">
        <v>2041</v>
      </c>
      <c t="s" s="6" r="M234">
        <v>200</v>
      </c>
      <c s="6" r="N234">
        <v>0</v>
      </c>
      <c s="6" r="O234">
        <v>0</v>
      </c>
      <c t="s" s="6" r="P234">
        <v>535</v>
      </c>
      <c t="s" s="6" r="Q234">
        <v>536</v>
      </c>
      <c t="s" s="6" r="R234">
        <v>2042</v>
      </c>
      <c t="s" s="6" r="S234">
        <v>2043</v>
      </c>
      <c t="s" s="6" r="T234">
        <v>90</v>
      </c>
      <c t="s" s="6" r="U234">
        <v>2044</v>
      </c>
      <c s="6" r="V234">
        <v>1</v>
      </c>
      <c s="6" r="W234">
        <v>1</v>
      </c>
      <c s="6" r="X234">
        <v>1</v>
      </c>
      <c s="6" r="Y234">
        <v>0</v>
      </c>
      <c s="6" r="Z234">
        <v>1</v>
      </c>
      <c s="6" r="AA234">
        <v>3</v>
      </c>
      <c s="6" r="AB234">
        <v>3</v>
      </c>
      <c s="6" r="AC234">
        <v>2</v>
      </c>
      <c t="s" s="6" r="AD234">
        <v>92</v>
      </c>
      <c t="s" s="6" r="AE234">
        <v>92</v>
      </c>
      <c t="s" s="6" r="AF234">
        <v>92</v>
      </c>
      <c t="s" s="6" r="AG234">
        <v>92</v>
      </c>
      <c t="s" s="6" r="AH234">
        <v>92</v>
      </c>
      <c t="s" s="6" r="AI234">
        <v>92</v>
      </c>
      <c s="6" r="AJ234">
        <v>2</v>
      </c>
      <c t="s" s="6" r="AK234">
        <v>92</v>
      </c>
      <c s="6" r="AL234">
        <v>2</v>
      </c>
      <c t="s" s="6" r="AM234">
        <v>92</v>
      </c>
      <c t="s" s="6" r="AN234">
        <v>92</v>
      </c>
      <c s="6" r="AP234">
        <v>3</v>
      </c>
      <c t="s" s="6" r="AQ234">
        <v>1199</v>
      </c>
      <c t="s" s="6" r="AR234">
        <v>2045</v>
      </c>
      <c s="6" r="AS234">
        <v>0</v>
      </c>
      <c s="6" r="AT234">
        <v>0</v>
      </c>
      <c s="6" r="AU234">
        <v>0</v>
      </c>
      <c s="6" r="AV234">
        <v>0</v>
      </c>
      <c s="6" r="AW234">
        <v>0</v>
      </c>
      <c s="6" r="AX234">
        <v>0</v>
      </c>
      <c s="6" r="AY234">
        <v>0</v>
      </c>
      <c s="6" r="AZ234">
        <v>0</v>
      </c>
      <c s="6" r="BA234">
        <v>0</v>
      </c>
      <c s="6" r="BB234">
        <v>0</v>
      </c>
      <c s="6" r="BC234">
        <v>0</v>
      </c>
      <c s="6" r="BD234">
        <v>0</v>
      </c>
      <c s="6" r="BE234">
        <v>0</v>
      </c>
      <c s="6" r="BF234">
        <v>0</v>
      </c>
      <c s="6" r="BG234">
        <v>0</v>
      </c>
      <c s="6" r="BH234">
        <v>0</v>
      </c>
      <c s="6" r="BI234">
        <v>0</v>
      </c>
      <c s="6" r="BJ234">
        <v>0</v>
      </c>
      <c s="6" r="BK234">
        <v>0</v>
      </c>
      <c s="6" r="BL234">
        <v>0</v>
      </c>
      <c s="6" r="BM234">
        <v>0</v>
      </c>
      <c s="6" r="BN234">
        <v>0</v>
      </c>
      <c s="6" r="BO234">
        <v>0</v>
      </c>
      <c s="6" r="BP234">
        <v>0</v>
      </c>
      <c s="6" r="BQ234">
        <v>0</v>
      </c>
      <c t="str" s="6" r="BR234">
        <f>HYPERLINK("http://www.d20pfsrd.com/magic/all-spells/g/gentle-repose","Gentle Repose")</f>
        <v>Gentle Repose</v>
      </c>
      <c s="6" r="BS234">
        <v>233</v>
      </c>
      <c t="s" s="6" r="BT234">
        <v>92</v>
      </c>
      <c s="6" r="BY234">
        <v>0</v>
      </c>
    </row>
    <row customHeight="1" r="235" ht="14.25">
      <c t="s" s="6" r="A235">
        <v>2046</v>
      </c>
      <c t="s" s="6" r="B235">
        <v>579</v>
      </c>
      <c t="s" s="6" r="C235">
        <v>2047</v>
      </c>
      <c t="s" s="6" r="E235">
        <v>2048</v>
      </c>
      <c t="s" s="6" r="F235">
        <v>81</v>
      </c>
      <c t="s" s="6" r="G235">
        <v>2049</v>
      </c>
      <c s="6" r="H235">
        <v>0</v>
      </c>
      <c t="s" s="6" r="I235">
        <v>107</v>
      </c>
      <c t="s" s="6" r="K235">
        <v>2050</v>
      </c>
      <c t="s" s="6" r="M235">
        <v>99</v>
      </c>
      <c s="6" r="N235">
        <v>1</v>
      </c>
      <c s="6" r="O235">
        <v>0</v>
      </c>
      <c t="s" s="6" r="P235">
        <v>2051</v>
      </c>
      <c t="s" s="6" r="Q235">
        <v>87</v>
      </c>
      <c t="s" s="6" r="R235">
        <v>2052</v>
      </c>
      <c t="s" s="6" r="S235">
        <v>2053</v>
      </c>
      <c t="s" s="6" r="T235">
        <v>90</v>
      </c>
      <c t="s" s="6" r="U235">
        <v>2054</v>
      </c>
      <c s="6" r="V235">
        <v>1</v>
      </c>
      <c s="6" r="W235">
        <v>1</v>
      </c>
      <c s="6" r="X235">
        <v>1</v>
      </c>
      <c s="6" r="Y235">
        <v>0</v>
      </c>
      <c s="6" r="Z235">
        <v>0</v>
      </c>
      <c s="6" r="AA235">
        <v>0</v>
      </c>
      <c s="6" r="AB235">
        <v>0</v>
      </c>
      <c t="s" s="6" r="AC235">
        <v>92</v>
      </c>
      <c t="s" s="6" r="AD235">
        <v>92</v>
      </c>
      <c t="s" s="6" r="AE235">
        <v>92</v>
      </c>
      <c s="6" r="AF235">
        <v>0</v>
      </c>
      <c t="s" s="6" r="AG235">
        <v>92</v>
      </c>
      <c t="s" s="6" r="AH235">
        <v>92</v>
      </c>
      <c t="s" s="6" r="AI235">
        <v>92</v>
      </c>
      <c t="s" s="6" r="AJ235">
        <v>92</v>
      </c>
      <c t="s" s="6" r="AK235">
        <v>92</v>
      </c>
      <c t="s" s="6" r="AL235">
        <v>92</v>
      </c>
      <c t="s" s="6" r="AM235">
        <v>92</v>
      </c>
      <c s="6" r="AN235">
        <v>0</v>
      </c>
      <c s="6" r="AP235">
        <v>0</v>
      </c>
      <c t="s" s="6" r="AR235">
        <v>2055</v>
      </c>
      <c s="6" r="AS235">
        <v>0</v>
      </c>
      <c s="6" r="AT235">
        <v>0</v>
      </c>
      <c s="6" r="AU235">
        <v>0</v>
      </c>
      <c s="6" r="AV235">
        <v>0</v>
      </c>
      <c s="6" r="AW235">
        <v>0</v>
      </c>
      <c s="6" r="AX235">
        <v>0</v>
      </c>
      <c s="6" r="AY235">
        <v>0</v>
      </c>
      <c s="6" r="AZ235">
        <v>0</v>
      </c>
      <c s="6" r="BA235">
        <v>0</v>
      </c>
      <c s="6" r="BB235">
        <v>0</v>
      </c>
      <c s="6" r="BC235">
        <v>0</v>
      </c>
      <c s="6" r="BD235">
        <v>0</v>
      </c>
      <c s="6" r="BE235">
        <v>0</v>
      </c>
      <c s="6" r="BF235">
        <v>0</v>
      </c>
      <c s="6" r="BG235">
        <v>0</v>
      </c>
      <c s="6" r="BH235">
        <v>0</v>
      </c>
      <c s="6" r="BI235">
        <v>0</v>
      </c>
      <c s="6" r="BJ235">
        <v>0</v>
      </c>
      <c s="6" r="BK235">
        <v>0</v>
      </c>
      <c s="6" r="BL235">
        <v>0</v>
      </c>
      <c s="6" r="BM235">
        <v>0</v>
      </c>
      <c s="6" r="BN235">
        <v>0</v>
      </c>
      <c s="6" r="BO235">
        <v>0</v>
      </c>
      <c s="6" r="BP235">
        <v>0</v>
      </c>
      <c s="6" r="BQ235">
        <v>0</v>
      </c>
      <c t="str" s="6" r="BR235">
        <f>HYPERLINK("http://www.d20pfsrd.com/magic/all-spells/g/ghost-sound","Ghost Sound")</f>
        <v>Ghost Sound</v>
      </c>
      <c s="6" r="BS235">
        <v>234</v>
      </c>
      <c t="s" s="6" r="BT235">
        <v>92</v>
      </c>
      <c s="6" r="BY235">
        <v>0</v>
      </c>
    </row>
    <row customHeight="1" r="236" ht="14.25">
      <c t="s" s="6" r="A236">
        <v>2056</v>
      </c>
      <c t="s" s="6" r="B236">
        <v>227</v>
      </c>
      <c t="s" s="6" r="E236">
        <v>320</v>
      </c>
      <c t="s" s="6" r="F236">
        <v>81</v>
      </c>
      <c t="s" s="6" r="G236">
        <v>2057</v>
      </c>
      <c s="6" r="H236">
        <v>0</v>
      </c>
      <c t="s" s="6" r="I236">
        <v>120</v>
      </c>
      <c t="s" s="6" r="L236">
        <v>2058</v>
      </c>
      <c t="s" s="6" r="M236">
        <v>2059</v>
      </c>
      <c s="6" r="N236">
        <v>0</v>
      </c>
      <c s="6" r="O236">
        <v>0</v>
      </c>
      <c t="s" s="6" r="P236">
        <v>187</v>
      </c>
      <c t="s" s="6" r="Q236">
        <v>188</v>
      </c>
      <c t="s" s="6" r="R236">
        <v>2060</v>
      </c>
      <c t="s" s="6" r="S236">
        <v>2061</v>
      </c>
      <c t="s" s="6" r="T236">
        <v>90</v>
      </c>
      <c t="s" s="6" r="U236">
        <v>2062</v>
      </c>
      <c s="6" r="V236">
        <v>1</v>
      </c>
      <c s="6" r="W236">
        <v>1</v>
      </c>
      <c s="6" r="X236">
        <v>1</v>
      </c>
      <c s="6" r="Y236">
        <v>0</v>
      </c>
      <c s="6" r="Z236">
        <v>0</v>
      </c>
      <c s="6" r="AA236">
        <v>2</v>
      </c>
      <c s="6" r="AB236">
        <v>2</v>
      </c>
      <c t="s" s="6" r="AC236">
        <v>92</v>
      </c>
      <c t="s" s="6" r="AD236">
        <v>92</v>
      </c>
      <c t="s" s="6" r="AE236">
        <v>92</v>
      </c>
      <c t="s" s="6" r="AF236">
        <v>92</v>
      </c>
      <c t="s" s="6" r="AG236">
        <v>92</v>
      </c>
      <c t="s" s="6" r="AH236">
        <v>92</v>
      </c>
      <c t="s" s="6" r="AI236">
        <v>92</v>
      </c>
      <c t="s" s="6" r="AJ236">
        <v>92</v>
      </c>
      <c t="s" s="6" r="AK236">
        <v>92</v>
      </c>
      <c t="s" s="6" r="AL236">
        <v>92</v>
      </c>
      <c t="s" s="6" r="AM236">
        <v>92</v>
      </c>
      <c t="s" s="6" r="AN236">
        <v>92</v>
      </c>
      <c s="6" r="AP236">
        <v>2</v>
      </c>
      <c t="s" s="6" r="AQ236">
        <v>236</v>
      </c>
      <c t="s" s="6" r="AR236">
        <v>2063</v>
      </c>
      <c s="6" r="AS236">
        <v>0</v>
      </c>
      <c s="6" r="AT236">
        <v>0</v>
      </c>
      <c s="6" r="AU236">
        <v>0</v>
      </c>
      <c s="6" r="AV236">
        <v>0</v>
      </c>
      <c s="6" r="AW236">
        <v>0</v>
      </c>
      <c s="6" r="AX236">
        <v>0</v>
      </c>
      <c s="6" r="AY236">
        <v>0</v>
      </c>
      <c s="6" r="AZ236">
        <v>0</v>
      </c>
      <c s="6" r="BA236">
        <v>0</v>
      </c>
      <c s="6" r="BB236">
        <v>0</v>
      </c>
      <c s="6" r="BC236">
        <v>0</v>
      </c>
      <c s="6" r="BD236">
        <v>0</v>
      </c>
      <c s="6" r="BE236">
        <v>0</v>
      </c>
      <c s="6" r="BF236">
        <v>0</v>
      </c>
      <c s="6" r="BG236">
        <v>0</v>
      </c>
      <c s="6" r="BH236">
        <v>0</v>
      </c>
      <c s="6" r="BI236">
        <v>0</v>
      </c>
      <c s="6" r="BJ236">
        <v>0</v>
      </c>
      <c s="6" r="BK236">
        <v>0</v>
      </c>
      <c s="6" r="BL236">
        <v>0</v>
      </c>
      <c s="6" r="BM236">
        <v>0</v>
      </c>
      <c s="6" r="BN236">
        <v>0</v>
      </c>
      <c s="6" r="BO236">
        <v>0</v>
      </c>
      <c s="6" r="BP236">
        <v>0</v>
      </c>
      <c s="6" r="BQ236">
        <v>0</v>
      </c>
      <c t="str" s="6" r="BR236">
        <f>HYPERLINK("http://www.d20pfsrd.com/magic/all-spells/g/ghoul-touch","Ghoul touch")</f>
        <v>Ghoul touch</v>
      </c>
      <c s="6" r="BS236">
        <v>235</v>
      </c>
      <c t="s" s="6" r="BT236">
        <v>92</v>
      </c>
      <c s="6" r="BY236">
        <v>0</v>
      </c>
    </row>
    <row customHeight="1" r="237" ht="14.25">
      <c t="s" s="6" r="A237">
        <v>2064</v>
      </c>
      <c t="s" s="6" r="B237">
        <v>131</v>
      </c>
      <c t="s" s="6" r="C237">
        <v>152</v>
      </c>
      <c t="s" s="6" r="E237">
        <v>2065</v>
      </c>
      <c t="s" s="6" r="F237">
        <v>81</v>
      </c>
      <c t="s" s="6" r="G237">
        <v>154</v>
      </c>
      <c s="6" r="H237">
        <v>0</v>
      </c>
      <c t="s" s="6" r="I237">
        <v>155</v>
      </c>
      <c t="s" s="6" r="L237">
        <v>156</v>
      </c>
      <c t="s" s="6" r="M237">
        <v>122</v>
      </c>
      <c s="6" r="N237">
        <v>1</v>
      </c>
      <c s="6" r="O237">
        <v>0</v>
      </c>
      <c t="s" s="6" r="R237">
        <v>2066</v>
      </c>
      <c t="s" s="6" r="S237">
        <v>2067</v>
      </c>
      <c t="s" s="6" r="T237">
        <v>90</v>
      </c>
      <c t="s" s="6" r="U237">
        <v>2068</v>
      </c>
      <c s="6" r="V237">
        <v>1</v>
      </c>
      <c s="6" r="W237">
        <v>1</v>
      </c>
      <c s="6" r="X237">
        <v>1</v>
      </c>
      <c s="6" r="Y237">
        <v>0</v>
      </c>
      <c s="6" r="Z237">
        <v>0</v>
      </c>
      <c s="6" r="AA237">
        <v>7</v>
      </c>
      <c s="6" r="AB237">
        <v>7</v>
      </c>
      <c t="s" s="6" r="AC237">
        <v>92</v>
      </c>
      <c t="s" s="6" r="AD237">
        <v>92</v>
      </c>
      <c t="s" s="6" r="AE237">
        <v>92</v>
      </c>
      <c t="s" s="6" r="AF237">
        <v>92</v>
      </c>
      <c t="s" s="6" r="AG237">
        <v>92</v>
      </c>
      <c s="6" r="AH237">
        <v>6</v>
      </c>
      <c t="s" s="6" r="AI237">
        <v>92</v>
      </c>
      <c t="s" s="6" r="AJ237">
        <v>92</v>
      </c>
      <c t="s" s="6" r="AK237">
        <v>92</v>
      </c>
      <c t="s" s="6" r="AL237">
        <v>92</v>
      </c>
      <c t="s" s="6" r="AM237">
        <v>92</v>
      </c>
      <c t="s" s="6" r="AN237">
        <v>92</v>
      </c>
      <c s="6" r="AP237">
        <v>7</v>
      </c>
      <c t="s" s="6" r="AR237">
        <v>2069</v>
      </c>
      <c s="6" r="AS237">
        <v>0</v>
      </c>
      <c s="6" r="AT237">
        <v>0</v>
      </c>
      <c s="6" r="AU237">
        <v>0</v>
      </c>
      <c s="6" r="AV237">
        <v>0</v>
      </c>
      <c s="6" r="AW237">
        <v>0</v>
      </c>
      <c s="6" r="AX237">
        <v>0</v>
      </c>
      <c s="6" r="AY237">
        <v>0</v>
      </c>
      <c s="6" r="AZ237">
        <v>0</v>
      </c>
      <c s="6" r="BA237">
        <v>0</v>
      </c>
      <c s="6" r="BB237">
        <v>0</v>
      </c>
      <c s="6" r="BC237">
        <v>0</v>
      </c>
      <c s="6" r="BD237">
        <v>0</v>
      </c>
      <c s="6" r="BE237">
        <v>0</v>
      </c>
      <c s="6" r="BF237">
        <v>0</v>
      </c>
      <c s="6" r="BG237">
        <v>0</v>
      </c>
      <c s="6" r="BH237">
        <v>0</v>
      </c>
      <c s="6" r="BI237">
        <v>0</v>
      </c>
      <c s="6" r="BJ237">
        <v>0</v>
      </c>
      <c s="6" r="BK237">
        <v>0</v>
      </c>
      <c s="6" r="BL237">
        <v>0</v>
      </c>
      <c s="6" r="BM237">
        <v>0</v>
      </c>
      <c s="6" r="BN237">
        <v>0</v>
      </c>
      <c s="6" r="BO237">
        <v>0</v>
      </c>
      <c s="6" r="BP237">
        <v>0</v>
      </c>
      <c s="6" r="BQ237">
        <v>0</v>
      </c>
      <c t="str" s="6" r="BR237">
        <f>HYPERLINK("http://www.d20pfsrd.com/magic/all-spells/g/giant-form-i","Giant Form I")</f>
        <v>Giant Form I</v>
      </c>
      <c s="6" r="BS237">
        <v>236</v>
      </c>
      <c t="s" s="6" r="BT237">
        <v>92</v>
      </c>
      <c t="s" s="6" r="BU237">
        <v>2070</v>
      </c>
      <c t="s" s="6" r="BV237">
        <v>618</v>
      </c>
      <c s="6" r="BY237">
        <v>0</v>
      </c>
    </row>
    <row customHeight="1" r="238" ht="14.25">
      <c t="s" s="6" r="A238">
        <v>2071</v>
      </c>
      <c t="s" s="6" r="B238">
        <v>2072</v>
      </c>
      <c t="s" s="6" r="C238">
        <v>152</v>
      </c>
      <c t="s" s="6" r="E238">
        <v>794</v>
      </c>
      <c t="s" s="6" r="F238">
        <v>81</v>
      </c>
      <c t="s" s="6" r="G238">
        <v>154</v>
      </c>
      <c s="6" r="H238">
        <v>0</v>
      </c>
      <c t="s" s="6" r="I238">
        <v>155</v>
      </c>
      <c t="s" s="6" r="L238">
        <v>156</v>
      </c>
      <c t="s" s="6" r="M238">
        <v>122</v>
      </c>
      <c s="6" r="N238">
        <v>1</v>
      </c>
      <c s="6" r="O238">
        <v>0</v>
      </c>
      <c t="s" s="6" r="R238">
        <v>2073</v>
      </c>
      <c t="s" s="6" r="S238">
        <v>2074</v>
      </c>
      <c t="s" s="6" r="T238">
        <v>90</v>
      </c>
      <c t="s" s="6" r="U238">
        <v>2075</v>
      </c>
      <c s="6" r="V238">
        <v>1</v>
      </c>
      <c s="6" r="W238">
        <v>1</v>
      </c>
      <c s="6" r="X238">
        <v>1</v>
      </c>
      <c s="6" r="Y238">
        <v>0</v>
      </c>
      <c s="6" r="Z238">
        <v>0</v>
      </c>
      <c s="6" r="AA238">
        <v>8</v>
      </c>
      <c s="6" r="AB238">
        <v>8</v>
      </c>
      <c t="s" s="6" r="AC238">
        <v>92</v>
      </c>
      <c t="s" s="6" r="AD238">
        <v>92</v>
      </c>
      <c t="s" s="6" r="AE238">
        <v>92</v>
      </c>
      <c t="s" s="6" r="AF238">
        <v>92</v>
      </c>
      <c t="s" s="6" r="AG238">
        <v>92</v>
      </c>
      <c t="s" s="6" r="AH238">
        <v>92</v>
      </c>
      <c t="s" s="6" r="AI238">
        <v>92</v>
      </c>
      <c t="s" s="6" r="AJ238">
        <v>92</v>
      </c>
      <c t="s" s="6" r="AK238">
        <v>92</v>
      </c>
      <c t="s" s="6" r="AL238">
        <v>92</v>
      </c>
      <c t="s" s="6" r="AM238">
        <v>92</v>
      </c>
      <c t="s" s="6" r="AN238">
        <v>92</v>
      </c>
      <c s="6" r="AP238">
        <v>8</v>
      </c>
      <c t="s" s="6" r="AR238">
        <v>2076</v>
      </c>
      <c s="6" r="AS238">
        <v>0</v>
      </c>
      <c s="6" r="AT238">
        <v>0</v>
      </c>
      <c s="6" r="AU238">
        <v>0</v>
      </c>
      <c s="6" r="AV238">
        <v>0</v>
      </c>
      <c s="6" r="AW238">
        <v>0</v>
      </c>
      <c s="6" r="AX238">
        <v>0</v>
      </c>
      <c s="6" r="AY238">
        <v>0</v>
      </c>
      <c s="6" r="AZ238">
        <v>0</v>
      </c>
      <c s="6" r="BA238">
        <v>0</v>
      </c>
      <c s="6" r="BB238">
        <v>0</v>
      </c>
      <c s="6" r="BC238">
        <v>0</v>
      </c>
      <c s="6" r="BD238">
        <v>0</v>
      </c>
      <c s="6" r="BE238">
        <v>0</v>
      </c>
      <c s="6" r="BF238">
        <v>0</v>
      </c>
      <c s="6" r="BG238">
        <v>0</v>
      </c>
      <c s="6" r="BH238">
        <v>0</v>
      </c>
      <c s="6" r="BI238">
        <v>0</v>
      </c>
      <c s="6" r="BJ238">
        <v>0</v>
      </c>
      <c s="6" r="BK238">
        <v>0</v>
      </c>
      <c s="6" r="BL238">
        <v>0</v>
      </c>
      <c s="6" r="BM238">
        <v>0</v>
      </c>
      <c s="6" r="BN238">
        <v>0</v>
      </c>
      <c s="6" r="BO238">
        <v>0</v>
      </c>
      <c s="6" r="BP238">
        <v>0</v>
      </c>
      <c s="6" r="BQ238">
        <v>0</v>
      </c>
      <c t="str" s="6" r="BR238">
        <f>HYPERLINK("http://www.d20pfsrd.com/magic/all-spells/g/giant-form-i","Giant Form II")</f>
        <v>Giant Form II</v>
      </c>
      <c s="6" r="BS238">
        <v>237</v>
      </c>
      <c t="s" s="6" r="BT238">
        <v>92</v>
      </c>
      <c t="s" s="6" r="BU238">
        <v>1833</v>
      </c>
      <c t="s" s="6" r="BV238">
        <v>618</v>
      </c>
      <c s="6" r="BY238">
        <v>0</v>
      </c>
    </row>
    <row customHeight="1" r="239" ht="14.25">
      <c t="s" s="6" r="A239">
        <v>2077</v>
      </c>
      <c t="s" s="6" r="B239">
        <v>131</v>
      </c>
      <c t="s" s="6" r="E239">
        <v>2078</v>
      </c>
      <c t="s" s="6" r="F239">
        <v>81</v>
      </c>
      <c t="s" s="6" r="G239">
        <v>119</v>
      </c>
      <c s="6" r="H239">
        <v>0</v>
      </c>
      <c t="s" s="6" r="I239">
        <v>107</v>
      </c>
      <c t="s" s="6" r="L239">
        <v>2079</v>
      </c>
      <c t="s" s="6" r="M239">
        <v>122</v>
      </c>
      <c s="6" r="N239">
        <v>0</v>
      </c>
      <c s="6" r="O239">
        <v>0</v>
      </c>
      <c t="s" s="6" r="P239">
        <v>86</v>
      </c>
      <c t="s" s="6" r="Q239">
        <v>188</v>
      </c>
      <c t="s" s="6" r="R239">
        <v>2080</v>
      </c>
      <c t="s" s="6" r="S239">
        <v>2081</v>
      </c>
      <c t="s" s="6" r="T239">
        <v>90</v>
      </c>
      <c t="s" s="6" r="U239">
        <v>2082</v>
      </c>
      <c s="6" r="V239">
        <v>1</v>
      </c>
      <c s="6" r="W239">
        <v>1</v>
      </c>
      <c s="6" r="X239">
        <v>0</v>
      </c>
      <c s="6" r="Y239">
        <v>0</v>
      </c>
      <c s="6" r="Z239">
        <v>1</v>
      </c>
      <c t="s" s="6" r="AA239">
        <v>92</v>
      </c>
      <c t="s" s="6" r="AB239">
        <v>92</v>
      </c>
      <c s="6" r="AC239">
        <v>4</v>
      </c>
      <c s="6" r="AD239">
        <v>4</v>
      </c>
      <c t="s" s="6" r="AE239">
        <v>92</v>
      </c>
      <c t="s" s="6" r="AF239">
        <v>92</v>
      </c>
      <c t="s" s="6" r="AG239">
        <v>92</v>
      </c>
      <c t="s" s="6" r="AH239">
        <v>92</v>
      </c>
      <c t="s" s="6" r="AI239">
        <v>92</v>
      </c>
      <c t="s" s="6" r="AJ239">
        <v>92</v>
      </c>
      <c t="s" s="6" r="AK239">
        <v>92</v>
      </c>
      <c s="6" r="AL239">
        <v>4</v>
      </c>
      <c t="s" s="6" r="AM239">
        <v>92</v>
      </c>
      <c t="s" s="6" r="AN239">
        <v>92</v>
      </c>
      <c s="6" r="AP239">
        <v>4</v>
      </c>
      <c t="s" s="6" r="AR239">
        <v>2083</v>
      </c>
      <c s="6" r="AS239">
        <v>0</v>
      </c>
      <c s="6" r="AT239">
        <v>0</v>
      </c>
      <c s="6" r="AU239">
        <v>0</v>
      </c>
      <c s="6" r="AV239">
        <v>0</v>
      </c>
      <c s="6" r="AW239">
        <v>0</v>
      </c>
      <c s="6" r="AX239">
        <v>0</v>
      </c>
      <c s="6" r="AY239">
        <v>0</v>
      </c>
      <c s="6" r="AZ239">
        <v>0</v>
      </c>
      <c s="6" r="BA239">
        <v>0</v>
      </c>
      <c s="6" r="BB239">
        <v>0</v>
      </c>
      <c s="6" r="BC239">
        <v>0</v>
      </c>
      <c s="6" r="BD239">
        <v>0</v>
      </c>
      <c s="6" r="BE239">
        <v>0</v>
      </c>
      <c s="6" r="BF239">
        <v>0</v>
      </c>
      <c s="6" r="BG239">
        <v>0</v>
      </c>
      <c s="6" r="BH239">
        <v>0</v>
      </c>
      <c s="6" r="BI239">
        <v>0</v>
      </c>
      <c s="6" r="BJ239">
        <v>0</v>
      </c>
      <c s="6" r="BK239">
        <v>0</v>
      </c>
      <c s="6" r="BL239">
        <v>0</v>
      </c>
      <c s="6" r="BM239">
        <v>0</v>
      </c>
      <c s="6" r="BN239">
        <v>0</v>
      </c>
      <c s="6" r="BO239">
        <v>0</v>
      </c>
      <c s="6" r="BP239">
        <v>0</v>
      </c>
      <c s="6" r="BQ239">
        <v>0</v>
      </c>
      <c t="str" s="6" r="BR239">
        <f>HYPERLINK("http://www.d20pfsrd.com/magic/all-spells/g/giant-vermin","Giant Vermin")</f>
        <v>Giant Vermin</v>
      </c>
      <c s="6" r="BS239">
        <v>238</v>
      </c>
      <c t="s" s="6" r="BT239">
        <v>92</v>
      </c>
      <c t="s" s="6" r="BV239">
        <v>237</v>
      </c>
      <c s="6" r="BY239">
        <v>0</v>
      </c>
    </row>
    <row customHeight="1" r="240" ht="14.25">
      <c t="s" s="6" r="A240">
        <v>2084</v>
      </c>
      <c t="s" s="6" r="B240">
        <v>131</v>
      </c>
      <c t="s" s="6" r="E240">
        <v>2085</v>
      </c>
      <c t="s" s="6" r="F240">
        <v>81</v>
      </c>
      <c t="s" s="6" r="G240">
        <v>2086</v>
      </c>
      <c s="6" r="H240">
        <v>0</v>
      </c>
      <c t="s" s="6" r="I240">
        <v>155</v>
      </c>
      <c t="s" s="6" r="L240">
        <v>156</v>
      </c>
      <c t="s" s="6" r="M240">
        <v>134</v>
      </c>
      <c s="6" r="N240">
        <v>1</v>
      </c>
      <c s="6" r="O240">
        <v>0</v>
      </c>
      <c t="s" s="6" r="R240">
        <v>2087</v>
      </c>
      <c t="s" s="6" r="S240">
        <v>2088</v>
      </c>
      <c t="s" s="6" r="T240">
        <v>90</v>
      </c>
      <c t="s" s="6" r="U240">
        <v>2089</v>
      </c>
      <c s="6" r="V240">
        <v>0</v>
      </c>
      <c s="6" r="W240">
        <v>1</v>
      </c>
      <c s="6" r="X240">
        <v>0</v>
      </c>
      <c s="6" r="Y240">
        <v>0</v>
      </c>
      <c s="6" r="Z240">
        <v>0</v>
      </c>
      <c t="s" s="6" r="AA240">
        <v>92</v>
      </c>
      <c t="s" s="6" r="AB240">
        <v>92</v>
      </c>
      <c t="s" s="6" r="AC240">
        <v>92</v>
      </c>
      <c t="s" s="6" r="AD240">
        <v>92</v>
      </c>
      <c t="s" s="6" r="AE240">
        <v>92</v>
      </c>
      <c s="6" r="AF240">
        <v>3</v>
      </c>
      <c t="s" s="6" r="AG240">
        <v>92</v>
      </c>
      <c t="s" s="6" r="AH240">
        <v>92</v>
      </c>
      <c t="s" s="6" r="AI240">
        <v>92</v>
      </c>
      <c t="s" s="6" r="AJ240">
        <v>92</v>
      </c>
      <c t="s" s="6" r="AK240">
        <v>92</v>
      </c>
      <c t="s" s="6" r="AL240">
        <v>92</v>
      </c>
      <c t="s" s="6" r="AM240">
        <v>92</v>
      </c>
      <c t="s" s="6" r="AN240">
        <v>92</v>
      </c>
      <c s="6" r="AP240">
        <v>3</v>
      </c>
      <c t="s" s="6" r="AR240">
        <v>2090</v>
      </c>
      <c s="6" r="AS240">
        <v>0</v>
      </c>
      <c s="6" r="AT240">
        <v>0</v>
      </c>
      <c s="6" r="AU240">
        <v>0</v>
      </c>
      <c s="6" r="AV240">
        <v>0</v>
      </c>
      <c s="6" r="AW240">
        <v>0</v>
      </c>
      <c s="6" r="AX240">
        <v>0</v>
      </c>
      <c s="6" r="AY240">
        <v>0</v>
      </c>
      <c s="6" r="AZ240">
        <v>0</v>
      </c>
      <c s="6" r="BA240">
        <v>0</v>
      </c>
      <c s="6" r="BB240">
        <v>0</v>
      </c>
      <c s="6" r="BC240">
        <v>0</v>
      </c>
      <c s="6" r="BD240">
        <v>0</v>
      </c>
      <c s="6" r="BE240">
        <v>0</v>
      </c>
      <c s="6" r="BF240">
        <v>0</v>
      </c>
      <c s="6" r="BG240">
        <v>0</v>
      </c>
      <c s="6" r="BH240">
        <v>0</v>
      </c>
      <c s="6" r="BI240">
        <v>0</v>
      </c>
      <c s="6" r="BJ240">
        <v>0</v>
      </c>
      <c s="6" r="BK240">
        <v>0</v>
      </c>
      <c s="6" r="BL240">
        <v>0</v>
      </c>
      <c s="6" r="BM240">
        <v>0</v>
      </c>
      <c s="6" r="BN240">
        <v>0</v>
      </c>
      <c s="6" r="BO240">
        <v>0</v>
      </c>
      <c s="6" r="BP240">
        <v>0</v>
      </c>
      <c s="6" r="BQ240">
        <v>0</v>
      </c>
      <c t="str" s="6" r="BR240">
        <f>HYPERLINK("http://www.d20pfsrd.com/magic/all-spells/g/glibness","Glibness")</f>
        <v>Glibness</v>
      </c>
      <c s="6" r="BS240">
        <v>239</v>
      </c>
      <c t="s" s="6" r="BT240">
        <v>92</v>
      </c>
      <c s="6" r="BY240">
        <v>0</v>
      </c>
    </row>
    <row customHeight="1" r="241" ht="14.25">
      <c t="s" s="6" r="A241">
        <v>2091</v>
      </c>
      <c t="s" s="6" r="B241">
        <v>78</v>
      </c>
      <c t="s" s="6" r="C241">
        <v>79</v>
      </c>
      <c t="s" s="6" r="E241">
        <v>2092</v>
      </c>
      <c t="s" s="6" r="F241">
        <v>81</v>
      </c>
      <c t="s" s="6" r="G241">
        <v>2093</v>
      </c>
      <c s="6" r="H241">
        <v>0</v>
      </c>
      <c t="s" s="6" r="I241">
        <v>97</v>
      </c>
      <c t="s" s="6" r="J241">
        <v>2094</v>
      </c>
      <c t="s" s="6" r="M241">
        <v>99</v>
      </c>
      <c s="6" r="N241">
        <v>0</v>
      </c>
      <c s="6" r="O241">
        <v>0</v>
      </c>
      <c t="s" s="6" r="P241">
        <v>2095</v>
      </c>
      <c t="s" s="6" r="Q241">
        <v>87</v>
      </c>
      <c t="s" s="6" r="R241">
        <v>2096</v>
      </c>
      <c t="s" s="6" r="S241">
        <v>2097</v>
      </c>
      <c t="s" s="6" r="T241">
        <v>90</v>
      </c>
      <c t="s" s="6" r="U241">
        <v>2098</v>
      </c>
      <c s="6" r="V241">
        <v>1</v>
      </c>
      <c s="6" r="W241">
        <v>1</v>
      </c>
      <c s="6" r="X241">
        <v>1</v>
      </c>
      <c s="6" r="Y241">
        <v>0</v>
      </c>
      <c s="6" r="Z241">
        <v>0</v>
      </c>
      <c s="6" r="AA241">
        <v>2</v>
      </c>
      <c s="6" r="AB241">
        <v>2</v>
      </c>
      <c t="s" s="6" r="AC241">
        <v>92</v>
      </c>
      <c t="s" s="6" r="AD241">
        <v>92</v>
      </c>
      <c t="s" s="6" r="AE241">
        <v>92</v>
      </c>
      <c s="6" r="AF241">
        <v>2</v>
      </c>
      <c t="s" s="6" r="AG241">
        <v>92</v>
      </c>
      <c t="s" s="6" r="AH241">
        <v>92</v>
      </c>
      <c s="6" r="AI241">
        <v>2</v>
      </c>
      <c s="6" r="AJ241">
        <v>2</v>
      </c>
      <c t="s" s="6" r="AK241">
        <v>92</v>
      </c>
      <c t="s" s="6" r="AL241">
        <v>92</v>
      </c>
      <c t="s" s="6" r="AM241">
        <v>92</v>
      </c>
      <c s="6" r="AN241">
        <v>2</v>
      </c>
      <c s="6" r="AP241">
        <v>2</v>
      </c>
      <c t="s" s="6" r="AR241">
        <v>2099</v>
      </c>
      <c s="6" r="AS241">
        <v>0</v>
      </c>
      <c s="6" r="AT241">
        <v>0</v>
      </c>
      <c s="6" r="AU241">
        <v>0</v>
      </c>
      <c s="6" r="AV241">
        <v>0</v>
      </c>
      <c s="6" r="AW241">
        <v>0</v>
      </c>
      <c s="6" r="AX241">
        <v>0</v>
      </c>
      <c s="6" r="AY241">
        <v>0</v>
      </c>
      <c s="6" r="AZ241">
        <v>0</v>
      </c>
      <c s="6" r="BA241">
        <v>0</v>
      </c>
      <c s="6" r="BB241">
        <v>0</v>
      </c>
      <c s="6" r="BC241">
        <v>0</v>
      </c>
      <c s="6" r="BD241">
        <v>0</v>
      </c>
      <c s="6" r="BE241">
        <v>0</v>
      </c>
      <c s="6" r="BF241">
        <v>0</v>
      </c>
      <c s="6" r="BG241">
        <v>0</v>
      </c>
      <c s="6" r="BH241">
        <v>0</v>
      </c>
      <c s="6" r="BI241">
        <v>0</v>
      </c>
      <c s="6" r="BJ241">
        <v>0</v>
      </c>
      <c s="6" r="BK241">
        <v>0</v>
      </c>
      <c s="6" r="BL241">
        <v>0</v>
      </c>
      <c s="6" r="BM241">
        <v>0</v>
      </c>
      <c s="6" r="BN241">
        <v>0</v>
      </c>
      <c s="6" r="BO241">
        <v>0</v>
      </c>
      <c s="6" r="BP241">
        <v>0</v>
      </c>
      <c s="6" r="BQ241">
        <v>0</v>
      </c>
      <c t="str" s="6" r="BR241">
        <f>HYPERLINK("http://www.d20pfsrd.com/magic/all-spells/g/glitterdust","Glitterdust")</f>
        <v>Glitterdust</v>
      </c>
      <c s="6" r="BS241">
        <v>240</v>
      </c>
      <c t="s" s="6" r="BT241">
        <v>92</v>
      </c>
      <c t="s" s="6" r="BU241">
        <v>2100</v>
      </c>
      <c s="6" r="BY241">
        <v>0</v>
      </c>
    </row>
    <row customHeight="1" r="242" ht="14.25">
      <c t="s" s="6" r="A242">
        <v>2101</v>
      </c>
      <c t="s" s="6" r="B242">
        <v>162</v>
      </c>
      <c t="s" s="6" r="E242">
        <v>2102</v>
      </c>
      <c t="s" s="6" r="F242">
        <v>81</v>
      </c>
      <c t="s" s="6" r="G242">
        <v>2103</v>
      </c>
      <c s="6" r="H242">
        <v>0</v>
      </c>
      <c t="s" s="6" r="I242">
        <v>273</v>
      </c>
      <c t="s" s="6" r="J242">
        <v>2104</v>
      </c>
      <c t="s" s="6" r="M242">
        <v>99</v>
      </c>
      <c s="6" r="N242">
        <v>1</v>
      </c>
      <c s="6" r="O242">
        <v>0</v>
      </c>
      <c t="s" s="6" r="P242">
        <v>86</v>
      </c>
      <c t="s" s="6" r="Q242">
        <v>87</v>
      </c>
      <c t="s" s="6" r="R242">
        <v>2105</v>
      </c>
      <c t="s" s="6" r="S242">
        <v>2106</v>
      </c>
      <c t="s" s="6" r="T242">
        <v>90</v>
      </c>
      <c t="s" s="6" r="U242">
        <v>2107</v>
      </c>
      <c s="6" r="V242">
        <v>1</v>
      </c>
      <c s="6" r="W242">
        <v>1</v>
      </c>
      <c s="6" r="X242">
        <v>1</v>
      </c>
      <c s="6" r="Y242">
        <v>0</v>
      </c>
      <c s="6" r="Z242">
        <v>0</v>
      </c>
      <c s="6" r="AA242">
        <v>4</v>
      </c>
      <c s="6" r="AB242">
        <v>4</v>
      </c>
      <c t="s" s="6" r="AC242">
        <v>92</v>
      </c>
      <c t="s" s="6" r="AD242">
        <v>92</v>
      </c>
      <c t="s" s="6" r="AE242">
        <v>92</v>
      </c>
      <c t="s" s="6" r="AF242">
        <v>92</v>
      </c>
      <c t="s" s="6" r="AG242">
        <v>92</v>
      </c>
      <c t="s" s="6" r="AH242">
        <v>92</v>
      </c>
      <c t="s" s="6" r="AI242">
        <v>92</v>
      </c>
      <c t="s" s="6" r="AJ242">
        <v>92</v>
      </c>
      <c t="s" s="6" r="AK242">
        <v>92</v>
      </c>
      <c t="s" s="6" r="AL242">
        <v>92</v>
      </c>
      <c t="s" s="6" r="AM242">
        <v>92</v>
      </c>
      <c t="s" s="6" r="AN242">
        <v>92</v>
      </c>
      <c s="6" r="AP242">
        <v>4</v>
      </c>
      <c t="s" s="6" r="AR242">
        <v>2108</v>
      </c>
      <c s="6" r="AS242">
        <v>0</v>
      </c>
      <c s="6" r="AT242">
        <v>0</v>
      </c>
      <c s="6" r="AU242">
        <v>0</v>
      </c>
      <c s="6" r="AV242">
        <v>0</v>
      </c>
      <c s="6" r="AW242">
        <v>0</v>
      </c>
      <c s="6" r="AX242">
        <v>0</v>
      </c>
      <c s="6" r="AY242">
        <v>0</v>
      </c>
      <c s="6" r="AZ242">
        <v>0</v>
      </c>
      <c s="6" r="BA242">
        <v>0</v>
      </c>
      <c s="6" r="BB242">
        <v>0</v>
      </c>
      <c s="6" r="BC242">
        <v>0</v>
      </c>
      <c s="6" r="BD242">
        <v>0</v>
      </c>
      <c s="6" r="BE242">
        <v>0</v>
      </c>
      <c s="6" r="BF242">
        <v>0</v>
      </c>
      <c s="6" r="BG242">
        <v>0</v>
      </c>
      <c s="6" r="BH242">
        <v>0</v>
      </c>
      <c s="6" r="BI242">
        <v>0</v>
      </c>
      <c s="6" r="BJ242">
        <v>0</v>
      </c>
      <c s="6" r="BK242">
        <v>0</v>
      </c>
      <c s="6" r="BL242">
        <v>0</v>
      </c>
      <c s="6" r="BM242">
        <v>0</v>
      </c>
      <c s="6" r="BN242">
        <v>0</v>
      </c>
      <c s="6" r="BO242">
        <v>0</v>
      </c>
      <c s="6" r="BP242">
        <v>0</v>
      </c>
      <c s="6" r="BQ242">
        <v>0</v>
      </c>
      <c t="str" s="6" r="BR242">
        <f>HYPERLINK("http://www.d20pfsrd.com/magic/all-spells/g/globe-of-invulnerability","Globe of Invulnerability, Lesser")</f>
        <v>Globe of Invulnerability, Lesser</v>
      </c>
      <c s="6" r="BS242">
        <v>241</v>
      </c>
      <c t="s" s="6" r="BT242">
        <v>92</v>
      </c>
      <c t="s" s="6" r="BV242">
        <v>2109</v>
      </c>
      <c s="6" r="BY242">
        <v>0</v>
      </c>
    </row>
    <row customHeight="1" r="243" ht="14.25">
      <c t="s" s="6" r="A243">
        <v>2110</v>
      </c>
      <c t="s" s="6" r="B243">
        <v>162</v>
      </c>
      <c t="s" s="6" r="E243">
        <v>947</v>
      </c>
      <c t="s" s="6" r="F243">
        <v>81</v>
      </c>
      <c t="s" s="6" r="G243">
        <v>2103</v>
      </c>
      <c s="6" r="H243">
        <v>0</v>
      </c>
      <c t="s" s="6" r="I243">
        <v>273</v>
      </c>
      <c t="s" s="6" r="J243">
        <v>2104</v>
      </c>
      <c t="s" s="6" r="M243">
        <v>483</v>
      </c>
      <c s="6" r="N243">
        <v>1</v>
      </c>
      <c s="6" r="O243">
        <v>0</v>
      </c>
      <c t="s" s="6" r="P243">
        <v>86</v>
      </c>
      <c t="s" s="6" r="Q243">
        <v>87</v>
      </c>
      <c t="s" s="6" r="R243">
        <v>2111</v>
      </c>
      <c t="s" s="6" r="S243">
        <v>2112</v>
      </c>
      <c t="s" s="6" r="T243">
        <v>90</v>
      </c>
      <c t="s" s="6" r="U243">
        <v>2113</v>
      </c>
      <c s="6" r="V243">
        <v>1</v>
      </c>
      <c s="6" r="W243">
        <v>1</v>
      </c>
      <c s="6" r="X243">
        <v>1</v>
      </c>
      <c s="6" r="Y243">
        <v>0</v>
      </c>
      <c s="6" r="Z243">
        <v>0</v>
      </c>
      <c s="6" r="AA243">
        <v>6</v>
      </c>
      <c s="6" r="AB243">
        <v>6</v>
      </c>
      <c t="s" s="6" r="AC243">
        <v>92</v>
      </c>
      <c t="s" s="6" r="AD243">
        <v>92</v>
      </c>
      <c t="s" s="6" r="AE243">
        <v>92</v>
      </c>
      <c t="s" s="6" r="AF243">
        <v>92</v>
      </c>
      <c t="s" s="6" r="AG243">
        <v>92</v>
      </c>
      <c t="s" s="6" r="AH243">
        <v>92</v>
      </c>
      <c t="s" s="6" r="AI243">
        <v>92</v>
      </c>
      <c t="s" s="6" r="AJ243">
        <v>92</v>
      </c>
      <c t="s" s="6" r="AK243">
        <v>92</v>
      </c>
      <c t="s" s="6" r="AL243">
        <v>92</v>
      </c>
      <c t="s" s="6" r="AM243">
        <v>92</v>
      </c>
      <c t="s" s="6" r="AN243">
        <v>92</v>
      </c>
      <c s="6" r="AP243">
        <v>6</v>
      </c>
      <c t="s" s="6" r="AR243">
        <v>2114</v>
      </c>
      <c s="6" r="AS243">
        <v>0</v>
      </c>
      <c s="6" r="AT243">
        <v>0</v>
      </c>
      <c s="6" r="AU243">
        <v>0</v>
      </c>
      <c s="6" r="AV243">
        <v>0</v>
      </c>
      <c s="6" r="AW243">
        <v>0</v>
      </c>
      <c s="6" r="AX243">
        <v>0</v>
      </c>
      <c s="6" r="AY243">
        <v>0</v>
      </c>
      <c s="6" r="AZ243">
        <v>0</v>
      </c>
      <c s="6" r="BA243">
        <v>0</v>
      </c>
      <c s="6" r="BB243">
        <v>0</v>
      </c>
      <c s="6" r="BC243">
        <v>0</v>
      </c>
      <c s="6" r="BD243">
        <v>0</v>
      </c>
      <c s="6" r="BE243">
        <v>0</v>
      </c>
      <c s="6" r="BF243">
        <v>0</v>
      </c>
      <c s="6" r="BG243">
        <v>0</v>
      </c>
      <c s="6" r="BH243">
        <v>0</v>
      </c>
      <c s="6" r="BI243">
        <v>0</v>
      </c>
      <c s="6" r="BJ243">
        <v>0</v>
      </c>
      <c s="6" r="BK243">
        <v>0</v>
      </c>
      <c s="6" r="BL243">
        <v>0</v>
      </c>
      <c s="6" r="BM243">
        <v>0</v>
      </c>
      <c s="6" r="BN243">
        <v>0</v>
      </c>
      <c s="6" r="BO243">
        <v>0</v>
      </c>
      <c s="6" r="BP243">
        <v>0</v>
      </c>
      <c s="6" r="BQ243">
        <v>0</v>
      </c>
      <c t="str" s="6" r="BR243">
        <f>HYPERLINK("http://www.d20pfsrd.com/magic/all-spells/g/globe-of-invulnerability","Globe of Invulnerability")</f>
        <v>Globe of Invulnerability</v>
      </c>
      <c s="6" r="BS243">
        <v>242</v>
      </c>
      <c t="s" s="6" r="BT243">
        <v>92</v>
      </c>
      <c t="s" s="6" r="BW243">
        <v>2115</v>
      </c>
      <c s="6" r="BY243">
        <v>1</v>
      </c>
    </row>
    <row customHeight="1" r="244" ht="14.25">
      <c t="s" s="6" r="A244">
        <v>2116</v>
      </c>
      <c t="s" s="6" r="B244">
        <v>162</v>
      </c>
      <c t="s" s="6" r="E244">
        <v>2117</v>
      </c>
      <c t="s" s="6" r="F244">
        <v>311</v>
      </c>
      <c t="s" s="6" r="G244">
        <v>2118</v>
      </c>
      <c s="6" r="H244">
        <v>1</v>
      </c>
      <c t="s" s="6" r="I244">
        <v>120</v>
      </c>
      <c t="s" s="6" r="J244">
        <v>2119</v>
      </c>
      <c t="s" s="6" r="L244">
        <v>2119</v>
      </c>
      <c t="s" s="6" r="M244">
        <v>1821</v>
      </c>
      <c s="6" r="N244">
        <v>1</v>
      </c>
      <c s="6" r="O244">
        <v>0</v>
      </c>
      <c t="s" s="6" r="P244">
        <v>141</v>
      </c>
      <c t="s" s="6" r="Q244">
        <v>2120</v>
      </c>
      <c t="s" s="6" r="R244">
        <v>2121</v>
      </c>
      <c t="s" s="6" r="S244">
        <v>2122</v>
      </c>
      <c t="s" s="6" r="T244">
        <v>90</v>
      </c>
      <c t="s" s="6" r="U244">
        <v>2123</v>
      </c>
      <c s="6" r="V244">
        <v>1</v>
      </c>
      <c s="6" r="W244">
        <v>1</v>
      </c>
      <c s="6" r="X244">
        <v>1</v>
      </c>
      <c s="6" r="Y244">
        <v>0</v>
      </c>
      <c s="6" r="Z244">
        <v>0</v>
      </c>
      <c t="s" s="6" r="AA244">
        <v>92</v>
      </c>
      <c t="s" s="6" r="AB244">
        <v>92</v>
      </c>
      <c s="6" r="AC244">
        <v>3</v>
      </c>
      <c t="s" s="6" r="AD244">
        <v>92</v>
      </c>
      <c t="s" s="6" r="AE244">
        <v>92</v>
      </c>
      <c t="s" s="6" r="AF244">
        <v>92</v>
      </c>
      <c t="s" s="6" r="AG244">
        <v>92</v>
      </c>
      <c t="s" s="6" r="AH244">
        <v>92</v>
      </c>
      <c t="s" s="6" r="AI244">
        <v>92</v>
      </c>
      <c t="s" s="6" r="AJ244">
        <v>92</v>
      </c>
      <c t="s" s="6" r="AK244">
        <v>92</v>
      </c>
      <c s="6" r="AL244">
        <v>3</v>
      </c>
      <c t="s" s="6" r="AM244">
        <v>92</v>
      </c>
      <c t="s" s="6" r="AN244">
        <v>92</v>
      </c>
      <c s="6" r="AP244">
        <v>3</v>
      </c>
      <c t="s" s="6" r="AQ244">
        <v>2124</v>
      </c>
      <c t="s" s="6" r="AR244">
        <v>2125</v>
      </c>
      <c s="6" r="AS244">
        <v>0</v>
      </c>
      <c s="6" r="AT244">
        <v>0</v>
      </c>
      <c s="6" r="AU244">
        <v>0</v>
      </c>
      <c s="6" r="AV244">
        <v>0</v>
      </c>
      <c s="6" r="AW244">
        <v>0</v>
      </c>
      <c s="6" r="AX244">
        <v>0</v>
      </c>
      <c s="6" r="AY244">
        <v>0</v>
      </c>
      <c s="6" r="AZ244">
        <v>0</v>
      </c>
      <c s="6" r="BA244">
        <v>0</v>
      </c>
      <c s="6" r="BB244">
        <v>0</v>
      </c>
      <c s="6" r="BC244">
        <v>0</v>
      </c>
      <c s="6" r="BD244">
        <v>0</v>
      </c>
      <c s="6" r="BE244">
        <v>0</v>
      </c>
      <c s="6" r="BF244">
        <v>0</v>
      </c>
      <c s="6" r="BG244">
        <v>0</v>
      </c>
      <c s="6" r="BH244">
        <v>0</v>
      </c>
      <c s="6" r="BI244">
        <v>0</v>
      </c>
      <c s="6" r="BJ244">
        <v>0</v>
      </c>
      <c s="6" r="BK244">
        <v>0</v>
      </c>
      <c s="6" r="BL244">
        <v>0</v>
      </c>
      <c s="6" r="BM244">
        <v>0</v>
      </c>
      <c s="6" r="BN244">
        <v>0</v>
      </c>
      <c s="6" r="BO244">
        <v>0</v>
      </c>
      <c s="6" r="BP244">
        <v>0</v>
      </c>
      <c s="6" r="BQ244">
        <v>0</v>
      </c>
      <c t="str" s="6" r="BR244">
        <f>HYPERLINK("http://www.d20pfsrd.com/magic/all-spells/g/glyph-of-warding","Glyph of Warding")</f>
        <v>Glyph of Warding</v>
      </c>
      <c s="6" r="BS244">
        <v>243</v>
      </c>
      <c s="6" r="BT244">
        <v>200</v>
      </c>
      <c t="s" s="6" r="BW244">
        <v>2126</v>
      </c>
      <c s="6" r="BY244">
        <v>1</v>
      </c>
    </row>
    <row customHeight="1" r="245" ht="14.25">
      <c t="s" s="6" r="A245">
        <v>2127</v>
      </c>
      <c t="s" s="6" r="B245">
        <v>162</v>
      </c>
      <c t="s" s="6" r="E245">
        <v>2128</v>
      </c>
      <c t="s" s="6" r="F245">
        <v>311</v>
      </c>
      <c t="s" s="6" r="G245">
        <v>2118</v>
      </c>
      <c s="6" r="H245">
        <v>1</v>
      </c>
      <c t="s" s="6" r="I245">
        <v>120</v>
      </c>
      <c t="s" s="6" r="J245">
        <v>2119</v>
      </c>
      <c t="s" s="6" r="L245">
        <v>2119</v>
      </c>
      <c t="s" s="6" r="M245">
        <v>1821</v>
      </c>
      <c s="6" r="N245">
        <v>1</v>
      </c>
      <c s="6" r="O245">
        <v>0</v>
      </c>
      <c t="s" s="6" r="P245">
        <v>141</v>
      </c>
      <c t="s" s="6" r="Q245">
        <v>2120</v>
      </c>
      <c t="s" s="6" r="R245">
        <v>2129</v>
      </c>
      <c t="s" s="6" r="S245">
        <v>2130</v>
      </c>
      <c t="s" s="6" r="T245">
        <v>90</v>
      </c>
      <c t="s" s="6" r="U245">
        <v>2131</v>
      </c>
      <c s="6" r="V245">
        <v>1</v>
      </c>
      <c s="6" r="W245">
        <v>1</v>
      </c>
      <c s="6" r="X245">
        <v>1</v>
      </c>
      <c s="6" r="Y245">
        <v>0</v>
      </c>
      <c s="6" r="Z245">
        <v>0</v>
      </c>
      <c t="s" s="6" r="AA245">
        <v>92</v>
      </c>
      <c t="s" s="6" r="AB245">
        <v>92</v>
      </c>
      <c s="6" r="AC245">
        <v>6</v>
      </c>
      <c t="s" s="6" r="AD245">
        <v>92</v>
      </c>
      <c t="s" s="6" r="AE245">
        <v>92</v>
      </c>
      <c t="s" s="6" r="AF245">
        <v>92</v>
      </c>
      <c t="s" s="6" r="AG245">
        <v>92</v>
      </c>
      <c t="s" s="6" r="AH245">
        <v>92</v>
      </c>
      <c t="s" s="6" r="AI245">
        <v>92</v>
      </c>
      <c t="s" s="6" r="AJ245">
        <v>92</v>
      </c>
      <c t="s" s="6" r="AK245">
        <v>92</v>
      </c>
      <c s="6" r="AL245">
        <v>6</v>
      </c>
      <c t="s" s="6" r="AM245">
        <v>92</v>
      </c>
      <c t="s" s="6" r="AN245">
        <v>92</v>
      </c>
      <c s="6" r="AP245">
        <v>6</v>
      </c>
      <c t="s" s="6" r="AQ245">
        <v>1664</v>
      </c>
      <c t="s" s="6" r="AR245">
        <v>2132</v>
      </c>
      <c s="6" r="AS245">
        <v>0</v>
      </c>
      <c s="6" r="AT245">
        <v>0</v>
      </c>
      <c s="6" r="AU245">
        <v>0</v>
      </c>
      <c s="6" r="AV245">
        <v>0</v>
      </c>
      <c s="6" r="AW245">
        <v>0</v>
      </c>
      <c s="6" r="AX245">
        <v>0</v>
      </c>
      <c s="6" r="AY245">
        <v>0</v>
      </c>
      <c s="6" r="AZ245">
        <v>0</v>
      </c>
      <c s="6" r="BA245">
        <v>0</v>
      </c>
      <c s="6" r="BB245">
        <v>0</v>
      </c>
      <c s="6" r="BC245">
        <v>0</v>
      </c>
      <c s="6" r="BD245">
        <v>0</v>
      </c>
      <c s="6" r="BE245">
        <v>0</v>
      </c>
      <c s="6" r="BF245">
        <v>0</v>
      </c>
      <c s="6" r="BG245">
        <v>0</v>
      </c>
      <c s="6" r="BH245">
        <v>0</v>
      </c>
      <c s="6" r="BI245">
        <v>0</v>
      </c>
      <c s="6" r="BJ245">
        <v>0</v>
      </c>
      <c s="6" r="BK245">
        <v>0</v>
      </c>
      <c s="6" r="BL245">
        <v>0</v>
      </c>
      <c s="6" r="BM245">
        <v>0</v>
      </c>
      <c s="6" r="BN245">
        <v>0</v>
      </c>
      <c s="6" r="BO245">
        <v>0</v>
      </c>
      <c s="6" r="BP245">
        <v>0</v>
      </c>
      <c s="6" r="BQ245">
        <v>0</v>
      </c>
      <c t="str" s="6" r="BR245">
        <f>HYPERLINK("http://www.d20pfsrd.com/magic/all-spells/g/glyph-of-warding","Glyph of Warding, Greater")</f>
        <v>Glyph of Warding, Greater</v>
      </c>
      <c s="6" r="BS245">
        <v>244</v>
      </c>
      <c s="6" r="BT245">
        <v>200</v>
      </c>
      <c s="6" r="BY245">
        <v>0</v>
      </c>
    </row>
    <row customHeight="1" r="246" ht="14.25">
      <c t="s" s="6" r="A246">
        <v>2133</v>
      </c>
      <c t="s" s="6" r="B246">
        <v>131</v>
      </c>
      <c t="s" s="6" r="E246">
        <v>1717</v>
      </c>
      <c t="s" s="6" r="F246">
        <v>81</v>
      </c>
      <c t="s" s="6" r="G246">
        <v>119</v>
      </c>
      <c s="6" r="H246">
        <v>0</v>
      </c>
      <c t="s" s="6" r="I246">
        <v>120</v>
      </c>
      <c t="s" s="6" r="L246">
        <v>2134</v>
      </c>
      <c t="s" s="6" r="M246">
        <v>200</v>
      </c>
      <c s="6" r="N246">
        <v>0</v>
      </c>
      <c s="6" r="O246">
        <v>0</v>
      </c>
      <c t="s" s="6" r="P246">
        <v>86</v>
      </c>
      <c t="s" s="6" r="Q246">
        <v>188</v>
      </c>
      <c t="s" s="6" r="R246">
        <v>2135</v>
      </c>
      <c t="s" s="6" r="S246">
        <v>2136</v>
      </c>
      <c t="s" s="6" r="T246">
        <v>90</v>
      </c>
      <c t="s" s="6" r="U246">
        <v>2137</v>
      </c>
      <c s="6" r="V246">
        <v>1</v>
      </c>
      <c s="6" r="W246">
        <v>1</v>
      </c>
      <c s="6" r="X246">
        <v>0</v>
      </c>
      <c s="6" r="Y246">
        <v>0</v>
      </c>
      <c s="6" r="Z246">
        <v>1</v>
      </c>
      <c t="s" s="6" r="AA246">
        <v>92</v>
      </c>
      <c t="s" s="6" r="AB246">
        <v>92</v>
      </c>
      <c t="s" s="6" r="AC246">
        <v>92</v>
      </c>
      <c s="6" r="AD246">
        <v>1</v>
      </c>
      <c t="s" s="6" r="AE246">
        <v>92</v>
      </c>
      <c t="s" s="6" r="AF246">
        <v>92</v>
      </c>
      <c t="s" s="6" r="AG246">
        <v>92</v>
      </c>
      <c t="s" s="6" r="AH246">
        <v>92</v>
      </c>
      <c t="s" s="6" r="AI246">
        <v>92</v>
      </c>
      <c t="s" s="6" r="AJ246">
        <v>92</v>
      </c>
      <c t="s" s="6" r="AK246">
        <v>92</v>
      </c>
      <c t="s" s="6" r="AL246">
        <v>92</v>
      </c>
      <c t="s" s="6" r="AM246">
        <v>92</v>
      </c>
      <c t="s" s="6" r="AN246">
        <v>92</v>
      </c>
      <c s="6" r="AP246">
        <v>1</v>
      </c>
      <c t="s" s="6" r="AQ246">
        <v>2138</v>
      </c>
      <c t="s" s="6" r="AR246">
        <v>2139</v>
      </c>
      <c s="6" r="AS246">
        <v>0</v>
      </c>
      <c s="6" r="AT246">
        <v>0</v>
      </c>
      <c s="6" r="AU246">
        <v>0</v>
      </c>
      <c s="6" r="AV246">
        <v>0</v>
      </c>
      <c s="6" r="AW246">
        <v>0</v>
      </c>
      <c s="6" r="AX246">
        <v>0</v>
      </c>
      <c s="6" r="AY246">
        <v>0</v>
      </c>
      <c s="6" r="AZ246">
        <v>0</v>
      </c>
      <c s="6" r="BA246">
        <v>0</v>
      </c>
      <c s="6" r="BB246">
        <v>0</v>
      </c>
      <c s="6" r="BC246">
        <v>0</v>
      </c>
      <c s="6" r="BD246">
        <v>0</v>
      </c>
      <c s="6" r="BE246">
        <v>0</v>
      </c>
      <c s="6" r="BF246">
        <v>0</v>
      </c>
      <c s="6" r="BG246">
        <v>0</v>
      </c>
      <c s="6" r="BH246">
        <v>0</v>
      </c>
      <c s="6" r="BI246">
        <v>0</v>
      </c>
      <c s="6" r="BJ246">
        <v>0</v>
      </c>
      <c s="6" r="BK246">
        <v>0</v>
      </c>
      <c s="6" r="BL246">
        <v>0</v>
      </c>
      <c s="6" r="BM246">
        <v>0</v>
      </c>
      <c s="6" r="BN246">
        <v>0</v>
      </c>
      <c s="6" r="BO246">
        <v>0</v>
      </c>
      <c s="6" r="BP246">
        <v>0</v>
      </c>
      <c s="6" r="BQ246">
        <v>0</v>
      </c>
      <c t="str" s="6" r="BR246">
        <f>HYPERLINK("http://www.d20pfsrd.com/magic/all-spells/g/goodberry","Goodberry")</f>
        <v>Goodberry</v>
      </c>
      <c s="6" r="BS246">
        <v>245</v>
      </c>
      <c t="s" s="6" r="BT246">
        <v>92</v>
      </c>
      <c s="6" r="BY246">
        <v>0</v>
      </c>
    </row>
    <row customHeight="1" r="247" ht="14.25">
      <c t="s" s="6" r="A247">
        <v>2140</v>
      </c>
      <c t="s" s="6" r="B247">
        <v>115</v>
      </c>
      <c t="s" s="6" r="C247">
        <v>116</v>
      </c>
      <c t="s" s="6" r="D247">
        <v>291</v>
      </c>
      <c t="s" s="6" r="E247">
        <v>2085</v>
      </c>
      <c t="s" s="6" r="F247">
        <v>81</v>
      </c>
      <c t="s" s="6" r="G247">
        <v>106</v>
      </c>
      <c s="6" r="H247">
        <v>0</v>
      </c>
      <c t="s" s="6" r="I247">
        <v>97</v>
      </c>
      <c t="s" s="6" r="L247">
        <v>2141</v>
      </c>
      <c t="s" s="6" r="M247">
        <v>122</v>
      </c>
      <c s="6" r="N247">
        <v>0</v>
      </c>
      <c s="6" r="O247">
        <v>0</v>
      </c>
      <c t="s" s="6" r="P247">
        <v>421</v>
      </c>
      <c t="s" s="6" r="Q247">
        <v>123</v>
      </c>
      <c t="s" s="6" r="R247">
        <v>2142</v>
      </c>
      <c t="s" s="6" r="S247">
        <v>2143</v>
      </c>
      <c t="s" s="6" r="T247">
        <v>90</v>
      </c>
      <c t="s" s="6" r="U247">
        <v>2144</v>
      </c>
      <c s="6" r="V247">
        <v>1</v>
      </c>
      <c s="6" r="W247">
        <v>1</v>
      </c>
      <c s="6" r="X247">
        <v>0</v>
      </c>
      <c s="6" r="Y247">
        <v>0</v>
      </c>
      <c s="6" r="Z247">
        <v>0</v>
      </c>
      <c t="s" s="6" r="AA247">
        <v>92</v>
      </c>
      <c t="s" s="6" r="AB247">
        <v>92</v>
      </c>
      <c t="s" s="6" r="AC247">
        <v>92</v>
      </c>
      <c t="s" s="6" r="AD247">
        <v>92</v>
      </c>
      <c t="s" s="6" r="AE247">
        <v>92</v>
      </c>
      <c s="6" r="AF247">
        <v>3</v>
      </c>
      <c t="s" s="6" r="AG247">
        <v>92</v>
      </c>
      <c t="s" s="6" r="AH247">
        <v>92</v>
      </c>
      <c t="s" s="6" r="AI247">
        <v>92</v>
      </c>
      <c t="s" s="6" r="AJ247">
        <v>92</v>
      </c>
      <c t="s" s="6" r="AK247">
        <v>92</v>
      </c>
      <c t="s" s="6" r="AL247">
        <v>92</v>
      </c>
      <c t="s" s="6" r="AM247">
        <v>92</v>
      </c>
      <c t="s" s="6" r="AN247">
        <v>92</v>
      </c>
      <c s="6" r="AP247">
        <v>3</v>
      </c>
      <c t="s" s="6" r="AR247">
        <v>2145</v>
      </c>
      <c s="6" r="AS247">
        <v>0</v>
      </c>
      <c s="6" r="AT247">
        <v>0</v>
      </c>
      <c s="6" r="AU247">
        <v>0</v>
      </c>
      <c s="6" r="AV247">
        <v>0</v>
      </c>
      <c s="6" r="AW247">
        <v>0</v>
      </c>
      <c s="6" r="AX247">
        <v>0</v>
      </c>
      <c s="6" r="AY247">
        <v>0</v>
      </c>
      <c s="6" r="AZ247">
        <v>0</v>
      </c>
      <c s="6" r="BA247">
        <v>0</v>
      </c>
      <c s="6" r="BB247">
        <v>0</v>
      </c>
      <c s="6" r="BC247">
        <v>1</v>
      </c>
      <c s="6" r="BD247">
        <v>0</v>
      </c>
      <c s="6" r="BE247">
        <v>0</v>
      </c>
      <c s="6" r="BF247">
        <v>0</v>
      </c>
      <c s="6" r="BG247">
        <v>0</v>
      </c>
      <c s="6" r="BH247">
        <v>0</v>
      </c>
      <c s="6" r="BI247">
        <v>0</v>
      </c>
      <c s="6" r="BJ247">
        <v>0</v>
      </c>
      <c s="6" r="BK247">
        <v>0</v>
      </c>
      <c s="6" r="BL247">
        <v>1</v>
      </c>
      <c s="6" r="BM247">
        <v>0</v>
      </c>
      <c s="6" r="BN247">
        <v>0</v>
      </c>
      <c s="6" r="BO247">
        <v>0</v>
      </c>
      <c s="6" r="BP247">
        <v>0</v>
      </c>
      <c s="6" r="BQ247">
        <v>0</v>
      </c>
      <c t="str" s="6" r="BR247">
        <f>HYPERLINK("http://www.d20pfsrd.com/magic/all-spells/g/good-hope","Good Hope")</f>
        <v>Good Hope</v>
      </c>
      <c s="6" r="BS247">
        <v>246</v>
      </c>
      <c t="s" s="6" r="BT247">
        <v>92</v>
      </c>
      <c s="6" r="BY247">
        <v>0</v>
      </c>
    </row>
    <row customHeight="1" r="248" ht="14.25">
      <c t="s" s="6" r="A248">
        <v>2146</v>
      </c>
      <c t="s" s="6" r="B248">
        <v>493</v>
      </c>
      <c t="s" s="6" r="D248">
        <v>58</v>
      </c>
      <c t="s" s="6" r="E248">
        <v>973</v>
      </c>
      <c t="s" s="6" r="F248">
        <v>81</v>
      </c>
      <c t="s" s="6" r="G248">
        <v>1059</v>
      </c>
      <c s="6" r="H248">
        <v>0</v>
      </c>
      <c t="s" s="6" r="I248">
        <v>97</v>
      </c>
      <c t="s" s="6" r="K248">
        <v>796</v>
      </c>
      <c t="s" s="6" r="M248">
        <v>99</v>
      </c>
      <c s="6" r="N248">
        <v>1</v>
      </c>
      <c s="6" r="O248">
        <v>0</v>
      </c>
      <c t="s" s="6" r="P248">
        <v>86</v>
      </c>
      <c t="s" s="6" r="Q248">
        <v>188</v>
      </c>
      <c t="s" s="6" r="R248">
        <v>2147</v>
      </c>
      <c t="s" s="6" r="S248">
        <v>2148</v>
      </c>
      <c t="s" s="6" r="T248">
        <v>90</v>
      </c>
      <c t="s" s="6" r="U248">
        <v>2149</v>
      </c>
      <c s="6" r="V248">
        <v>1</v>
      </c>
      <c s="6" r="W248">
        <v>1</v>
      </c>
      <c s="6" r="X248">
        <v>0</v>
      </c>
      <c s="6" r="Y248">
        <v>1</v>
      </c>
      <c s="6" r="Z248">
        <v>0</v>
      </c>
      <c s="6" r="AA248">
        <v>7</v>
      </c>
      <c s="6" r="AB248">
        <v>7</v>
      </c>
      <c t="s" s="6" r="AC248">
        <v>92</v>
      </c>
      <c t="s" s="6" r="AD248">
        <v>92</v>
      </c>
      <c t="s" s="6" r="AE248">
        <v>92</v>
      </c>
      <c t="s" s="6" r="AF248">
        <v>92</v>
      </c>
      <c t="s" s="6" r="AG248">
        <v>92</v>
      </c>
      <c t="s" s="6" r="AH248">
        <v>92</v>
      </c>
      <c t="s" s="6" r="AI248">
        <v>92</v>
      </c>
      <c t="s" s="6" r="AJ248">
        <v>92</v>
      </c>
      <c t="s" s="6" r="AK248">
        <v>92</v>
      </c>
      <c t="s" s="6" r="AL248">
        <v>92</v>
      </c>
      <c t="s" s="6" r="AM248">
        <v>92</v>
      </c>
      <c t="s" s="6" r="AN248">
        <v>92</v>
      </c>
      <c s="6" r="AP248">
        <v>7</v>
      </c>
      <c t="s" s="6" r="AQ248">
        <v>618</v>
      </c>
      <c t="s" s="6" r="AR248">
        <v>2150</v>
      </c>
      <c s="6" r="AS248">
        <v>0</v>
      </c>
      <c s="6" r="AT248">
        <v>0</v>
      </c>
      <c s="6" r="AU248">
        <v>0</v>
      </c>
      <c s="6" r="AV248">
        <v>0</v>
      </c>
      <c s="6" r="AW248">
        <v>0</v>
      </c>
      <c s="6" r="AX248">
        <v>0</v>
      </c>
      <c s="6" r="AY248">
        <v>0</v>
      </c>
      <c s="6" r="AZ248">
        <v>0</v>
      </c>
      <c s="6" r="BA248">
        <v>0</v>
      </c>
      <c s="6" r="BB248">
        <v>0</v>
      </c>
      <c s="6" r="BC248">
        <v>0</v>
      </c>
      <c s="6" r="BD248">
        <v>0</v>
      </c>
      <c s="6" r="BE248">
        <v>0</v>
      </c>
      <c s="6" r="BF248">
        <v>0</v>
      </c>
      <c s="6" r="BG248">
        <v>1</v>
      </c>
      <c s="6" r="BH248">
        <v>0</v>
      </c>
      <c s="6" r="BI248">
        <v>0</v>
      </c>
      <c s="6" r="BJ248">
        <v>0</v>
      </c>
      <c s="6" r="BK248">
        <v>0</v>
      </c>
      <c s="6" r="BL248">
        <v>0</v>
      </c>
      <c s="6" r="BM248">
        <v>0</v>
      </c>
      <c s="6" r="BN248">
        <v>0</v>
      </c>
      <c s="6" r="BO248">
        <v>0</v>
      </c>
      <c s="6" r="BP248">
        <v>0</v>
      </c>
      <c s="6" r="BQ248">
        <v>0</v>
      </c>
      <c t="str" s="6" r="BR248">
        <f>HYPERLINK("http://www.d20pfsrd.com/magic/all-spells/g/grasping-hand","Grasping Hand")</f>
        <v>Grasping Hand</v>
      </c>
      <c s="6" r="BS248">
        <v>247</v>
      </c>
      <c t="s" s="6" r="BT248">
        <v>92</v>
      </c>
      <c s="6" r="BY248">
        <v>0</v>
      </c>
    </row>
    <row customHeight="1" r="249" ht="14.25">
      <c t="s" s="6" r="A249">
        <v>2151</v>
      </c>
      <c t="s" s="6" r="B249">
        <v>78</v>
      </c>
      <c t="s" s="6" r="C249">
        <v>79</v>
      </c>
      <c t="s" s="6" r="E249">
        <v>1742</v>
      </c>
      <c t="s" s="6" r="F249">
        <v>81</v>
      </c>
      <c t="s" s="6" r="G249">
        <v>2152</v>
      </c>
      <c s="6" r="H249">
        <v>0</v>
      </c>
      <c t="s" s="6" r="I249">
        <v>107</v>
      </c>
      <c t="s" s="6" r="L249">
        <v>2153</v>
      </c>
      <c t="s" s="6" r="M249">
        <v>496</v>
      </c>
      <c s="6" r="N249">
        <v>1</v>
      </c>
      <c s="6" r="O249">
        <v>0</v>
      </c>
      <c t="s" s="6" r="P249">
        <v>141</v>
      </c>
      <c t="s" s="6" r="Q249">
        <v>87</v>
      </c>
      <c t="s" s="6" r="R249">
        <v>2154</v>
      </c>
      <c t="s" s="6" r="S249">
        <v>2155</v>
      </c>
      <c t="s" s="6" r="T249">
        <v>90</v>
      </c>
      <c t="s" s="6" r="U249">
        <v>2156</v>
      </c>
      <c s="6" r="V249">
        <v>1</v>
      </c>
      <c s="6" r="W249">
        <v>1</v>
      </c>
      <c s="6" r="X249">
        <v>1</v>
      </c>
      <c s="6" r="Y249">
        <v>0</v>
      </c>
      <c s="6" r="Z249">
        <v>0</v>
      </c>
      <c s="6" r="AA249">
        <v>1</v>
      </c>
      <c s="6" r="AB249">
        <v>1</v>
      </c>
      <c t="s" s="6" r="AC249">
        <v>92</v>
      </c>
      <c t="s" s="6" r="AD249">
        <v>92</v>
      </c>
      <c t="s" s="6" r="AE249">
        <v>92</v>
      </c>
      <c s="6" r="AF249">
        <v>1</v>
      </c>
      <c t="s" s="6" r="AG249">
        <v>92</v>
      </c>
      <c t="s" s="6" r="AH249">
        <v>92</v>
      </c>
      <c s="6" r="AI249">
        <v>1</v>
      </c>
      <c t="s" s="6" r="AJ249">
        <v>92</v>
      </c>
      <c t="s" s="6" r="AK249">
        <v>92</v>
      </c>
      <c t="s" s="6" r="AL249">
        <v>92</v>
      </c>
      <c t="s" s="6" r="AM249">
        <v>92</v>
      </c>
      <c s="6" r="AN249">
        <v>1</v>
      </c>
      <c s="6" r="AP249">
        <v>1</v>
      </c>
      <c t="s" s="6" r="AR249">
        <v>2157</v>
      </c>
      <c s="6" r="AS249">
        <v>0</v>
      </c>
      <c s="6" r="AT249">
        <v>0</v>
      </c>
      <c s="6" r="AU249">
        <v>0</v>
      </c>
      <c s="6" r="AV249">
        <v>0</v>
      </c>
      <c s="6" r="AW249">
        <v>0</v>
      </c>
      <c s="6" r="AX249">
        <v>0</v>
      </c>
      <c s="6" r="AY249">
        <v>0</v>
      </c>
      <c s="6" r="AZ249">
        <v>0</v>
      </c>
      <c s="6" r="BA249">
        <v>0</v>
      </c>
      <c s="6" r="BB249">
        <v>0</v>
      </c>
      <c s="6" r="BC249">
        <v>0</v>
      </c>
      <c s="6" r="BD249">
        <v>0</v>
      </c>
      <c s="6" r="BE249">
        <v>0</v>
      </c>
      <c s="6" r="BF249">
        <v>0</v>
      </c>
      <c s="6" r="BG249">
        <v>0</v>
      </c>
      <c s="6" r="BH249">
        <v>0</v>
      </c>
      <c s="6" r="BI249">
        <v>0</v>
      </c>
      <c s="6" r="BJ249">
        <v>0</v>
      </c>
      <c s="6" r="BK249">
        <v>0</v>
      </c>
      <c s="6" r="BL249">
        <v>0</v>
      </c>
      <c s="6" r="BM249">
        <v>0</v>
      </c>
      <c s="6" r="BN249">
        <v>0</v>
      </c>
      <c s="6" r="BO249">
        <v>0</v>
      </c>
      <c s="6" r="BP249">
        <v>0</v>
      </c>
      <c s="6" r="BQ249">
        <v>0</v>
      </c>
      <c t="str" s="6" r="BR249">
        <f>HYPERLINK("http://www.d20pfsrd.com/magic/all-spells/g/grease","Grease")</f>
        <v>Grease</v>
      </c>
      <c s="6" r="BS249">
        <v>248</v>
      </c>
      <c t="s" s="6" r="BT249">
        <v>92</v>
      </c>
      <c t="s" s="6" r="BW249">
        <v>2158</v>
      </c>
      <c t="s" s="6" r="BX249">
        <v>2159</v>
      </c>
      <c s="6" r="BY249">
        <v>1</v>
      </c>
    </row>
    <row customHeight="1" r="250" ht="14.25">
      <c t="s" s="6" r="A250">
        <v>2160</v>
      </c>
      <c t="s" s="6" r="B250">
        <v>162</v>
      </c>
      <c t="s" s="6" r="E250">
        <v>2161</v>
      </c>
      <c t="s" s="6" r="F250">
        <v>351</v>
      </c>
      <c t="s" s="6" r="G250">
        <v>2162</v>
      </c>
      <c s="6" r="H250">
        <v>0</v>
      </c>
      <c t="s" s="6" r="I250">
        <v>2163</v>
      </c>
      <c t="s" s="6" r="J250">
        <v>2164</v>
      </c>
      <c t="s" s="6" r="M250">
        <v>166</v>
      </c>
      <c s="6" r="N250">
        <v>1</v>
      </c>
      <c s="6" r="O250">
        <v>1</v>
      </c>
      <c t="s" s="6" r="P250">
        <v>141</v>
      </c>
      <c t="s" s="6" r="Q250">
        <v>141</v>
      </c>
      <c t="s" s="6" r="R250">
        <v>2165</v>
      </c>
      <c t="s" s="6" r="S250">
        <v>2166</v>
      </c>
      <c t="s" s="6" r="T250">
        <v>90</v>
      </c>
      <c t="s" s="6" r="U250">
        <v>2167</v>
      </c>
      <c s="6" r="V250">
        <v>1</v>
      </c>
      <c s="6" r="W250">
        <v>1</v>
      </c>
      <c s="6" r="X250">
        <v>1</v>
      </c>
      <c s="6" r="Y250">
        <v>1</v>
      </c>
      <c s="6" r="Z250">
        <v>0</v>
      </c>
      <c s="6" r="AA250">
        <v>6</v>
      </c>
      <c s="6" r="AB250">
        <v>6</v>
      </c>
      <c t="s" s="6" r="AC250">
        <v>92</v>
      </c>
      <c t="s" s="6" r="AD250">
        <v>92</v>
      </c>
      <c t="s" s="6" r="AE250">
        <v>92</v>
      </c>
      <c t="s" s="6" r="AF250">
        <v>92</v>
      </c>
      <c t="s" s="6" r="AG250">
        <v>92</v>
      </c>
      <c t="s" s="6" r="AH250">
        <v>92</v>
      </c>
      <c t="s" s="6" r="AI250">
        <v>92</v>
      </c>
      <c s="6" r="AJ250">
        <v>6</v>
      </c>
      <c t="s" s="6" r="AK250">
        <v>92</v>
      </c>
      <c t="s" s="6" r="AL250">
        <v>92</v>
      </c>
      <c t="s" s="6" r="AM250">
        <v>92</v>
      </c>
      <c t="s" s="6" r="AN250">
        <v>92</v>
      </c>
      <c s="6" r="AP250">
        <v>6</v>
      </c>
      <c t="s" s="6" r="AQ250">
        <v>2168</v>
      </c>
      <c t="s" s="6" r="AR250">
        <v>2169</v>
      </c>
      <c s="6" r="AS250">
        <v>0</v>
      </c>
      <c s="6" r="AT250">
        <v>0</v>
      </c>
      <c s="6" r="AU250">
        <v>0</v>
      </c>
      <c s="6" r="AV250">
        <v>0</v>
      </c>
      <c s="6" r="AW250">
        <v>0</v>
      </c>
      <c s="6" r="AX250">
        <v>0</v>
      </c>
      <c s="6" r="AY250">
        <v>0</v>
      </c>
      <c s="6" r="AZ250">
        <v>0</v>
      </c>
      <c s="6" r="BA250">
        <v>0</v>
      </c>
      <c s="6" r="BB250">
        <v>0</v>
      </c>
      <c s="6" r="BC250">
        <v>0</v>
      </c>
      <c s="6" r="BD250">
        <v>0</v>
      </c>
      <c s="6" r="BE250">
        <v>0</v>
      </c>
      <c s="6" r="BF250">
        <v>0</v>
      </c>
      <c s="6" r="BG250">
        <v>0</v>
      </c>
      <c s="6" r="BH250">
        <v>0</v>
      </c>
      <c s="6" r="BI250">
        <v>0</v>
      </c>
      <c s="6" r="BJ250">
        <v>0</v>
      </c>
      <c s="6" r="BK250">
        <v>0</v>
      </c>
      <c s="6" r="BL250">
        <v>0</v>
      </c>
      <c s="6" r="BM250">
        <v>0</v>
      </c>
      <c s="6" r="BN250">
        <v>0</v>
      </c>
      <c s="6" r="BO250">
        <v>0</v>
      </c>
      <c s="6" r="BP250">
        <v>0</v>
      </c>
      <c s="6" r="BQ250">
        <v>0</v>
      </c>
      <c t="str" s="6" r="BR250">
        <f>HYPERLINK("http://www.d20pfsrd.com/magic/all-spells/g/guards-and-wards","Guards and Wards")</f>
        <v>Guards and Wards</v>
      </c>
      <c s="6" r="BS250">
        <v>249</v>
      </c>
      <c t="s" s="6" r="BT250">
        <v>92</v>
      </c>
      <c t="s" s="6" r="BU250">
        <v>1698</v>
      </c>
      <c s="6" r="BY250">
        <v>0</v>
      </c>
    </row>
    <row customHeight="1" r="251" ht="14.25">
      <c t="s" s="6" r="A251">
        <v>2170</v>
      </c>
      <c t="s" s="6" r="B251">
        <v>174</v>
      </c>
      <c t="s" s="6" r="E251">
        <v>2171</v>
      </c>
      <c t="s" s="6" r="F251">
        <v>81</v>
      </c>
      <c t="s" s="6" r="G251">
        <v>106</v>
      </c>
      <c s="6" r="H251">
        <v>0</v>
      </c>
      <c t="s" s="6" r="I251">
        <v>120</v>
      </c>
      <c t="s" s="6" r="L251">
        <v>420</v>
      </c>
      <c t="s" s="6" r="M251">
        <v>2172</v>
      </c>
      <c s="6" r="N251">
        <v>0</v>
      </c>
      <c s="6" r="O251">
        <v>0</v>
      </c>
      <c t="s" s="6" r="P251">
        <v>421</v>
      </c>
      <c t="s" s="6" r="Q251">
        <v>188</v>
      </c>
      <c t="s" s="6" r="R251">
        <v>2173</v>
      </c>
      <c t="s" s="6" r="S251">
        <v>2174</v>
      </c>
      <c t="s" s="6" r="T251">
        <v>90</v>
      </c>
      <c t="s" s="6" r="U251">
        <v>2175</v>
      </c>
      <c s="6" r="V251">
        <v>1</v>
      </c>
      <c s="6" r="W251">
        <v>1</v>
      </c>
      <c s="6" r="X251">
        <v>0</v>
      </c>
      <c s="6" r="Y251">
        <v>0</v>
      </c>
      <c s="6" r="Z251">
        <v>0</v>
      </c>
      <c t="s" s="6" r="AA251">
        <v>92</v>
      </c>
      <c t="s" s="6" r="AB251">
        <v>92</v>
      </c>
      <c s="6" r="AC251">
        <v>0</v>
      </c>
      <c s="6" r="AD251">
        <v>0</v>
      </c>
      <c t="s" s="6" r="AE251">
        <v>92</v>
      </c>
      <c t="s" s="6" r="AF251">
        <v>92</v>
      </c>
      <c t="s" s="6" r="AG251">
        <v>92</v>
      </c>
      <c t="s" s="6" r="AH251">
        <v>92</v>
      </c>
      <c s="6" r="AI251">
        <v>0</v>
      </c>
      <c s="6" r="AJ251">
        <v>0</v>
      </c>
      <c s="6" r="AK251">
        <v>0</v>
      </c>
      <c s="6" r="AL251">
        <v>0</v>
      </c>
      <c t="s" s="6" r="AM251">
        <v>92</v>
      </c>
      <c t="s" s="6" r="AN251">
        <v>92</v>
      </c>
      <c s="6" r="AP251">
        <v>0</v>
      </c>
      <c t="s" s="6" r="AR251">
        <v>2176</v>
      </c>
      <c s="6" r="AS251">
        <v>0</v>
      </c>
      <c s="6" r="AT251">
        <v>0</v>
      </c>
      <c s="6" r="AU251">
        <v>0</v>
      </c>
      <c s="6" r="AV251">
        <v>0</v>
      </c>
      <c s="6" r="AW251">
        <v>0</v>
      </c>
      <c s="6" r="AX251">
        <v>0</v>
      </c>
      <c s="6" r="AY251">
        <v>0</v>
      </c>
      <c s="6" r="AZ251">
        <v>0</v>
      </c>
      <c s="6" r="BA251">
        <v>0</v>
      </c>
      <c s="6" r="BB251">
        <v>0</v>
      </c>
      <c s="6" r="BC251">
        <v>0</v>
      </c>
      <c s="6" r="BD251">
        <v>0</v>
      </c>
      <c s="6" r="BE251">
        <v>0</v>
      </c>
      <c s="6" r="BF251">
        <v>0</v>
      </c>
      <c s="6" r="BG251">
        <v>0</v>
      </c>
      <c s="6" r="BH251">
        <v>0</v>
      </c>
      <c s="6" r="BI251">
        <v>0</v>
      </c>
      <c s="6" r="BJ251">
        <v>0</v>
      </c>
      <c s="6" r="BK251">
        <v>0</v>
      </c>
      <c s="6" r="BL251">
        <v>0</v>
      </c>
      <c s="6" r="BM251">
        <v>0</v>
      </c>
      <c s="6" r="BN251">
        <v>0</v>
      </c>
      <c s="6" r="BO251">
        <v>0</v>
      </c>
      <c s="6" r="BP251">
        <v>0</v>
      </c>
      <c s="6" r="BQ251">
        <v>0</v>
      </c>
      <c t="str" s="6" r="BR251">
        <f>HYPERLINK("http://www.d20pfsrd.com/magic/all-spells/g/guidance","Guidance")</f>
        <v>Guidance</v>
      </c>
      <c s="6" r="BS251">
        <v>250</v>
      </c>
      <c t="s" s="6" r="BT251">
        <v>92</v>
      </c>
      <c s="6" r="BY251">
        <v>0</v>
      </c>
    </row>
    <row customHeight="1" r="252" ht="14.25">
      <c t="s" s="6" r="A252">
        <v>2177</v>
      </c>
      <c t="s" s="6" r="B252">
        <v>493</v>
      </c>
      <c t="s" s="6" r="D252">
        <v>45</v>
      </c>
      <c t="s" s="6" r="E252">
        <v>1862</v>
      </c>
      <c t="s" s="6" r="F252">
        <v>81</v>
      </c>
      <c t="s" s="6" r="G252">
        <v>106</v>
      </c>
      <c s="6" r="H252">
        <v>0</v>
      </c>
      <c t="s" s="6" r="I252">
        <v>897</v>
      </c>
      <c t="s" s="6" r="K252">
        <v>2178</v>
      </c>
      <c t="s" s="6" r="M252">
        <v>272</v>
      </c>
      <c s="6" r="N252">
        <v>0</v>
      </c>
      <c s="6" r="O252">
        <v>0</v>
      </c>
      <c t="s" s="6" r="P252">
        <v>187</v>
      </c>
      <c t="s" s="6" r="Q252">
        <v>188</v>
      </c>
      <c t="s" s="6" r="R252">
        <v>2179</v>
      </c>
      <c t="s" s="6" r="S252">
        <v>2180</v>
      </c>
      <c t="s" s="6" r="T252">
        <v>90</v>
      </c>
      <c t="s" s="6" r="U252">
        <v>2181</v>
      </c>
      <c s="6" r="V252">
        <v>1</v>
      </c>
      <c s="6" r="W252">
        <v>1</v>
      </c>
      <c s="6" r="X252">
        <v>0</v>
      </c>
      <c s="6" r="Y252">
        <v>0</v>
      </c>
      <c s="6" r="Z252">
        <v>0</v>
      </c>
      <c s="6" r="AA252">
        <v>2</v>
      </c>
      <c s="6" r="AB252">
        <v>2</v>
      </c>
      <c t="s" s="6" r="AC252">
        <v>92</v>
      </c>
      <c s="6" r="AD252">
        <v>2</v>
      </c>
      <c t="s" s="6" r="AE252">
        <v>92</v>
      </c>
      <c t="s" s="6" r="AF252">
        <v>92</v>
      </c>
      <c t="s" s="6" r="AG252">
        <v>92</v>
      </c>
      <c t="s" s="6" r="AH252">
        <v>92</v>
      </c>
      <c t="s" s="6" r="AI252">
        <v>92</v>
      </c>
      <c t="s" s="6" r="AJ252">
        <v>92</v>
      </c>
      <c t="s" s="6" r="AK252">
        <v>92</v>
      </c>
      <c t="s" s="6" r="AL252">
        <v>92</v>
      </c>
      <c t="s" s="6" r="AM252">
        <v>92</v>
      </c>
      <c s="6" r="AN252">
        <v>2</v>
      </c>
      <c s="6" r="AP252">
        <v>2</v>
      </c>
      <c t="s" s="6" r="AQ252">
        <v>2182</v>
      </c>
      <c t="s" s="6" r="AR252">
        <v>2183</v>
      </c>
      <c s="6" r="AS252">
        <v>0</v>
      </c>
      <c s="6" r="AT252">
        <v>1</v>
      </c>
      <c s="6" r="AU252">
        <v>0</v>
      </c>
      <c s="6" r="AV252">
        <v>0</v>
      </c>
      <c s="6" r="AW252">
        <v>0</v>
      </c>
      <c s="6" r="AX252">
        <v>0</v>
      </c>
      <c s="6" r="AY252">
        <v>0</v>
      </c>
      <c s="6" r="AZ252">
        <v>0</v>
      </c>
      <c s="6" r="BA252">
        <v>0</v>
      </c>
      <c s="6" r="BB252">
        <v>0</v>
      </c>
      <c s="6" r="BC252">
        <v>0</v>
      </c>
      <c s="6" r="BD252">
        <v>0</v>
      </c>
      <c s="6" r="BE252">
        <v>0</v>
      </c>
      <c s="6" r="BF252">
        <v>0</v>
      </c>
      <c s="6" r="BG252">
        <v>0</v>
      </c>
      <c s="6" r="BH252">
        <v>0</v>
      </c>
      <c s="6" r="BI252">
        <v>0</v>
      </c>
      <c s="6" r="BJ252">
        <v>0</v>
      </c>
      <c s="6" r="BK252">
        <v>0</v>
      </c>
      <c s="6" r="BL252">
        <v>0</v>
      </c>
      <c s="6" r="BM252">
        <v>0</v>
      </c>
      <c s="6" r="BN252">
        <v>0</v>
      </c>
      <c s="6" r="BO252">
        <v>0</v>
      </c>
      <c s="6" r="BP252">
        <v>0</v>
      </c>
      <c s="6" r="BQ252">
        <v>0</v>
      </c>
      <c t="str" s="6" r="BR252">
        <f>HYPERLINK("http://www.d20pfsrd.com/magic/all-spells/g/gust-of-wind","Gust of Wind")</f>
        <v>Gust of Wind</v>
      </c>
      <c s="6" r="BS252">
        <v>251</v>
      </c>
      <c t="s" s="6" r="BT252">
        <v>92</v>
      </c>
      <c t="s" s="6" r="BU252">
        <v>999</v>
      </c>
      <c t="s" s="6" r="BW252">
        <v>2184</v>
      </c>
      <c t="s" s="6" r="BX252">
        <v>2185</v>
      </c>
      <c s="6" r="BY252">
        <v>1</v>
      </c>
    </row>
    <row customHeight="1" r="253" ht="14.25">
      <c t="s" s="6" r="A253">
        <v>2186</v>
      </c>
      <c t="s" s="6" r="B253">
        <v>493</v>
      </c>
      <c t="s" s="6" r="D253">
        <v>59</v>
      </c>
      <c t="s" s="6" r="E253">
        <v>362</v>
      </c>
      <c t="s" s="6" r="F253">
        <v>379</v>
      </c>
      <c t="s" s="6" r="G253">
        <v>2187</v>
      </c>
      <c s="6" r="H253">
        <v>1</v>
      </c>
      <c t="s" s="6" r="I253">
        <v>120</v>
      </c>
      <c t="s" s="6" r="J253">
        <v>2188</v>
      </c>
      <c t="s" s="6" r="M253">
        <v>109</v>
      </c>
      <c s="6" r="N253">
        <v>0</v>
      </c>
      <c s="6" r="O253">
        <v>0</v>
      </c>
      <c t="s" s="6" r="P253">
        <v>141</v>
      </c>
      <c t="s" s="6" r="Q253">
        <v>141</v>
      </c>
      <c t="s" s="6" r="R253">
        <v>2189</v>
      </c>
      <c t="s" s="6" r="S253">
        <v>2190</v>
      </c>
      <c t="s" s="6" r="T253">
        <v>90</v>
      </c>
      <c t="s" s="6" r="U253">
        <v>2191</v>
      </c>
      <c s="6" r="V253">
        <v>1</v>
      </c>
      <c s="6" r="W253">
        <v>1</v>
      </c>
      <c s="6" r="X253">
        <v>1</v>
      </c>
      <c s="6" r="Y253">
        <v>0</v>
      </c>
      <c s="6" r="Z253">
        <v>1</v>
      </c>
      <c t="s" s="6" r="AA253">
        <v>92</v>
      </c>
      <c t="s" s="6" r="AB253">
        <v>92</v>
      </c>
      <c s="6" r="AC253">
        <v>5</v>
      </c>
      <c s="6" r="AD253">
        <v>5</v>
      </c>
      <c t="s" s="6" r="AE253">
        <v>92</v>
      </c>
      <c t="s" s="6" r="AF253">
        <v>92</v>
      </c>
      <c t="s" s="6" r="AG253">
        <v>92</v>
      </c>
      <c t="s" s="6" r="AH253">
        <v>92</v>
      </c>
      <c t="s" s="6" r="AI253">
        <v>92</v>
      </c>
      <c t="s" s="6" r="AJ253">
        <v>92</v>
      </c>
      <c s="6" r="AK253">
        <v>5</v>
      </c>
      <c s="6" r="AL253">
        <v>5</v>
      </c>
      <c t="s" s="6" r="AM253">
        <v>92</v>
      </c>
      <c t="s" s="6" r="AN253">
        <v>92</v>
      </c>
      <c s="6" r="AP253">
        <v>5</v>
      </c>
      <c t="s" s="6" r="AR253">
        <v>2192</v>
      </c>
      <c s="6" r="AS253">
        <v>0</v>
      </c>
      <c s="6" r="AT253">
        <v>0</v>
      </c>
      <c s="6" r="AU253">
        <v>0</v>
      </c>
      <c s="6" r="AV253">
        <v>0</v>
      </c>
      <c s="6" r="AW253">
        <v>0</v>
      </c>
      <c s="6" r="AX253">
        <v>0</v>
      </c>
      <c s="6" r="AY253">
        <v>0</v>
      </c>
      <c s="6" r="AZ253">
        <v>0</v>
      </c>
      <c s="6" r="BA253">
        <v>0</v>
      </c>
      <c s="6" r="BB253">
        <v>0</v>
      </c>
      <c s="6" r="BC253">
        <v>0</v>
      </c>
      <c s="6" r="BD253">
        <v>0</v>
      </c>
      <c s="6" r="BE253">
        <v>0</v>
      </c>
      <c s="6" r="BF253">
        <v>0</v>
      </c>
      <c s="6" r="BG253">
        <v>0</v>
      </c>
      <c s="6" r="BH253">
        <v>1</v>
      </c>
      <c s="6" r="BI253">
        <v>0</v>
      </c>
      <c s="6" r="BJ253">
        <v>0</v>
      </c>
      <c s="6" r="BK253">
        <v>0</v>
      </c>
      <c s="6" r="BL253">
        <v>0</v>
      </c>
      <c s="6" r="BM253">
        <v>0</v>
      </c>
      <c s="6" r="BN253">
        <v>0</v>
      </c>
      <c s="6" r="BO253">
        <v>0</v>
      </c>
      <c s="6" r="BP253">
        <v>0</v>
      </c>
      <c s="6" r="BQ253">
        <v>0</v>
      </c>
      <c t="str" s="6" r="BR253">
        <f>HYPERLINK("http://www.d20pfsrd.com/magic/all-spells/h/hallow","Hallow")</f>
        <v>Hallow</v>
      </c>
      <c s="6" r="BS253">
        <v>252</v>
      </c>
      <c s="6" r="BT253">
        <v>1000</v>
      </c>
      <c s="6" r="BY253">
        <v>0</v>
      </c>
    </row>
    <row customHeight="1" r="254" ht="14.25">
      <c t="s" s="6" r="A254">
        <v>2193</v>
      </c>
      <c t="s" s="6" r="B254">
        <v>579</v>
      </c>
      <c t="s" s="6" r="C254">
        <v>580</v>
      </c>
      <c t="s" s="6" r="E254">
        <v>2194</v>
      </c>
      <c t="s" s="6" r="F254">
        <v>311</v>
      </c>
      <c t="s" s="6" r="G254">
        <v>2195</v>
      </c>
      <c s="6" r="H254">
        <v>0</v>
      </c>
      <c t="s" s="6" r="I254">
        <v>83</v>
      </c>
      <c t="s" s="6" r="J254">
        <v>2196</v>
      </c>
      <c t="s" s="6" r="M254">
        <v>166</v>
      </c>
      <c s="6" r="N254">
        <v>1</v>
      </c>
      <c s="6" r="O254">
        <v>1</v>
      </c>
      <c t="s" s="6" r="P254">
        <v>2197</v>
      </c>
      <c t="s" s="6" r="Q254">
        <v>87</v>
      </c>
      <c t="s" s="6" r="R254">
        <v>2198</v>
      </c>
      <c t="s" s="6" r="S254">
        <v>2199</v>
      </c>
      <c t="s" s="6" r="T254">
        <v>90</v>
      </c>
      <c t="s" s="6" r="U254">
        <v>2200</v>
      </c>
      <c s="6" r="V254">
        <v>1</v>
      </c>
      <c s="6" r="W254">
        <v>1</v>
      </c>
      <c s="6" r="X254">
        <v>1</v>
      </c>
      <c s="6" r="Y254">
        <v>0</v>
      </c>
      <c s="6" r="Z254">
        <v>0</v>
      </c>
      <c s="6" r="AA254">
        <v>4</v>
      </c>
      <c s="6" r="AB254">
        <v>4</v>
      </c>
      <c t="s" s="6" r="AC254">
        <v>92</v>
      </c>
      <c t="s" s="6" r="AD254">
        <v>92</v>
      </c>
      <c t="s" s="6" r="AE254">
        <v>92</v>
      </c>
      <c s="6" r="AF254">
        <v>4</v>
      </c>
      <c t="s" s="6" r="AG254">
        <v>92</v>
      </c>
      <c t="s" s="6" r="AH254">
        <v>92</v>
      </c>
      <c t="s" s="6" r="AI254">
        <v>92</v>
      </c>
      <c t="s" s="6" r="AJ254">
        <v>92</v>
      </c>
      <c t="s" s="6" r="AK254">
        <v>92</v>
      </c>
      <c t="s" s="6" r="AL254">
        <v>92</v>
      </c>
      <c t="s" s="6" r="AM254">
        <v>92</v>
      </c>
      <c t="s" s="6" r="AN254">
        <v>92</v>
      </c>
      <c s="6" r="AP254">
        <v>4</v>
      </c>
      <c t="s" s="6" r="AR254">
        <v>2201</v>
      </c>
      <c s="6" r="AS254">
        <v>0</v>
      </c>
      <c s="6" r="AT254">
        <v>0</v>
      </c>
      <c s="6" r="AU254">
        <v>0</v>
      </c>
      <c s="6" r="AV254">
        <v>0</v>
      </c>
      <c s="6" r="AW254">
        <v>0</v>
      </c>
      <c s="6" r="AX254">
        <v>0</v>
      </c>
      <c s="6" r="AY254">
        <v>0</v>
      </c>
      <c s="6" r="AZ254">
        <v>0</v>
      </c>
      <c s="6" r="BA254">
        <v>0</v>
      </c>
      <c s="6" r="BB254">
        <v>0</v>
      </c>
      <c s="6" r="BC254">
        <v>0</v>
      </c>
      <c s="6" r="BD254">
        <v>0</v>
      </c>
      <c s="6" r="BE254">
        <v>0</v>
      </c>
      <c s="6" r="BF254">
        <v>0</v>
      </c>
      <c s="6" r="BG254">
        <v>0</v>
      </c>
      <c s="6" r="BH254">
        <v>0</v>
      </c>
      <c s="6" r="BI254">
        <v>0</v>
      </c>
      <c s="6" r="BJ254">
        <v>0</v>
      </c>
      <c s="6" r="BK254">
        <v>0</v>
      </c>
      <c s="6" r="BL254">
        <v>0</v>
      </c>
      <c s="6" r="BM254">
        <v>0</v>
      </c>
      <c s="6" r="BN254">
        <v>0</v>
      </c>
      <c s="6" r="BO254">
        <v>0</v>
      </c>
      <c s="6" r="BP254">
        <v>0</v>
      </c>
      <c s="6" r="BQ254">
        <v>0</v>
      </c>
      <c t="str" s="6" r="BR254">
        <f>HYPERLINK("http://www.d20pfsrd.com/magic/all-spells/h/hallucinatory-terrain","Hallucinatory Terrain")</f>
        <v>Hallucinatory Terrain</v>
      </c>
      <c s="6" r="BS254">
        <v>253</v>
      </c>
      <c t="s" s="6" r="BT254">
        <v>92</v>
      </c>
      <c t="s" s="6" r="BV254">
        <v>269</v>
      </c>
      <c s="6" r="BY254">
        <v>0</v>
      </c>
    </row>
    <row customHeight="1" r="255" ht="14.25">
      <c t="s" s="6" r="A255">
        <v>2202</v>
      </c>
      <c t="s" s="6" r="B255">
        <v>227</v>
      </c>
      <c t="s" s="6" r="E255">
        <v>2203</v>
      </c>
      <c t="s" s="6" r="F255">
        <v>81</v>
      </c>
      <c t="s" s="6" r="G255">
        <v>2204</v>
      </c>
      <c s="6" r="H255">
        <v>0</v>
      </c>
      <c t="s" s="6" r="I255">
        <v>97</v>
      </c>
      <c t="s" s="6" r="L255">
        <v>2205</v>
      </c>
      <c t="s" s="6" r="M255">
        <v>99</v>
      </c>
      <c s="6" r="N255">
        <v>0</v>
      </c>
      <c s="6" r="O255">
        <v>0</v>
      </c>
      <c t="s" s="6" r="P255">
        <v>2206</v>
      </c>
      <c t="s" s="6" r="Q255">
        <v>188</v>
      </c>
      <c t="s" s="6" r="R255">
        <v>2207</v>
      </c>
      <c t="s" s="6" r="S255">
        <v>2208</v>
      </c>
      <c t="s" s="6" r="T255">
        <v>90</v>
      </c>
      <c t="s" s="6" r="U255">
        <v>2209</v>
      </c>
      <c s="6" r="V255">
        <v>1</v>
      </c>
      <c s="6" r="W255">
        <v>1</v>
      </c>
      <c s="6" r="X255">
        <v>1</v>
      </c>
      <c s="6" r="Y255">
        <v>0</v>
      </c>
      <c s="6" r="Z255">
        <v>0</v>
      </c>
      <c s="6" r="AA255">
        <v>3</v>
      </c>
      <c s="6" r="AB255">
        <v>3</v>
      </c>
      <c t="s" s="6" r="AC255">
        <v>92</v>
      </c>
      <c t="s" s="6" r="AD255">
        <v>92</v>
      </c>
      <c t="s" s="6" r="AE255">
        <v>92</v>
      </c>
      <c t="s" s="6" r="AF255">
        <v>92</v>
      </c>
      <c t="s" s="6" r="AG255">
        <v>92</v>
      </c>
      <c t="s" s="6" r="AH255">
        <v>92</v>
      </c>
      <c t="s" s="6" r="AI255">
        <v>92</v>
      </c>
      <c t="s" s="6" r="AJ255">
        <v>92</v>
      </c>
      <c s="6" r="AK255">
        <v>3</v>
      </c>
      <c t="s" s="6" r="AL255">
        <v>92</v>
      </c>
      <c t="s" s="6" r="AM255">
        <v>92</v>
      </c>
      <c t="s" s="6" r="AN255">
        <v>92</v>
      </c>
      <c s="6" r="AP255">
        <v>3</v>
      </c>
      <c t="s" s="6" r="AR255">
        <v>2210</v>
      </c>
      <c s="6" r="AS255">
        <v>0</v>
      </c>
      <c s="6" r="AT255">
        <v>0</v>
      </c>
      <c s="6" r="AU255">
        <v>0</v>
      </c>
      <c s="6" r="AV255">
        <v>0</v>
      </c>
      <c s="6" r="AW255">
        <v>0</v>
      </c>
      <c s="6" r="AX255">
        <v>0</v>
      </c>
      <c s="6" r="AY255">
        <v>0</v>
      </c>
      <c s="6" r="AZ255">
        <v>0</v>
      </c>
      <c s="6" r="BA255">
        <v>0</v>
      </c>
      <c s="6" r="BB255">
        <v>0</v>
      </c>
      <c s="6" r="BC255">
        <v>0</v>
      </c>
      <c s="6" r="BD255">
        <v>0</v>
      </c>
      <c s="6" r="BE255">
        <v>0</v>
      </c>
      <c s="6" r="BF255">
        <v>0</v>
      </c>
      <c s="6" r="BG255">
        <v>0</v>
      </c>
      <c s="6" r="BH255">
        <v>0</v>
      </c>
      <c s="6" r="BI255">
        <v>0</v>
      </c>
      <c s="6" r="BJ255">
        <v>0</v>
      </c>
      <c s="6" r="BK255">
        <v>0</v>
      </c>
      <c s="6" r="BL255">
        <v>0</v>
      </c>
      <c s="6" r="BM255">
        <v>0</v>
      </c>
      <c s="6" r="BN255">
        <v>0</v>
      </c>
      <c s="6" r="BO255">
        <v>0</v>
      </c>
      <c s="6" r="BP255">
        <v>0</v>
      </c>
      <c s="6" r="BQ255">
        <v>0</v>
      </c>
      <c t="str" s="6" r="BR255">
        <f>HYPERLINK("http://www.d20pfsrd.com/magic/all-spells/h/halt-undead","Halt Undead")</f>
        <v>Halt Undead</v>
      </c>
      <c s="6" r="BS255">
        <v>254</v>
      </c>
      <c t="s" s="6" r="BT255">
        <v>92</v>
      </c>
      <c s="6" r="BY255">
        <v>0</v>
      </c>
    </row>
    <row customHeight="1" r="256" ht="14.25">
      <c t="s" s="6" r="A256">
        <v>2211</v>
      </c>
      <c t="s" s="6" r="B256">
        <v>227</v>
      </c>
      <c t="s" s="6" r="E256">
        <v>2212</v>
      </c>
      <c t="s" s="6" r="F256">
        <v>81</v>
      </c>
      <c t="s" s="6" r="G256">
        <v>106</v>
      </c>
      <c s="6" r="H256">
        <v>0</v>
      </c>
      <c t="s" s="6" r="I256">
        <v>120</v>
      </c>
      <c t="s" s="6" r="L256">
        <v>420</v>
      </c>
      <c t="s" s="6" r="M256">
        <v>109</v>
      </c>
      <c s="6" r="N256">
        <v>0</v>
      </c>
      <c s="6" r="O256">
        <v>0</v>
      </c>
      <c t="s" s="6" r="P256">
        <v>2213</v>
      </c>
      <c t="s" s="6" r="Q256">
        <v>188</v>
      </c>
      <c t="s" s="6" r="R256">
        <v>2214</v>
      </c>
      <c t="s" s="6" r="S256">
        <v>2215</v>
      </c>
      <c t="s" s="6" r="T256">
        <v>90</v>
      </c>
      <c t="s" s="6" r="U256">
        <v>2216</v>
      </c>
      <c s="6" r="V256">
        <v>1</v>
      </c>
      <c s="6" r="W256">
        <v>1</v>
      </c>
      <c s="6" r="X256">
        <v>0</v>
      </c>
      <c s="6" r="Y256">
        <v>0</v>
      </c>
      <c s="6" r="Z256">
        <v>0</v>
      </c>
      <c t="s" s="6" r="AA256">
        <v>92</v>
      </c>
      <c t="s" s="6" r="AB256">
        <v>92</v>
      </c>
      <c s="6" r="AC256">
        <v>6</v>
      </c>
      <c t="s" s="6" r="AD256">
        <v>92</v>
      </c>
      <c t="s" s="6" r="AE256">
        <v>92</v>
      </c>
      <c t="s" s="6" r="AF256">
        <v>92</v>
      </c>
      <c t="s" s="6" r="AG256">
        <v>92</v>
      </c>
      <c t="s" s="6" r="AH256">
        <v>92</v>
      </c>
      <c t="s" s="6" r="AI256">
        <v>92</v>
      </c>
      <c s="6" r="AJ256">
        <v>7</v>
      </c>
      <c s="6" r="AK256">
        <v>6</v>
      </c>
      <c s="6" r="AL256">
        <v>6</v>
      </c>
      <c t="s" s="6" r="AM256">
        <v>92</v>
      </c>
      <c t="s" s="6" r="AN256">
        <v>92</v>
      </c>
      <c s="6" r="AP256">
        <v>6</v>
      </c>
      <c t="s" s="6" r="AQ256">
        <v>2217</v>
      </c>
      <c t="s" s="6" r="AR256">
        <v>2218</v>
      </c>
      <c s="6" r="AS256">
        <v>0</v>
      </c>
      <c s="6" r="AT256">
        <v>0</v>
      </c>
      <c s="6" r="AU256">
        <v>0</v>
      </c>
      <c s="6" r="AV256">
        <v>0</v>
      </c>
      <c s="6" r="AW256">
        <v>0</v>
      </c>
      <c s="6" r="AX256">
        <v>0</v>
      </c>
      <c s="6" r="AY256">
        <v>0</v>
      </c>
      <c s="6" r="AZ256">
        <v>0</v>
      </c>
      <c s="6" r="BA256">
        <v>0</v>
      </c>
      <c s="6" r="BB256">
        <v>0</v>
      </c>
      <c s="6" r="BC256">
        <v>0</v>
      </c>
      <c s="6" r="BD256">
        <v>0</v>
      </c>
      <c s="6" r="BE256">
        <v>0</v>
      </c>
      <c s="6" r="BF256">
        <v>0</v>
      </c>
      <c s="6" r="BG256">
        <v>0</v>
      </c>
      <c s="6" r="BH256">
        <v>0</v>
      </c>
      <c s="6" r="BI256">
        <v>0</v>
      </c>
      <c s="6" r="BJ256">
        <v>0</v>
      </c>
      <c s="6" r="BK256">
        <v>0</v>
      </c>
      <c s="6" r="BL256">
        <v>0</v>
      </c>
      <c s="6" r="BM256">
        <v>0</v>
      </c>
      <c s="6" r="BN256">
        <v>0</v>
      </c>
      <c s="6" r="BO256">
        <v>0</v>
      </c>
      <c s="6" r="BP256">
        <v>0</v>
      </c>
      <c s="6" r="BQ256">
        <v>0</v>
      </c>
      <c t="str" s="6" r="BR256">
        <f>HYPERLINK("http://www.d20pfsrd.com/magic/all-spells/h/harm","Harm")</f>
        <v>Harm</v>
      </c>
      <c s="6" r="BS256">
        <v>255</v>
      </c>
      <c t="s" s="6" r="BT256">
        <v>92</v>
      </c>
      <c t="s" s="6" r="BW256">
        <v>2219</v>
      </c>
      <c t="s" s="6" r="BX256">
        <v>2220</v>
      </c>
      <c s="6" r="BY256">
        <v>1</v>
      </c>
    </row>
    <row customHeight="1" r="257" ht="14.25">
      <c t="s" s="6" r="A257">
        <v>2221</v>
      </c>
      <c t="s" s="6" r="B257">
        <v>131</v>
      </c>
      <c t="s" s="6" r="E257">
        <v>2222</v>
      </c>
      <c t="s" s="6" r="F257">
        <v>81</v>
      </c>
      <c t="s" s="6" r="G257">
        <v>2223</v>
      </c>
      <c s="6" r="H257">
        <v>0</v>
      </c>
      <c t="s" s="6" r="I257">
        <v>107</v>
      </c>
      <c t="s" s="6" r="L257">
        <v>620</v>
      </c>
      <c t="s" s="6" r="M257">
        <v>99</v>
      </c>
      <c s="6" r="N257">
        <v>0</v>
      </c>
      <c s="6" r="O257">
        <v>0</v>
      </c>
      <c t="s" s="6" r="P257">
        <v>1227</v>
      </c>
      <c t="s" s="6" r="Q257">
        <v>123</v>
      </c>
      <c t="s" s="6" r="R257">
        <v>2224</v>
      </c>
      <c t="s" s="6" r="S257">
        <v>2225</v>
      </c>
      <c t="s" s="6" r="T257">
        <v>90</v>
      </c>
      <c t="s" s="6" r="U257">
        <v>2226</v>
      </c>
      <c s="6" r="V257">
        <v>1</v>
      </c>
      <c s="6" r="W257">
        <v>1</v>
      </c>
      <c s="6" r="X257">
        <v>1</v>
      </c>
      <c s="6" r="Y257">
        <v>0</v>
      </c>
      <c s="6" r="Z257">
        <v>0</v>
      </c>
      <c s="6" r="AA257">
        <v>3</v>
      </c>
      <c s="6" r="AB257">
        <v>3</v>
      </c>
      <c t="s" s="6" r="AC257">
        <v>92</v>
      </c>
      <c t="s" s="6" r="AD257">
        <v>92</v>
      </c>
      <c t="s" s="6" r="AE257">
        <v>92</v>
      </c>
      <c s="6" r="AF257">
        <v>3</v>
      </c>
      <c t="s" s="6" r="AG257">
        <v>92</v>
      </c>
      <c s="6" r="AH257">
        <v>3</v>
      </c>
      <c s="6" r="AI257">
        <v>2</v>
      </c>
      <c t="s" s="6" r="AJ257">
        <v>92</v>
      </c>
      <c t="s" s="6" r="AK257">
        <v>92</v>
      </c>
      <c t="s" s="6" r="AL257">
        <v>92</v>
      </c>
      <c t="s" s="6" r="AM257">
        <v>92</v>
      </c>
      <c s="6" r="AN257">
        <v>3</v>
      </c>
      <c s="6" r="AP257">
        <v>3</v>
      </c>
      <c t="s" s="6" r="AR257">
        <v>2227</v>
      </c>
      <c s="6" r="AS257">
        <v>0</v>
      </c>
      <c s="6" r="AT257">
        <v>0</v>
      </c>
      <c s="6" r="AU257">
        <v>0</v>
      </c>
      <c s="6" r="AV257">
        <v>0</v>
      </c>
      <c s="6" r="AW257">
        <v>0</v>
      </c>
      <c s="6" r="AX257">
        <v>0</v>
      </c>
      <c s="6" r="AY257">
        <v>0</v>
      </c>
      <c s="6" r="AZ257">
        <v>0</v>
      </c>
      <c s="6" r="BA257">
        <v>0</v>
      </c>
      <c s="6" r="BB257">
        <v>0</v>
      </c>
      <c s="6" r="BC257">
        <v>0</v>
      </c>
      <c s="6" r="BD257">
        <v>0</v>
      </c>
      <c s="6" r="BE257">
        <v>0</v>
      </c>
      <c s="6" r="BF257">
        <v>0</v>
      </c>
      <c s="6" r="BG257">
        <v>0</v>
      </c>
      <c s="6" r="BH257">
        <v>0</v>
      </c>
      <c s="6" r="BI257">
        <v>0</v>
      </c>
      <c s="6" r="BJ257">
        <v>0</v>
      </c>
      <c s="6" r="BK257">
        <v>0</v>
      </c>
      <c s="6" r="BL257">
        <v>0</v>
      </c>
      <c s="6" r="BM257">
        <v>0</v>
      </c>
      <c s="6" r="BN257">
        <v>0</v>
      </c>
      <c s="6" r="BO257">
        <v>0</v>
      </c>
      <c s="6" r="BP257">
        <v>0</v>
      </c>
      <c s="6" r="BQ257">
        <v>0</v>
      </c>
      <c t="str" s="6" r="BR257">
        <f>HYPERLINK("http://www.d20pfsrd.com/magic/all-spells/h/haste","Haste")</f>
        <v>Haste</v>
      </c>
      <c s="6" r="BS257">
        <v>256</v>
      </c>
      <c t="s" s="6" r="BT257">
        <v>92</v>
      </c>
      <c t="s" s="6" r="BV257">
        <v>2228</v>
      </c>
      <c t="s" s="6" r="BW257">
        <v>2229</v>
      </c>
      <c t="s" s="6" r="BX257">
        <v>2230</v>
      </c>
      <c s="6" r="BY257">
        <v>1</v>
      </c>
    </row>
    <row customHeight="1" r="258" ht="14.25">
      <c t="s" s="6" r="A258">
        <v>2231</v>
      </c>
      <c t="s" s="6" r="B258">
        <v>78</v>
      </c>
      <c t="s" s="6" r="C258">
        <v>598</v>
      </c>
      <c t="s" s="6" r="E258">
        <v>2232</v>
      </c>
      <c t="s" s="6" r="F258">
        <v>81</v>
      </c>
      <c t="s" s="6" r="G258">
        <v>106</v>
      </c>
      <c s="6" r="H258">
        <v>0</v>
      </c>
      <c t="s" s="6" r="I258">
        <v>120</v>
      </c>
      <c t="s" s="6" r="L258">
        <v>420</v>
      </c>
      <c t="s" s="6" r="M258">
        <v>109</v>
      </c>
      <c s="6" r="N258">
        <v>0</v>
      </c>
      <c s="6" r="O258">
        <v>0</v>
      </c>
      <c t="s" s="6" r="P258">
        <v>421</v>
      </c>
      <c t="s" s="6" r="Q258">
        <v>123</v>
      </c>
      <c t="s" s="6" r="R258">
        <v>2233</v>
      </c>
      <c t="s" s="6" r="S258">
        <v>2234</v>
      </c>
      <c t="s" s="6" r="T258">
        <v>90</v>
      </c>
      <c t="s" s="6" r="U258">
        <v>2235</v>
      </c>
      <c s="6" r="V258">
        <v>1</v>
      </c>
      <c s="6" r="W258">
        <v>1</v>
      </c>
      <c s="6" r="X258">
        <v>0</v>
      </c>
      <c s="6" r="Y258">
        <v>0</v>
      </c>
      <c s="6" r="Z258">
        <v>0</v>
      </c>
      <c t="s" s="6" r="AA258">
        <v>92</v>
      </c>
      <c t="s" s="6" r="AB258">
        <v>92</v>
      </c>
      <c s="6" r="AC258">
        <v>6</v>
      </c>
      <c s="6" r="AD258">
        <v>7</v>
      </c>
      <c t="s" s="6" r="AE258">
        <v>92</v>
      </c>
      <c t="s" s="6" r="AF258">
        <v>92</v>
      </c>
      <c t="s" s="6" r="AG258">
        <v>92</v>
      </c>
      <c s="6" r="AH258">
        <v>6</v>
      </c>
      <c t="s" s="6" r="AI258">
        <v>92</v>
      </c>
      <c s="6" r="AJ258">
        <v>7</v>
      </c>
      <c s="6" r="AK258">
        <v>6</v>
      </c>
      <c s="6" r="AL258">
        <v>6</v>
      </c>
      <c t="s" s="6" r="AM258">
        <v>92</v>
      </c>
      <c t="s" s="6" r="AN258">
        <v>92</v>
      </c>
      <c s="6" r="AP258">
        <v>6</v>
      </c>
      <c t="s" s="6" r="AQ258">
        <v>605</v>
      </c>
      <c t="s" s="6" r="AR258">
        <v>2236</v>
      </c>
      <c s="6" r="AS258">
        <v>0</v>
      </c>
      <c s="6" r="AT258">
        <v>0</v>
      </c>
      <c s="6" r="AU258">
        <v>0</v>
      </c>
      <c s="6" r="AV258">
        <v>0</v>
      </c>
      <c s="6" r="AW258">
        <v>0</v>
      </c>
      <c s="6" r="AX258">
        <v>0</v>
      </c>
      <c s="6" r="AY258">
        <v>0</v>
      </c>
      <c s="6" r="AZ258">
        <v>0</v>
      </c>
      <c s="6" r="BA258">
        <v>0</v>
      </c>
      <c s="6" r="BB258">
        <v>0</v>
      </c>
      <c s="6" r="BC258">
        <v>0</v>
      </c>
      <c s="6" r="BD258">
        <v>0</v>
      </c>
      <c s="6" r="BE258">
        <v>0</v>
      </c>
      <c s="6" r="BF258">
        <v>0</v>
      </c>
      <c s="6" r="BG258">
        <v>0</v>
      </c>
      <c s="6" r="BH258">
        <v>0</v>
      </c>
      <c s="6" r="BI258">
        <v>0</v>
      </c>
      <c s="6" r="BJ258">
        <v>0</v>
      </c>
      <c s="6" r="BK258">
        <v>0</v>
      </c>
      <c s="6" r="BL258">
        <v>0</v>
      </c>
      <c s="6" r="BM258">
        <v>0</v>
      </c>
      <c s="6" r="BN258">
        <v>0</v>
      </c>
      <c s="6" r="BO258">
        <v>0</v>
      </c>
      <c s="6" r="BP258">
        <v>0</v>
      </c>
      <c s="6" r="BQ258">
        <v>0</v>
      </c>
      <c t="str" s="6" r="BR258">
        <f>HYPERLINK("http://www.d20pfsrd.com/magic/all-spells/h/heal","Heal")</f>
        <v>Heal</v>
      </c>
      <c s="6" r="BS258">
        <v>257</v>
      </c>
      <c t="s" s="6" r="BT258">
        <v>92</v>
      </c>
      <c t="s" s="6" r="BW258">
        <v>2237</v>
      </c>
      <c t="s" s="6" r="BX258">
        <v>2238</v>
      </c>
      <c s="6" r="BY258">
        <v>1</v>
      </c>
    </row>
    <row customHeight="1" r="259" ht="14.25">
      <c t="s" s="6" r="A259">
        <v>2239</v>
      </c>
      <c t="s" s="6" r="B259">
        <v>78</v>
      </c>
      <c t="s" s="6" r="C259">
        <v>598</v>
      </c>
      <c t="s" s="6" r="E259">
        <v>2240</v>
      </c>
      <c t="s" s="6" r="F259">
        <v>81</v>
      </c>
      <c t="s" s="6" r="G259">
        <v>106</v>
      </c>
      <c s="6" r="H259">
        <v>0</v>
      </c>
      <c t="s" s="6" r="I259">
        <v>107</v>
      </c>
      <c t="s" s="6" r="L259">
        <v>2241</v>
      </c>
      <c t="s" s="6" r="M259">
        <v>109</v>
      </c>
      <c s="6" r="N259">
        <v>0</v>
      </c>
      <c s="6" r="O259">
        <v>0</v>
      </c>
      <c t="s" s="6" r="P259">
        <v>421</v>
      </c>
      <c t="s" s="6" r="Q259">
        <v>123</v>
      </c>
      <c t="s" s="6" r="R259">
        <v>2242</v>
      </c>
      <c t="s" s="6" r="S259">
        <v>2243</v>
      </c>
      <c t="s" s="6" r="T259">
        <v>90</v>
      </c>
      <c t="s" s="6" r="U259">
        <v>2244</v>
      </c>
      <c s="6" r="V259">
        <v>1</v>
      </c>
      <c s="6" r="W259">
        <v>1</v>
      </c>
      <c s="6" r="X259">
        <v>0</v>
      </c>
      <c s="6" r="Y259">
        <v>0</v>
      </c>
      <c s="6" r="Z259">
        <v>0</v>
      </c>
      <c t="s" s="6" r="AA259">
        <v>92</v>
      </c>
      <c t="s" s="6" r="AB259">
        <v>92</v>
      </c>
      <c s="6" r="AC259">
        <v>9</v>
      </c>
      <c t="s" s="6" r="AD259">
        <v>92</v>
      </c>
      <c t="s" s="6" r="AE259">
        <v>92</v>
      </c>
      <c t="s" s="6" r="AF259">
        <v>92</v>
      </c>
      <c t="s" s="6" r="AG259">
        <v>92</v>
      </c>
      <c t="s" s="6" r="AH259">
        <v>92</v>
      </c>
      <c t="s" s="6" r="AI259">
        <v>92</v>
      </c>
      <c t="s" s="6" r="AJ259">
        <v>92</v>
      </c>
      <c t="s" s="6" r="AK259">
        <v>92</v>
      </c>
      <c s="6" r="AL259">
        <v>9</v>
      </c>
      <c t="s" s="6" r="AM259">
        <v>92</v>
      </c>
      <c t="s" s="6" r="AN259">
        <v>92</v>
      </c>
      <c s="6" r="AP259">
        <v>9</v>
      </c>
      <c t="s" s="6" r="AQ259">
        <v>605</v>
      </c>
      <c t="s" s="6" r="AR259">
        <v>2245</v>
      </c>
      <c s="6" r="AS259">
        <v>0</v>
      </c>
      <c s="6" r="AT259">
        <v>0</v>
      </c>
      <c s="6" r="AU259">
        <v>0</v>
      </c>
      <c s="6" r="AV259">
        <v>0</v>
      </c>
      <c s="6" r="AW259">
        <v>0</v>
      </c>
      <c s="6" r="AX259">
        <v>0</v>
      </c>
      <c s="6" r="AY259">
        <v>0</v>
      </c>
      <c s="6" r="AZ259">
        <v>0</v>
      </c>
      <c s="6" r="BA259">
        <v>0</v>
      </c>
      <c s="6" r="BB259">
        <v>0</v>
      </c>
      <c s="6" r="BC259">
        <v>0</v>
      </c>
      <c s="6" r="BD259">
        <v>0</v>
      </c>
      <c s="6" r="BE259">
        <v>0</v>
      </c>
      <c s="6" r="BF259">
        <v>0</v>
      </c>
      <c s="6" r="BG259">
        <v>0</v>
      </c>
      <c s="6" r="BH259">
        <v>0</v>
      </c>
      <c s="6" r="BI259">
        <v>0</v>
      </c>
      <c s="6" r="BJ259">
        <v>0</v>
      </c>
      <c s="6" r="BK259">
        <v>0</v>
      </c>
      <c s="6" r="BL259">
        <v>0</v>
      </c>
      <c s="6" r="BM259">
        <v>0</v>
      </c>
      <c s="6" r="BN259">
        <v>0</v>
      </c>
      <c s="6" r="BO259">
        <v>0</v>
      </c>
      <c s="6" r="BP259">
        <v>0</v>
      </c>
      <c s="6" r="BQ259">
        <v>0</v>
      </c>
      <c t="str" s="6" r="BR259">
        <f>HYPERLINK("http://www.d20pfsrd.com/magic/all-spells/h/heal","Heal, Mass")</f>
        <v>Heal, Mass</v>
      </c>
      <c s="6" r="BS259">
        <v>258</v>
      </c>
      <c t="s" s="6" r="BT259">
        <v>92</v>
      </c>
      <c t="s" s="6" r="BV259">
        <v>2246</v>
      </c>
      <c s="6" r="BY259">
        <v>0</v>
      </c>
    </row>
    <row customHeight="1" r="260" ht="14.25">
      <c t="s" s="6" r="A260">
        <v>2247</v>
      </c>
      <c t="s" s="6" r="B260">
        <v>78</v>
      </c>
      <c t="s" s="6" r="C260">
        <v>598</v>
      </c>
      <c t="s" s="6" r="E260">
        <v>2248</v>
      </c>
      <c t="s" s="6" r="F260">
        <v>81</v>
      </c>
      <c t="s" s="6" r="G260">
        <v>106</v>
      </c>
      <c s="6" r="H260">
        <v>0</v>
      </c>
      <c t="s" s="6" r="I260">
        <v>120</v>
      </c>
      <c t="s" s="6" r="L260">
        <v>2249</v>
      </c>
      <c t="s" s="6" r="M260">
        <v>109</v>
      </c>
      <c s="6" r="N260">
        <v>0</v>
      </c>
      <c s="6" r="O260">
        <v>0</v>
      </c>
      <c t="s" s="6" r="P260">
        <v>421</v>
      </c>
      <c t="s" s="6" r="Q260">
        <v>123</v>
      </c>
      <c t="s" s="6" r="R260">
        <v>2250</v>
      </c>
      <c t="s" s="6" r="S260">
        <v>2251</v>
      </c>
      <c t="s" s="6" r="T260">
        <v>90</v>
      </c>
      <c t="s" s="6" r="U260">
        <v>2252</v>
      </c>
      <c s="6" r="V260">
        <v>1</v>
      </c>
      <c s="6" r="W260">
        <v>1</v>
      </c>
      <c s="6" r="X260">
        <v>0</v>
      </c>
      <c s="6" r="Y260">
        <v>0</v>
      </c>
      <c s="6" r="Z260">
        <v>0</v>
      </c>
      <c t="s" s="6" r="AA260">
        <v>92</v>
      </c>
      <c t="s" s="6" r="AB260">
        <v>92</v>
      </c>
      <c t="s" s="6" r="AC260">
        <v>92</v>
      </c>
      <c t="s" s="6" r="AD260">
        <v>92</v>
      </c>
      <c t="s" s="6" r="AE260">
        <v>92</v>
      </c>
      <c t="s" s="6" r="AF260">
        <v>92</v>
      </c>
      <c s="6" r="AG260">
        <v>3</v>
      </c>
      <c t="s" s="6" r="AH260">
        <v>92</v>
      </c>
      <c t="s" s="6" r="AI260">
        <v>92</v>
      </c>
      <c t="s" s="6" r="AJ260">
        <v>92</v>
      </c>
      <c t="s" s="6" r="AK260">
        <v>92</v>
      </c>
      <c t="s" s="6" r="AL260">
        <v>92</v>
      </c>
      <c t="s" s="6" r="AM260">
        <v>92</v>
      </c>
      <c t="s" s="6" r="AN260">
        <v>92</v>
      </c>
      <c s="6" r="AP260">
        <v>3</v>
      </c>
      <c t="s" s="6" r="AR260">
        <v>2253</v>
      </c>
      <c s="6" r="AS260">
        <v>0</v>
      </c>
      <c s="6" r="AT260">
        <v>0</v>
      </c>
      <c s="6" r="AU260">
        <v>0</v>
      </c>
      <c s="6" r="AV260">
        <v>0</v>
      </c>
      <c s="6" r="AW260">
        <v>0</v>
      </c>
      <c s="6" r="AX260">
        <v>0</v>
      </c>
      <c s="6" r="AY260">
        <v>0</v>
      </c>
      <c s="6" r="AZ260">
        <v>0</v>
      </c>
      <c s="6" r="BA260">
        <v>0</v>
      </c>
      <c s="6" r="BB260">
        <v>0</v>
      </c>
      <c s="6" r="BC260">
        <v>0</v>
      </c>
      <c s="6" r="BD260">
        <v>0</v>
      </c>
      <c s="6" r="BE260">
        <v>0</v>
      </c>
      <c s="6" r="BF260">
        <v>0</v>
      </c>
      <c s="6" r="BG260">
        <v>0</v>
      </c>
      <c s="6" r="BH260">
        <v>0</v>
      </c>
      <c s="6" r="BI260">
        <v>0</v>
      </c>
      <c s="6" r="BJ260">
        <v>0</v>
      </c>
      <c s="6" r="BK260">
        <v>0</v>
      </c>
      <c s="6" r="BL260">
        <v>0</v>
      </c>
      <c s="6" r="BM260">
        <v>0</v>
      </c>
      <c s="6" r="BN260">
        <v>0</v>
      </c>
      <c s="6" r="BO260">
        <v>0</v>
      </c>
      <c s="6" r="BP260">
        <v>0</v>
      </c>
      <c s="6" r="BQ260">
        <v>0</v>
      </c>
      <c t="str" s="6" r="BR260">
        <f>HYPERLINK("http://www.d20pfsrd.com/magic/all-spells/h/heal-mount","Heal Mount")</f>
        <v>Heal Mount</v>
      </c>
      <c s="6" r="BS260">
        <v>259</v>
      </c>
      <c t="s" s="6" r="BT260">
        <v>92</v>
      </c>
      <c s="6" r="BY260">
        <v>0</v>
      </c>
    </row>
    <row customHeight="1" r="261" ht="14.25">
      <c t="s" s="6" r="A261">
        <v>2254</v>
      </c>
      <c t="s" s="6" r="B261">
        <v>131</v>
      </c>
      <c t="s" s="6" r="D261">
        <v>57</v>
      </c>
      <c t="s" s="6" r="E261">
        <v>760</v>
      </c>
      <c t="s" s="6" r="F261">
        <v>81</v>
      </c>
      <c t="s" s="6" r="G261">
        <v>119</v>
      </c>
      <c s="6" r="H261">
        <v>0</v>
      </c>
      <c t="s" s="6" r="I261">
        <v>107</v>
      </c>
      <c t="s" s="6" r="L261">
        <v>2255</v>
      </c>
      <c t="s" s="6" r="M261">
        <v>762</v>
      </c>
      <c s="6" r="N261">
        <v>0</v>
      </c>
      <c s="6" r="O261">
        <v>0</v>
      </c>
      <c t="s" s="6" r="P261">
        <v>535</v>
      </c>
      <c t="s" s="6" r="Q261">
        <v>536</v>
      </c>
      <c t="s" s="6" r="R261">
        <v>2256</v>
      </c>
      <c t="s" s="6" r="S261">
        <v>2257</v>
      </c>
      <c t="s" s="6" r="T261">
        <v>90</v>
      </c>
      <c t="s" s="6" r="U261">
        <v>2258</v>
      </c>
      <c s="6" r="V261">
        <v>1</v>
      </c>
      <c s="6" r="W261">
        <v>1</v>
      </c>
      <c s="6" r="X261">
        <v>0</v>
      </c>
      <c s="6" r="Y261">
        <v>0</v>
      </c>
      <c s="6" r="Z261">
        <v>1</v>
      </c>
      <c t="s" s="6" r="AA261">
        <v>92</v>
      </c>
      <c t="s" s="6" r="AB261">
        <v>92</v>
      </c>
      <c t="s" s="6" r="AC261">
        <v>92</v>
      </c>
      <c s="6" r="AD261">
        <v>2</v>
      </c>
      <c t="s" s="6" r="AE261">
        <v>92</v>
      </c>
      <c t="s" s="6" r="AF261">
        <v>92</v>
      </c>
      <c t="s" s="6" r="AG261">
        <v>92</v>
      </c>
      <c t="s" s="6" r="AH261">
        <v>92</v>
      </c>
      <c t="s" s="6" r="AI261">
        <v>92</v>
      </c>
      <c t="s" s="6" r="AJ261">
        <v>92</v>
      </c>
      <c t="s" s="6" r="AK261">
        <v>92</v>
      </c>
      <c t="s" s="6" r="AL261">
        <v>92</v>
      </c>
      <c t="s" s="6" r="AM261">
        <v>92</v>
      </c>
      <c t="s" s="6" r="AN261">
        <v>92</v>
      </c>
      <c s="6" r="AP261">
        <v>2</v>
      </c>
      <c t="s" s="6" r="AQ261">
        <v>2259</v>
      </c>
      <c t="s" s="6" r="AR261">
        <v>2260</v>
      </c>
      <c s="6" r="AS261">
        <v>0</v>
      </c>
      <c s="6" r="AT261">
        <v>0</v>
      </c>
      <c s="6" r="AU261">
        <v>0</v>
      </c>
      <c s="6" r="AV261">
        <v>0</v>
      </c>
      <c s="6" r="AW261">
        <v>0</v>
      </c>
      <c s="6" r="AX261">
        <v>0</v>
      </c>
      <c s="6" r="AY261">
        <v>0</v>
      </c>
      <c s="6" r="AZ261">
        <v>0</v>
      </c>
      <c s="6" r="BA261">
        <v>0</v>
      </c>
      <c s="6" r="BB261">
        <v>0</v>
      </c>
      <c s="6" r="BC261">
        <v>0</v>
      </c>
      <c s="6" r="BD261">
        <v>0</v>
      </c>
      <c s="6" r="BE261">
        <v>0</v>
      </c>
      <c s="6" r="BF261">
        <v>1</v>
      </c>
      <c s="6" r="BG261">
        <v>0</v>
      </c>
      <c s="6" r="BH261">
        <v>0</v>
      </c>
      <c s="6" r="BI261">
        <v>0</v>
      </c>
      <c s="6" r="BJ261">
        <v>0</v>
      </c>
      <c s="6" r="BK261">
        <v>0</v>
      </c>
      <c s="6" r="BL261">
        <v>0</v>
      </c>
      <c s="6" r="BM261">
        <v>0</v>
      </c>
      <c s="6" r="BN261">
        <v>0</v>
      </c>
      <c s="6" r="BO261">
        <v>0</v>
      </c>
      <c s="6" r="BP261">
        <v>0</v>
      </c>
      <c s="6" r="BQ261">
        <v>0</v>
      </c>
      <c t="str" s="6" r="BR261">
        <f>HYPERLINK("http://www.d20pfsrd.com/magic/all-spells/h/heat-metal","Heat Metal")</f>
        <v>Heat Metal</v>
      </c>
      <c s="6" r="BS261">
        <v>260</v>
      </c>
      <c t="s" s="6" r="BT261">
        <v>92</v>
      </c>
      <c t="s" s="6" r="BW261">
        <v>2261</v>
      </c>
      <c s="6" r="BY261">
        <v>1</v>
      </c>
    </row>
    <row customHeight="1" r="262" ht="14.25">
      <c t="s" s="6" r="A262">
        <v>2262</v>
      </c>
      <c t="s" s="6" r="B262">
        <v>493</v>
      </c>
      <c t="s" s="6" r="E262">
        <v>1011</v>
      </c>
      <c t="s" s="6" r="F262">
        <v>81</v>
      </c>
      <c t="s" s="6" r="G262">
        <v>119</v>
      </c>
      <c s="6" r="H262">
        <v>0</v>
      </c>
      <c t="s" s="6" r="I262">
        <v>2263</v>
      </c>
      <c t="s" s="6" r="K262">
        <v>2264</v>
      </c>
      <c t="s" s="6" r="M262">
        <v>209</v>
      </c>
      <c s="6" r="N262">
        <v>0</v>
      </c>
      <c s="6" r="O262">
        <v>0</v>
      </c>
      <c t="s" s="6" r="P262">
        <v>86</v>
      </c>
      <c t="s" s="6" r="Q262">
        <v>87</v>
      </c>
      <c t="s" s="6" r="R262">
        <v>2265</v>
      </c>
      <c t="s" s="6" r="S262">
        <v>2266</v>
      </c>
      <c t="s" s="6" r="T262">
        <v>90</v>
      </c>
      <c t="s" s="6" r="U262">
        <v>2267</v>
      </c>
      <c s="6" r="V262">
        <v>1</v>
      </c>
      <c s="6" r="W262">
        <v>1</v>
      </c>
      <c s="6" r="X262">
        <v>0</v>
      </c>
      <c s="6" r="Y262">
        <v>0</v>
      </c>
      <c s="6" r="Z262">
        <v>1</v>
      </c>
      <c t="s" s="6" r="AA262">
        <v>92</v>
      </c>
      <c t="s" s="6" r="AB262">
        <v>92</v>
      </c>
      <c s="6" r="AC262">
        <v>3</v>
      </c>
      <c t="s" s="6" r="AD262">
        <v>92</v>
      </c>
      <c t="s" s="6" r="AE262">
        <v>92</v>
      </c>
      <c t="s" s="6" r="AF262">
        <v>92</v>
      </c>
      <c t="s" s="6" r="AG262">
        <v>92</v>
      </c>
      <c t="s" s="6" r="AH262">
        <v>92</v>
      </c>
      <c t="s" s="6" r="AI262">
        <v>92</v>
      </c>
      <c t="s" s="6" r="AJ262">
        <v>92</v>
      </c>
      <c t="s" s="6" r="AK262">
        <v>92</v>
      </c>
      <c s="6" r="AL262">
        <v>3</v>
      </c>
      <c t="s" s="6" r="AM262">
        <v>92</v>
      </c>
      <c t="s" s="6" r="AN262">
        <v>92</v>
      </c>
      <c s="6" r="AP262">
        <v>3</v>
      </c>
      <c t="s" s="6" r="AR262">
        <v>2268</v>
      </c>
      <c s="6" r="AS262">
        <v>0</v>
      </c>
      <c s="6" r="AT262">
        <v>0</v>
      </c>
      <c s="6" r="AU262">
        <v>0</v>
      </c>
      <c s="6" r="AV262">
        <v>0</v>
      </c>
      <c s="6" r="AW262">
        <v>0</v>
      </c>
      <c s="6" r="AX262">
        <v>0</v>
      </c>
      <c s="6" r="AY262">
        <v>0</v>
      </c>
      <c s="6" r="AZ262">
        <v>0</v>
      </c>
      <c s="6" r="BA262">
        <v>0</v>
      </c>
      <c s="6" r="BB262">
        <v>0</v>
      </c>
      <c s="6" r="BC262">
        <v>0</v>
      </c>
      <c s="6" r="BD262">
        <v>0</v>
      </c>
      <c s="6" r="BE262">
        <v>0</v>
      </c>
      <c s="6" r="BF262">
        <v>0</v>
      </c>
      <c s="6" r="BG262">
        <v>0</v>
      </c>
      <c s="6" r="BH262">
        <v>0</v>
      </c>
      <c s="6" r="BI262">
        <v>0</v>
      </c>
      <c s="6" r="BJ262">
        <v>0</v>
      </c>
      <c s="6" r="BK262">
        <v>0</v>
      </c>
      <c s="6" r="BL262">
        <v>0</v>
      </c>
      <c s="6" r="BM262">
        <v>0</v>
      </c>
      <c s="6" r="BN262">
        <v>0</v>
      </c>
      <c s="6" r="BO262">
        <v>0</v>
      </c>
      <c s="6" r="BP262">
        <v>0</v>
      </c>
      <c s="6" r="BQ262">
        <v>0</v>
      </c>
      <c t="str" s="6" r="BR262">
        <f>HYPERLINK("http://www.d20pfsrd.com/magic/all-spells/h/helping-hand","Helping Hand")</f>
        <v>Helping Hand</v>
      </c>
      <c s="6" r="BS262">
        <v>261</v>
      </c>
      <c t="s" s="6" r="BT262">
        <v>92</v>
      </c>
      <c s="6" r="BY262">
        <v>0</v>
      </c>
    </row>
    <row customHeight="1" r="263" ht="14.25">
      <c t="s" s="6" r="A263">
        <v>2269</v>
      </c>
      <c t="s" s="6" r="B263">
        <v>78</v>
      </c>
      <c t="s" s="6" r="C263">
        <v>79</v>
      </c>
      <c t="s" s="6" r="E263">
        <v>2270</v>
      </c>
      <c t="s" s="6" r="F263">
        <v>311</v>
      </c>
      <c t="s" s="6" r="G263">
        <v>119</v>
      </c>
      <c s="6" r="H263">
        <v>0</v>
      </c>
      <c t="s" s="6" r="I263">
        <v>107</v>
      </c>
      <c t="s" s="6" r="K263">
        <v>2271</v>
      </c>
      <c t="s" s="6" r="M263">
        <v>2272</v>
      </c>
      <c s="6" r="N263">
        <v>0</v>
      </c>
      <c s="6" r="O263">
        <v>0</v>
      </c>
      <c t="s" s="6" r="P263">
        <v>86</v>
      </c>
      <c t="s" s="6" r="Q263">
        <v>87</v>
      </c>
      <c t="s" s="6" r="R263">
        <v>2273</v>
      </c>
      <c t="s" s="6" r="S263">
        <v>2274</v>
      </c>
      <c t="s" s="6" r="T263">
        <v>90</v>
      </c>
      <c t="s" s="6" r="U263">
        <v>2275</v>
      </c>
      <c s="6" r="V263">
        <v>1</v>
      </c>
      <c s="6" r="W263">
        <v>1</v>
      </c>
      <c s="6" r="X263">
        <v>0</v>
      </c>
      <c s="6" r="Y263">
        <v>0</v>
      </c>
      <c s="6" r="Z263">
        <v>1</v>
      </c>
      <c t="s" s="6" r="AA263">
        <v>92</v>
      </c>
      <c t="s" s="6" r="AB263">
        <v>92</v>
      </c>
      <c s="6" r="AC263">
        <v>6</v>
      </c>
      <c t="s" s="6" r="AD263">
        <v>92</v>
      </c>
      <c t="s" s="6" r="AE263">
        <v>92</v>
      </c>
      <c s="6" r="AF263">
        <v>6</v>
      </c>
      <c t="s" s="6" r="AG263">
        <v>92</v>
      </c>
      <c t="s" s="6" r="AH263">
        <v>92</v>
      </c>
      <c t="s" s="6" r="AI263">
        <v>92</v>
      </c>
      <c t="s" s="6" r="AJ263">
        <v>92</v>
      </c>
      <c s="6" r="AK263">
        <v>6</v>
      </c>
      <c s="6" r="AL263">
        <v>6</v>
      </c>
      <c t="s" s="6" r="AM263">
        <v>92</v>
      </c>
      <c t="s" s="6" r="AN263">
        <v>92</v>
      </c>
      <c s="6" r="AP263">
        <v>6</v>
      </c>
      <c t="s" s="6" r="AQ263">
        <v>2276</v>
      </c>
      <c t="s" s="6" r="AR263">
        <v>2277</v>
      </c>
      <c s="6" r="AS263">
        <v>0</v>
      </c>
      <c s="6" r="AT263">
        <v>0</v>
      </c>
      <c s="6" r="AU263">
        <v>0</v>
      </c>
      <c s="6" r="AV263">
        <v>0</v>
      </c>
      <c s="6" r="AW263">
        <v>0</v>
      </c>
      <c s="6" r="AX263">
        <v>0</v>
      </c>
      <c s="6" r="AY263">
        <v>0</v>
      </c>
      <c s="6" r="AZ263">
        <v>0</v>
      </c>
      <c s="6" r="BA263">
        <v>0</v>
      </c>
      <c s="6" r="BB263">
        <v>0</v>
      </c>
      <c s="6" r="BC263">
        <v>0</v>
      </c>
      <c s="6" r="BD263">
        <v>0</v>
      </c>
      <c s="6" r="BE263">
        <v>0</v>
      </c>
      <c s="6" r="BF263">
        <v>0</v>
      </c>
      <c s="6" r="BG263">
        <v>0</v>
      </c>
      <c s="6" r="BH263">
        <v>0</v>
      </c>
      <c s="6" r="BI263">
        <v>0</v>
      </c>
      <c s="6" r="BJ263">
        <v>0</v>
      </c>
      <c s="6" r="BK263">
        <v>0</v>
      </c>
      <c s="6" r="BL263">
        <v>0</v>
      </c>
      <c s="6" r="BM263">
        <v>0</v>
      </c>
      <c s="6" r="BN263">
        <v>0</v>
      </c>
      <c s="6" r="BO263">
        <v>0</v>
      </c>
      <c s="6" r="BP263">
        <v>0</v>
      </c>
      <c s="6" r="BQ263">
        <v>0</v>
      </c>
      <c t="str" s="6" r="BR263">
        <f>HYPERLINK("http://www.d20pfsrd.com/magic/all-spells/h/heroes-feast","Heroes' Feast")</f>
        <v>Heroes' Feast</v>
      </c>
      <c s="6" r="BS263">
        <v>262</v>
      </c>
      <c t="s" s="6" r="BT263">
        <v>92</v>
      </c>
      <c s="6" r="BY263">
        <v>0</v>
      </c>
    </row>
    <row customHeight="1" r="264" ht="14.25">
      <c t="s" s="6" r="A264">
        <v>2278</v>
      </c>
      <c t="s" s="6" r="B264">
        <v>115</v>
      </c>
      <c t="s" s="6" r="C264">
        <v>116</v>
      </c>
      <c t="s" s="6" r="D264">
        <v>117</v>
      </c>
      <c t="s" s="6" r="E264">
        <v>2279</v>
      </c>
      <c t="s" s="6" r="F264">
        <v>81</v>
      </c>
      <c t="s" s="6" r="G264">
        <v>106</v>
      </c>
      <c s="6" r="H264">
        <v>0</v>
      </c>
      <c t="s" s="6" r="I264">
        <v>120</v>
      </c>
      <c t="s" s="6" r="L264">
        <v>420</v>
      </c>
      <c t="s" s="6" r="M264">
        <v>134</v>
      </c>
      <c s="6" r="N264">
        <v>0</v>
      </c>
      <c s="6" r="O264">
        <v>0</v>
      </c>
      <c t="s" s="6" r="P264">
        <v>421</v>
      </c>
      <c t="s" s="6" r="Q264">
        <v>123</v>
      </c>
      <c t="s" s="6" r="R264">
        <v>2280</v>
      </c>
      <c t="s" s="6" r="S264">
        <v>2281</v>
      </c>
      <c t="s" s="6" r="T264">
        <v>90</v>
      </c>
      <c t="s" s="6" r="U264">
        <v>2282</v>
      </c>
      <c s="6" r="V264">
        <v>1</v>
      </c>
      <c s="6" r="W264">
        <v>1</v>
      </c>
      <c s="6" r="X264">
        <v>0</v>
      </c>
      <c s="6" r="Y264">
        <v>0</v>
      </c>
      <c s="6" r="Z264">
        <v>0</v>
      </c>
      <c s="6" r="AA264">
        <v>3</v>
      </c>
      <c s="6" r="AB264">
        <v>3</v>
      </c>
      <c t="s" s="6" r="AC264">
        <v>92</v>
      </c>
      <c t="s" s="6" r="AD264">
        <v>92</v>
      </c>
      <c t="s" s="6" r="AE264">
        <v>92</v>
      </c>
      <c s="6" r="AF264">
        <v>2</v>
      </c>
      <c t="s" s="6" r="AG264">
        <v>92</v>
      </c>
      <c s="6" r="AH264">
        <v>3</v>
      </c>
      <c s="6" r="AI264">
        <v>3</v>
      </c>
      <c s="6" r="AJ264">
        <v>3</v>
      </c>
      <c s="6" r="AK264">
        <v>3</v>
      </c>
      <c t="s" s="6" r="AL264">
        <v>92</v>
      </c>
      <c t="s" s="6" r="AM264">
        <v>92</v>
      </c>
      <c t="s" s="6" r="AN264">
        <v>92</v>
      </c>
      <c s="6" r="AP264">
        <v>3</v>
      </c>
      <c t="s" s="6" r="AQ264">
        <v>2283</v>
      </c>
      <c t="s" s="6" r="AR264">
        <v>2284</v>
      </c>
      <c s="6" r="AS264">
        <v>0</v>
      </c>
      <c s="6" r="AT264">
        <v>0</v>
      </c>
      <c s="6" r="AU264">
        <v>0</v>
      </c>
      <c s="6" r="AV264">
        <v>0</v>
      </c>
      <c s="6" r="AW264">
        <v>0</v>
      </c>
      <c s="6" r="AX264">
        <v>0</v>
      </c>
      <c s="6" r="AY264">
        <v>0</v>
      </c>
      <c s="6" r="AZ264">
        <v>0</v>
      </c>
      <c s="6" r="BA264">
        <v>0</v>
      </c>
      <c s="6" r="BB264">
        <v>0</v>
      </c>
      <c s="6" r="BC264">
        <v>0</v>
      </c>
      <c s="6" r="BD264">
        <v>0</v>
      </c>
      <c s="6" r="BE264">
        <v>0</v>
      </c>
      <c s="6" r="BF264">
        <v>0</v>
      </c>
      <c s="6" r="BG264">
        <v>0</v>
      </c>
      <c s="6" r="BH264">
        <v>0</v>
      </c>
      <c s="6" r="BI264">
        <v>0</v>
      </c>
      <c s="6" r="BJ264">
        <v>0</v>
      </c>
      <c s="6" r="BK264">
        <v>0</v>
      </c>
      <c s="6" r="BL264">
        <v>1</v>
      </c>
      <c s="6" r="BM264">
        <v>0</v>
      </c>
      <c s="6" r="BN264">
        <v>0</v>
      </c>
      <c s="6" r="BO264">
        <v>0</v>
      </c>
      <c s="6" r="BP264">
        <v>0</v>
      </c>
      <c s="6" r="BQ264">
        <v>0</v>
      </c>
      <c t="str" s="6" r="BR264">
        <f>HYPERLINK("http://www.d20pfsrd.com/magic/all-spells/h/heroism","Heroism")</f>
        <v>Heroism</v>
      </c>
      <c s="6" r="BS264">
        <v>263</v>
      </c>
      <c t="s" s="6" r="BT264">
        <v>92</v>
      </c>
      <c t="s" s="6" r="BU264">
        <v>2285</v>
      </c>
      <c t="s" s="6" r="BW264">
        <v>2286</v>
      </c>
      <c t="s" s="6" r="BX264">
        <v>2287</v>
      </c>
      <c s="6" r="BY264">
        <v>1</v>
      </c>
    </row>
    <row customHeight="1" r="265" ht="14.25">
      <c t="s" s="6" r="A265">
        <v>2288</v>
      </c>
      <c t="s" s="6" r="B265">
        <v>115</v>
      </c>
      <c t="s" s="6" r="C265">
        <v>116</v>
      </c>
      <c t="s" s="6" r="D265">
        <v>117</v>
      </c>
      <c t="s" s="6" r="E265">
        <v>2289</v>
      </c>
      <c t="s" s="6" r="F265">
        <v>81</v>
      </c>
      <c t="s" s="6" r="G265">
        <v>106</v>
      </c>
      <c s="6" r="H265">
        <v>0</v>
      </c>
      <c t="s" s="6" r="I265">
        <v>120</v>
      </c>
      <c t="s" s="6" r="L265">
        <v>420</v>
      </c>
      <c t="s" s="6" r="M265">
        <v>122</v>
      </c>
      <c s="6" r="N265">
        <v>0</v>
      </c>
      <c s="6" r="O265">
        <v>0</v>
      </c>
      <c t="s" s="6" r="P265">
        <v>421</v>
      </c>
      <c t="s" s="6" r="Q265">
        <v>123</v>
      </c>
      <c t="s" s="6" r="R265">
        <v>2290</v>
      </c>
      <c t="s" s="6" r="S265">
        <v>2291</v>
      </c>
      <c t="s" s="6" r="T265">
        <v>90</v>
      </c>
      <c t="s" s="6" r="U265">
        <v>2292</v>
      </c>
      <c s="6" r="V265">
        <v>1</v>
      </c>
      <c s="6" r="W265">
        <v>1</v>
      </c>
      <c s="6" r="X265">
        <v>0</v>
      </c>
      <c s="6" r="Y265">
        <v>0</v>
      </c>
      <c s="6" r="Z265">
        <v>0</v>
      </c>
      <c s="6" r="AA265">
        <v>6</v>
      </c>
      <c s="6" r="AB265">
        <v>6</v>
      </c>
      <c t="s" s="6" r="AC265">
        <v>92</v>
      </c>
      <c t="s" s="6" r="AD265">
        <v>92</v>
      </c>
      <c t="s" s="6" r="AE265">
        <v>92</v>
      </c>
      <c s="6" r="AF265">
        <v>5</v>
      </c>
      <c t="s" s="6" r="AG265">
        <v>92</v>
      </c>
      <c t="s" s="6" r="AH265">
        <v>92</v>
      </c>
      <c s="6" r="AI265">
        <v>5</v>
      </c>
      <c s="6" r="AJ265">
        <v>6</v>
      </c>
      <c t="s" s="6" r="AK265">
        <v>92</v>
      </c>
      <c t="s" s="6" r="AL265">
        <v>92</v>
      </c>
      <c t="s" s="6" r="AM265">
        <v>92</v>
      </c>
      <c t="s" s="6" r="AN265">
        <v>92</v>
      </c>
      <c s="6" r="AP265">
        <v>6</v>
      </c>
      <c t="s" s="6" r="AQ265">
        <v>2278</v>
      </c>
      <c t="s" s="6" r="AR265">
        <v>2293</v>
      </c>
      <c s="6" r="AS265">
        <v>0</v>
      </c>
      <c s="6" r="AT265">
        <v>0</v>
      </c>
      <c s="6" r="AU265">
        <v>0</v>
      </c>
      <c s="6" r="AV265">
        <v>0</v>
      </c>
      <c s="6" r="AW265">
        <v>0</v>
      </c>
      <c s="6" r="AX265">
        <v>0</v>
      </c>
      <c s="6" r="AY265">
        <v>0</v>
      </c>
      <c s="6" r="AZ265">
        <v>0</v>
      </c>
      <c s="6" r="BA265">
        <v>0</v>
      </c>
      <c s="6" r="BB265">
        <v>0</v>
      </c>
      <c s="6" r="BC265">
        <v>0</v>
      </c>
      <c s="6" r="BD265">
        <v>0</v>
      </c>
      <c s="6" r="BE265">
        <v>0</v>
      </c>
      <c s="6" r="BF265">
        <v>0</v>
      </c>
      <c s="6" r="BG265">
        <v>0</v>
      </c>
      <c s="6" r="BH265">
        <v>0</v>
      </c>
      <c s="6" r="BI265">
        <v>0</v>
      </c>
      <c s="6" r="BJ265">
        <v>0</v>
      </c>
      <c s="6" r="BK265">
        <v>0</v>
      </c>
      <c s="6" r="BL265">
        <v>1</v>
      </c>
      <c s="6" r="BM265">
        <v>0</v>
      </c>
      <c s="6" r="BN265">
        <v>0</v>
      </c>
      <c s="6" r="BO265">
        <v>0</v>
      </c>
      <c s="6" r="BP265">
        <v>0</v>
      </c>
      <c s="6" r="BQ265">
        <v>0</v>
      </c>
      <c t="str" s="6" r="BR265">
        <f>HYPERLINK("http://www.d20pfsrd.com/magic/all-spells/h/heroism","Heroism, Greater")</f>
        <v>Heroism, Greater</v>
      </c>
      <c s="6" r="BS265">
        <v>264</v>
      </c>
      <c t="s" s="6" r="BT265">
        <v>92</v>
      </c>
      <c t="s" s="6" r="BU265">
        <v>1596</v>
      </c>
      <c t="s" s="6" r="BV265">
        <v>129</v>
      </c>
      <c s="6" r="BY265">
        <v>0</v>
      </c>
    </row>
    <row customHeight="1" r="266" ht="14.25">
      <c t="s" s="6" r="A266">
        <v>2294</v>
      </c>
      <c t="s" s="6" r="B266">
        <v>162</v>
      </c>
      <c t="s" s="6" r="E266">
        <v>656</v>
      </c>
      <c t="s" s="6" r="F266">
        <v>81</v>
      </c>
      <c t="s" s="6" r="G266">
        <v>2295</v>
      </c>
      <c s="6" r="H266">
        <v>0</v>
      </c>
      <c t="s" s="6" r="I266">
        <v>120</v>
      </c>
      <c t="s" s="6" r="L266">
        <v>2296</v>
      </c>
      <c t="s" s="6" r="M266">
        <v>134</v>
      </c>
      <c s="6" r="N266">
        <v>1</v>
      </c>
      <c s="6" r="O266">
        <v>0</v>
      </c>
      <c t="s" s="6" r="P266">
        <v>421</v>
      </c>
      <c t="s" s="6" r="Q266">
        <v>188</v>
      </c>
      <c t="s" s="6" r="R266">
        <v>2297</v>
      </c>
      <c t="s" s="6" r="S266">
        <v>2298</v>
      </c>
      <c t="s" s="6" r="T266">
        <v>90</v>
      </c>
      <c t="s" s="6" r="U266">
        <v>2299</v>
      </c>
      <c s="6" r="V266">
        <v>0</v>
      </c>
      <c s="6" r="W266">
        <v>1</v>
      </c>
      <c s="6" r="X266">
        <v>0</v>
      </c>
      <c s="6" r="Y266">
        <v>0</v>
      </c>
      <c s="6" r="Z266">
        <v>1</v>
      </c>
      <c t="s" s="6" r="AA266">
        <v>92</v>
      </c>
      <c t="s" s="6" r="AB266">
        <v>92</v>
      </c>
      <c t="s" s="6" r="AC266">
        <v>92</v>
      </c>
      <c s="6" r="AD266">
        <v>1</v>
      </c>
      <c s="6" r="AE266">
        <v>1</v>
      </c>
      <c t="s" s="6" r="AF266">
        <v>92</v>
      </c>
      <c t="s" s="6" r="AG266">
        <v>92</v>
      </c>
      <c t="s" s="6" r="AH266">
        <v>92</v>
      </c>
      <c t="s" s="6" r="AI266">
        <v>92</v>
      </c>
      <c t="s" s="6" r="AJ266">
        <v>92</v>
      </c>
      <c t="s" s="6" r="AK266">
        <v>92</v>
      </c>
      <c t="s" s="6" r="AL266">
        <v>92</v>
      </c>
      <c t="s" s="6" r="AM266">
        <v>92</v>
      </c>
      <c t="s" s="6" r="AN266">
        <v>92</v>
      </c>
      <c s="6" r="AP266">
        <v>1</v>
      </c>
      <c t="s" s="6" r="AR266">
        <v>2300</v>
      </c>
      <c s="6" r="AS266">
        <v>0</v>
      </c>
      <c s="6" r="AT266">
        <v>0</v>
      </c>
      <c s="6" r="AU266">
        <v>0</v>
      </c>
      <c s="6" r="AV266">
        <v>0</v>
      </c>
      <c s="6" r="AW266">
        <v>0</v>
      </c>
      <c s="6" r="AX266">
        <v>0</v>
      </c>
      <c s="6" r="AY266">
        <v>0</v>
      </c>
      <c s="6" r="AZ266">
        <v>0</v>
      </c>
      <c s="6" r="BA266">
        <v>0</v>
      </c>
      <c s="6" r="BB266">
        <v>0</v>
      </c>
      <c s="6" r="BC266">
        <v>0</v>
      </c>
      <c s="6" r="BD266">
        <v>0</v>
      </c>
      <c s="6" r="BE266">
        <v>0</v>
      </c>
      <c s="6" r="BF266">
        <v>0</v>
      </c>
      <c s="6" r="BG266">
        <v>0</v>
      </c>
      <c s="6" r="BH266">
        <v>0</v>
      </c>
      <c s="6" r="BI266">
        <v>0</v>
      </c>
      <c s="6" r="BJ266">
        <v>0</v>
      </c>
      <c s="6" r="BK266">
        <v>0</v>
      </c>
      <c s="6" r="BL266">
        <v>0</v>
      </c>
      <c s="6" r="BM266">
        <v>0</v>
      </c>
      <c s="6" r="BN266">
        <v>0</v>
      </c>
      <c s="6" r="BO266">
        <v>0</v>
      </c>
      <c s="6" r="BP266">
        <v>0</v>
      </c>
      <c s="6" r="BQ266">
        <v>0</v>
      </c>
      <c t="str" s="6" r="BR266">
        <f>HYPERLINK("http://www.d20pfsrd.com/magic/all-spells/h/hide-from-animals","Hide from Animals")</f>
        <v>Hide from Animals</v>
      </c>
      <c s="6" r="BS266">
        <v>265</v>
      </c>
      <c t="s" s="6" r="BT266">
        <v>92</v>
      </c>
      <c s="6" r="BY266">
        <v>0</v>
      </c>
    </row>
    <row customHeight="1" r="267" ht="14.25">
      <c t="s" s="6" r="A267">
        <v>2301</v>
      </c>
      <c t="s" s="6" r="B267">
        <v>162</v>
      </c>
      <c t="s" s="6" r="E267">
        <v>1266</v>
      </c>
      <c t="s" s="6" r="F267">
        <v>81</v>
      </c>
      <c t="s" s="6" r="G267">
        <v>119</v>
      </c>
      <c s="6" r="H267">
        <v>0</v>
      </c>
      <c t="s" s="6" r="I267">
        <v>120</v>
      </c>
      <c t="s" s="6" r="L267">
        <v>2302</v>
      </c>
      <c t="s" s="6" r="M267">
        <v>134</v>
      </c>
      <c s="6" r="N267">
        <v>1</v>
      </c>
      <c s="6" r="O267">
        <v>0</v>
      </c>
      <c t="s" s="6" r="P267">
        <v>2303</v>
      </c>
      <c t="s" s="6" r="Q267">
        <v>188</v>
      </c>
      <c t="s" s="6" r="R267">
        <v>2304</v>
      </c>
      <c t="s" s="6" r="S267">
        <v>2305</v>
      </c>
      <c t="s" s="6" r="T267">
        <v>90</v>
      </c>
      <c t="s" s="6" r="U267">
        <v>2306</v>
      </c>
      <c s="6" r="V267">
        <v>1</v>
      </c>
      <c s="6" r="W267">
        <v>1</v>
      </c>
      <c s="6" r="X267">
        <v>0</v>
      </c>
      <c s="6" r="Y267">
        <v>0</v>
      </c>
      <c s="6" r="Z267">
        <v>1</v>
      </c>
      <c t="s" s="6" r="AA267">
        <v>92</v>
      </c>
      <c t="s" s="6" r="AB267">
        <v>92</v>
      </c>
      <c s="6" r="AC267">
        <v>1</v>
      </c>
      <c t="s" s="6" r="AD267">
        <v>92</v>
      </c>
      <c t="s" s="6" r="AE267">
        <v>92</v>
      </c>
      <c t="s" s="6" r="AF267">
        <v>92</v>
      </c>
      <c t="s" s="6" r="AG267">
        <v>92</v>
      </c>
      <c t="s" s="6" r="AH267">
        <v>92</v>
      </c>
      <c t="s" s="6" r="AI267">
        <v>92</v>
      </c>
      <c t="s" s="6" r="AJ267">
        <v>92</v>
      </c>
      <c s="6" r="AK267">
        <v>1</v>
      </c>
      <c s="6" r="AL267">
        <v>1</v>
      </c>
      <c t="s" s="6" r="AM267">
        <v>92</v>
      </c>
      <c t="s" s="6" r="AN267">
        <v>92</v>
      </c>
      <c s="6" r="AP267">
        <v>1</v>
      </c>
      <c t="s" s="6" r="AR267">
        <v>2307</v>
      </c>
      <c s="6" r="AS267">
        <v>0</v>
      </c>
      <c s="6" r="AT267">
        <v>0</v>
      </c>
      <c s="6" r="AU267">
        <v>0</v>
      </c>
      <c s="6" r="AV267">
        <v>0</v>
      </c>
      <c s="6" r="AW267">
        <v>0</v>
      </c>
      <c s="6" r="AX267">
        <v>0</v>
      </c>
      <c s="6" r="AY267">
        <v>0</v>
      </c>
      <c s="6" r="AZ267">
        <v>0</v>
      </c>
      <c s="6" r="BA267">
        <v>0</v>
      </c>
      <c s="6" r="BB267">
        <v>0</v>
      </c>
      <c s="6" r="BC267">
        <v>0</v>
      </c>
      <c s="6" r="BD267">
        <v>0</v>
      </c>
      <c s="6" r="BE267">
        <v>0</v>
      </c>
      <c s="6" r="BF267">
        <v>0</v>
      </c>
      <c s="6" r="BG267">
        <v>0</v>
      </c>
      <c s="6" r="BH267">
        <v>0</v>
      </c>
      <c s="6" r="BI267">
        <v>0</v>
      </c>
      <c s="6" r="BJ267">
        <v>0</v>
      </c>
      <c s="6" r="BK267">
        <v>0</v>
      </c>
      <c s="6" r="BL267">
        <v>0</v>
      </c>
      <c s="6" r="BM267">
        <v>0</v>
      </c>
      <c s="6" r="BN267">
        <v>0</v>
      </c>
      <c s="6" r="BO267">
        <v>0</v>
      </c>
      <c s="6" r="BP267">
        <v>0</v>
      </c>
      <c s="6" r="BQ267">
        <v>0</v>
      </c>
      <c t="str" s="6" r="BR267">
        <f>HYPERLINK("http://www.d20pfsrd.com/magic/all-spells/h/hide-from-undead","Hide from Undead")</f>
        <v>Hide from Undead</v>
      </c>
      <c s="6" r="BS267">
        <v>266</v>
      </c>
      <c t="s" s="6" r="BT267">
        <v>92</v>
      </c>
      <c s="6" r="BY267">
        <v>0</v>
      </c>
    </row>
    <row customHeight="1" r="268" ht="14.25">
      <c t="s" s="6" r="A268">
        <v>2308</v>
      </c>
      <c t="s" s="6" r="B268">
        <v>115</v>
      </c>
      <c t="s" s="6" r="C268">
        <v>116</v>
      </c>
      <c t="s" s="6" r="D268">
        <v>117</v>
      </c>
      <c t="s" s="6" r="E268">
        <v>2309</v>
      </c>
      <c t="s" s="6" r="F268">
        <v>81</v>
      </c>
      <c t="s" s="6" r="G268">
        <v>2310</v>
      </c>
      <c s="6" r="H268">
        <v>0</v>
      </c>
      <c t="s" s="6" r="I268">
        <v>107</v>
      </c>
      <c t="s" s="6" r="L268">
        <v>2311</v>
      </c>
      <c t="s" s="6" r="M268">
        <v>99</v>
      </c>
      <c s="6" r="N268">
        <v>0</v>
      </c>
      <c s="6" r="O268">
        <v>0</v>
      </c>
      <c t="s" s="6" r="P268">
        <v>221</v>
      </c>
      <c t="s" s="6" r="Q268">
        <v>188</v>
      </c>
      <c t="s" s="6" r="R268">
        <v>2312</v>
      </c>
      <c t="s" s="6" r="S268">
        <v>2313</v>
      </c>
      <c t="s" s="6" r="T268">
        <v>90</v>
      </c>
      <c t="s" s="6" r="U268">
        <v>2314</v>
      </c>
      <c s="6" r="V268">
        <v>1</v>
      </c>
      <c s="6" r="W268">
        <v>1</v>
      </c>
      <c s="6" r="X268">
        <v>1</v>
      </c>
      <c s="6" r="Y268">
        <v>0</v>
      </c>
      <c s="6" r="Z268">
        <v>0</v>
      </c>
      <c s="6" r="AA268">
        <v>2</v>
      </c>
      <c s="6" r="AB268">
        <v>2</v>
      </c>
      <c t="s" s="6" r="AC268">
        <v>92</v>
      </c>
      <c t="s" s="6" r="AD268">
        <v>92</v>
      </c>
      <c t="s" s="6" r="AE268">
        <v>92</v>
      </c>
      <c s="6" r="AF268">
        <v>1</v>
      </c>
      <c t="s" s="6" r="AG268">
        <v>92</v>
      </c>
      <c t="s" s="6" r="AH268">
        <v>92</v>
      </c>
      <c t="s" s="6" r="AI268">
        <v>92</v>
      </c>
      <c t="s" s="6" r="AJ268">
        <v>92</v>
      </c>
      <c t="s" s="6" r="AK268">
        <v>92</v>
      </c>
      <c t="s" s="6" r="AL268">
        <v>92</v>
      </c>
      <c t="s" s="6" r="AM268">
        <v>92</v>
      </c>
      <c t="s" s="6" r="AN268">
        <v>92</v>
      </c>
      <c s="6" r="AP268">
        <v>2</v>
      </c>
      <c t="s" s="6" r="AR268">
        <v>2315</v>
      </c>
      <c s="6" r="AS268">
        <v>0</v>
      </c>
      <c s="6" r="AT268">
        <v>0</v>
      </c>
      <c s="6" r="AU268">
        <v>0</v>
      </c>
      <c s="6" r="AV268">
        <v>0</v>
      </c>
      <c s="6" r="AW268">
        <v>0</v>
      </c>
      <c s="6" r="AX268">
        <v>0</v>
      </c>
      <c s="6" r="AY268">
        <v>0</v>
      </c>
      <c s="6" r="AZ268">
        <v>0</v>
      </c>
      <c s="6" r="BA268">
        <v>0</v>
      </c>
      <c s="6" r="BB268">
        <v>0</v>
      </c>
      <c s="6" r="BC268">
        <v>0</v>
      </c>
      <c s="6" r="BD268">
        <v>0</v>
      </c>
      <c s="6" r="BE268">
        <v>0</v>
      </c>
      <c s="6" r="BF268">
        <v>0</v>
      </c>
      <c s="6" r="BG268">
        <v>0</v>
      </c>
      <c s="6" r="BH268">
        <v>0</v>
      </c>
      <c s="6" r="BI268">
        <v>0</v>
      </c>
      <c s="6" r="BJ268">
        <v>0</v>
      </c>
      <c s="6" r="BK268">
        <v>0</v>
      </c>
      <c s="6" r="BL268">
        <v>1</v>
      </c>
      <c s="6" r="BM268">
        <v>0</v>
      </c>
      <c s="6" r="BN268">
        <v>0</v>
      </c>
      <c s="6" r="BO268">
        <v>0</v>
      </c>
      <c s="6" r="BP268">
        <v>0</v>
      </c>
      <c s="6" r="BQ268">
        <v>0</v>
      </c>
      <c t="str" s="6" r="BR268">
        <f>HYPERLINK("http://www.d20pfsrd.com/magic/all-spells/h/hideous-laughter","Hideous Laughter")</f>
        <v>Hideous Laughter</v>
      </c>
      <c s="6" r="BS268">
        <v>267</v>
      </c>
      <c t="s" s="6" r="BT268">
        <v>92</v>
      </c>
      <c t="s" s="6" r="BU268">
        <v>2316</v>
      </c>
      <c t="s" s="6" r="BV268">
        <v>2317</v>
      </c>
      <c s="6" r="BY268">
        <v>0</v>
      </c>
    </row>
    <row customHeight="1" r="269" ht="14.25">
      <c t="s" s="6" r="A269">
        <v>2318</v>
      </c>
      <c t="s" s="6" r="B269">
        <v>115</v>
      </c>
      <c t="s" s="6" r="C269">
        <v>116</v>
      </c>
      <c t="s" s="6" r="D269">
        <v>117</v>
      </c>
      <c t="s" s="6" r="E269">
        <v>2319</v>
      </c>
      <c t="s" s="6" r="F269">
        <v>81</v>
      </c>
      <c t="s" s="6" r="G269">
        <v>2320</v>
      </c>
      <c s="6" r="H269">
        <v>0</v>
      </c>
      <c t="s" s="6" r="I269">
        <v>97</v>
      </c>
      <c t="s" s="6" r="L269">
        <v>731</v>
      </c>
      <c t="s" s="6" r="M269">
        <v>2321</v>
      </c>
      <c s="6" r="N269">
        <v>1</v>
      </c>
      <c s="6" r="O269">
        <v>0</v>
      </c>
      <c t="s" s="6" r="P269">
        <v>474</v>
      </c>
      <c t="s" s="6" r="Q269">
        <v>188</v>
      </c>
      <c t="s" s="6" r="R269">
        <v>2322</v>
      </c>
      <c t="s" s="6" r="S269">
        <v>2323</v>
      </c>
      <c t="s" s="6" r="T269">
        <v>90</v>
      </c>
      <c t="s" s="6" r="U269">
        <v>2324</v>
      </c>
      <c s="6" r="V269">
        <v>1</v>
      </c>
      <c s="6" r="W269">
        <v>1</v>
      </c>
      <c s="6" r="X269">
        <v>1</v>
      </c>
      <c s="6" r="Y269">
        <v>1</v>
      </c>
      <c s="6" r="Z269">
        <v>1</v>
      </c>
      <c s="6" r="AA269">
        <v>3</v>
      </c>
      <c s="6" r="AB269">
        <v>3</v>
      </c>
      <c s="6" r="AC269">
        <v>2</v>
      </c>
      <c t="s" s="6" r="AD269">
        <v>92</v>
      </c>
      <c t="s" s="6" r="AE269">
        <v>92</v>
      </c>
      <c s="6" r="AF269">
        <v>2</v>
      </c>
      <c t="s" s="6" r="AG269">
        <v>92</v>
      </c>
      <c t="s" s="6" r="AH269">
        <v>92</v>
      </c>
      <c t="s" s="6" r="AI269">
        <v>92</v>
      </c>
      <c s="6" r="AJ269">
        <v>2</v>
      </c>
      <c s="6" r="AK269">
        <v>2</v>
      </c>
      <c s="6" r="AL269">
        <v>2</v>
      </c>
      <c s="6" r="AM269">
        <v>2</v>
      </c>
      <c t="s" s="6" r="AN269">
        <v>92</v>
      </c>
      <c s="6" r="AP269">
        <v>3</v>
      </c>
      <c t="s" s="6" r="AR269">
        <v>2325</v>
      </c>
      <c s="6" r="AS269">
        <v>0</v>
      </c>
      <c s="6" r="AT269">
        <v>0</v>
      </c>
      <c s="6" r="AU269">
        <v>0</v>
      </c>
      <c s="6" r="AV269">
        <v>0</v>
      </c>
      <c s="6" r="AW269">
        <v>0</v>
      </c>
      <c s="6" r="AX269">
        <v>0</v>
      </c>
      <c s="6" r="AY269">
        <v>0</v>
      </c>
      <c s="6" r="AZ269">
        <v>0</v>
      </c>
      <c s="6" r="BA269">
        <v>0</v>
      </c>
      <c s="6" r="BB269">
        <v>0</v>
      </c>
      <c s="6" r="BC269">
        <v>0</v>
      </c>
      <c s="6" r="BD269">
        <v>0</v>
      </c>
      <c s="6" r="BE269">
        <v>0</v>
      </c>
      <c s="6" r="BF269">
        <v>0</v>
      </c>
      <c s="6" r="BG269">
        <v>0</v>
      </c>
      <c s="6" r="BH269">
        <v>0</v>
      </c>
      <c s="6" r="BI269">
        <v>0</v>
      </c>
      <c s="6" r="BJ269">
        <v>0</v>
      </c>
      <c s="6" r="BK269">
        <v>0</v>
      </c>
      <c s="6" r="BL269">
        <v>1</v>
      </c>
      <c s="6" r="BM269">
        <v>0</v>
      </c>
      <c s="6" r="BN269">
        <v>0</v>
      </c>
      <c s="6" r="BO269">
        <v>0</v>
      </c>
      <c s="6" r="BP269">
        <v>0</v>
      </c>
      <c s="6" r="BQ269">
        <v>0</v>
      </c>
      <c t="str" s="6" r="BR269">
        <f>HYPERLINK("http://www.d20pfsrd.com/magic/all-spells/h/hold-person","Hold Person")</f>
        <v>Hold Person</v>
      </c>
      <c s="6" r="BS269">
        <v>268</v>
      </c>
      <c t="s" s="6" r="BT269">
        <v>92</v>
      </c>
      <c s="6" r="BY269">
        <v>0</v>
      </c>
    </row>
    <row customHeight="1" r="270" ht="14.25">
      <c t="s" s="6" r="A270">
        <v>2326</v>
      </c>
      <c t="s" s="6" r="B270">
        <v>115</v>
      </c>
      <c t="s" s="6" r="C270">
        <v>116</v>
      </c>
      <c t="s" s="6" r="D270">
        <v>117</v>
      </c>
      <c t="s" s="6" r="E270">
        <v>2327</v>
      </c>
      <c t="s" s="6" r="F270">
        <v>81</v>
      </c>
      <c t="s" s="6" r="G270">
        <v>2328</v>
      </c>
      <c s="6" r="H270">
        <v>0</v>
      </c>
      <c t="s" s="6" r="I270">
        <v>97</v>
      </c>
      <c t="s" s="6" r="L270">
        <v>473</v>
      </c>
      <c t="s" s="6" r="M270">
        <v>2321</v>
      </c>
      <c s="6" r="N270">
        <v>1</v>
      </c>
      <c s="6" r="O270">
        <v>0</v>
      </c>
      <c t="s" s="6" r="P270">
        <v>474</v>
      </c>
      <c t="s" s="6" r="Q270">
        <v>188</v>
      </c>
      <c t="s" s="6" r="R270">
        <v>2329</v>
      </c>
      <c t="s" s="6" r="S270">
        <v>2330</v>
      </c>
      <c t="s" s="6" r="T270">
        <v>90</v>
      </c>
      <c t="s" s="6" r="U270">
        <v>2331</v>
      </c>
      <c s="6" r="V270">
        <v>1</v>
      </c>
      <c s="6" r="W270">
        <v>1</v>
      </c>
      <c s="6" r="X270">
        <v>1</v>
      </c>
      <c s="6" r="Y270">
        <v>0</v>
      </c>
      <c s="6" r="Z270">
        <v>1</v>
      </c>
      <c s="6" r="AA270">
        <v>5</v>
      </c>
      <c s="6" r="AB270">
        <v>5</v>
      </c>
      <c t="s" s="6" r="AC270">
        <v>92</v>
      </c>
      <c t="s" s="6" r="AD270">
        <v>92</v>
      </c>
      <c t="s" s="6" r="AE270">
        <v>92</v>
      </c>
      <c s="6" r="AF270">
        <v>4</v>
      </c>
      <c t="s" s="6" r="AG270">
        <v>92</v>
      </c>
      <c t="s" s="6" r="AH270">
        <v>92</v>
      </c>
      <c s="6" r="AI270">
        <v>4</v>
      </c>
      <c s="6" r="AJ270">
        <v>5</v>
      </c>
      <c s="6" r="AK270">
        <v>4</v>
      </c>
      <c t="s" s="6" r="AL270">
        <v>92</v>
      </c>
      <c t="s" s="6" r="AM270">
        <v>92</v>
      </c>
      <c t="s" s="6" r="AN270">
        <v>92</v>
      </c>
      <c s="6" r="AP270">
        <v>5</v>
      </c>
      <c t="s" s="6" r="AQ270">
        <v>1339</v>
      </c>
      <c t="s" s="6" r="AR270">
        <v>2332</v>
      </c>
      <c s="6" r="AS270">
        <v>0</v>
      </c>
      <c s="6" r="AT270">
        <v>0</v>
      </c>
      <c s="6" r="AU270">
        <v>0</v>
      </c>
      <c s="6" r="AV270">
        <v>0</v>
      </c>
      <c s="6" r="AW270">
        <v>0</v>
      </c>
      <c s="6" r="AX270">
        <v>0</v>
      </c>
      <c s="6" r="AY270">
        <v>0</v>
      </c>
      <c s="6" r="AZ270">
        <v>0</v>
      </c>
      <c s="6" r="BA270">
        <v>0</v>
      </c>
      <c s="6" r="BB270">
        <v>0</v>
      </c>
      <c s="6" r="BC270">
        <v>0</v>
      </c>
      <c s="6" r="BD270">
        <v>0</v>
      </c>
      <c s="6" r="BE270">
        <v>0</v>
      </c>
      <c s="6" r="BF270">
        <v>0</v>
      </c>
      <c s="6" r="BG270">
        <v>0</v>
      </c>
      <c s="6" r="BH270">
        <v>0</v>
      </c>
      <c s="6" r="BI270">
        <v>0</v>
      </c>
      <c s="6" r="BJ270">
        <v>0</v>
      </c>
      <c s="6" r="BK270">
        <v>0</v>
      </c>
      <c s="6" r="BL270">
        <v>1</v>
      </c>
      <c s="6" r="BM270">
        <v>0</v>
      </c>
      <c s="6" r="BN270">
        <v>0</v>
      </c>
      <c s="6" r="BO270">
        <v>0</v>
      </c>
      <c s="6" r="BP270">
        <v>0</v>
      </c>
      <c s="6" r="BQ270">
        <v>0</v>
      </c>
      <c t="str" s="6" r="BR270">
        <f>HYPERLINK("http://www.d20pfsrd.com/magic/all-spells/h/hold-monster","Hold Monster")</f>
        <v>Hold Monster</v>
      </c>
      <c s="6" r="BS270">
        <v>269</v>
      </c>
      <c t="s" s="6" r="BT270">
        <v>92</v>
      </c>
      <c t="s" s="6" r="BU270">
        <v>1232</v>
      </c>
      <c s="6" r="BY270">
        <v>0</v>
      </c>
    </row>
    <row customHeight="1" r="271" ht="14.25">
      <c t="s" s="6" r="A271">
        <v>2333</v>
      </c>
      <c t="s" s="6" r="B271">
        <v>115</v>
      </c>
      <c t="s" s="6" r="C271">
        <v>116</v>
      </c>
      <c t="s" s="6" r="D271">
        <v>117</v>
      </c>
      <c t="s" s="6" r="E271">
        <v>2334</v>
      </c>
      <c t="s" s="6" r="F271">
        <v>81</v>
      </c>
      <c t="s" s="6" r="G271">
        <v>2328</v>
      </c>
      <c s="6" r="H271">
        <v>0</v>
      </c>
      <c t="s" s="6" r="I271">
        <v>97</v>
      </c>
      <c t="s" s="6" r="L271">
        <v>2241</v>
      </c>
      <c t="s" s="6" r="M271">
        <v>2321</v>
      </c>
      <c s="6" r="N271">
        <v>1</v>
      </c>
      <c s="6" r="O271">
        <v>0</v>
      </c>
      <c t="s" s="6" r="P271">
        <v>474</v>
      </c>
      <c t="s" s="6" r="Q271">
        <v>188</v>
      </c>
      <c t="s" s="6" r="R271">
        <v>2335</v>
      </c>
      <c t="s" s="6" r="S271">
        <v>2336</v>
      </c>
      <c t="s" s="6" r="T271">
        <v>90</v>
      </c>
      <c t="s" s="6" r="U271">
        <v>2337</v>
      </c>
      <c s="6" r="V271">
        <v>1</v>
      </c>
      <c s="6" r="W271">
        <v>1</v>
      </c>
      <c s="6" r="X271">
        <v>1</v>
      </c>
      <c s="6" r="Y271">
        <v>0</v>
      </c>
      <c s="6" r="Z271">
        <v>1</v>
      </c>
      <c s="6" r="AA271">
        <v>9</v>
      </c>
      <c s="6" r="AB271">
        <v>9</v>
      </c>
      <c t="s" s="6" r="AC271">
        <v>92</v>
      </c>
      <c t="s" s="6" r="AD271">
        <v>92</v>
      </c>
      <c t="s" s="6" r="AE271">
        <v>92</v>
      </c>
      <c t="s" s="6" r="AF271">
        <v>92</v>
      </c>
      <c t="s" s="6" r="AG271">
        <v>92</v>
      </c>
      <c t="s" s="6" r="AH271">
        <v>92</v>
      </c>
      <c t="s" s="6" r="AI271">
        <v>92</v>
      </c>
      <c s="6" r="AJ271">
        <v>9</v>
      </c>
      <c t="s" s="6" r="AK271">
        <v>92</v>
      </c>
      <c t="s" s="6" r="AL271">
        <v>92</v>
      </c>
      <c t="s" s="6" r="AM271">
        <v>92</v>
      </c>
      <c t="s" s="6" r="AN271">
        <v>92</v>
      </c>
      <c s="6" r="AP271">
        <v>9</v>
      </c>
      <c t="s" s="6" r="AR271">
        <v>2338</v>
      </c>
      <c s="6" r="AS271">
        <v>0</v>
      </c>
      <c s="6" r="AT271">
        <v>0</v>
      </c>
      <c s="6" r="AU271">
        <v>0</v>
      </c>
      <c s="6" r="AV271">
        <v>0</v>
      </c>
      <c s="6" r="AW271">
        <v>0</v>
      </c>
      <c s="6" r="AX271">
        <v>0</v>
      </c>
      <c s="6" r="AY271">
        <v>0</v>
      </c>
      <c s="6" r="AZ271">
        <v>0</v>
      </c>
      <c s="6" r="BA271">
        <v>0</v>
      </c>
      <c s="6" r="BB271">
        <v>0</v>
      </c>
      <c s="6" r="BC271">
        <v>0</v>
      </c>
      <c s="6" r="BD271">
        <v>0</v>
      </c>
      <c s="6" r="BE271">
        <v>0</v>
      </c>
      <c s="6" r="BF271">
        <v>0</v>
      </c>
      <c s="6" r="BG271">
        <v>0</v>
      </c>
      <c s="6" r="BH271">
        <v>0</v>
      </c>
      <c s="6" r="BI271">
        <v>0</v>
      </c>
      <c s="6" r="BJ271">
        <v>0</v>
      </c>
      <c s="6" r="BK271">
        <v>0</v>
      </c>
      <c s="6" r="BL271">
        <v>1</v>
      </c>
      <c s="6" r="BM271">
        <v>0</v>
      </c>
      <c s="6" r="BN271">
        <v>0</v>
      </c>
      <c s="6" r="BO271">
        <v>0</v>
      </c>
      <c s="6" r="BP271">
        <v>0</v>
      </c>
      <c s="6" r="BQ271">
        <v>0</v>
      </c>
      <c t="str" s="6" r="BR271">
        <f>HYPERLINK("http://www.d20pfsrd.com/magic/all-spells/h/hold-monster","Hold Monster, Mass")</f>
        <v>Hold Monster, Mass</v>
      </c>
      <c s="6" r="BS271">
        <v>270</v>
      </c>
      <c t="s" s="6" r="BT271">
        <v>92</v>
      </c>
      <c s="6" r="BY271">
        <v>0</v>
      </c>
    </row>
    <row customHeight="1" r="272" ht="14.25">
      <c t="s" s="6" r="A272">
        <v>2339</v>
      </c>
      <c t="s" s="6" r="B272">
        <v>115</v>
      </c>
      <c t="s" s="6" r="C272">
        <v>116</v>
      </c>
      <c t="s" s="6" r="D272">
        <v>117</v>
      </c>
      <c t="s" s="6" r="E272">
        <v>344</v>
      </c>
      <c t="s" s="6" r="F272">
        <v>81</v>
      </c>
      <c t="s" s="6" r="G272">
        <v>2320</v>
      </c>
      <c s="6" r="H272">
        <v>0</v>
      </c>
      <c t="s" s="6" r="I272">
        <v>97</v>
      </c>
      <c t="s" s="6" r="L272">
        <v>2340</v>
      </c>
      <c t="s" s="6" r="M272">
        <v>2321</v>
      </c>
      <c s="6" r="N272">
        <v>1</v>
      </c>
      <c s="6" r="O272">
        <v>0</v>
      </c>
      <c t="s" s="6" r="P272">
        <v>474</v>
      </c>
      <c t="s" s="6" r="Q272">
        <v>188</v>
      </c>
      <c t="s" s="6" r="R272">
        <v>2341</v>
      </c>
      <c t="s" s="6" r="S272">
        <v>2342</v>
      </c>
      <c t="s" s="6" r="T272">
        <v>90</v>
      </c>
      <c t="s" s="6" r="U272">
        <v>2343</v>
      </c>
      <c s="6" r="V272">
        <v>1</v>
      </c>
      <c s="6" r="W272">
        <v>1</v>
      </c>
      <c s="6" r="X272">
        <v>1</v>
      </c>
      <c s="6" r="Y272">
        <v>1</v>
      </c>
      <c s="6" r="Z272">
        <v>1</v>
      </c>
      <c s="6" r="AA272">
        <v>7</v>
      </c>
      <c s="6" r="AB272">
        <v>7</v>
      </c>
      <c t="s" s="6" r="AC272">
        <v>92</v>
      </c>
      <c t="s" s="6" r="AD272">
        <v>92</v>
      </c>
      <c t="s" s="6" r="AE272">
        <v>92</v>
      </c>
      <c t="s" s="6" r="AF272">
        <v>92</v>
      </c>
      <c t="s" s="6" r="AG272">
        <v>92</v>
      </c>
      <c t="s" s="6" r="AH272">
        <v>92</v>
      </c>
      <c t="s" s="6" r="AI272">
        <v>92</v>
      </c>
      <c s="6" r="AJ272">
        <v>7</v>
      </c>
      <c t="s" s="6" r="AK272">
        <v>92</v>
      </c>
      <c t="s" s="6" r="AL272">
        <v>92</v>
      </c>
      <c t="s" s="6" r="AM272">
        <v>92</v>
      </c>
      <c t="s" s="6" r="AN272">
        <v>92</v>
      </c>
      <c s="6" r="AP272">
        <v>7</v>
      </c>
      <c t="s" s="6" r="AR272">
        <v>2344</v>
      </c>
      <c s="6" r="AS272">
        <v>0</v>
      </c>
      <c s="6" r="AT272">
        <v>0</v>
      </c>
      <c s="6" r="AU272">
        <v>0</v>
      </c>
      <c s="6" r="AV272">
        <v>0</v>
      </c>
      <c s="6" r="AW272">
        <v>0</v>
      </c>
      <c s="6" r="AX272">
        <v>0</v>
      </c>
      <c s="6" r="AY272">
        <v>0</v>
      </c>
      <c s="6" r="AZ272">
        <v>0</v>
      </c>
      <c s="6" r="BA272">
        <v>0</v>
      </c>
      <c s="6" r="BB272">
        <v>0</v>
      </c>
      <c s="6" r="BC272">
        <v>0</v>
      </c>
      <c s="6" r="BD272">
        <v>0</v>
      </c>
      <c s="6" r="BE272">
        <v>0</v>
      </c>
      <c s="6" r="BF272">
        <v>0</v>
      </c>
      <c s="6" r="BG272">
        <v>0</v>
      </c>
      <c s="6" r="BH272">
        <v>0</v>
      </c>
      <c s="6" r="BI272">
        <v>0</v>
      </c>
      <c s="6" r="BJ272">
        <v>0</v>
      </c>
      <c s="6" r="BK272">
        <v>0</v>
      </c>
      <c s="6" r="BL272">
        <v>1</v>
      </c>
      <c s="6" r="BM272">
        <v>0</v>
      </c>
      <c s="6" r="BN272">
        <v>0</v>
      </c>
      <c s="6" r="BO272">
        <v>0</v>
      </c>
      <c s="6" r="BP272">
        <v>0</v>
      </c>
      <c s="6" r="BQ272">
        <v>0</v>
      </c>
      <c t="str" s="6" r="BR272">
        <f>HYPERLINK("http://www.d20pfsrd.com/magic/all-spells/h/hold-person","Hold Person, Mass")</f>
        <v>Hold Person, Mass</v>
      </c>
      <c s="6" r="BS272">
        <v>271</v>
      </c>
      <c t="s" s="6" r="BT272">
        <v>92</v>
      </c>
      <c s="6" r="BY272">
        <v>0</v>
      </c>
    </row>
    <row customHeight="1" r="273" ht="14.25">
      <c t="s" s="6" r="A273">
        <v>2345</v>
      </c>
      <c t="s" s="6" r="B273">
        <v>162</v>
      </c>
      <c t="s" s="6" r="E273">
        <v>2346</v>
      </c>
      <c t="s" s="6" r="F273">
        <v>81</v>
      </c>
      <c t="s" s="6" r="G273">
        <v>251</v>
      </c>
      <c s="6" r="H273">
        <v>0</v>
      </c>
      <c t="s" s="6" r="I273">
        <v>97</v>
      </c>
      <c t="s" s="6" r="L273">
        <v>2347</v>
      </c>
      <c t="s" s="6" r="M273">
        <v>496</v>
      </c>
      <c s="6" r="N273">
        <v>1</v>
      </c>
      <c s="6" r="O273">
        <v>0</v>
      </c>
      <c t="s" s="6" r="P273">
        <v>86</v>
      </c>
      <c t="s" s="6" r="Q273">
        <v>87</v>
      </c>
      <c t="s" s="6" r="R273">
        <v>2348</v>
      </c>
      <c t="s" s="6" r="S273">
        <v>2349</v>
      </c>
      <c t="s" s="6" r="T273">
        <v>90</v>
      </c>
      <c t="s" s="6" r="U273">
        <v>2350</v>
      </c>
      <c s="6" r="V273">
        <v>1</v>
      </c>
      <c s="6" r="W273">
        <v>0</v>
      </c>
      <c s="6" r="X273">
        <v>0</v>
      </c>
      <c s="6" r="Y273">
        <v>0</v>
      </c>
      <c s="6" r="Z273">
        <v>0</v>
      </c>
      <c s="6" r="AA273">
        <v>1</v>
      </c>
      <c s="6" r="AB273">
        <v>1</v>
      </c>
      <c t="s" s="6" r="AC273">
        <v>92</v>
      </c>
      <c t="s" s="6" r="AD273">
        <v>92</v>
      </c>
      <c t="s" s="6" r="AE273">
        <v>92</v>
      </c>
      <c t="s" s="6" r="AF273">
        <v>92</v>
      </c>
      <c t="s" s="6" r="AG273">
        <v>92</v>
      </c>
      <c t="s" s="6" r="AH273">
        <v>92</v>
      </c>
      <c t="s" s="6" r="AI273">
        <v>92</v>
      </c>
      <c t="s" s="6" r="AJ273">
        <v>92</v>
      </c>
      <c t="s" s="6" r="AK273">
        <v>92</v>
      </c>
      <c t="s" s="6" r="AL273">
        <v>92</v>
      </c>
      <c t="s" s="6" r="AM273">
        <v>92</v>
      </c>
      <c t="s" s="6" r="AN273">
        <v>92</v>
      </c>
      <c s="6" r="AP273">
        <v>1</v>
      </c>
      <c t="s" s="6" r="AR273">
        <v>2351</v>
      </c>
      <c s="6" r="AS273">
        <v>0</v>
      </c>
      <c s="6" r="AT273">
        <v>0</v>
      </c>
      <c s="6" r="AU273">
        <v>0</v>
      </c>
      <c s="6" r="AV273">
        <v>0</v>
      </c>
      <c s="6" r="AW273">
        <v>0</v>
      </c>
      <c s="6" r="AX273">
        <v>0</v>
      </c>
      <c s="6" r="AY273">
        <v>0</v>
      </c>
      <c s="6" r="AZ273">
        <v>0</v>
      </c>
      <c s="6" r="BA273">
        <v>0</v>
      </c>
      <c s="6" r="BB273">
        <v>0</v>
      </c>
      <c s="6" r="BC273">
        <v>0</v>
      </c>
      <c s="6" r="BD273">
        <v>0</v>
      </c>
      <c s="6" r="BE273">
        <v>0</v>
      </c>
      <c s="6" r="BF273">
        <v>0</v>
      </c>
      <c s="6" r="BG273">
        <v>0</v>
      </c>
      <c s="6" r="BH273">
        <v>0</v>
      </c>
      <c s="6" r="BI273">
        <v>0</v>
      </c>
      <c s="6" r="BJ273">
        <v>0</v>
      </c>
      <c s="6" r="BK273">
        <v>0</v>
      </c>
      <c s="6" r="BL273">
        <v>0</v>
      </c>
      <c s="6" r="BM273">
        <v>0</v>
      </c>
      <c s="6" r="BN273">
        <v>0</v>
      </c>
      <c s="6" r="BO273">
        <v>0</v>
      </c>
      <c s="6" r="BP273">
        <v>0</v>
      </c>
      <c s="6" r="BQ273">
        <v>0</v>
      </c>
      <c t="str" s="6" r="BR273">
        <f>HYPERLINK("http://www.d20pfsrd.com/magic/all-spells/h/hold-portal","Hold Portal")</f>
        <v>Hold Portal</v>
      </c>
      <c s="6" r="BS273">
        <v>272</v>
      </c>
      <c t="s" s="6" r="BT273">
        <v>92</v>
      </c>
      <c t="s" s="6" r="BW273">
        <v>2352</v>
      </c>
      <c s="6" r="BY273">
        <v>1</v>
      </c>
    </row>
    <row customHeight="1" r="274" ht="14.25">
      <c t="s" s="6" r="A274">
        <v>2353</v>
      </c>
      <c t="s" s="6" r="B274">
        <v>162</v>
      </c>
      <c t="s" s="6" r="D274">
        <v>59</v>
      </c>
      <c t="s" s="6" r="E274">
        <v>802</v>
      </c>
      <c t="s" s="6" r="F274">
        <v>81</v>
      </c>
      <c t="s" s="6" r="G274">
        <v>803</v>
      </c>
      <c s="6" r="H274">
        <v>1</v>
      </c>
      <c t="s" s="6" r="I274">
        <v>804</v>
      </c>
      <c t="s" s="6" r="L274">
        <v>805</v>
      </c>
      <c t="s" s="6" r="M274">
        <v>99</v>
      </c>
      <c s="6" r="N274">
        <v>1</v>
      </c>
      <c s="6" r="O274">
        <v>0</v>
      </c>
      <c t="s" s="6" r="P274">
        <v>141</v>
      </c>
      <c t="s" s="6" r="Q274">
        <v>123</v>
      </c>
      <c t="s" s="6" r="R274">
        <v>2354</v>
      </c>
      <c t="s" s="6" r="S274">
        <v>2355</v>
      </c>
      <c t="s" s="6" r="T274">
        <v>90</v>
      </c>
      <c t="s" s="6" r="U274">
        <v>2356</v>
      </c>
      <c s="6" r="V274">
        <v>1</v>
      </c>
      <c s="6" r="W274">
        <v>1</v>
      </c>
      <c s="6" r="X274">
        <v>0</v>
      </c>
      <c s="6" r="Y274">
        <v>1</v>
      </c>
      <c s="6" r="Z274">
        <v>0</v>
      </c>
      <c t="s" s="6" r="AA274">
        <v>92</v>
      </c>
      <c t="s" s="6" r="AB274">
        <v>92</v>
      </c>
      <c s="6" r="AC274">
        <v>8</v>
      </c>
      <c t="s" s="6" r="AD274">
        <v>92</v>
      </c>
      <c t="s" s="6" r="AE274">
        <v>92</v>
      </c>
      <c t="s" s="6" r="AF274">
        <v>92</v>
      </c>
      <c t="s" s="6" r="AG274">
        <v>92</v>
      </c>
      <c t="s" s="6" r="AH274">
        <v>92</v>
      </c>
      <c t="s" s="6" r="AI274">
        <v>92</v>
      </c>
      <c t="s" s="6" r="AJ274">
        <v>92</v>
      </c>
      <c t="s" s="6" r="AK274">
        <v>92</v>
      </c>
      <c s="6" r="AL274">
        <v>8</v>
      </c>
      <c t="s" s="6" r="AM274">
        <v>92</v>
      </c>
      <c t="s" s="6" r="AN274">
        <v>92</v>
      </c>
      <c s="6" r="AP274">
        <v>8</v>
      </c>
      <c t="s" s="6" r="AQ274">
        <v>2357</v>
      </c>
      <c t="s" s="6" r="AR274">
        <v>2358</v>
      </c>
      <c s="6" r="AS274">
        <v>0</v>
      </c>
      <c s="6" r="AT274">
        <v>0</v>
      </c>
      <c s="6" r="AU274">
        <v>0</v>
      </c>
      <c s="6" r="AV274">
        <v>0</v>
      </c>
      <c s="6" r="AW274">
        <v>0</v>
      </c>
      <c s="6" r="AX274">
        <v>0</v>
      </c>
      <c s="6" r="AY274">
        <v>0</v>
      </c>
      <c s="6" r="AZ274">
        <v>0</v>
      </c>
      <c s="6" r="BA274">
        <v>0</v>
      </c>
      <c s="6" r="BB274">
        <v>0</v>
      </c>
      <c s="6" r="BC274">
        <v>0</v>
      </c>
      <c s="6" r="BD274">
        <v>0</v>
      </c>
      <c s="6" r="BE274">
        <v>0</v>
      </c>
      <c s="6" r="BF274">
        <v>0</v>
      </c>
      <c s="6" r="BG274">
        <v>0</v>
      </c>
      <c s="6" r="BH274">
        <v>1</v>
      </c>
      <c s="6" r="BI274">
        <v>0</v>
      </c>
      <c s="6" r="BJ274">
        <v>0</v>
      </c>
      <c s="6" r="BK274">
        <v>0</v>
      </c>
      <c s="6" r="BL274">
        <v>0</v>
      </c>
      <c s="6" r="BM274">
        <v>0</v>
      </c>
      <c s="6" r="BN274">
        <v>0</v>
      </c>
      <c s="6" r="BO274">
        <v>0</v>
      </c>
      <c s="6" r="BP274">
        <v>0</v>
      </c>
      <c s="6" r="BQ274">
        <v>0</v>
      </c>
      <c t="str" s="6" r="BR274">
        <f>HYPERLINK("http://www.d20pfsrd.com/magic/all-spells/h/holy-aura","Holy Aura")</f>
        <v>Holy Aura</v>
      </c>
      <c s="6" r="BS274">
        <v>273</v>
      </c>
      <c s="6" r="BT274">
        <v>500</v>
      </c>
      <c t="s" s="6" r="BV274">
        <v>2246</v>
      </c>
      <c s="6" r="BY274">
        <v>0</v>
      </c>
    </row>
    <row customHeight="1" r="275" ht="14.25">
      <c t="s" s="6" r="A275">
        <v>2359</v>
      </c>
      <c t="s" s="6" r="B275">
        <v>493</v>
      </c>
      <c t="s" s="6" r="D275">
        <v>59</v>
      </c>
      <c t="s" s="6" r="E275">
        <v>719</v>
      </c>
      <c t="s" s="6" r="F275">
        <v>81</v>
      </c>
      <c t="s" s="6" r="G275">
        <v>106</v>
      </c>
      <c s="6" r="H275">
        <v>0</v>
      </c>
      <c t="s" s="6" r="I275">
        <v>97</v>
      </c>
      <c t="s" s="6" r="J275">
        <v>720</v>
      </c>
      <c t="s" s="6" r="M275">
        <v>2360</v>
      </c>
      <c s="6" r="N275">
        <v>0</v>
      </c>
      <c s="6" r="O275">
        <v>0</v>
      </c>
      <c t="s" s="6" r="P275">
        <v>722</v>
      </c>
      <c t="s" s="6" r="Q275">
        <v>188</v>
      </c>
      <c t="s" s="6" r="R275">
        <v>2361</v>
      </c>
      <c t="s" s="6" r="S275">
        <v>2362</v>
      </c>
      <c t="s" s="6" r="T275">
        <v>90</v>
      </c>
      <c t="s" s="6" r="U275">
        <v>2363</v>
      </c>
      <c s="6" r="V275">
        <v>1</v>
      </c>
      <c s="6" r="W275">
        <v>1</v>
      </c>
      <c s="6" r="X275">
        <v>0</v>
      </c>
      <c s="6" r="Y275">
        <v>0</v>
      </c>
      <c s="6" r="Z275">
        <v>0</v>
      </c>
      <c t="s" s="6" r="AA275">
        <v>92</v>
      </c>
      <c t="s" s="6" r="AB275">
        <v>92</v>
      </c>
      <c s="6" r="AC275">
        <v>4</v>
      </c>
      <c t="s" s="6" r="AD275">
        <v>92</v>
      </c>
      <c t="s" s="6" r="AE275">
        <v>92</v>
      </c>
      <c t="s" s="6" r="AF275">
        <v>92</v>
      </c>
      <c t="s" s="6" r="AG275">
        <v>92</v>
      </c>
      <c t="s" s="6" r="AH275">
        <v>92</v>
      </c>
      <c t="s" s="6" r="AI275">
        <v>92</v>
      </c>
      <c t="s" s="6" r="AJ275">
        <v>92</v>
      </c>
      <c s="6" r="AK275">
        <v>4</v>
      </c>
      <c s="6" r="AL275">
        <v>4</v>
      </c>
      <c t="s" s="6" r="AM275">
        <v>92</v>
      </c>
      <c t="s" s="6" r="AN275">
        <v>92</v>
      </c>
      <c s="6" r="AP275">
        <v>4</v>
      </c>
      <c t="s" s="6" r="AQ275">
        <v>2357</v>
      </c>
      <c t="s" s="6" r="AR275">
        <v>2364</v>
      </c>
      <c s="6" r="AS275">
        <v>0</v>
      </c>
      <c s="6" r="AT275">
        <v>0</v>
      </c>
      <c s="6" r="AU275">
        <v>0</v>
      </c>
      <c s="6" r="AV275">
        <v>0</v>
      </c>
      <c s="6" r="AW275">
        <v>0</v>
      </c>
      <c s="6" r="AX275">
        <v>0</v>
      </c>
      <c s="6" r="AY275">
        <v>0</v>
      </c>
      <c s="6" r="AZ275">
        <v>0</v>
      </c>
      <c s="6" r="BA275">
        <v>0</v>
      </c>
      <c s="6" r="BB275">
        <v>0</v>
      </c>
      <c s="6" r="BC275">
        <v>0</v>
      </c>
      <c s="6" r="BD275">
        <v>0</v>
      </c>
      <c s="6" r="BE275">
        <v>0</v>
      </c>
      <c s="6" r="BF275">
        <v>0</v>
      </c>
      <c s="6" r="BG275">
        <v>0</v>
      </c>
      <c s="6" r="BH275">
        <v>1</v>
      </c>
      <c s="6" r="BI275">
        <v>0</v>
      </c>
      <c s="6" r="BJ275">
        <v>0</v>
      </c>
      <c s="6" r="BK275">
        <v>0</v>
      </c>
      <c s="6" r="BL275">
        <v>0</v>
      </c>
      <c s="6" r="BM275">
        <v>0</v>
      </c>
      <c s="6" r="BN275">
        <v>0</v>
      </c>
      <c s="6" r="BO275">
        <v>0</v>
      </c>
      <c s="6" r="BP275">
        <v>0</v>
      </c>
      <c s="6" r="BQ275">
        <v>0</v>
      </c>
      <c t="str" s="6" r="BR275">
        <f>HYPERLINK("http://www.d20pfsrd.com/magic/all-spells/h/holy-smite","Holy Smite")</f>
        <v>Holy Smite</v>
      </c>
      <c s="6" r="BS275">
        <v>274</v>
      </c>
      <c t="s" s="6" r="BT275">
        <v>92</v>
      </c>
      <c t="s" s="6" r="BW275">
        <v>2365</v>
      </c>
      <c s="6" r="BY275">
        <v>1</v>
      </c>
    </row>
    <row customHeight="1" r="276" ht="14.25">
      <c t="s" s="6" r="A276">
        <v>2366</v>
      </c>
      <c t="s" s="6" r="B276">
        <v>493</v>
      </c>
      <c t="s" s="6" r="D276">
        <v>59</v>
      </c>
      <c t="s" s="6" r="E276">
        <v>2367</v>
      </c>
      <c t="s" s="6" r="F276">
        <v>81</v>
      </c>
      <c t="s" s="6" r="G276">
        <v>106</v>
      </c>
      <c s="6" r="H276">
        <v>0</v>
      </c>
      <c t="s" s="6" r="I276">
        <v>120</v>
      </c>
      <c t="s" s="6" r="L276">
        <v>2368</v>
      </c>
      <c t="s" s="6" r="M276">
        <v>99</v>
      </c>
      <c s="6" r="N276">
        <v>0</v>
      </c>
      <c s="6" r="O276">
        <v>0</v>
      </c>
      <c t="s" s="6" r="P276">
        <v>86</v>
      </c>
      <c t="s" s="6" r="Q276">
        <v>87</v>
      </c>
      <c t="s" s="6" r="R276">
        <v>2369</v>
      </c>
      <c t="s" s="6" r="S276">
        <v>2370</v>
      </c>
      <c t="s" s="6" r="T276">
        <v>90</v>
      </c>
      <c t="s" s="6" r="U276">
        <v>2371</v>
      </c>
      <c s="6" r="V276">
        <v>1</v>
      </c>
      <c s="6" r="W276">
        <v>1</v>
      </c>
      <c s="6" r="X276">
        <v>0</v>
      </c>
      <c s="6" r="Y276">
        <v>0</v>
      </c>
      <c s="6" r="Z276">
        <v>0</v>
      </c>
      <c t="s" s="6" r="AA276">
        <v>92</v>
      </c>
      <c t="s" s="6" r="AB276">
        <v>92</v>
      </c>
      <c t="s" s="6" r="AC276">
        <v>92</v>
      </c>
      <c t="s" s="6" r="AD276">
        <v>92</v>
      </c>
      <c t="s" s="6" r="AE276">
        <v>92</v>
      </c>
      <c t="s" s="6" r="AF276">
        <v>92</v>
      </c>
      <c s="6" r="AG276">
        <v>4</v>
      </c>
      <c t="s" s="6" r="AH276">
        <v>92</v>
      </c>
      <c t="s" s="6" r="AI276">
        <v>92</v>
      </c>
      <c t="s" s="6" r="AJ276">
        <v>92</v>
      </c>
      <c t="s" s="6" r="AK276">
        <v>92</v>
      </c>
      <c t="s" s="6" r="AL276">
        <v>92</v>
      </c>
      <c t="s" s="6" r="AM276">
        <v>92</v>
      </c>
      <c t="s" s="6" r="AN276">
        <v>92</v>
      </c>
      <c s="6" r="AP276">
        <v>4</v>
      </c>
      <c t="s" s="6" r="AQ276">
        <v>549</v>
      </c>
      <c t="s" s="6" r="AR276">
        <v>2372</v>
      </c>
      <c s="6" r="AS276">
        <v>0</v>
      </c>
      <c s="6" r="AT276">
        <v>0</v>
      </c>
      <c s="6" r="AU276">
        <v>0</v>
      </c>
      <c s="6" r="AV276">
        <v>0</v>
      </c>
      <c s="6" r="AW276">
        <v>0</v>
      </c>
      <c s="6" r="AX276">
        <v>0</v>
      </c>
      <c s="6" r="AY276">
        <v>0</v>
      </c>
      <c s="6" r="AZ276">
        <v>0</v>
      </c>
      <c s="6" r="BA276">
        <v>0</v>
      </c>
      <c s="6" r="BB276">
        <v>0</v>
      </c>
      <c s="6" r="BC276">
        <v>0</v>
      </c>
      <c s="6" r="BD276">
        <v>0</v>
      </c>
      <c s="6" r="BE276">
        <v>0</v>
      </c>
      <c s="6" r="BF276">
        <v>0</v>
      </c>
      <c s="6" r="BG276">
        <v>0</v>
      </c>
      <c s="6" r="BH276">
        <v>1</v>
      </c>
      <c s="6" r="BI276">
        <v>0</v>
      </c>
      <c s="6" r="BJ276">
        <v>0</v>
      </c>
      <c s="6" r="BK276">
        <v>0</v>
      </c>
      <c s="6" r="BL276">
        <v>0</v>
      </c>
      <c s="6" r="BM276">
        <v>0</v>
      </c>
      <c s="6" r="BN276">
        <v>0</v>
      </c>
      <c s="6" r="BO276">
        <v>0</v>
      </c>
      <c s="6" r="BP276">
        <v>0</v>
      </c>
      <c s="6" r="BQ276">
        <v>0</v>
      </c>
      <c t="str" s="6" r="BR276">
        <f>HYPERLINK("http://www.d20pfsrd.com/magic/all-spells/h/holy-sword","Holy Sword")</f>
        <v>Holy Sword</v>
      </c>
      <c s="6" r="BS276">
        <v>275</v>
      </c>
      <c t="s" s="6" r="BT276">
        <v>92</v>
      </c>
      <c s="6" r="BY276">
        <v>0</v>
      </c>
    </row>
    <row customHeight="1" r="277" ht="14.25">
      <c t="s" s="6" r="A277">
        <v>2373</v>
      </c>
      <c t="s" s="6" r="B277">
        <v>493</v>
      </c>
      <c t="s" s="6" r="D277">
        <v>2374</v>
      </c>
      <c t="s" s="6" r="E277">
        <v>507</v>
      </c>
      <c t="s" s="6" r="F277">
        <v>81</v>
      </c>
      <c t="s" s="6" r="G277">
        <v>251</v>
      </c>
      <c s="6" r="H277">
        <v>0</v>
      </c>
      <c t="s" s="6" r="I277">
        <v>508</v>
      </c>
      <c t="s" s="6" r="J277">
        <v>2375</v>
      </c>
      <c t="s" s="6" r="M277">
        <v>109</v>
      </c>
      <c s="6" r="N277">
        <v>0</v>
      </c>
      <c s="6" r="O277">
        <v>0</v>
      </c>
      <c t="s" s="6" r="P277">
        <v>296</v>
      </c>
      <c t="s" s="6" r="Q277">
        <v>188</v>
      </c>
      <c t="s" s="6" r="R277">
        <v>2376</v>
      </c>
      <c t="s" s="6" r="S277">
        <v>2377</v>
      </c>
      <c t="s" s="6" r="T277">
        <v>90</v>
      </c>
      <c t="s" s="6" r="U277">
        <v>2378</v>
      </c>
      <c s="6" r="V277">
        <v>1</v>
      </c>
      <c s="6" r="W277">
        <v>0</v>
      </c>
      <c s="6" r="X277">
        <v>0</v>
      </c>
      <c s="6" r="Y277">
        <v>0</v>
      </c>
      <c s="6" r="Z277">
        <v>0</v>
      </c>
      <c t="s" s="6" r="AA277">
        <v>92</v>
      </c>
      <c t="s" s="6" r="AB277">
        <v>92</v>
      </c>
      <c s="6" r="AC277">
        <v>7</v>
      </c>
      <c t="s" s="6" r="AD277">
        <v>92</v>
      </c>
      <c t="s" s="6" r="AE277">
        <v>92</v>
      </c>
      <c t="s" s="6" r="AF277">
        <v>92</v>
      </c>
      <c t="s" s="6" r="AG277">
        <v>92</v>
      </c>
      <c t="s" s="6" r="AH277">
        <v>92</v>
      </c>
      <c t="s" s="6" r="AI277">
        <v>92</v>
      </c>
      <c t="s" s="6" r="AJ277">
        <v>92</v>
      </c>
      <c s="6" r="AK277">
        <v>6</v>
      </c>
      <c s="6" r="AL277">
        <v>7</v>
      </c>
      <c t="s" s="6" r="AM277">
        <v>92</v>
      </c>
      <c t="s" s="6" r="AN277">
        <v>92</v>
      </c>
      <c s="6" r="AP277">
        <v>7</v>
      </c>
      <c t="s" s="6" r="AQ277">
        <v>1422</v>
      </c>
      <c t="s" s="6" r="AR277">
        <v>2379</v>
      </c>
      <c s="6" r="AS277">
        <v>0</v>
      </c>
      <c s="6" r="AT277">
        <v>0</v>
      </c>
      <c s="6" r="AU277">
        <v>0</v>
      </c>
      <c s="6" r="AV277">
        <v>0</v>
      </c>
      <c s="6" r="AW277">
        <v>0</v>
      </c>
      <c s="6" r="AX277">
        <v>0</v>
      </c>
      <c s="6" r="AY277">
        <v>0</v>
      </c>
      <c s="6" r="AZ277">
        <v>0</v>
      </c>
      <c s="6" r="BA277">
        <v>0</v>
      </c>
      <c s="6" r="BB277">
        <v>0</v>
      </c>
      <c s="6" r="BC277">
        <v>0</v>
      </c>
      <c s="6" r="BD277">
        <v>0</v>
      </c>
      <c s="6" r="BE277">
        <v>0</v>
      </c>
      <c s="6" r="BF277">
        <v>0</v>
      </c>
      <c s="6" r="BG277">
        <v>0</v>
      </c>
      <c s="6" r="BH277">
        <v>1</v>
      </c>
      <c s="6" r="BI277">
        <v>0</v>
      </c>
      <c s="6" r="BJ277">
        <v>0</v>
      </c>
      <c s="6" r="BK277">
        <v>0</v>
      </c>
      <c s="6" r="BL277">
        <v>0</v>
      </c>
      <c s="6" r="BM277">
        <v>0</v>
      </c>
      <c s="6" r="BN277">
        <v>0</v>
      </c>
      <c s="6" r="BO277">
        <v>0</v>
      </c>
      <c s="6" r="BP277">
        <v>1</v>
      </c>
      <c s="6" r="BQ277">
        <v>0</v>
      </c>
      <c t="str" s="6" r="BR277">
        <f>HYPERLINK("http://www.d20pfsrd.com/magic/all-spells/h/holy-word","Holy Word")</f>
        <v>Holy Word</v>
      </c>
      <c s="6" r="BS277">
        <v>276</v>
      </c>
      <c t="s" s="6" r="BT277">
        <v>92</v>
      </c>
      <c t="s" s="6" r="BW277">
        <v>2380</v>
      </c>
      <c s="6" r="BY277">
        <v>1</v>
      </c>
    </row>
    <row customHeight="1" r="278" ht="14.25">
      <c t="s" s="6" r="A278">
        <v>2381</v>
      </c>
      <c t="s" s="6" r="B278">
        <v>227</v>
      </c>
      <c t="s" s="6" r="E278">
        <v>811</v>
      </c>
      <c t="s" s="6" r="F278">
        <v>81</v>
      </c>
      <c t="s" s="6" r="G278">
        <v>2382</v>
      </c>
      <c s="6" r="H278">
        <v>0</v>
      </c>
      <c t="s" s="6" r="I278">
        <v>83</v>
      </c>
      <c t="s" s="6" r="L278">
        <v>2383</v>
      </c>
      <c t="s" s="6" r="M278">
        <v>109</v>
      </c>
      <c s="6" r="N278">
        <v>0</v>
      </c>
      <c s="6" r="O278">
        <v>0</v>
      </c>
      <c t="s" s="6" r="P278">
        <v>2384</v>
      </c>
      <c t="s" s="6" r="Q278">
        <v>188</v>
      </c>
      <c t="s" s="6" r="R278">
        <v>2385</v>
      </c>
      <c t="s" s="6" r="S278">
        <v>2386</v>
      </c>
      <c t="s" s="6" r="T278">
        <v>90</v>
      </c>
      <c t="s" s="6" r="U278">
        <v>2387</v>
      </c>
      <c s="6" r="V278">
        <v>1</v>
      </c>
      <c s="6" r="W278">
        <v>1</v>
      </c>
      <c s="6" r="X278">
        <v>1</v>
      </c>
      <c s="6" r="Y278">
        <v>0</v>
      </c>
      <c s="6" r="Z278">
        <v>1</v>
      </c>
      <c s="6" r="AA278">
        <v>8</v>
      </c>
      <c s="6" r="AB278">
        <v>8</v>
      </c>
      <c t="s" s="6" r="AC278">
        <v>92</v>
      </c>
      <c t="s" s="6" r="AD278">
        <v>92</v>
      </c>
      <c t="s" s="6" r="AE278">
        <v>92</v>
      </c>
      <c t="s" s="6" r="AF278">
        <v>92</v>
      </c>
      <c t="s" s="6" r="AG278">
        <v>92</v>
      </c>
      <c t="s" s="6" r="AH278">
        <v>92</v>
      </c>
      <c t="s" s="6" r="AI278">
        <v>92</v>
      </c>
      <c s="6" r="AJ278">
        <v>8</v>
      </c>
      <c t="s" s="6" r="AK278">
        <v>92</v>
      </c>
      <c t="s" s="6" r="AL278">
        <v>92</v>
      </c>
      <c t="s" s="6" r="AM278">
        <v>92</v>
      </c>
      <c t="s" s="6" r="AN278">
        <v>92</v>
      </c>
      <c s="6" r="AP278">
        <v>8</v>
      </c>
      <c t="s" s="6" r="AQ278">
        <v>2388</v>
      </c>
      <c t="s" s="6" r="AR278">
        <v>2389</v>
      </c>
      <c s="6" r="AS278">
        <v>0</v>
      </c>
      <c s="6" r="AT278">
        <v>0</v>
      </c>
      <c s="6" r="AU278">
        <v>0</v>
      </c>
      <c s="6" r="AV278">
        <v>0</v>
      </c>
      <c s="6" r="AW278">
        <v>0</v>
      </c>
      <c s="6" r="AX278">
        <v>0</v>
      </c>
      <c s="6" r="AY278">
        <v>0</v>
      </c>
      <c s="6" r="AZ278">
        <v>0</v>
      </c>
      <c s="6" r="BA278">
        <v>0</v>
      </c>
      <c s="6" r="BB278">
        <v>0</v>
      </c>
      <c s="6" r="BC278">
        <v>0</v>
      </c>
      <c s="6" r="BD278">
        <v>0</v>
      </c>
      <c s="6" r="BE278">
        <v>0</v>
      </c>
      <c s="6" r="BF278">
        <v>0</v>
      </c>
      <c s="6" r="BG278">
        <v>0</v>
      </c>
      <c s="6" r="BH278">
        <v>0</v>
      </c>
      <c s="6" r="BI278">
        <v>0</v>
      </c>
      <c s="6" r="BJ278">
        <v>0</v>
      </c>
      <c s="6" r="BK278">
        <v>0</v>
      </c>
      <c s="6" r="BL278">
        <v>0</v>
      </c>
      <c s="6" r="BM278">
        <v>0</v>
      </c>
      <c s="6" r="BN278">
        <v>0</v>
      </c>
      <c s="6" r="BO278">
        <v>0</v>
      </c>
      <c s="6" r="BP278">
        <v>0</v>
      </c>
      <c s="6" r="BQ278">
        <v>0</v>
      </c>
      <c t="str" s="6" r="BR278">
        <f>HYPERLINK("http://www.d20pfsrd.com/magic/all-spells/h/horrid-wilting","Horrid Wilting")</f>
        <v>Horrid Wilting</v>
      </c>
      <c s="6" r="BS278">
        <v>277</v>
      </c>
      <c t="s" s="6" r="BT278">
        <v>92</v>
      </c>
      <c t="s" s="6" r="BU278">
        <v>2390</v>
      </c>
      <c t="s" s="6" r="BV278">
        <v>1152</v>
      </c>
      <c s="6" r="BY278">
        <v>0</v>
      </c>
    </row>
    <row customHeight="1" r="279" ht="14.25">
      <c t="s" s="6" r="A279">
        <v>2391</v>
      </c>
      <c t="s" s="6" r="B279">
        <v>579</v>
      </c>
      <c t="s" s="6" r="C279">
        <v>831</v>
      </c>
      <c t="s" s="6" r="D279">
        <v>117</v>
      </c>
      <c t="s" s="6" r="E279">
        <v>2392</v>
      </c>
      <c t="s" s="6" r="F279">
        <v>81</v>
      </c>
      <c t="s" s="6" r="G279">
        <v>2393</v>
      </c>
      <c s="6" r="H279">
        <v>0</v>
      </c>
      <c t="s" s="6" r="I279">
        <v>97</v>
      </c>
      <c t="s" s="6" r="K279">
        <v>2394</v>
      </c>
      <c t="s" s="6" r="M279">
        <v>2395</v>
      </c>
      <c s="6" r="N279">
        <v>0</v>
      </c>
      <c s="6" r="O279">
        <v>0</v>
      </c>
      <c t="s" s="6" r="P279">
        <v>221</v>
      </c>
      <c t="s" s="6" r="Q279">
        <v>188</v>
      </c>
      <c t="s" s="6" r="R279">
        <v>2396</v>
      </c>
      <c t="s" s="6" r="S279">
        <v>2397</v>
      </c>
      <c t="s" s="6" r="T279">
        <v>90</v>
      </c>
      <c t="s" s="6" r="U279">
        <v>2398</v>
      </c>
      <c s="6" r="V279">
        <v>1</v>
      </c>
      <c s="6" r="W279">
        <v>1</v>
      </c>
      <c s="6" r="X279">
        <v>1</v>
      </c>
      <c s="6" r="Y279">
        <v>0</v>
      </c>
      <c s="6" r="Z279">
        <v>0</v>
      </c>
      <c s="6" r="AA279">
        <v>2</v>
      </c>
      <c s="6" r="AB279">
        <v>2</v>
      </c>
      <c t="s" s="6" r="AC279">
        <v>92</v>
      </c>
      <c t="s" s="6" r="AD279">
        <v>92</v>
      </c>
      <c t="s" s="6" r="AE279">
        <v>92</v>
      </c>
      <c s="6" r="AF279">
        <v>2</v>
      </c>
      <c t="s" s="6" r="AG279">
        <v>92</v>
      </c>
      <c t="s" s="6" r="AH279">
        <v>92</v>
      </c>
      <c t="s" s="6" r="AI279">
        <v>92</v>
      </c>
      <c t="s" s="6" r="AJ279">
        <v>92</v>
      </c>
      <c t="s" s="6" r="AK279">
        <v>92</v>
      </c>
      <c t="s" s="6" r="AL279">
        <v>92</v>
      </c>
      <c t="s" s="6" r="AM279">
        <v>92</v>
      </c>
      <c t="s" s="6" r="AN279">
        <v>92</v>
      </c>
      <c s="6" r="AP279">
        <v>2</v>
      </c>
      <c t="s" s="6" r="AR279">
        <v>2399</v>
      </c>
      <c s="6" r="AS279">
        <v>0</v>
      </c>
      <c s="6" r="AT279">
        <v>0</v>
      </c>
      <c s="6" r="AU279">
        <v>0</v>
      </c>
      <c s="6" r="AV279">
        <v>0</v>
      </c>
      <c s="6" r="AW279">
        <v>0</v>
      </c>
      <c s="6" r="AX279">
        <v>0</v>
      </c>
      <c s="6" r="AY279">
        <v>0</v>
      </c>
      <c s="6" r="AZ279">
        <v>0</v>
      </c>
      <c s="6" r="BA279">
        <v>0</v>
      </c>
      <c s="6" r="BB279">
        <v>0</v>
      </c>
      <c s="6" r="BC279">
        <v>0</v>
      </c>
      <c s="6" r="BD279">
        <v>0</v>
      </c>
      <c s="6" r="BE279">
        <v>0</v>
      </c>
      <c s="6" r="BF279">
        <v>0</v>
      </c>
      <c s="6" r="BG279">
        <v>0</v>
      </c>
      <c s="6" r="BH279">
        <v>0</v>
      </c>
      <c s="6" r="BI279">
        <v>0</v>
      </c>
      <c s="6" r="BJ279">
        <v>0</v>
      </c>
      <c s="6" r="BK279">
        <v>0</v>
      </c>
      <c s="6" r="BL279">
        <v>1</v>
      </c>
      <c s="6" r="BM279">
        <v>0</v>
      </c>
      <c s="6" r="BN279">
        <v>0</v>
      </c>
      <c s="6" r="BO279">
        <v>0</v>
      </c>
      <c s="6" r="BP279">
        <v>0</v>
      </c>
      <c s="6" r="BQ279">
        <v>0</v>
      </c>
      <c t="str" s="6" r="BR279">
        <f>HYPERLINK("http://www.d20pfsrd.com/magic/all-spells/h/hypnotic-pattern","Hypnotic Pattern")</f>
        <v>Hypnotic Pattern</v>
      </c>
      <c s="6" r="BS279">
        <v>278</v>
      </c>
      <c t="s" s="6" r="BT279">
        <v>92</v>
      </c>
      <c s="6" r="BY279">
        <v>0</v>
      </c>
    </row>
    <row customHeight="1" r="280" ht="14.25">
      <c t="s" s="6" r="A280">
        <v>2400</v>
      </c>
      <c t="s" s="6" r="B280">
        <v>115</v>
      </c>
      <c t="s" s="6" r="C280">
        <v>116</v>
      </c>
      <c t="s" s="6" r="D280">
        <v>117</v>
      </c>
      <c t="s" s="6" r="E280">
        <v>730</v>
      </c>
      <c t="s" s="6" r="F280">
        <v>272</v>
      </c>
      <c t="s" s="6" r="G280">
        <v>106</v>
      </c>
      <c s="6" r="H280">
        <v>0</v>
      </c>
      <c t="s" s="6" r="I280">
        <v>107</v>
      </c>
      <c t="s" s="6" r="J280">
        <v>2401</v>
      </c>
      <c t="s" s="6" r="M280">
        <v>2402</v>
      </c>
      <c s="6" r="N280">
        <v>1</v>
      </c>
      <c s="6" r="O280">
        <v>0</v>
      </c>
      <c t="s" s="6" r="P280">
        <v>221</v>
      </c>
      <c t="s" s="6" r="Q280">
        <v>188</v>
      </c>
      <c t="s" s="6" r="R280">
        <v>2403</v>
      </c>
      <c t="s" s="6" r="S280">
        <v>2404</v>
      </c>
      <c t="s" s="6" r="T280">
        <v>90</v>
      </c>
      <c t="s" s="6" r="U280">
        <v>2405</v>
      </c>
      <c s="6" r="V280">
        <v>1</v>
      </c>
      <c s="6" r="W280">
        <v>1</v>
      </c>
      <c s="6" r="X280">
        <v>0</v>
      </c>
      <c s="6" r="Y280">
        <v>0</v>
      </c>
      <c s="6" r="Z280">
        <v>0</v>
      </c>
      <c s="6" r="AA280">
        <v>1</v>
      </c>
      <c s="6" r="AB280">
        <v>1</v>
      </c>
      <c t="s" s="6" r="AC280">
        <v>92</v>
      </c>
      <c t="s" s="6" r="AD280">
        <v>92</v>
      </c>
      <c t="s" s="6" r="AE280">
        <v>92</v>
      </c>
      <c s="6" r="AF280">
        <v>1</v>
      </c>
      <c t="s" s="6" r="AG280">
        <v>92</v>
      </c>
      <c t="s" s="6" r="AH280">
        <v>92</v>
      </c>
      <c t="s" s="6" r="AI280">
        <v>92</v>
      </c>
      <c s="6" r="AJ280">
        <v>1</v>
      </c>
      <c t="s" s="6" r="AK280">
        <v>92</v>
      </c>
      <c t="s" s="6" r="AL280">
        <v>92</v>
      </c>
      <c t="s" s="6" r="AM280">
        <v>92</v>
      </c>
      <c t="s" s="6" r="AN280">
        <v>92</v>
      </c>
      <c s="6" r="AP280">
        <v>1</v>
      </c>
      <c t="s" s="6" r="AR280">
        <v>2406</v>
      </c>
      <c s="6" r="AS280">
        <v>0</v>
      </c>
      <c s="6" r="AT280">
        <v>0</v>
      </c>
      <c s="6" r="AU280">
        <v>0</v>
      </c>
      <c s="6" r="AV280">
        <v>0</v>
      </c>
      <c s="6" r="AW280">
        <v>0</v>
      </c>
      <c s="6" r="AX280">
        <v>0</v>
      </c>
      <c s="6" r="AY280">
        <v>0</v>
      </c>
      <c s="6" r="AZ280">
        <v>0</v>
      </c>
      <c s="6" r="BA280">
        <v>0</v>
      </c>
      <c s="6" r="BB280">
        <v>0</v>
      </c>
      <c s="6" r="BC280">
        <v>0</v>
      </c>
      <c s="6" r="BD280">
        <v>0</v>
      </c>
      <c s="6" r="BE280">
        <v>0</v>
      </c>
      <c s="6" r="BF280">
        <v>0</v>
      </c>
      <c s="6" r="BG280">
        <v>0</v>
      </c>
      <c s="6" r="BH280">
        <v>0</v>
      </c>
      <c s="6" r="BI280">
        <v>0</v>
      </c>
      <c s="6" r="BJ280">
        <v>0</v>
      </c>
      <c s="6" r="BK280">
        <v>0</v>
      </c>
      <c s="6" r="BL280">
        <v>1</v>
      </c>
      <c s="6" r="BM280">
        <v>0</v>
      </c>
      <c s="6" r="BN280">
        <v>0</v>
      </c>
      <c s="6" r="BO280">
        <v>0</v>
      </c>
      <c s="6" r="BP280">
        <v>0</v>
      </c>
      <c s="6" r="BQ280">
        <v>0</v>
      </c>
      <c t="str" s="6" r="BR280">
        <f>HYPERLINK("http://www.d20pfsrd.com/magic/all-spells/h/hypnotism","Hypnotism")</f>
        <v>Hypnotism</v>
      </c>
      <c s="6" r="BS280">
        <v>279</v>
      </c>
      <c t="s" s="6" r="BT280">
        <v>92</v>
      </c>
      <c t="s" s="6" r="BU280">
        <v>1232</v>
      </c>
      <c s="6" r="BY280">
        <v>0</v>
      </c>
    </row>
    <row customHeight="1" r="281" ht="14.25">
      <c t="s" s="6" r="A281">
        <v>2407</v>
      </c>
      <c t="s" s="6" r="B281">
        <v>493</v>
      </c>
      <c t="s" s="6" r="D281">
        <v>47</v>
      </c>
      <c t="s" s="6" r="E281">
        <v>2408</v>
      </c>
      <c t="s" s="6" r="F281">
        <v>81</v>
      </c>
      <c t="s" s="6" r="G281">
        <v>2409</v>
      </c>
      <c s="6" r="H281">
        <v>0</v>
      </c>
      <c t="s" s="6" r="I281">
        <v>83</v>
      </c>
      <c t="s" s="6" r="J281">
        <v>2410</v>
      </c>
      <c t="s" s="6" r="M281">
        <v>483</v>
      </c>
      <c s="6" r="N281">
        <v>1</v>
      </c>
      <c s="6" r="O281">
        <v>0</v>
      </c>
      <c t="s" s="6" r="P281">
        <v>86</v>
      </c>
      <c t="s" s="6" r="Q281">
        <v>188</v>
      </c>
      <c t="s" s="6" r="R281">
        <v>2411</v>
      </c>
      <c t="s" s="6" r="S281">
        <v>2412</v>
      </c>
      <c t="s" s="6" r="T281">
        <v>90</v>
      </c>
      <c t="s" s="6" r="U281">
        <v>2413</v>
      </c>
      <c s="6" r="V281">
        <v>1</v>
      </c>
      <c s="6" r="W281">
        <v>1</v>
      </c>
      <c s="6" r="X281">
        <v>1</v>
      </c>
      <c s="6" r="Y281">
        <v>0</v>
      </c>
      <c s="6" r="Z281">
        <v>1</v>
      </c>
      <c s="6" r="AA281">
        <v>4</v>
      </c>
      <c s="6" r="AB281">
        <v>4</v>
      </c>
      <c t="s" s="6" r="AC281">
        <v>92</v>
      </c>
      <c s="6" r="AD281">
        <v>4</v>
      </c>
      <c t="s" s="6" r="AE281">
        <v>92</v>
      </c>
      <c t="s" s="6" r="AF281">
        <v>92</v>
      </c>
      <c t="s" s="6" r="AG281">
        <v>92</v>
      </c>
      <c t="s" s="6" r="AH281">
        <v>92</v>
      </c>
      <c t="s" s="6" r="AI281">
        <v>92</v>
      </c>
      <c s="6" r="AJ281">
        <v>4</v>
      </c>
      <c t="s" s="6" r="AK281">
        <v>92</v>
      </c>
      <c t="s" s="6" r="AL281">
        <v>92</v>
      </c>
      <c t="s" s="6" r="AM281">
        <v>92</v>
      </c>
      <c s="6" r="AN281">
        <v>4</v>
      </c>
      <c s="6" r="AP281">
        <v>4</v>
      </c>
      <c t="s" s="6" r="AQ281">
        <v>1910</v>
      </c>
      <c t="s" s="6" r="AR281">
        <v>2414</v>
      </c>
      <c s="6" r="AS281">
        <v>0</v>
      </c>
      <c s="6" r="AT281">
        <v>0</v>
      </c>
      <c s="6" r="AU281">
        <v>0</v>
      </c>
      <c s="6" r="AV281">
        <v>1</v>
      </c>
      <c s="6" r="AW281">
        <v>0</v>
      </c>
      <c s="6" r="AX281">
        <v>0</v>
      </c>
      <c s="6" r="AY281">
        <v>0</v>
      </c>
      <c s="6" r="AZ281">
        <v>0</v>
      </c>
      <c s="6" r="BA281">
        <v>0</v>
      </c>
      <c s="6" r="BB281">
        <v>0</v>
      </c>
      <c s="6" r="BC281">
        <v>0</v>
      </c>
      <c s="6" r="BD281">
        <v>0</v>
      </c>
      <c s="6" r="BE281">
        <v>0</v>
      </c>
      <c s="6" r="BF281">
        <v>0</v>
      </c>
      <c s="6" r="BG281">
        <v>0</v>
      </c>
      <c s="6" r="BH281">
        <v>0</v>
      </c>
      <c s="6" r="BI281">
        <v>0</v>
      </c>
      <c s="6" r="BJ281">
        <v>0</v>
      </c>
      <c s="6" r="BK281">
        <v>0</v>
      </c>
      <c s="6" r="BL281">
        <v>0</v>
      </c>
      <c s="6" r="BM281">
        <v>0</v>
      </c>
      <c s="6" r="BN281">
        <v>0</v>
      </c>
      <c s="6" r="BO281">
        <v>0</v>
      </c>
      <c s="6" r="BP281">
        <v>0</v>
      </c>
      <c s="6" r="BQ281">
        <v>0</v>
      </c>
      <c t="str" s="6" r="BR281">
        <f>HYPERLINK("http://www.d20pfsrd.com/magic/all-spells/i/ice-storm","Ice Storm")</f>
        <v>Ice Storm</v>
      </c>
      <c s="6" r="BS281">
        <v>280</v>
      </c>
      <c t="s" s="6" r="BT281">
        <v>92</v>
      </c>
      <c t="s" s="6" r="BV281">
        <v>903</v>
      </c>
      <c t="s" s="6" r="BW281">
        <v>2415</v>
      </c>
      <c t="s" s="6" r="BX281">
        <v>2416</v>
      </c>
      <c s="6" r="BY281">
        <v>1</v>
      </c>
    </row>
    <row customHeight="1" r="282" ht="14.25">
      <c t="s" s="6" r="A282">
        <v>2417</v>
      </c>
      <c t="s" s="6" r="B282">
        <v>174</v>
      </c>
      <c t="s" s="6" r="E282">
        <v>2418</v>
      </c>
      <c t="s" s="6" r="F282">
        <v>81</v>
      </c>
      <c t="s" s="6" r="G282">
        <v>2419</v>
      </c>
      <c s="6" r="H282">
        <v>0</v>
      </c>
      <c t="s" s="6" r="I282">
        <v>897</v>
      </c>
      <c t="s" s="6" r="J282">
        <v>1195</v>
      </c>
      <c t="s" s="6" r="M282">
        <v>2420</v>
      </c>
      <c s="6" r="N282">
        <v>1</v>
      </c>
      <c s="6" r="O282">
        <v>0</v>
      </c>
      <c t="s" s="6" r="P282">
        <v>86</v>
      </c>
      <c t="s" s="6" r="Q282">
        <v>87</v>
      </c>
      <c t="s" s="6" r="R282">
        <v>2421</v>
      </c>
      <c t="s" s="6" r="S282">
        <v>2422</v>
      </c>
      <c t="s" s="6" r="T282">
        <v>90</v>
      </c>
      <c t="s" s="6" r="U282">
        <v>2423</v>
      </c>
      <c s="6" r="V282">
        <v>1</v>
      </c>
      <c s="6" r="W282">
        <v>1</v>
      </c>
      <c s="6" r="X282">
        <v>1</v>
      </c>
      <c s="6" r="Y282">
        <v>0</v>
      </c>
      <c s="6" r="Z282">
        <v>0</v>
      </c>
      <c s="6" r="AA282">
        <v>1</v>
      </c>
      <c s="6" r="AB282">
        <v>1</v>
      </c>
      <c t="s" s="6" r="AC282">
        <v>92</v>
      </c>
      <c t="s" s="6" r="AD282">
        <v>92</v>
      </c>
      <c t="s" s="6" r="AE282">
        <v>92</v>
      </c>
      <c s="6" r="AF282">
        <v>1</v>
      </c>
      <c t="s" s="6" r="AG282">
        <v>92</v>
      </c>
      <c s="6" r="AH282">
        <v>1</v>
      </c>
      <c s="6" r="AI282">
        <v>1</v>
      </c>
      <c s="6" r="AJ282">
        <v>1</v>
      </c>
      <c t="s" s="6" r="AK282">
        <v>92</v>
      </c>
      <c t="s" s="6" r="AL282">
        <v>92</v>
      </c>
      <c t="s" s="6" r="AM282">
        <v>92</v>
      </c>
      <c t="s" s="6" r="AN282">
        <v>92</v>
      </c>
      <c s="6" r="AP282">
        <v>1</v>
      </c>
      <c t="s" s="6" r="AQ282">
        <v>1443</v>
      </c>
      <c t="s" s="6" r="AR282">
        <v>2424</v>
      </c>
      <c s="6" r="AS282">
        <v>0</v>
      </c>
      <c s="6" r="AT282">
        <v>0</v>
      </c>
      <c s="6" r="AU282">
        <v>0</v>
      </c>
      <c s="6" r="AV282">
        <v>0</v>
      </c>
      <c s="6" r="AW282">
        <v>0</v>
      </c>
      <c s="6" r="AX282">
        <v>0</v>
      </c>
      <c s="6" r="AY282">
        <v>0</v>
      </c>
      <c s="6" r="AZ282">
        <v>0</v>
      </c>
      <c s="6" r="BA282">
        <v>0</v>
      </c>
      <c s="6" r="BB282">
        <v>0</v>
      </c>
      <c s="6" r="BC282">
        <v>0</v>
      </c>
      <c s="6" r="BD282">
        <v>0</v>
      </c>
      <c s="6" r="BE282">
        <v>0</v>
      </c>
      <c s="6" r="BF282">
        <v>0</v>
      </c>
      <c s="6" r="BG282">
        <v>0</v>
      </c>
      <c s="6" r="BH282">
        <v>0</v>
      </c>
      <c s="6" r="BI282">
        <v>0</v>
      </c>
      <c s="6" r="BJ282">
        <v>0</v>
      </c>
      <c s="6" r="BK282">
        <v>0</v>
      </c>
      <c s="6" r="BL282">
        <v>0</v>
      </c>
      <c s="6" r="BM282">
        <v>0</v>
      </c>
      <c s="6" r="BN282">
        <v>0</v>
      </c>
      <c s="6" r="BO282">
        <v>0</v>
      </c>
      <c s="6" r="BP282">
        <v>0</v>
      </c>
      <c s="6" r="BQ282">
        <v>0</v>
      </c>
      <c t="str" s="6" r="BR282">
        <f>HYPERLINK("http://www.d20pfsrd.com/magic/all-spells/i/identify","Identify")</f>
        <v>Identify</v>
      </c>
      <c s="6" r="BS282">
        <v>281</v>
      </c>
      <c t="s" s="6" r="BT282">
        <v>92</v>
      </c>
      <c t="s" s="6" r="BU282">
        <v>182</v>
      </c>
      <c s="6" r="BY282">
        <v>0</v>
      </c>
    </row>
    <row customHeight="1" r="283" ht="14.25">
      <c t="s" s="6" r="A283">
        <v>2425</v>
      </c>
      <c t="s" s="6" r="B283">
        <v>579</v>
      </c>
      <c t="s" s="6" r="C283">
        <v>1523</v>
      </c>
      <c t="s" s="6" r="D283">
        <v>117</v>
      </c>
      <c t="s" s="6" r="E283">
        <v>2426</v>
      </c>
      <c t="s" s="6" r="F283">
        <v>2427</v>
      </c>
      <c t="s" s="6" r="G283">
        <v>2428</v>
      </c>
      <c s="6" r="H283">
        <v>1</v>
      </c>
      <c t="s" s="6" r="I283">
        <v>120</v>
      </c>
      <c t="s" s="6" r="L283">
        <v>1692</v>
      </c>
      <c t="s" s="6" r="M283">
        <v>2429</v>
      </c>
      <c s="6" r="N283">
        <v>1</v>
      </c>
      <c s="6" r="O283">
        <v>0</v>
      </c>
      <c t="s" s="6" r="P283">
        <v>474</v>
      </c>
      <c t="s" s="6" r="Q283">
        <v>188</v>
      </c>
      <c t="s" s="6" r="R283">
        <v>2430</v>
      </c>
      <c t="s" s="6" r="S283">
        <v>2431</v>
      </c>
      <c t="s" s="6" r="T283">
        <v>90</v>
      </c>
      <c t="s" s="6" r="U283">
        <v>2432</v>
      </c>
      <c s="6" r="V283">
        <v>1</v>
      </c>
      <c s="6" r="W283">
        <v>1</v>
      </c>
      <c s="6" r="X283">
        <v>1</v>
      </c>
      <c s="6" r="Y283">
        <v>0</v>
      </c>
      <c s="6" r="Z283">
        <v>0</v>
      </c>
      <c s="6" r="AA283">
        <v>3</v>
      </c>
      <c s="6" r="AB283">
        <v>3</v>
      </c>
      <c t="s" s="6" r="AC283">
        <v>92</v>
      </c>
      <c t="s" s="6" r="AD283">
        <v>92</v>
      </c>
      <c t="s" s="6" r="AE283">
        <v>92</v>
      </c>
      <c s="6" r="AF283">
        <v>3</v>
      </c>
      <c t="s" s="6" r="AG283">
        <v>92</v>
      </c>
      <c t="s" s="6" r="AH283">
        <v>92</v>
      </c>
      <c t="s" s="6" r="AI283">
        <v>92</v>
      </c>
      <c t="s" s="6" r="AJ283">
        <v>92</v>
      </c>
      <c t="s" s="6" r="AK283">
        <v>92</v>
      </c>
      <c t="s" s="6" r="AL283">
        <v>92</v>
      </c>
      <c t="s" s="6" r="AM283">
        <v>92</v>
      </c>
      <c t="s" s="6" r="AN283">
        <v>92</v>
      </c>
      <c s="6" r="AP283">
        <v>3</v>
      </c>
      <c t="s" s="6" r="AR283">
        <v>2433</v>
      </c>
      <c s="6" r="AS283">
        <v>0</v>
      </c>
      <c s="6" r="AT283">
        <v>0</v>
      </c>
      <c s="6" r="AU283">
        <v>0</v>
      </c>
      <c s="6" r="AV283">
        <v>0</v>
      </c>
      <c s="6" r="AW283">
        <v>0</v>
      </c>
      <c s="6" r="AX283">
        <v>0</v>
      </c>
      <c s="6" r="AY283">
        <v>0</v>
      </c>
      <c s="6" r="AZ283">
        <v>0</v>
      </c>
      <c s="6" r="BA283">
        <v>0</v>
      </c>
      <c s="6" r="BB283">
        <v>0</v>
      </c>
      <c s="6" r="BC283">
        <v>0</v>
      </c>
      <c s="6" r="BD283">
        <v>0</v>
      </c>
      <c s="6" r="BE283">
        <v>0</v>
      </c>
      <c s="6" r="BF283">
        <v>0</v>
      </c>
      <c s="6" r="BG283">
        <v>0</v>
      </c>
      <c s="6" r="BH283">
        <v>0</v>
      </c>
      <c s="6" r="BI283">
        <v>0</v>
      </c>
      <c s="6" r="BJ283">
        <v>0</v>
      </c>
      <c s="6" r="BK283">
        <v>0</v>
      </c>
      <c s="6" r="BL283">
        <v>1</v>
      </c>
      <c s="6" r="BM283">
        <v>0</v>
      </c>
      <c s="6" r="BN283">
        <v>0</v>
      </c>
      <c s="6" r="BO283">
        <v>0</v>
      </c>
      <c s="6" r="BP283">
        <v>0</v>
      </c>
      <c s="6" r="BQ283">
        <v>0</v>
      </c>
      <c t="str" s="6" r="BR283">
        <f>HYPERLINK("http://www.d20pfsrd.com/magic/all-spells/i/illusory-script","Illusory Script")</f>
        <v>Illusory Script</v>
      </c>
      <c s="6" r="BS283">
        <v>282</v>
      </c>
      <c s="6" r="BT283">
        <v>50</v>
      </c>
      <c s="6" r="BY283">
        <v>0</v>
      </c>
    </row>
    <row customHeight="1" r="284" ht="14.25">
      <c t="s" s="6" r="A284">
        <v>2434</v>
      </c>
      <c t="s" s="6" r="B284">
        <v>579</v>
      </c>
      <c t="s" s="6" r="C284">
        <v>2047</v>
      </c>
      <c t="s" s="6" r="E284">
        <v>2102</v>
      </c>
      <c t="s" s="6" r="F284">
        <v>81</v>
      </c>
      <c t="s" s="6" r="G284">
        <v>106</v>
      </c>
      <c s="6" r="H284">
        <v>0</v>
      </c>
      <c t="s" s="6" r="I284">
        <v>107</v>
      </c>
      <c t="s" s="6" r="K284">
        <v>2435</v>
      </c>
      <c t="s" s="6" r="M284">
        <v>323</v>
      </c>
      <c s="6" r="N284">
        <v>0</v>
      </c>
      <c s="6" r="O284">
        <v>0</v>
      </c>
      <c t="s" s="6" r="P284">
        <v>2197</v>
      </c>
      <c t="s" s="6" r="Q284">
        <v>87</v>
      </c>
      <c t="s" s="6" r="R284">
        <v>2436</v>
      </c>
      <c t="s" s="6" r="S284">
        <v>2437</v>
      </c>
      <c t="s" s="6" r="T284">
        <v>90</v>
      </c>
      <c t="s" s="6" r="U284">
        <v>2438</v>
      </c>
      <c s="6" r="V284">
        <v>1</v>
      </c>
      <c s="6" r="W284">
        <v>1</v>
      </c>
      <c s="6" r="X284">
        <v>0</v>
      </c>
      <c s="6" r="Y284">
        <v>0</v>
      </c>
      <c s="6" r="Z284">
        <v>0</v>
      </c>
      <c s="6" r="AA284">
        <v>4</v>
      </c>
      <c s="6" r="AB284">
        <v>4</v>
      </c>
      <c t="s" s="6" r="AC284">
        <v>92</v>
      </c>
      <c t="s" s="6" r="AD284">
        <v>92</v>
      </c>
      <c t="s" s="6" r="AE284">
        <v>92</v>
      </c>
      <c t="s" s="6" r="AF284">
        <v>92</v>
      </c>
      <c t="s" s="6" r="AG284">
        <v>92</v>
      </c>
      <c t="s" s="6" r="AH284">
        <v>92</v>
      </c>
      <c t="s" s="6" r="AI284">
        <v>92</v>
      </c>
      <c t="s" s="6" r="AJ284">
        <v>92</v>
      </c>
      <c t="s" s="6" r="AK284">
        <v>92</v>
      </c>
      <c t="s" s="6" r="AL284">
        <v>92</v>
      </c>
      <c t="s" s="6" r="AM284">
        <v>92</v>
      </c>
      <c t="s" s="6" r="AN284">
        <v>92</v>
      </c>
      <c s="6" r="AP284">
        <v>4</v>
      </c>
      <c t="s" s="6" r="AQ284">
        <v>2439</v>
      </c>
      <c t="s" s="6" r="AR284">
        <v>2440</v>
      </c>
      <c s="6" r="AS284">
        <v>0</v>
      </c>
      <c s="6" r="AT284">
        <v>0</v>
      </c>
      <c s="6" r="AU284">
        <v>0</v>
      </c>
      <c s="6" r="AV284">
        <v>0</v>
      </c>
      <c s="6" r="AW284">
        <v>0</v>
      </c>
      <c s="6" r="AX284">
        <v>0</v>
      </c>
      <c s="6" r="AY284">
        <v>0</v>
      </c>
      <c s="6" r="AZ284">
        <v>0</v>
      </c>
      <c s="6" r="BA284">
        <v>0</v>
      </c>
      <c s="6" r="BB284">
        <v>0</v>
      </c>
      <c s="6" r="BC284">
        <v>0</v>
      </c>
      <c s="6" r="BD284">
        <v>0</v>
      </c>
      <c s="6" r="BE284">
        <v>0</v>
      </c>
      <c s="6" r="BF284">
        <v>0</v>
      </c>
      <c s="6" r="BG284">
        <v>0</v>
      </c>
      <c s="6" r="BH284">
        <v>0</v>
      </c>
      <c s="6" r="BI284">
        <v>0</v>
      </c>
      <c s="6" r="BJ284">
        <v>0</v>
      </c>
      <c s="6" r="BK284">
        <v>0</v>
      </c>
      <c s="6" r="BL284">
        <v>0</v>
      </c>
      <c s="6" r="BM284">
        <v>0</v>
      </c>
      <c s="6" r="BN284">
        <v>0</v>
      </c>
      <c s="6" r="BO284">
        <v>0</v>
      </c>
      <c s="6" r="BP284">
        <v>0</v>
      </c>
      <c s="6" r="BQ284">
        <v>0</v>
      </c>
      <c t="str" s="6" r="BR284">
        <f>HYPERLINK("http://www.d20pfsrd.com/magic/all-spells/i/illusory-wall","Illusory Wall")</f>
        <v>Illusory Wall</v>
      </c>
      <c s="6" r="BS284">
        <v>283</v>
      </c>
      <c t="s" s="6" r="BT284">
        <v>92</v>
      </c>
      <c s="6" r="BY284">
        <v>0</v>
      </c>
    </row>
    <row customHeight="1" r="285" ht="14.25">
      <c t="s" s="6" r="A285">
        <v>2441</v>
      </c>
      <c t="s" s="6" r="B285">
        <v>493</v>
      </c>
      <c t="s" s="6" r="E285">
        <v>2442</v>
      </c>
      <c t="s" s="6" r="F285">
        <v>311</v>
      </c>
      <c t="s" s="6" r="G285">
        <v>119</v>
      </c>
      <c s="6" r="H285">
        <v>0</v>
      </c>
      <c t="s" s="6" r="I285">
        <v>120</v>
      </c>
      <c t="s" s="6" r="L285">
        <v>2443</v>
      </c>
      <c t="s" s="6" r="M285">
        <v>1693</v>
      </c>
      <c s="6" r="N285">
        <v>1</v>
      </c>
      <c s="6" r="O285">
        <v>0</v>
      </c>
      <c t="s" s="6" r="P285">
        <v>421</v>
      </c>
      <c t="s" s="6" r="Q285">
        <v>123</v>
      </c>
      <c t="s" s="6" r="R285">
        <v>2444</v>
      </c>
      <c t="s" s="6" r="S285">
        <v>2445</v>
      </c>
      <c t="s" s="6" r="T285">
        <v>90</v>
      </c>
      <c t="s" s="6" r="U285">
        <v>2446</v>
      </c>
      <c s="6" r="V285">
        <v>1</v>
      </c>
      <c s="6" r="W285">
        <v>1</v>
      </c>
      <c s="6" r="X285">
        <v>0</v>
      </c>
      <c s="6" r="Y285">
        <v>0</v>
      </c>
      <c s="6" r="Z285">
        <v>1</v>
      </c>
      <c t="s" s="6" r="AA285">
        <v>92</v>
      </c>
      <c t="s" s="6" r="AB285">
        <v>92</v>
      </c>
      <c s="6" r="AC285">
        <v>4</v>
      </c>
      <c t="s" s="6" r="AD285">
        <v>92</v>
      </c>
      <c t="s" s="6" r="AE285">
        <v>92</v>
      </c>
      <c t="s" s="6" r="AF285">
        <v>92</v>
      </c>
      <c t="s" s="6" r="AG285">
        <v>92</v>
      </c>
      <c t="s" s="6" r="AH285">
        <v>92</v>
      </c>
      <c t="s" s="6" r="AI285">
        <v>92</v>
      </c>
      <c t="s" s="6" r="AJ285">
        <v>92</v>
      </c>
      <c t="s" s="6" r="AK285">
        <v>92</v>
      </c>
      <c s="6" r="AL285">
        <v>4</v>
      </c>
      <c t="s" s="6" r="AM285">
        <v>92</v>
      </c>
      <c t="s" s="6" r="AN285">
        <v>92</v>
      </c>
      <c s="6" r="AP285">
        <v>4</v>
      </c>
      <c t="s" s="6" r="AQ285">
        <v>2447</v>
      </c>
      <c t="s" s="6" r="AR285">
        <v>2448</v>
      </c>
      <c s="6" r="AS285">
        <v>0</v>
      </c>
      <c s="6" r="AT285">
        <v>0</v>
      </c>
      <c s="6" r="AU285">
        <v>0</v>
      </c>
      <c s="6" r="AV285">
        <v>0</v>
      </c>
      <c s="6" r="AW285">
        <v>0</v>
      </c>
      <c s="6" r="AX285">
        <v>0</v>
      </c>
      <c s="6" r="AY285">
        <v>0</v>
      </c>
      <c s="6" r="AZ285">
        <v>0</v>
      </c>
      <c s="6" r="BA285">
        <v>0</v>
      </c>
      <c s="6" r="BB285">
        <v>0</v>
      </c>
      <c s="6" r="BC285">
        <v>0</v>
      </c>
      <c s="6" r="BD285">
        <v>0</v>
      </c>
      <c s="6" r="BE285">
        <v>0</v>
      </c>
      <c s="6" r="BF285">
        <v>0</v>
      </c>
      <c s="6" r="BG285">
        <v>0</v>
      </c>
      <c s="6" r="BH285">
        <v>0</v>
      </c>
      <c s="6" r="BI285">
        <v>0</v>
      </c>
      <c s="6" r="BJ285">
        <v>0</v>
      </c>
      <c s="6" r="BK285">
        <v>0</v>
      </c>
      <c s="6" r="BL285">
        <v>0</v>
      </c>
      <c s="6" r="BM285">
        <v>0</v>
      </c>
      <c s="6" r="BN285">
        <v>0</v>
      </c>
      <c s="6" r="BO285">
        <v>0</v>
      </c>
      <c s="6" r="BP285">
        <v>0</v>
      </c>
      <c s="6" r="BQ285">
        <v>0</v>
      </c>
      <c t="str" s="6" r="BR285">
        <f>HYPERLINK("http://www.d20pfsrd.com/magic/all-spells/i/imbue-with-spell-ability","Imbue with Spell Ability")</f>
        <v>Imbue with Spell Ability</v>
      </c>
      <c s="6" r="BS285">
        <v>284</v>
      </c>
      <c t="s" s="6" r="BT285">
        <v>92</v>
      </c>
      <c s="6" r="BY285">
        <v>0</v>
      </c>
    </row>
    <row customHeight="1" r="286" ht="14.25">
      <c t="s" s="6" r="A286">
        <v>2449</v>
      </c>
      <c t="s" s="6" r="B286">
        <v>493</v>
      </c>
      <c t="s" s="6" r="E286">
        <v>2240</v>
      </c>
      <c t="s" s="6" r="F286">
        <v>81</v>
      </c>
      <c t="s" s="6" r="G286">
        <v>106</v>
      </c>
      <c s="6" r="H286">
        <v>0</v>
      </c>
      <c t="s" s="6" r="I286">
        <v>107</v>
      </c>
      <c t="s" s="6" r="L286">
        <v>2450</v>
      </c>
      <c t="s" s="6" r="M286">
        <v>2451</v>
      </c>
      <c s="6" r="N286">
        <v>0</v>
      </c>
      <c s="6" r="O286">
        <v>0</v>
      </c>
      <c t="s" s="6" r="P286">
        <v>187</v>
      </c>
      <c t="s" s="6" r="Q286">
        <v>188</v>
      </c>
      <c t="s" s="6" r="R286">
        <v>2452</v>
      </c>
      <c t="s" s="6" r="S286">
        <v>2453</v>
      </c>
      <c t="s" s="6" r="T286">
        <v>90</v>
      </c>
      <c t="s" s="6" r="U286">
        <v>2454</v>
      </c>
      <c s="6" r="V286">
        <v>1</v>
      </c>
      <c s="6" r="W286">
        <v>1</v>
      </c>
      <c s="6" r="X286">
        <v>0</v>
      </c>
      <c s="6" r="Y286">
        <v>0</v>
      </c>
      <c s="6" r="Z286">
        <v>0</v>
      </c>
      <c t="s" s="6" r="AA286">
        <v>92</v>
      </c>
      <c t="s" s="6" r="AB286">
        <v>92</v>
      </c>
      <c s="6" r="AC286">
        <v>9</v>
      </c>
      <c t="s" s="6" r="AD286">
        <v>92</v>
      </c>
      <c t="s" s="6" r="AE286">
        <v>92</v>
      </c>
      <c t="s" s="6" r="AF286">
        <v>92</v>
      </c>
      <c t="s" s="6" r="AG286">
        <v>92</v>
      </c>
      <c t="s" s="6" r="AH286">
        <v>92</v>
      </c>
      <c t="s" s="6" r="AI286">
        <v>92</v>
      </c>
      <c t="s" s="6" r="AJ286">
        <v>92</v>
      </c>
      <c t="s" s="6" r="AK286">
        <v>92</v>
      </c>
      <c s="6" r="AL286">
        <v>9</v>
      </c>
      <c t="s" s="6" r="AM286">
        <v>92</v>
      </c>
      <c t="s" s="6" r="AN286">
        <v>92</v>
      </c>
      <c s="6" r="AP286">
        <v>9</v>
      </c>
      <c t="s" s="6" r="AQ286">
        <v>1251</v>
      </c>
      <c t="s" s="6" r="AR286">
        <v>2455</v>
      </c>
      <c s="6" r="AS286">
        <v>0</v>
      </c>
      <c s="6" r="AT286">
        <v>0</v>
      </c>
      <c s="6" r="AU286">
        <v>0</v>
      </c>
      <c s="6" r="AV286">
        <v>0</v>
      </c>
      <c s="6" r="AW286">
        <v>0</v>
      </c>
      <c s="6" r="AX286">
        <v>0</v>
      </c>
      <c s="6" r="AY286">
        <v>0</v>
      </c>
      <c s="6" r="AZ286">
        <v>0</v>
      </c>
      <c s="6" r="BA286">
        <v>0</v>
      </c>
      <c s="6" r="BB286">
        <v>0</v>
      </c>
      <c s="6" r="BC286">
        <v>0</v>
      </c>
      <c s="6" r="BD286">
        <v>0</v>
      </c>
      <c s="6" r="BE286">
        <v>0</v>
      </c>
      <c s="6" r="BF286">
        <v>0</v>
      </c>
      <c s="6" r="BG286">
        <v>0</v>
      </c>
      <c s="6" r="BH286">
        <v>0</v>
      </c>
      <c s="6" r="BI286">
        <v>0</v>
      </c>
      <c s="6" r="BJ286">
        <v>0</v>
      </c>
      <c s="6" r="BK286">
        <v>0</v>
      </c>
      <c s="6" r="BL286">
        <v>0</v>
      </c>
      <c s="6" r="BM286">
        <v>0</v>
      </c>
      <c s="6" r="BN286">
        <v>0</v>
      </c>
      <c s="6" r="BO286">
        <v>0</v>
      </c>
      <c s="6" r="BP286">
        <v>0</v>
      </c>
      <c s="6" r="BQ286">
        <v>0</v>
      </c>
      <c t="str" s="6" r="BR286">
        <f>HYPERLINK("http://www.d20pfsrd.com/magic/all-spells/i/implosion","Implosion")</f>
        <v>Implosion</v>
      </c>
      <c s="6" r="BS286">
        <v>285</v>
      </c>
      <c t="s" s="6" r="BT286">
        <v>92</v>
      </c>
      <c s="6" r="BY286">
        <v>0</v>
      </c>
    </row>
    <row customHeight="1" r="287" ht="14.25">
      <c t="s" s="6" r="A287">
        <v>2456</v>
      </c>
      <c t="s" s="6" r="B287">
        <v>162</v>
      </c>
      <c t="s" s="6" r="E287">
        <v>1058</v>
      </c>
      <c t="s" s="6" r="F287">
        <v>81</v>
      </c>
      <c t="s" s="6" r="G287">
        <v>106</v>
      </c>
      <c s="6" r="H287">
        <v>0</v>
      </c>
      <c t="s" s="6" r="I287">
        <v>120</v>
      </c>
      <c t="s" s="6" r="L287">
        <v>420</v>
      </c>
      <c t="s" s="6" r="M287">
        <v>109</v>
      </c>
      <c s="6" r="N287">
        <v>0</v>
      </c>
      <c s="6" r="O287">
        <v>0</v>
      </c>
      <c t="s" s="6" r="P287">
        <v>474</v>
      </c>
      <c t="s" s="6" r="Q287">
        <v>188</v>
      </c>
      <c t="s" s="6" r="R287">
        <v>2457</v>
      </c>
      <c t="s" s="6" r="S287">
        <v>2458</v>
      </c>
      <c t="s" s="6" r="T287">
        <v>90</v>
      </c>
      <c t="s" s="6" r="U287">
        <v>2459</v>
      </c>
      <c s="6" r="V287">
        <v>1</v>
      </c>
      <c s="6" r="W287">
        <v>1</v>
      </c>
      <c s="6" r="X287">
        <v>0</v>
      </c>
      <c s="6" r="Y287">
        <v>0</v>
      </c>
      <c s="6" r="Z287">
        <v>0</v>
      </c>
      <c s="6" r="AA287">
        <v>9</v>
      </c>
      <c s="6" r="AB287">
        <v>9</v>
      </c>
      <c t="s" s="6" r="AC287">
        <v>92</v>
      </c>
      <c t="s" s="6" r="AD287">
        <v>92</v>
      </c>
      <c t="s" s="6" r="AE287">
        <v>92</v>
      </c>
      <c t="s" s="6" r="AF287">
        <v>92</v>
      </c>
      <c t="s" s="6" r="AG287">
        <v>92</v>
      </c>
      <c t="s" s="6" r="AH287">
        <v>92</v>
      </c>
      <c t="s" s="6" r="AI287">
        <v>92</v>
      </c>
      <c t="s" s="6" r="AJ287">
        <v>92</v>
      </c>
      <c t="s" s="6" r="AK287">
        <v>92</v>
      </c>
      <c t="s" s="6" r="AL287">
        <v>92</v>
      </c>
      <c t="s" s="6" r="AM287">
        <v>92</v>
      </c>
      <c t="s" s="6" r="AN287">
        <v>92</v>
      </c>
      <c s="6" r="AP287">
        <v>9</v>
      </c>
      <c t="s" s="6" r="AR287">
        <v>2460</v>
      </c>
      <c s="6" r="AS287">
        <v>0</v>
      </c>
      <c s="6" r="AT287">
        <v>0</v>
      </c>
      <c s="6" r="AU287">
        <v>0</v>
      </c>
      <c s="6" r="AV287">
        <v>0</v>
      </c>
      <c s="6" r="AW287">
        <v>0</v>
      </c>
      <c s="6" r="AX287">
        <v>0</v>
      </c>
      <c s="6" r="AY287">
        <v>0</v>
      </c>
      <c s="6" r="AZ287">
        <v>0</v>
      </c>
      <c s="6" r="BA287">
        <v>0</v>
      </c>
      <c s="6" r="BB287">
        <v>0</v>
      </c>
      <c s="6" r="BC287">
        <v>0</v>
      </c>
      <c s="6" r="BD287">
        <v>0</v>
      </c>
      <c s="6" r="BE287">
        <v>0</v>
      </c>
      <c s="6" r="BF287">
        <v>0</v>
      </c>
      <c s="6" r="BG287">
        <v>0</v>
      </c>
      <c s="6" r="BH287">
        <v>0</v>
      </c>
      <c s="6" r="BI287">
        <v>0</v>
      </c>
      <c s="6" r="BJ287">
        <v>0</v>
      </c>
      <c s="6" r="BK287">
        <v>0</v>
      </c>
      <c s="6" r="BL287">
        <v>0</v>
      </c>
      <c s="6" r="BM287">
        <v>0</v>
      </c>
      <c s="6" r="BN287">
        <v>0</v>
      </c>
      <c s="6" r="BO287">
        <v>0</v>
      </c>
      <c s="6" r="BP287">
        <v>0</v>
      </c>
      <c s="6" r="BQ287">
        <v>0</v>
      </c>
      <c t="str" s="6" r="BR287">
        <f>HYPERLINK("http://www.d20pfsrd.com/magic/all-spells/i/imprisonment","Imprisonment")</f>
        <v>Imprisonment</v>
      </c>
      <c s="6" r="BS287">
        <v>286</v>
      </c>
      <c t="s" s="6" r="BT287">
        <v>92</v>
      </c>
      <c t="s" s="6" r="BU287">
        <v>1698</v>
      </c>
      <c s="6" r="BY287">
        <v>0</v>
      </c>
    </row>
    <row customHeight="1" r="288" ht="14.25">
      <c t="s" s="6" r="A288">
        <v>2461</v>
      </c>
      <c t="s" s="6" r="B288">
        <v>78</v>
      </c>
      <c t="s" s="6" r="C288">
        <v>79</v>
      </c>
      <c t="s" s="6" r="D288">
        <v>57</v>
      </c>
      <c t="s" s="6" r="E288">
        <v>471</v>
      </c>
      <c t="s" s="6" r="F288">
        <v>81</v>
      </c>
      <c t="s" s="6" r="G288">
        <v>106</v>
      </c>
      <c s="6" r="H288">
        <v>0</v>
      </c>
      <c t="s" s="6" r="I288">
        <v>97</v>
      </c>
      <c t="s" s="6" r="J288">
        <v>821</v>
      </c>
      <c t="s" s="6" r="M288">
        <v>99</v>
      </c>
      <c s="6" r="N288">
        <v>1</v>
      </c>
      <c s="6" r="O288">
        <v>0</v>
      </c>
      <c t="s" s="6" r="P288">
        <v>1822</v>
      </c>
      <c t="s" s="6" r="Q288">
        <v>87</v>
      </c>
      <c t="s" s="6" r="R288">
        <v>2462</v>
      </c>
      <c t="s" s="6" r="S288">
        <v>2463</v>
      </c>
      <c t="s" s="6" r="T288">
        <v>90</v>
      </c>
      <c t="s" s="6" r="U288">
        <v>2464</v>
      </c>
      <c s="6" r="V288">
        <v>1</v>
      </c>
      <c s="6" r="W288">
        <v>1</v>
      </c>
      <c s="6" r="X288">
        <v>0</v>
      </c>
      <c s="6" r="Y288">
        <v>0</v>
      </c>
      <c s="6" r="Z288">
        <v>0</v>
      </c>
      <c s="6" r="AA288">
        <v>8</v>
      </c>
      <c s="6" r="AB288">
        <v>8</v>
      </c>
      <c t="s" s="6" r="AC288">
        <v>92</v>
      </c>
      <c t="s" s="6" r="AD288">
        <v>92</v>
      </c>
      <c t="s" s="6" r="AE288">
        <v>92</v>
      </c>
      <c t="s" s="6" r="AF288">
        <v>92</v>
      </c>
      <c t="s" s="6" r="AG288">
        <v>92</v>
      </c>
      <c t="s" s="6" r="AH288">
        <v>92</v>
      </c>
      <c s="6" r="AI288">
        <v>6</v>
      </c>
      <c t="s" s="6" r="AJ288">
        <v>92</v>
      </c>
      <c t="s" s="6" r="AK288">
        <v>92</v>
      </c>
      <c t="s" s="6" r="AL288">
        <v>92</v>
      </c>
      <c t="s" s="6" r="AM288">
        <v>92</v>
      </c>
      <c t="s" s="6" r="AN288">
        <v>92</v>
      </c>
      <c s="6" r="AP288">
        <v>8</v>
      </c>
      <c t="s" s="6" r="AQ288">
        <v>635</v>
      </c>
      <c t="s" s="6" r="AR288">
        <v>2465</v>
      </c>
      <c s="6" r="AS288">
        <v>0</v>
      </c>
      <c s="6" r="AT288">
        <v>0</v>
      </c>
      <c s="6" r="AU288">
        <v>0</v>
      </c>
      <c s="6" r="AV288">
        <v>0</v>
      </c>
      <c s="6" r="AW288">
        <v>0</v>
      </c>
      <c s="6" r="AX288">
        <v>0</v>
      </c>
      <c s="6" r="AY288">
        <v>0</v>
      </c>
      <c s="6" r="AZ288">
        <v>0</v>
      </c>
      <c s="6" r="BA288">
        <v>0</v>
      </c>
      <c s="6" r="BB288">
        <v>0</v>
      </c>
      <c s="6" r="BC288">
        <v>0</v>
      </c>
      <c s="6" r="BD288">
        <v>0</v>
      </c>
      <c s="6" r="BE288">
        <v>0</v>
      </c>
      <c s="6" r="BF288">
        <v>1</v>
      </c>
      <c s="6" r="BG288">
        <v>0</v>
      </c>
      <c s="6" r="BH288">
        <v>0</v>
      </c>
      <c s="6" r="BI288">
        <v>0</v>
      </c>
      <c s="6" r="BJ288">
        <v>0</v>
      </c>
      <c s="6" r="BK288">
        <v>0</v>
      </c>
      <c s="6" r="BL288">
        <v>0</v>
      </c>
      <c s="6" r="BM288">
        <v>0</v>
      </c>
      <c s="6" r="BN288">
        <v>0</v>
      </c>
      <c s="6" r="BO288">
        <v>0</v>
      </c>
      <c s="6" r="BP288">
        <v>0</v>
      </c>
      <c s="6" r="BQ288">
        <v>0</v>
      </c>
      <c t="str" s="6" r="BR288">
        <f>HYPERLINK("http://www.d20pfsrd.com/magic/all-spells/i/incendiary-cloud","Incendiary Cloud")</f>
        <v>Incendiary Cloud</v>
      </c>
      <c s="6" r="BS288">
        <v>287</v>
      </c>
      <c t="s" s="6" r="BT288">
        <v>92</v>
      </c>
      <c t="s" s="6" r="BV288">
        <v>638</v>
      </c>
      <c s="6" r="BY288">
        <v>0</v>
      </c>
    </row>
    <row customHeight="1" r="289" ht="14.25">
      <c t="s" s="6" r="A289">
        <v>2466</v>
      </c>
      <c t="s" s="6" r="B289">
        <v>227</v>
      </c>
      <c t="s" s="6" r="E289">
        <v>842</v>
      </c>
      <c t="s" s="6" r="F289">
        <v>81</v>
      </c>
      <c t="s" s="6" r="G289">
        <v>106</v>
      </c>
      <c s="6" r="H289">
        <v>0</v>
      </c>
      <c t="s" s="6" r="I289">
        <v>120</v>
      </c>
      <c t="s" s="6" r="L289">
        <v>420</v>
      </c>
      <c t="s" s="6" r="M289">
        <v>109</v>
      </c>
      <c s="6" r="N289">
        <v>0</v>
      </c>
      <c s="6" r="O289">
        <v>0</v>
      </c>
      <c t="s" s="6" r="P289">
        <v>2467</v>
      </c>
      <c t="s" s="6" r="Q289">
        <v>188</v>
      </c>
      <c t="s" s="6" r="R289">
        <v>2468</v>
      </c>
      <c t="s" s="6" r="S289">
        <v>2469</v>
      </c>
      <c t="s" s="6" r="T289">
        <v>90</v>
      </c>
      <c t="s" s="6" r="U289">
        <v>2470</v>
      </c>
      <c s="6" r="V289">
        <v>1</v>
      </c>
      <c s="6" r="W289">
        <v>1</v>
      </c>
      <c s="6" r="X289">
        <v>0</v>
      </c>
      <c s="6" r="Y289">
        <v>0</v>
      </c>
      <c s="6" r="Z289">
        <v>0</v>
      </c>
      <c t="s" s="6" r="AA289">
        <v>92</v>
      </c>
      <c t="s" s="6" r="AB289">
        <v>92</v>
      </c>
      <c s="6" r="AC289">
        <v>1</v>
      </c>
      <c t="s" s="6" r="AD289">
        <v>92</v>
      </c>
      <c t="s" s="6" r="AE289">
        <v>92</v>
      </c>
      <c t="s" s="6" r="AF289">
        <v>92</v>
      </c>
      <c t="s" s="6" r="AG289">
        <v>92</v>
      </c>
      <c t="s" s="6" r="AH289">
        <v>92</v>
      </c>
      <c t="s" s="6" r="AI289">
        <v>92</v>
      </c>
      <c s="6" r="AJ289">
        <v>1</v>
      </c>
      <c s="6" r="AK289">
        <v>1</v>
      </c>
      <c s="6" r="AL289">
        <v>1</v>
      </c>
      <c s="6" r="AM289">
        <v>1</v>
      </c>
      <c t="s" s="6" r="AN289">
        <v>92</v>
      </c>
      <c s="6" r="AP289">
        <v>1</v>
      </c>
      <c t="s" s="6" r="AR289">
        <v>2471</v>
      </c>
      <c s="6" r="AS289">
        <v>0</v>
      </c>
      <c s="6" r="AT289">
        <v>0</v>
      </c>
      <c s="6" r="AU289">
        <v>0</v>
      </c>
      <c s="6" r="AV289">
        <v>0</v>
      </c>
      <c s="6" r="AW289">
        <v>0</v>
      </c>
      <c s="6" r="AX289">
        <v>0</v>
      </c>
      <c s="6" r="AY289">
        <v>0</v>
      </c>
      <c s="6" r="AZ289">
        <v>0</v>
      </c>
      <c s="6" r="BA289">
        <v>0</v>
      </c>
      <c s="6" r="BB289">
        <v>0</v>
      </c>
      <c s="6" r="BC289">
        <v>0</v>
      </c>
      <c s="6" r="BD289">
        <v>0</v>
      </c>
      <c s="6" r="BE289">
        <v>0</v>
      </c>
      <c s="6" r="BF289">
        <v>0</v>
      </c>
      <c s="6" r="BG289">
        <v>0</v>
      </c>
      <c s="6" r="BH289">
        <v>0</v>
      </c>
      <c s="6" r="BI289">
        <v>0</v>
      </c>
      <c s="6" r="BJ289">
        <v>0</v>
      </c>
      <c s="6" r="BK289">
        <v>0</v>
      </c>
      <c s="6" r="BL289">
        <v>0</v>
      </c>
      <c s="6" r="BM289">
        <v>0</v>
      </c>
      <c s="6" r="BN289">
        <v>0</v>
      </c>
      <c s="6" r="BO289">
        <v>0</v>
      </c>
      <c s="6" r="BP289">
        <v>0</v>
      </c>
      <c s="6" r="BQ289">
        <v>0</v>
      </c>
      <c t="str" s="6" r="BR289">
        <f>HYPERLINK("http://www.d20pfsrd.com/magic/all-spells/i/inflict-light-wounds","Inflict Light Wounds")</f>
        <v>Inflict Light Wounds</v>
      </c>
      <c s="6" r="BS289">
        <v>288</v>
      </c>
      <c t="s" s="6" r="BT289">
        <v>92</v>
      </c>
      <c t="s" s="6" r="BW289">
        <v>2472</v>
      </c>
      <c s="6" r="BY289">
        <v>1</v>
      </c>
    </row>
    <row customHeight="1" r="290" ht="14.25">
      <c t="s" s="6" r="A290">
        <v>2473</v>
      </c>
      <c t="s" s="6" r="B290">
        <v>227</v>
      </c>
      <c t="s" s="6" r="E290">
        <v>2474</v>
      </c>
      <c t="s" s="6" r="F290">
        <v>81</v>
      </c>
      <c t="s" s="6" r="G290">
        <v>106</v>
      </c>
      <c s="6" r="H290">
        <v>0</v>
      </c>
      <c t="s" s="6" r="I290">
        <v>120</v>
      </c>
      <c t="s" s="6" r="L290">
        <v>420</v>
      </c>
      <c t="s" s="6" r="M290">
        <v>109</v>
      </c>
      <c s="6" r="N290">
        <v>0</v>
      </c>
      <c s="6" r="O290">
        <v>0</v>
      </c>
      <c t="s" s="6" r="P290">
        <v>2467</v>
      </c>
      <c t="s" s="6" r="Q290">
        <v>188</v>
      </c>
      <c t="s" s="6" r="R290">
        <v>2475</v>
      </c>
      <c t="s" s="6" r="S290">
        <v>2476</v>
      </c>
      <c t="s" s="6" r="T290">
        <v>90</v>
      </c>
      <c t="s" s="6" r="U290">
        <v>2477</v>
      </c>
      <c s="6" r="V290">
        <v>1</v>
      </c>
      <c s="6" r="W290">
        <v>1</v>
      </c>
      <c s="6" r="X290">
        <v>0</v>
      </c>
      <c s="6" r="Y290">
        <v>0</v>
      </c>
      <c s="6" r="Z290">
        <v>0</v>
      </c>
      <c t="s" s="6" r="AA290">
        <v>92</v>
      </c>
      <c t="s" s="6" r="AB290">
        <v>92</v>
      </c>
      <c s="6" r="AC290">
        <v>4</v>
      </c>
      <c t="s" s="6" r="AD290">
        <v>92</v>
      </c>
      <c t="s" s="6" r="AE290">
        <v>92</v>
      </c>
      <c t="s" s="6" r="AF290">
        <v>92</v>
      </c>
      <c t="s" s="6" r="AG290">
        <v>92</v>
      </c>
      <c t="s" s="6" r="AH290">
        <v>92</v>
      </c>
      <c t="s" s="6" r="AI290">
        <v>92</v>
      </c>
      <c s="6" r="AJ290">
        <v>5</v>
      </c>
      <c s="6" r="AK290">
        <v>4</v>
      </c>
      <c s="6" r="AL290">
        <v>4</v>
      </c>
      <c t="s" s="6" r="AM290">
        <v>92</v>
      </c>
      <c t="s" s="6" r="AN290">
        <v>92</v>
      </c>
      <c s="6" r="AP290">
        <v>4</v>
      </c>
      <c t="s" s="6" r="AQ290">
        <v>1251</v>
      </c>
      <c t="s" s="6" r="AR290">
        <v>2478</v>
      </c>
      <c s="6" r="AS290">
        <v>0</v>
      </c>
      <c s="6" r="AT290">
        <v>0</v>
      </c>
      <c s="6" r="AU290">
        <v>0</v>
      </c>
      <c s="6" r="AV290">
        <v>0</v>
      </c>
      <c s="6" r="AW290">
        <v>0</v>
      </c>
      <c s="6" r="AX290">
        <v>0</v>
      </c>
      <c s="6" r="AY290">
        <v>0</v>
      </c>
      <c s="6" r="AZ290">
        <v>0</v>
      </c>
      <c s="6" r="BA290">
        <v>0</v>
      </c>
      <c s="6" r="BB290">
        <v>0</v>
      </c>
      <c s="6" r="BC290">
        <v>0</v>
      </c>
      <c s="6" r="BD290">
        <v>0</v>
      </c>
      <c s="6" r="BE290">
        <v>0</v>
      </c>
      <c s="6" r="BF290">
        <v>0</v>
      </c>
      <c s="6" r="BG290">
        <v>0</v>
      </c>
      <c s="6" r="BH290">
        <v>0</v>
      </c>
      <c s="6" r="BI290">
        <v>0</v>
      </c>
      <c s="6" r="BJ290">
        <v>0</v>
      </c>
      <c s="6" r="BK290">
        <v>0</v>
      </c>
      <c s="6" r="BL290">
        <v>0</v>
      </c>
      <c s="6" r="BM290">
        <v>0</v>
      </c>
      <c s="6" r="BN290">
        <v>0</v>
      </c>
      <c s="6" r="BO290">
        <v>0</v>
      </c>
      <c s="6" r="BP290">
        <v>0</v>
      </c>
      <c s="6" r="BQ290">
        <v>0</v>
      </c>
      <c t="str" s="6" r="BR290">
        <f>HYPERLINK("http://www.d20pfsrd.com/magic/all-spells/i/inflict-critical-wounds","Inflict Critical Wounds")</f>
        <v>Inflict Critical Wounds</v>
      </c>
      <c s="6" r="BS290">
        <v>289</v>
      </c>
      <c t="s" s="6" r="BT290">
        <v>92</v>
      </c>
      <c t="s" s="6" r="BW290">
        <v>2479</v>
      </c>
      <c s="6" r="BY290">
        <v>1</v>
      </c>
    </row>
    <row customHeight="1" r="291" ht="14.25">
      <c t="s" s="6" r="A291">
        <v>2480</v>
      </c>
      <c t="s" s="6" r="B291">
        <v>227</v>
      </c>
      <c t="s" s="6" r="E291">
        <v>2481</v>
      </c>
      <c t="s" s="6" r="F291">
        <v>81</v>
      </c>
      <c t="s" s="6" r="G291">
        <v>106</v>
      </c>
      <c s="6" r="H291">
        <v>0</v>
      </c>
      <c t="s" s="6" r="I291">
        <v>107</v>
      </c>
      <c t="s" s="6" r="L291">
        <v>620</v>
      </c>
      <c t="s" s="6" r="M291">
        <v>109</v>
      </c>
      <c s="6" r="N291">
        <v>0</v>
      </c>
      <c s="6" r="O291">
        <v>0</v>
      </c>
      <c t="s" s="6" r="P291">
        <v>2467</v>
      </c>
      <c t="s" s="6" r="Q291">
        <v>188</v>
      </c>
      <c t="s" s="6" r="R291">
        <v>2482</v>
      </c>
      <c t="s" s="6" r="S291">
        <v>2483</v>
      </c>
      <c t="s" s="6" r="T291">
        <v>90</v>
      </c>
      <c t="s" s="6" r="U291">
        <v>2484</v>
      </c>
      <c s="6" r="V291">
        <v>1</v>
      </c>
      <c s="6" r="W291">
        <v>1</v>
      </c>
      <c s="6" r="X291">
        <v>0</v>
      </c>
      <c s="6" r="Y291">
        <v>0</v>
      </c>
      <c s="6" r="Z291">
        <v>0</v>
      </c>
      <c t="s" s="6" r="AA291">
        <v>92</v>
      </c>
      <c t="s" s="6" r="AB291">
        <v>92</v>
      </c>
      <c s="6" r="AC291">
        <v>8</v>
      </c>
      <c t="s" s="6" r="AD291">
        <v>92</v>
      </c>
      <c t="s" s="6" r="AE291">
        <v>92</v>
      </c>
      <c t="s" s="6" r="AF291">
        <v>92</v>
      </c>
      <c t="s" s="6" r="AG291">
        <v>92</v>
      </c>
      <c t="s" s="6" r="AH291">
        <v>92</v>
      </c>
      <c t="s" s="6" r="AI291">
        <v>92</v>
      </c>
      <c s="6" r="AJ291">
        <v>9</v>
      </c>
      <c t="s" s="6" r="AK291">
        <v>92</v>
      </c>
      <c s="6" r="AL291">
        <v>8</v>
      </c>
      <c t="s" s="6" r="AM291">
        <v>92</v>
      </c>
      <c t="s" s="6" r="AN291">
        <v>92</v>
      </c>
      <c s="6" r="AP291">
        <v>8</v>
      </c>
      <c t="s" s="6" r="AR291">
        <v>2485</v>
      </c>
      <c s="6" r="AS291">
        <v>0</v>
      </c>
      <c s="6" r="AT291">
        <v>0</v>
      </c>
      <c s="6" r="AU291">
        <v>0</v>
      </c>
      <c s="6" r="AV291">
        <v>0</v>
      </c>
      <c s="6" r="AW291">
        <v>0</v>
      </c>
      <c s="6" r="AX291">
        <v>0</v>
      </c>
      <c s="6" r="AY291">
        <v>0</v>
      </c>
      <c s="6" r="AZ291">
        <v>0</v>
      </c>
      <c s="6" r="BA291">
        <v>0</v>
      </c>
      <c s="6" r="BB291">
        <v>0</v>
      </c>
      <c s="6" r="BC291">
        <v>0</v>
      </c>
      <c s="6" r="BD291">
        <v>0</v>
      </c>
      <c s="6" r="BE291">
        <v>0</v>
      </c>
      <c s="6" r="BF291">
        <v>0</v>
      </c>
      <c s="6" r="BG291">
        <v>0</v>
      </c>
      <c s="6" r="BH291">
        <v>0</v>
      </c>
      <c s="6" r="BI291">
        <v>0</v>
      </c>
      <c s="6" r="BJ291">
        <v>0</v>
      </c>
      <c s="6" r="BK291">
        <v>0</v>
      </c>
      <c s="6" r="BL291">
        <v>0</v>
      </c>
      <c s="6" r="BM291">
        <v>0</v>
      </c>
      <c s="6" r="BN291">
        <v>0</v>
      </c>
      <c s="6" r="BO291">
        <v>0</v>
      </c>
      <c s="6" r="BP291">
        <v>0</v>
      </c>
      <c s="6" r="BQ291">
        <v>0</v>
      </c>
      <c t="str" s="6" r="BR291">
        <f>HYPERLINK("http://www.d20pfsrd.com/magic/all-spells/i/inflict-critical-wounds","Inflict Critical Wounds, Mass")</f>
        <v>Inflict Critical Wounds, Mass</v>
      </c>
      <c s="6" r="BS291">
        <v>290</v>
      </c>
      <c t="s" s="6" r="BT291">
        <v>92</v>
      </c>
      <c s="6" r="BY291">
        <v>0</v>
      </c>
    </row>
    <row customHeight="1" r="292" ht="14.25">
      <c t="s" s="6" r="A292">
        <v>2486</v>
      </c>
      <c t="s" s="6" r="B292">
        <v>227</v>
      </c>
      <c t="s" s="6" r="E292">
        <v>2487</v>
      </c>
      <c t="s" s="6" r="F292">
        <v>81</v>
      </c>
      <c t="s" s="6" r="G292">
        <v>106</v>
      </c>
      <c s="6" r="H292">
        <v>0</v>
      </c>
      <c t="s" s="6" r="I292">
        <v>107</v>
      </c>
      <c t="s" s="6" r="L292">
        <v>620</v>
      </c>
      <c t="s" s="6" r="M292">
        <v>109</v>
      </c>
      <c s="6" r="N292">
        <v>0</v>
      </c>
      <c s="6" r="O292">
        <v>0</v>
      </c>
      <c t="s" s="6" r="P292">
        <v>2467</v>
      </c>
      <c t="s" s="6" r="Q292">
        <v>188</v>
      </c>
      <c t="s" s="6" r="R292">
        <v>2488</v>
      </c>
      <c t="s" s="6" r="S292">
        <v>2489</v>
      </c>
      <c t="s" s="6" r="T292">
        <v>90</v>
      </c>
      <c t="s" s="6" r="U292">
        <v>2490</v>
      </c>
      <c s="6" r="V292">
        <v>1</v>
      </c>
      <c s="6" r="W292">
        <v>1</v>
      </c>
      <c s="6" r="X292">
        <v>0</v>
      </c>
      <c s="6" r="Y292">
        <v>0</v>
      </c>
      <c s="6" r="Z292">
        <v>0</v>
      </c>
      <c t="s" s="6" r="AA292">
        <v>92</v>
      </c>
      <c t="s" s="6" r="AB292">
        <v>92</v>
      </c>
      <c s="6" r="AC292">
        <v>5</v>
      </c>
      <c t="s" s="6" r="AD292">
        <v>92</v>
      </c>
      <c t="s" s="6" r="AE292">
        <v>92</v>
      </c>
      <c t="s" s="6" r="AF292">
        <v>92</v>
      </c>
      <c t="s" s="6" r="AG292">
        <v>92</v>
      </c>
      <c t="s" s="6" r="AH292">
        <v>92</v>
      </c>
      <c t="s" s="6" r="AI292">
        <v>92</v>
      </c>
      <c s="6" r="AJ292">
        <v>6</v>
      </c>
      <c s="6" r="AK292">
        <v>5</v>
      </c>
      <c s="6" r="AL292">
        <v>5</v>
      </c>
      <c t="s" s="6" r="AM292">
        <v>92</v>
      </c>
      <c t="s" s="6" r="AN292">
        <v>92</v>
      </c>
      <c s="6" r="AP292">
        <v>5</v>
      </c>
      <c t="s" s="6" r="AR292">
        <v>2491</v>
      </c>
      <c s="6" r="AS292">
        <v>0</v>
      </c>
      <c s="6" r="AT292">
        <v>0</v>
      </c>
      <c s="6" r="AU292">
        <v>0</v>
      </c>
      <c s="6" r="AV292">
        <v>0</v>
      </c>
      <c s="6" r="AW292">
        <v>0</v>
      </c>
      <c s="6" r="AX292">
        <v>0</v>
      </c>
      <c s="6" r="AY292">
        <v>0</v>
      </c>
      <c s="6" r="AZ292">
        <v>0</v>
      </c>
      <c s="6" r="BA292">
        <v>0</v>
      </c>
      <c s="6" r="BB292">
        <v>0</v>
      </c>
      <c s="6" r="BC292">
        <v>0</v>
      </c>
      <c s="6" r="BD292">
        <v>0</v>
      </c>
      <c s="6" r="BE292">
        <v>0</v>
      </c>
      <c s="6" r="BF292">
        <v>0</v>
      </c>
      <c s="6" r="BG292">
        <v>0</v>
      </c>
      <c s="6" r="BH292">
        <v>0</v>
      </c>
      <c s="6" r="BI292">
        <v>0</v>
      </c>
      <c s="6" r="BJ292">
        <v>0</v>
      </c>
      <c s="6" r="BK292">
        <v>0</v>
      </c>
      <c s="6" r="BL292">
        <v>0</v>
      </c>
      <c s="6" r="BM292">
        <v>0</v>
      </c>
      <c s="6" r="BN292">
        <v>0</v>
      </c>
      <c s="6" r="BO292">
        <v>0</v>
      </c>
      <c s="6" r="BP292">
        <v>0</v>
      </c>
      <c s="6" r="BQ292">
        <v>0</v>
      </c>
      <c t="str" s="6" r="BR292">
        <f>HYPERLINK("http://www.d20pfsrd.com/magic/all-spells/i/inflict-light-wounds","Inflict Light Wounds, Mass")</f>
        <v>Inflict Light Wounds, Mass</v>
      </c>
      <c s="6" r="BS292">
        <v>291</v>
      </c>
      <c t="s" s="6" r="BT292">
        <v>92</v>
      </c>
      <c s="6" r="BY292">
        <v>0</v>
      </c>
    </row>
    <row customHeight="1" r="293" ht="14.25">
      <c t="s" s="6" r="A293">
        <v>2492</v>
      </c>
      <c t="s" s="6" r="B293">
        <v>227</v>
      </c>
      <c t="s" s="6" r="E293">
        <v>2493</v>
      </c>
      <c t="s" s="6" r="F293">
        <v>81</v>
      </c>
      <c t="s" s="6" r="G293">
        <v>106</v>
      </c>
      <c s="6" r="H293">
        <v>0</v>
      </c>
      <c t="s" s="6" r="I293">
        <v>120</v>
      </c>
      <c t="s" s="6" r="L293">
        <v>420</v>
      </c>
      <c t="s" s="6" r="M293">
        <v>109</v>
      </c>
      <c s="6" r="N293">
        <v>0</v>
      </c>
      <c s="6" r="O293">
        <v>0</v>
      </c>
      <c t="s" s="6" r="P293">
        <v>2467</v>
      </c>
      <c t="s" s="6" r="Q293">
        <v>188</v>
      </c>
      <c t="s" s="6" r="R293">
        <v>2494</v>
      </c>
      <c t="s" s="6" r="S293">
        <v>2495</v>
      </c>
      <c t="s" s="6" r="T293">
        <v>90</v>
      </c>
      <c t="s" s="6" r="U293">
        <v>2496</v>
      </c>
      <c s="6" r="V293">
        <v>1</v>
      </c>
      <c s="6" r="W293">
        <v>1</v>
      </c>
      <c s="6" r="X293">
        <v>0</v>
      </c>
      <c s="6" r="Y293">
        <v>0</v>
      </c>
      <c s="6" r="Z293">
        <v>0</v>
      </c>
      <c t="s" s="6" r="AA293">
        <v>92</v>
      </c>
      <c t="s" s="6" r="AB293">
        <v>92</v>
      </c>
      <c s="6" r="AC293">
        <v>2</v>
      </c>
      <c t="s" s="6" r="AD293">
        <v>92</v>
      </c>
      <c t="s" s="6" r="AE293">
        <v>92</v>
      </c>
      <c t="s" s="6" r="AF293">
        <v>92</v>
      </c>
      <c t="s" s="6" r="AG293">
        <v>92</v>
      </c>
      <c t="s" s="6" r="AH293">
        <v>92</v>
      </c>
      <c t="s" s="6" r="AI293">
        <v>92</v>
      </c>
      <c s="6" r="AJ293">
        <v>2</v>
      </c>
      <c s="6" r="AK293">
        <v>2</v>
      </c>
      <c s="6" r="AL293">
        <v>2</v>
      </c>
      <c s="6" r="AM293">
        <v>3</v>
      </c>
      <c t="s" s="6" r="AN293">
        <v>92</v>
      </c>
      <c s="6" r="AP293">
        <v>2</v>
      </c>
      <c t="s" s="6" r="AR293">
        <v>2497</v>
      </c>
      <c s="6" r="AS293">
        <v>0</v>
      </c>
      <c s="6" r="AT293">
        <v>0</v>
      </c>
      <c s="6" r="AU293">
        <v>0</v>
      </c>
      <c s="6" r="AV293">
        <v>0</v>
      </c>
      <c s="6" r="AW293">
        <v>0</v>
      </c>
      <c s="6" r="AX293">
        <v>0</v>
      </c>
      <c s="6" r="AY293">
        <v>0</v>
      </c>
      <c s="6" r="AZ293">
        <v>0</v>
      </c>
      <c s="6" r="BA293">
        <v>0</v>
      </c>
      <c s="6" r="BB293">
        <v>0</v>
      </c>
      <c s="6" r="BC293">
        <v>0</v>
      </c>
      <c s="6" r="BD293">
        <v>0</v>
      </c>
      <c s="6" r="BE293">
        <v>0</v>
      </c>
      <c s="6" r="BF293">
        <v>0</v>
      </c>
      <c s="6" r="BG293">
        <v>0</v>
      </c>
      <c s="6" r="BH293">
        <v>0</v>
      </c>
      <c s="6" r="BI293">
        <v>0</v>
      </c>
      <c s="6" r="BJ293">
        <v>0</v>
      </c>
      <c s="6" r="BK293">
        <v>0</v>
      </c>
      <c s="6" r="BL293">
        <v>0</v>
      </c>
      <c s="6" r="BM293">
        <v>0</v>
      </c>
      <c s="6" r="BN293">
        <v>0</v>
      </c>
      <c s="6" r="BO293">
        <v>0</v>
      </c>
      <c s="6" r="BP293">
        <v>0</v>
      </c>
      <c s="6" r="BQ293">
        <v>0</v>
      </c>
      <c t="str" s="6" r="BR293">
        <f>HYPERLINK("http://www.d20pfsrd.com/magic/all-spells/i/inflict-moderate-wounds","Inflict Moderate Wounds")</f>
        <v>Inflict Moderate Wounds</v>
      </c>
      <c s="6" r="BS293">
        <v>292</v>
      </c>
      <c t="s" s="6" r="BT293">
        <v>92</v>
      </c>
      <c t="s" s="6" r="BW293">
        <v>2494</v>
      </c>
      <c s="6" r="BY293">
        <v>1</v>
      </c>
    </row>
    <row customHeight="1" r="294" ht="14.25">
      <c t="s" s="6" r="A294">
        <v>2498</v>
      </c>
      <c t="s" s="6" r="B294">
        <v>227</v>
      </c>
      <c t="s" s="6" r="E294">
        <v>2499</v>
      </c>
      <c t="s" s="6" r="F294">
        <v>81</v>
      </c>
      <c t="s" s="6" r="G294">
        <v>106</v>
      </c>
      <c s="6" r="H294">
        <v>0</v>
      </c>
      <c t="s" s="6" r="I294">
        <v>107</v>
      </c>
      <c t="s" s="6" r="L294">
        <v>620</v>
      </c>
      <c t="s" s="6" r="M294">
        <v>109</v>
      </c>
      <c s="6" r="N294">
        <v>0</v>
      </c>
      <c s="6" r="O294">
        <v>0</v>
      </c>
      <c t="s" s="6" r="P294">
        <v>2467</v>
      </c>
      <c t="s" s="6" r="Q294">
        <v>188</v>
      </c>
      <c t="s" s="6" r="R294">
        <v>2500</v>
      </c>
      <c t="s" s="6" r="S294">
        <v>2501</v>
      </c>
      <c t="s" s="6" r="T294">
        <v>90</v>
      </c>
      <c t="s" s="6" r="U294">
        <v>2502</v>
      </c>
      <c s="6" r="V294">
        <v>1</v>
      </c>
      <c s="6" r="W294">
        <v>1</v>
      </c>
      <c s="6" r="X294">
        <v>0</v>
      </c>
      <c s="6" r="Y294">
        <v>0</v>
      </c>
      <c s="6" r="Z294">
        <v>0</v>
      </c>
      <c t="s" s="6" r="AA294">
        <v>92</v>
      </c>
      <c t="s" s="6" r="AB294">
        <v>92</v>
      </c>
      <c s="6" r="AC294">
        <v>6</v>
      </c>
      <c t="s" s="6" r="AD294">
        <v>92</v>
      </c>
      <c t="s" s="6" r="AE294">
        <v>92</v>
      </c>
      <c t="s" s="6" r="AF294">
        <v>92</v>
      </c>
      <c t="s" s="6" r="AG294">
        <v>92</v>
      </c>
      <c t="s" s="6" r="AH294">
        <v>92</v>
      </c>
      <c t="s" s="6" r="AI294">
        <v>92</v>
      </c>
      <c s="6" r="AJ294">
        <v>7</v>
      </c>
      <c s="6" r="AK294">
        <v>6</v>
      </c>
      <c s="6" r="AL294">
        <v>6</v>
      </c>
      <c t="s" s="6" r="AM294">
        <v>92</v>
      </c>
      <c t="s" s="6" r="AN294">
        <v>92</v>
      </c>
      <c s="6" r="AP294">
        <v>6</v>
      </c>
      <c t="s" s="6" r="AR294">
        <v>2503</v>
      </c>
      <c s="6" r="AS294">
        <v>0</v>
      </c>
      <c s="6" r="AT294">
        <v>0</v>
      </c>
      <c s="6" r="AU294">
        <v>0</v>
      </c>
      <c s="6" r="AV294">
        <v>0</v>
      </c>
      <c s="6" r="AW294">
        <v>0</v>
      </c>
      <c s="6" r="AX294">
        <v>0</v>
      </c>
      <c s="6" r="AY294">
        <v>0</v>
      </c>
      <c s="6" r="AZ294">
        <v>0</v>
      </c>
      <c s="6" r="BA294">
        <v>0</v>
      </c>
      <c s="6" r="BB294">
        <v>0</v>
      </c>
      <c s="6" r="BC294">
        <v>0</v>
      </c>
      <c s="6" r="BD294">
        <v>0</v>
      </c>
      <c s="6" r="BE294">
        <v>0</v>
      </c>
      <c s="6" r="BF294">
        <v>0</v>
      </c>
      <c s="6" r="BG294">
        <v>0</v>
      </c>
      <c s="6" r="BH294">
        <v>0</v>
      </c>
      <c s="6" r="BI294">
        <v>0</v>
      </c>
      <c s="6" r="BJ294">
        <v>0</v>
      </c>
      <c s="6" r="BK294">
        <v>0</v>
      </c>
      <c s="6" r="BL294">
        <v>0</v>
      </c>
      <c s="6" r="BM294">
        <v>0</v>
      </c>
      <c s="6" r="BN294">
        <v>0</v>
      </c>
      <c s="6" r="BO294">
        <v>0</v>
      </c>
      <c s="6" r="BP294">
        <v>0</v>
      </c>
      <c s="6" r="BQ294">
        <v>0</v>
      </c>
      <c t="str" s="6" r="BR294">
        <f>HYPERLINK("http://www.d20pfsrd.com/magic/all-spells/i/inflict-moderate-wounds","Inflict Moderate Wounds, Mass")</f>
        <v>Inflict Moderate Wounds, Mass</v>
      </c>
      <c s="6" r="BS294">
        <v>293</v>
      </c>
      <c t="s" s="6" r="BT294">
        <v>92</v>
      </c>
      <c s="6" r="BY294">
        <v>0</v>
      </c>
    </row>
    <row customHeight="1" r="295" ht="14.25">
      <c t="s" s="6" r="A295">
        <v>2504</v>
      </c>
      <c t="s" s="6" r="B295">
        <v>227</v>
      </c>
      <c t="s" s="6" r="E295">
        <v>2505</v>
      </c>
      <c t="s" s="6" r="F295">
        <v>81</v>
      </c>
      <c t="s" s="6" r="G295">
        <v>106</v>
      </c>
      <c s="6" r="H295">
        <v>0</v>
      </c>
      <c t="s" s="6" r="I295">
        <v>120</v>
      </c>
      <c t="s" s="6" r="L295">
        <v>420</v>
      </c>
      <c t="s" s="6" r="M295">
        <v>109</v>
      </c>
      <c s="6" r="N295">
        <v>0</v>
      </c>
      <c s="6" r="O295">
        <v>0</v>
      </c>
      <c t="s" s="6" r="P295">
        <v>2467</v>
      </c>
      <c t="s" s="6" r="Q295">
        <v>188</v>
      </c>
      <c t="s" s="6" r="R295">
        <v>2506</v>
      </c>
      <c t="s" s="6" r="S295">
        <v>2507</v>
      </c>
      <c t="s" s="6" r="T295">
        <v>90</v>
      </c>
      <c t="s" s="6" r="U295">
        <v>2508</v>
      </c>
      <c s="6" r="V295">
        <v>1</v>
      </c>
      <c s="6" r="W295">
        <v>1</v>
      </c>
      <c s="6" r="X295">
        <v>0</v>
      </c>
      <c s="6" r="Y295">
        <v>0</v>
      </c>
      <c s="6" r="Z295">
        <v>0</v>
      </c>
      <c t="s" s="6" r="AA295">
        <v>92</v>
      </c>
      <c t="s" s="6" r="AB295">
        <v>92</v>
      </c>
      <c s="6" r="AC295">
        <v>3</v>
      </c>
      <c t="s" s="6" r="AD295">
        <v>92</v>
      </c>
      <c t="s" s="6" r="AE295">
        <v>92</v>
      </c>
      <c t="s" s="6" r="AF295">
        <v>92</v>
      </c>
      <c t="s" s="6" r="AG295">
        <v>92</v>
      </c>
      <c t="s" s="6" r="AH295">
        <v>92</v>
      </c>
      <c t="s" s="6" r="AI295">
        <v>92</v>
      </c>
      <c s="6" r="AJ295">
        <v>4</v>
      </c>
      <c s="6" r="AK295">
        <v>3</v>
      </c>
      <c s="6" r="AL295">
        <v>3</v>
      </c>
      <c s="6" r="AM295">
        <v>4</v>
      </c>
      <c t="s" s="6" r="AN295">
        <v>92</v>
      </c>
      <c s="6" r="AP295">
        <v>3</v>
      </c>
      <c t="s" s="6" r="AR295">
        <v>2509</v>
      </c>
      <c s="6" r="AS295">
        <v>0</v>
      </c>
      <c s="6" r="AT295">
        <v>0</v>
      </c>
      <c s="6" r="AU295">
        <v>0</v>
      </c>
      <c s="6" r="AV295">
        <v>0</v>
      </c>
      <c s="6" r="AW295">
        <v>0</v>
      </c>
      <c s="6" r="AX295">
        <v>0</v>
      </c>
      <c s="6" r="AY295">
        <v>0</v>
      </c>
      <c s="6" r="AZ295">
        <v>0</v>
      </c>
      <c s="6" r="BA295">
        <v>0</v>
      </c>
      <c s="6" r="BB295">
        <v>0</v>
      </c>
      <c s="6" r="BC295">
        <v>0</v>
      </c>
      <c s="6" r="BD295">
        <v>0</v>
      </c>
      <c s="6" r="BE295">
        <v>0</v>
      </c>
      <c s="6" r="BF295">
        <v>0</v>
      </c>
      <c s="6" r="BG295">
        <v>0</v>
      </c>
      <c s="6" r="BH295">
        <v>0</v>
      </c>
      <c s="6" r="BI295">
        <v>0</v>
      </c>
      <c s="6" r="BJ295">
        <v>0</v>
      </c>
      <c s="6" r="BK295">
        <v>0</v>
      </c>
      <c s="6" r="BL295">
        <v>0</v>
      </c>
      <c s="6" r="BM295">
        <v>0</v>
      </c>
      <c s="6" r="BN295">
        <v>0</v>
      </c>
      <c s="6" r="BO295">
        <v>0</v>
      </c>
      <c s="6" r="BP295">
        <v>0</v>
      </c>
      <c s="6" r="BQ295">
        <v>0</v>
      </c>
      <c t="str" s="6" r="BR295">
        <f>HYPERLINK("http://www.d20pfsrd.com/magic/all-spells/i/inflict-serious-wounds","Inflict Serious Wounds")</f>
        <v>Inflict Serious Wounds</v>
      </c>
      <c s="6" r="BS295">
        <v>294</v>
      </c>
      <c t="s" s="6" r="BT295">
        <v>92</v>
      </c>
      <c t="s" s="6" r="BW295">
        <v>2506</v>
      </c>
      <c s="6" r="BY295">
        <v>1</v>
      </c>
    </row>
    <row customHeight="1" r="296" ht="14.25">
      <c t="s" s="6" r="A296">
        <v>2510</v>
      </c>
      <c t="s" s="6" r="B296">
        <v>227</v>
      </c>
      <c t="s" s="6" r="E296">
        <v>1252</v>
      </c>
      <c t="s" s="6" r="F296">
        <v>81</v>
      </c>
      <c t="s" s="6" r="G296">
        <v>106</v>
      </c>
      <c s="6" r="H296">
        <v>0</v>
      </c>
      <c t="s" s="6" r="I296">
        <v>107</v>
      </c>
      <c t="s" s="6" r="L296">
        <v>620</v>
      </c>
      <c t="s" s="6" r="M296">
        <v>109</v>
      </c>
      <c s="6" r="N296">
        <v>0</v>
      </c>
      <c s="6" r="O296">
        <v>0</v>
      </c>
      <c t="s" s="6" r="P296">
        <v>2467</v>
      </c>
      <c t="s" s="6" r="Q296">
        <v>188</v>
      </c>
      <c t="s" s="6" r="R296">
        <v>2511</v>
      </c>
      <c t="s" s="6" r="S296">
        <v>2512</v>
      </c>
      <c t="s" s="6" r="T296">
        <v>90</v>
      </c>
      <c t="s" s="6" r="U296">
        <v>2513</v>
      </c>
      <c s="6" r="V296">
        <v>1</v>
      </c>
      <c s="6" r="W296">
        <v>1</v>
      </c>
      <c s="6" r="X296">
        <v>0</v>
      </c>
      <c s="6" r="Y296">
        <v>0</v>
      </c>
      <c s="6" r="Z296">
        <v>0</v>
      </c>
      <c t="s" s="6" r="AA296">
        <v>92</v>
      </c>
      <c t="s" s="6" r="AB296">
        <v>92</v>
      </c>
      <c s="6" r="AC296">
        <v>7</v>
      </c>
      <c t="s" s="6" r="AD296">
        <v>92</v>
      </c>
      <c t="s" s="6" r="AE296">
        <v>92</v>
      </c>
      <c t="s" s="6" r="AF296">
        <v>92</v>
      </c>
      <c t="s" s="6" r="AG296">
        <v>92</v>
      </c>
      <c t="s" s="6" r="AH296">
        <v>92</v>
      </c>
      <c t="s" s="6" r="AI296">
        <v>92</v>
      </c>
      <c s="6" r="AJ296">
        <v>8</v>
      </c>
      <c t="s" s="6" r="AK296">
        <v>92</v>
      </c>
      <c s="6" r="AL296">
        <v>7</v>
      </c>
      <c t="s" s="6" r="AM296">
        <v>92</v>
      </c>
      <c t="s" s="6" r="AN296">
        <v>92</v>
      </c>
      <c s="6" r="AP296">
        <v>7</v>
      </c>
      <c t="s" s="6" r="AQ296">
        <v>2514</v>
      </c>
      <c t="s" s="6" r="AR296">
        <v>2515</v>
      </c>
      <c s="6" r="AS296">
        <v>0</v>
      </c>
      <c s="6" r="AT296">
        <v>0</v>
      </c>
      <c s="6" r="AU296">
        <v>0</v>
      </c>
      <c s="6" r="AV296">
        <v>0</v>
      </c>
      <c s="6" r="AW296">
        <v>0</v>
      </c>
      <c s="6" r="AX296">
        <v>0</v>
      </c>
      <c s="6" r="AY296">
        <v>0</v>
      </c>
      <c s="6" r="AZ296">
        <v>0</v>
      </c>
      <c s="6" r="BA296">
        <v>0</v>
      </c>
      <c s="6" r="BB296">
        <v>0</v>
      </c>
      <c s="6" r="BC296">
        <v>0</v>
      </c>
      <c s="6" r="BD296">
        <v>0</v>
      </c>
      <c s="6" r="BE296">
        <v>0</v>
      </c>
      <c s="6" r="BF296">
        <v>0</v>
      </c>
      <c s="6" r="BG296">
        <v>0</v>
      </c>
      <c s="6" r="BH296">
        <v>0</v>
      </c>
      <c s="6" r="BI296">
        <v>0</v>
      </c>
      <c s="6" r="BJ296">
        <v>0</v>
      </c>
      <c s="6" r="BK296">
        <v>0</v>
      </c>
      <c s="6" r="BL296">
        <v>0</v>
      </c>
      <c s="6" r="BM296">
        <v>0</v>
      </c>
      <c s="6" r="BN296">
        <v>0</v>
      </c>
      <c s="6" r="BO296">
        <v>0</v>
      </c>
      <c s="6" r="BP296">
        <v>0</v>
      </c>
      <c s="6" r="BQ296">
        <v>0</v>
      </c>
      <c t="str" s="6" r="BR296">
        <f>HYPERLINK("http://www.d20pfsrd.com/magic/all-spells/i/inflict-serious-wounds","Inflict Serious Wounds, Mass")</f>
        <v>Inflict Serious Wounds, Mass</v>
      </c>
      <c s="6" r="BS296">
        <v>295</v>
      </c>
      <c t="s" s="6" r="BT296">
        <v>92</v>
      </c>
      <c s="6" r="BY296">
        <v>0</v>
      </c>
    </row>
    <row customHeight="1" r="297" ht="14.25">
      <c t="s" s="6" r="A297">
        <v>2317</v>
      </c>
      <c t="s" s="6" r="B297">
        <v>115</v>
      </c>
      <c t="s" s="6" r="C297">
        <v>116</v>
      </c>
      <c t="s" s="6" r="D297">
        <v>117</v>
      </c>
      <c t="s" s="6" r="E297">
        <v>344</v>
      </c>
      <c t="s" s="6" r="F297">
        <v>81</v>
      </c>
      <c t="s" s="6" r="G297">
        <v>106</v>
      </c>
      <c s="6" r="H297">
        <v>0</v>
      </c>
      <c t="s" s="6" r="I297">
        <v>97</v>
      </c>
      <c t="s" s="6" r="L297">
        <v>473</v>
      </c>
      <c t="s" s="6" r="M297">
        <v>109</v>
      </c>
      <c s="6" r="N297">
        <v>0</v>
      </c>
      <c s="6" r="O297">
        <v>0</v>
      </c>
      <c t="s" s="6" r="P297">
        <v>221</v>
      </c>
      <c t="s" s="6" r="Q297">
        <v>188</v>
      </c>
      <c t="s" s="6" r="R297">
        <v>2516</v>
      </c>
      <c t="s" s="6" r="S297">
        <v>2517</v>
      </c>
      <c t="s" s="6" r="T297">
        <v>90</v>
      </c>
      <c t="s" s="6" r="U297">
        <v>2518</v>
      </c>
      <c s="6" r="V297">
        <v>1</v>
      </c>
      <c s="6" r="W297">
        <v>1</v>
      </c>
      <c s="6" r="X297">
        <v>0</v>
      </c>
      <c s="6" r="Y297">
        <v>0</v>
      </c>
      <c s="6" r="Z297">
        <v>0</v>
      </c>
      <c s="6" r="AA297">
        <v>7</v>
      </c>
      <c s="6" r="AB297">
        <v>7</v>
      </c>
      <c t="s" s="6" r="AC297">
        <v>92</v>
      </c>
      <c t="s" s="6" r="AD297">
        <v>92</v>
      </c>
      <c t="s" s="6" r="AE297">
        <v>92</v>
      </c>
      <c t="s" s="6" r="AF297">
        <v>92</v>
      </c>
      <c t="s" s="6" r="AG297">
        <v>92</v>
      </c>
      <c t="s" s="6" r="AH297">
        <v>92</v>
      </c>
      <c t="s" s="6" r="AI297">
        <v>92</v>
      </c>
      <c s="6" r="AJ297">
        <v>7</v>
      </c>
      <c t="s" s="6" r="AK297">
        <v>92</v>
      </c>
      <c t="s" s="6" r="AL297">
        <v>92</v>
      </c>
      <c t="s" s="6" r="AM297">
        <v>92</v>
      </c>
      <c t="s" s="6" r="AN297">
        <v>92</v>
      </c>
      <c s="6" r="AP297">
        <v>7</v>
      </c>
      <c t="s" s="6" r="AQ297">
        <v>2519</v>
      </c>
      <c t="s" s="6" r="AR297">
        <v>2520</v>
      </c>
      <c s="6" r="AS297">
        <v>0</v>
      </c>
      <c s="6" r="AT297">
        <v>0</v>
      </c>
      <c s="6" r="AU297">
        <v>0</v>
      </c>
      <c s="6" r="AV297">
        <v>0</v>
      </c>
      <c s="6" r="AW297">
        <v>0</v>
      </c>
      <c s="6" r="AX297">
        <v>0</v>
      </c>
      <c s="6" r="AY297">
        <v>0</v>
      </c>
      <c s="6" r="AZ297">
        <v>0</v>
      </c>
      <c s="6" r="BA297">
        <v>0</v>
      </c>
      <c s="6" r="BB297">
        <v>0</v>
      </c>
      <c s="6" r="BC297">
        <v>0</v>
      </c>
      <c s="6" r="BD297">
        <v>0</v>
      </c>
      <c s="6" r="BE297">
        <v>0</v>
      </c>
      <c s="6" r="BF297">
        <v>0</v>
      </c>
      <c s="6" r="BG297">
        <v>0</v>
      </c>
      <c s="6" r="BH297">
        <v>0</v>
      </c>
      <c s="6" r="BI297">
        <v>0</v>
      </c>
      <c s="6" r="BJ297">
        <v>0</v>
      </c>
      <c s="6" r="BK297">
        <v>0</v>
      </c>
      <c s="6" r="BL297">
        <v>1</v>
      </c>
      <c s="6" r="BM297">
        <v>0</v>
      </c>
      <c s="6" r="BN297">
        <v>0</v>
      </c>
      <c s="6" r="BO297">
        <v>0</v>
      </c>
      <c s="6" r="BP297">
        <v>0</v>
      </c>
      <c s="6" r="BQ297">
        <v>0</v>
      </c>
      <c t="str" s="6" r="BR297">
        <f>HYPERLINK("http://www.d20pfsrd.com/magic/all-spells/i/insanity","Insanity")</f>
        <v>Insanity</v>
      </c>
      <c s="6" r="BS297">
        <v>296</v>
      </c>
      <c t="s" s="6" r="BT297">
        <v>92</v>
      </c>
      <c t="s" s="6" r="BU297">
        <v>469</v>
      </c>
      <c t="s" s="6" r="BV297">
        <v>2317</v>
      </c>
      <c s="6" r="BY297">
        <v>0</v>
      </c>
    </row>
    <row customHeight="1" r="298" ht="14.25">
      <c t="s" s="6" r="A298">
        <v>2521</v>
      </c>
      <c t="s" s="6" r="B298">
        <v>493</v>
      </c>
      <c t="s" s="6" r="D298">
        <v>58</v>
      </c>
      <c t="s" s="6" r="E298">
        <v>2522</v>
      </c>
      <c t="s" s="6" r="F298">
        <v>81</v>
      </c>
      <c t="s" s="6" r="G298">
        <v>1059</v>
      </c>
      <c s="6" r="H298">
        <v>0</v>
      </c>
      <c t="s" s="6" r="I298">
        <v>97</v>
      </c>
      <c t="s" s="6" r="K298">
        <v>796</v>
      </c>
      <c t="s" s="6" r="M298">
        <v>99</v>
      </c>
      <c s="6" r="N298">
        <v>1</v>
      </c>
      <c s="6" r="O298">
        <v>0</v>
      </c>
      <c t="s" s="6" r="P298">
        <v>86</v>
      </c>
      <c t="s" s="6" r="Q298">
        <v>188</v>
      </c>
      <c t="s" s="6" r="R298">
        <v>2523</v>
      </c>
      <c t="s" s="6" r="S298">
        <v>2524</v>
      </c>
      <c t="s" s="6" r="T298">
        <v>90</v>
      </c>
      <c t="s" s="6" r="U298">
        <v>2525</v>
      </c>
      <c s="6" r="V298">
        <v>1</v>
      </c>
      <c s="6" r="W298">
        <v>1</v>
      </c>
      <c s="6" r="X298">
        <v>0</v>
      </c>
      <c s="6" r="Y298">
        <v>1</v>
      </c>
      <c s="6" r="Z298">
        <v>0</v>
      </c>
      <c s="6" r="AA298">
        <v>5</v>
      </c>
      <c s="6" r="AB298">
        <v>5</v>
      </c>
      <c t="s" s="6" r="AC298">
        <v>92</v>
      </c>
      <c t="s" s="6" r="AD298">
        <v>92</v>
      </c>
      <c t="s" s="6" r="AE298">
        <v>92</v>
      </c>
      <c t="s" s="6" r="AF298">
        <v>92</v>
      </c>
      <c t="s" s="6" r="AG298">
        <v>92</v>
      </c>
      <c t="s" s="6" r="AH298">
        <v>92</v>
      </c>
      <c t="s" s="6" r="AI298">
        <v>92</v>
      </c>
      <c t="s" s="6" r="AJ298">
        <v>92</v>
      </c>
      <c t="s" s="6" r="AK298">
        <v>92</v>
      </c>
      <c t="s" s="6" r="AL298">
        <v>92</v>
      </c>
      <c t="s" s="6" r="AM298">
        <v>92</v>
      </c>
      <c s="6" r="AN298">
        <v>5</v>
      </c>
      <c s="6" r="AP298">
        <v>5</v>
      </c>
      <c t="s" s="6" r="AR298">
        <v>2526</v>
      </c>
      <c s="6" r="AS298">
        <v>0</v>
      </c>
      <c s="6" r="AT298">
        <v>0</v>
      </c>
      <c s="6" r="AU298">
        <v>0</v>
      </c>
      <c s="6" r="AV298">
        <v>0</v>
      </c>
      <c s="6" r="AW298">
        <v>0</v>
      </c>
      <c s="6" r="AX298">
        <v>0</v>
      </c>
      <c s="6" r="AY298">
        <v>0</v>
      </c>
      <c s="6" r="AZ298">
        <v>0</v>
      </c>
      <c s="6" r="BA298">
        <v>0</v>
      </c>
      <c s="6" r="BB298">
        <v>0</v>
      </c>
      <c s="6" r="BC298">
        <v>0</v>
      </c>
      <c s="6" r="BD298">
        <v>0</v>
      </c>
      <c s="6" r="BE298">
        <v>0</v>
      </c>
      <c s="6" r="BF298">
        <v>0</v>
      </c>
      <c s="6" r="BG298">
        <v>1</v>
      </c>
      <c s="6" r="BH298">
        <v>0</v>
      </c>
      <c s="6" r="BI298">
        <v>0</v>
      </c>
      <c s="6" r="BJ298">
        <v>0</v>
      </c>
      <c s="6" r="BK298">
        <v>0</v>
      </c>
      <c s="6" r="BL298">
        <v>0</v>
      </c>
      <c s="6" r="BM298">
        <v>0</v>
      </c>
      <c s="6" r="BN298">
        <v>0</v>
      </c>
      <c s="6" r="BO298">
        <v>0</v>
      </c>
      <c s="6" r="BP298">
        <v>0</v>
      </c>
      <c s="6" r="BQ298">
        <v>0</v>
      </c>
      <c t="str" s="6" r="BR298">
        <f>HYPERLINK("http://www.d20pfsrd.com/magic/all-spells/i/interposing-hand","Interposing Hand")</f>
        <v>Interposing Hand</v>
      </c>
      <c s="6" r="BS298">
        <v>297</v>
      </c>
      <c t="s" s="6" r="BT298">
        <v>92</v>
      </c>
      <c s="6" r="BY298">
        <v>0</v>
      </c>
    </row>
    <row customHeight="1" r="299" ht="14.25">
      <c t="s" s="6" r="A299">
        <v>2527</v>
      </c>
      <c t="s" s="6" r="B299">
        <v>579</v>
      </c>
      <c t="s" s="6" r="C299">
        <v>580</v>
      </c>
      <c t="s" s="6" r="E299">
        <v>2528</v>
      </c>
      <c t="s" s="6" r="F299">
        <v>81</v>
      </c>
      <c t="s" s="6" r="G299">
        <v>2529</v>
      </c>
      <c s="6" r="H299">
        <v>0</v>
      </c>
      <c t="s" s="6" r="I299">
        <v>1766</v>
      </c>
      <c t="s" s="6" r="L299">
        <v>2530</v>
      </c>
      <c t="s" s="6" r="M299">
        <v>496</v>
      </c>
      <c s="6" r="N299">
        <v>1</v>
      </c>
      <c s="6" r="O299">
        <v>0</v>
      </c>
      <c t="s" s="6" r="P299">
        <v>2531</v>
      </c>
      <c t="s" s="6" r="Q299">
        <v>2532</v>
      </c>
      <c t="s" s="6" r="R299">
        <v>2533</v>
      </c>
      <c t="s" s="6" r="S299">
        <v>2534</v>
      </c>
      <c t="s" s="6" r="T299">
        <v>90</v>
      </c>
      <c t="s" s="6" r="U299">
        <v>2535</v>
      </c>
      <c s="6" r="V299">
        <v>1</v>
      </c>
      <c s="6" r="W299">
        <v>1</v>
      </c>
      <c s="6" r="X299">
        <v>1</v>
      </c>
      <c s="6" r="Y299">
        <v>0</v>
      </c>
      <c s="6" r="Z299">
        <v>1</v>
      </c>
      <c s="6" r="AA299">
        <v>2</v>
      </c>
      <c s="6" r="AB299">
        <v>2</v>
      </c>
      <c t="s" s="6" r="AC299">
        <v>92</v>
      </c>
      <c t="s" s="6" r="AD299">
        <v>92</v>
      </c>
      <c t="s" s="6" r="AE299">
        <v>92</v>
      </c>
      <c s="6" r="AF299">
        <v>2</v>
      </c>
      <c t="s" s="6" r="AG299">
        <v>92</v>
      </c>
      <c s="6" r="AH299">
        <v>2</v>
      </c>
      <c s="6" r="AI299">
        <v>2</v>
      </c>
      <c t="s" s="6" r="AJ299">
        <v>92</v>
      </c>
      <c s="6" r="AK299">
        <v>2</v>
      </c>
      <c t="s" s="6" r="AL299">
        <v>92</v>
      </c>
      <c s="6" r="AM299">
        <v>2</v>
      </c>
      <c s="6" r="AN299">
        <v>2</v>
      </c>
      <c s="6" r="AP299">
        <v>2</v>
      </c>
      <c t="s" s="6" r="AQ299">
        <v>269</v>
      </c>
      <c t="s" s="6" r="AR299">
        <v>2536</v>
      </c>
      <c s="6" r="AS299">
        <v>0</v>
      </c>
      <c s="6" r="AT299">
        <v>0</v>
      </c>
      <c s="6" r="AU299">
        <v>0</v>
      </c>
      <c s="6" r="AV299">
        <v>0</v>
      </c>
      <c s="6" r="AW299">
        <v>0</v>
      </c>
      <c s="6" r="AX299">
        <v>0</v>
      </c>
      <c s="6" r="AY299">
        <v>0</v>
      </c>
      <c s="6" r="AZ299">
        <v>0</v>
      </c>
      <c s="6" r="BA299">
        <v>0</v>
      </c>
      <c s="6" r="BB299">
        <v>0</v>
      </c>
      <c s="6" r="BC299">
        <v>0</v>
      </c>
      <c s="6" r="BD299">
        <v>0</v>
      </c>
      <c s="6" r="BE299">
        <v>0</v>
      </c>
      <c s="6" r="BF299">
        <v>0</v>
      </c>
      <c s="6" r="BG299">
        <v>0</v>
      </c>
      <c s="6" r="BH299">
        <v>0</v>
      </c>
      <c s="6" r="BI299">
        <v>0</v>
      </c>
      <c s="6" r="BJ299">
        <v>0</v>
      </c>
      <c s="6" r="BK299">
        <v>0</v>
      </c>
      <c s="6" r="BL299">
        <v>0</v>
      </c>
      <c s="6" r="BM299">
        <v>0</v>
      </c>
      <c s="6" r="BN299">
        <v>0</v>
      </c>
      <c s="6" r="BO299">
        <v>0</v>
      </c>
      <c s="6" r="BP299">
        <v>0</v>
      </c>
      <c s="6" r="BQ299">
        <v>0</v>
      </c>
      <c t="str" s="6" r="BR299">
        <f>HYPERLINK("http://www.d20pfsrd.com/magic/all-spells/i/invisibility","Invisibility")</f>
        <v>Invisibility</v>
      </c>
      <c s="6" r="BS299">
        <v>298</v>
      </c>
      <c t="s" s="6" r="BT299">
        <v>92</v>
      </c>
      <c t="s" s="6" r="BU299">
        <v>2537</v>
      </c>
      <c t="s" s="6" r="BV299">
        <v>2538</v>
      </c>
      <c t="s" s="6" r="BW299">
        <v>2539</v>
      </c>
      <c t="s" s="6" r="BX299">
        <v>2540</v>
      </c>
      <c s="6" r="BY299">
        <v>1</v>
      </c>
    </row>
    <row customHeight="1" r="300" ht="14.25">
      <c t="s" s="6" r="A300">
        <v>2541</v>
      </c>
      <c t="s" s="6" r="B300">
        <v>579</v>
      </c>
      <c t="s" s="6" r="C300">
        <v>580</v>
      </c>
      <c t="s" s="6" r="E300">
        <v>2542</v>
      </c>
      <c t="s" s="6" r="F300">
        <v>81</v>
      </c>
      <c t="s" s="6" r="G300">
        <v>106</v>
      </c>
      <c s="6" r="H300">
        <v>0</v>
      </c>
      <c t="s" s="6" r="I300">
        <v>1766</v>
      </c>
      <c t="s" s="6" r="L300">
        <v>1767</v>
      </c>
      <c t="s" s="6" r="M300">
        <v>99</v>
      </c>
      <c s="6" r="N300">
        <v>1</v>
      </c>
      <c s="6" r="O300">
        <v>0</v>
      </c>
      <c t="s" s="6" r="P300">
        <v>421</v>
      </c>
      <c t="s" s="6" r="Q300">
        <v>123</v>
      </c>
      <c t="s" s="6" r="R300">
        <v>2543</v>
      </c>
      <c t="s" s="6" r="S300">
        <v>2544</v>
      </c>
      <c t="s" s="6" r="T300">
        <v>90</v>
      </c>
      <c t="s" s="6" r="U300">
        <v>2545</v>
      </c>
      <c s="6" r="V300">
        <v>1</v>
      </c>
      <c s="6" r="W300">
        <v>1</v>
      </c>
      <c s="6" r="X300">
        <v>0</v>
      </c>
      <c s="6" r="Y300">
        <v>0</v>
      </c>
      <c s="6" r="Z300">
        <v>0</v>
      </c>
      <c s="6" r="AA300">
        <v>4</v>
      </c>
      <c s="6" r="AB300">
        <v>4</v>
      </c>
      <c t="s" s="6" r="AC300">
        <v>92</v>
      </c>
      <c t="s" s="6" r="AD300">
        <v>92</v>
      </c>
      <c t="s" s="6" r="AE300">
        <v>92</v>
      </c>
      <c s="6" r="AF300">
        <v>4</v>
      </c>
      <c t="s" s="6" r="AG300">
        <v>92</v>
      </c>
      <c s="6" r="AH300">
        <v>4</v>
      </c>
      <c s="6" r="AI300">
        <v>3</v>
      </c>
      <c t="s" s="6" r="AJ300">
        <v>92</v>
      </c>
      <c s="6" r="AK300">
        <v>4</v>
      </c>
      <c t="s" s="6" r="AL300">
        <v>92</v>
      </c>
      <c s="6" r="AM300">
        <v>4</v>
      </c>
      <c t="s" s="6" r="AN300">
        <v>92</v>
      </c>
      <c s="6" r="AP300">
        <v>4</v>
      </c>
      <c t="s" s="6" r="AR300">
        <v>2546</v>
      </c>
      <c s="6" r="AS300">
        <v>0</v>
      </c>
      <c s="6" r="AT300">
        <v>0</v>
      </c>
      <c s="6" r="AU300">
        <v>0</v>
      </c>
      <c s="6" r="AV300">
        <v>0</v>
      </c>
      <c s="6" r="AW300">
        <v>0</v>
      </c>
      <c s="6" r="AX300">
        <v>0</v>
      </c>
      <c s="6" r="AY300">
        <v>0</v>
      </c>
      <c s="6" r="AZ300">
        <v>0</v>
      </c>
      <c s="6" r="BA300">
        <v>0</v>
      </c>
      <c s="6" r="BB300">
        <v>0</v>
      </c>
      <c s="6" r="BC300">
        <v>0</v>
      </c>
      <c s="6" r="BD300">
        <v>0</v>
      </c>
      <c s="6" r="BE300">
        <v>0</v>
      </c>
      <c s="6" r="BF300">
        <v>0</v>
      </c>
      <c s="6" r="BG300">
        <v>0</v>
      </c>
      <c s="6" r="BH300">
        <v>0</v>
      </c>
      <c s="6" r="BI300">
        <v>0</v>
      </c>
      <c s="6" r="BJ300">
        <v>0</v>
      </c>
      <c s="6" r="BK300">
        <v>0</v>
      </c>
      <c s="6" r="BL300">
        <v>0</v>
      </c>
      <c s="6" r="BM300">
        <v>0</v>
      </c>
      <c s="6" r="BN300">
        <v>0</v>
      </c>
      <c s="6" r="BO300">
        <v>0</v>
      </c>
      <c s="6" r="BP300">
        <v>0</v>
      </c>
      <c s="6" r="BQ300">
        <v>0</v>
      </c>
      <c t="str" s="6" r="BR300">
        <f>HYPERLINK("http://www.d20pfsrd.com/magic/all-spells/i/invisibility","Invisibility, Greater")</f>
        <v>Invisibility, Greater</v>
      </c>
      <c s="6" r="BS300">
        <v>299</v>
      </c>
      <c t="s" s="6" r="BT300">
        <v>92</v>
      </c>
      <c s="6" r="BY300">
        <v>0</v>
      </c>
    </row>
    <row customHeight="1" r="301" ht="14.25">
      <c t="s" s="6" r="A301">
        <v>2547</v>
      </c>
      <c t="s" s="6" r="B301">
        <v>579</v>
      </c>
      <c t="s" s="6" r="C301">
        <v>580</v>
      </c>
      <c t="s" s="6" r="E301">
        <v>2548</v>
      </c>
      <c t="s" s="6" r="F301">
        <v>81</v>
      </c>
      <c t="s" s="6" r="G301">
        <v>106</v>
      </c>
      <c s="6" r="H301">
        <v>0</v>
      </c>
      <c t="s" s="6" r="I301">
        <v>83</v>
      </c>
      <c t="s" s="6" r="L301">
        <v>2549</v>
      </c>
      <c t="s" s="6" r="M301">
        <v>99</v>
      </c>
      <c s="6" r="N301">
        <v>1</v>
      </c>
      <c s="6" r="O301">
        <v>0</v>
      </c>
      <c t="s" s="6" r="P301">
        <v>421</v>
      </c>
      <c t="s" s="6" r="Q301">
        <v>123</v>
      </c>
      <c t="s" s="6" r="R301">
        <v>2550</v>
      </c>
      <c t="s" s="6" r="S301">
        <v>2551</v>
      </c>
      <c t="s" s="6" r="T301">
        <v>90</v>
      </c>
      <c t="s" s="6" r="U301">
        <v>2552</v>
      </c>
      <c s="6" r="V301">
        <v>1</v>
      </c>
      <c s="6" r="W301">
        <v>1</v>
      </c>
      <c s="6" r="X301">
        <v>0</v>
      </c>
      <c s="6" r="Y301">
        <v>0</v>
      </c>
      <c s="6" r="Z301">
        <v>0</v>
      </c>
      <c s="6" r="AA301">
        <v>7</v>
      </c>
      <c s="6" r="AB301">
        <v>7</v>
      </c>
      <c t="s" s="6" r="AC301">
        <v>92</v>
      </c>
      <c t="s" s="6" r="AD301">
        <v>92</v>
      </c>
      <c t="s" s="6" r="AE301">
        <v>92</v>
      </c>
      <c t="s" s="6" r="AF301">
        <v>92</v>
      </c>
      <c t="s" s="6" r="AG301">
        <v>92</v>
      </c>
      <c t="s" s="6" r="AH301">
        <v>92</v>
      </c>
      <c s="6" r="AI301">
        <v>5</v>
      </c>
      <c t="s" s="6" r="AJ301">
        <v>92</v>
      </c>
      <c t="s" s="6" r="AK301">
        <v>92</v>
      </c>
      <c t="s" s="6" r="AL301">
        <v>92</v>
      </c>
      <c t="s" s="6" r="AM301">
        <v>92</v>
      </c>
      <c t="s" s="6" r="AN301">
        <v>92</v>
      </c>
      <c s="6" r="AP301">
        <v>7</v>
      </c>
      <c t="s" s="6" r="AQ301">
        <v>269</v>
      </c>
      <c t="s" s="6" r="AR301">
        <v>2553</v>
      </c>
      <c s="6" r="AS301">
        <v>0</v>
      </c>
      <c s="6" r="AT301">
        <v>0</v>
      </c>
      <c s="6" r="AU301">
        <v>0</v>
      </c>
      <c s="6" r="AV301">
        <v>0</v>
      </c>
      <c s="6" r="AW301">
        <v>0</v>
      </c>
      <c s="6" r="AX301">
        <v>0</v>
      </c>
      <c s="6" r="AY301">
        <v>0</v>
      </c>
      <c s="6" r="AZ301">
        <v>0</v>
      </c>
      <c s="6" r="BA301">
        <v>0</v>
      </c>
      <c s="6" r="BB301">
        <v>0</v>
      </c>
      <c s="6" r="BC301">
        <v>0</v>
      </c>
      <c s="6" r="BD301">
        <v>0</v>
      </c>
      <c s="6" r="BE301">
        <v>0</v>
      </c>
      <c s="6" r="BF301">
        <v>0</v>
      </c>
      <c s="6" r="BG301">
        <v>0</v>
      </c>
      <c s="6" r="BH301">
        <v>0</v>
      </c>
      <c s="6" r="BI301">
        <v>0</v>
      </c>
      <c s="6" r="BJ301">
        <v>0</v>
      </c>
      <c s="6" r="BK301">
        <v>0</v>
      </c>
      <c s="6" r="BL301">
        <v>0</v>
      </c>
      <c s="6" r="BM301">
        <v>0</v>
      </c>
      <c s="6" r="BN301">
        <v>0</v>
      </c>
      <c s="6" r="BO301">
        <v>0</v>
      </c>
      <c s="6" r="BP301">
        <v>0</v>
      </c>
      <c s="6" r="BQ301">
        <v>0</v>
      </c>
      <c t="str" s="6" r="BR301">
        <f>HYPERLINK("http://www.d20pfsrd.com/magic/all-spells/i/invisibility","Invisibility, Mass")</f>
        <v>Invisibility, Mass</v>
      </c>
      <c s="6" r="BS301">
        <v>300</v>
      </c>
      <c t="s" s="6" r="BT301">
        <v>92</v>
      </c>
      <c t="s" s="6" r="BV301">
        <v>575</v>
      </c>
      <c s="6" r="BY301">
        <v>0</v>
      </c>
    </row>
    <row customHeight="1" r="302" ht="14.25">
      <c t="s" s="6" r="A302">
        <v>2554</v>
      </c>
      <c t="s" s="6" r="B302">
        <v>493</v>
      </c>
      <c t="s" s="6" r="E302">
        <v>2555</v>
      </c>
      <c t="s" s="6" r="F302">
        <v>81</v>
      </c>
      <c t="s" s="6" r="G302">
        <v>106</v>
      </c>
      <c s="6" r="H302">
        <v>0</v>
      </c>
      <c t="s" s="6" r="I302">
        <v>155</v>
      </c>
      <c t="s" s="6" r="L302">
        <v>156</v>
      </c>
      <c t="s" s="6" r="M302">
        <v>122</v>
      </c>
      <c s="6" r="N302">
        <v>1</v>
      </c>
      <c s="6" r="O302">
        <v>0</v>
      </c>
      <c t="s" s="6" r="R302">
        <v>2556</v>
      </c>
      <c t="s" s="6" r="S302">
        <v>2557</v>
      </c>
      <c t="s" s="6" r="T302">
        <v>90</v>
      </c>
      <c t="s" s="6" r="U302">
        <v>2558</v>
      </c>
      <c s="6" r="V302">
        <v>1</v>
      </c>
      <c s="6" r="W302">
        <v>1</v>
      </c>
      <c s="6" r="X302">
        <v>0</v>
      </c>
      <c s="6" r="Y302">
        <v>0</v>
      </c>
      <c s="6" r="Z302">
        <v>0</v>
      </c>
      <c t="s" s="6" r="AA302">
        <v>92</v>
      </c>
      <c t="s" s="6" r="AB302">
        <v>92</v>
      </c>
      <c s="6" r="AC302">
        <v>3</v>
      </c>
      <c t="s" s="6" r="AD302">
        <v>92</v>
      </c>
      <c t="s" s="6" r="AE302">
        <v>92</v>
      </c>
      <c t="s" s="6" r="AF302">
        <v>92</v>
      </c>
      <c t="s" s="6" r="AG302">
        <v>92</v>
      </c>
      <c t="s" s="6" r="AH302">
        <v>92</v>
      </c>
      <c t="s" s="6" r="AI302">
        <v>92</v>
      </c>
      <c t="s" s="6" r="AJ302">
        <v>92</v>
      </c>
      <c s="6" r="AK302">
        <v>3</v>
      </c>
      <c s="6" r="AL302">
        <v>3</v>
      </c>
      <c t="s" s="6" r="AM302">
        <v>92</v>
      </c>
      <c t="s" s="6" r="AN302">
        <v>92</v>
      </c>
      <c s="6" r="AP302">
        <v>3</v>
      </c>
      <c t="s" s="6" r="AR302">
        <v>2559</v>
      </c>
      <c s="6" r="AS302">
        <v>0</v>
      </c>
      <c s="6" r="AT302">
        <v>0</v>
      </c>
      <c s="6" r="AU302">
        <v>0</v>
      </c>
      <c s="6" r="AV302">
        <v>0</v>
      </c>
      <c s="6" r="AW302">
        <v>0</v>
      </c>
      <c s="6" r="AX302">
        <v>0</v>
      </c>
      <c s="6" r="AY302">
        <v>0</v>
      </c>
      <c s="6" r="AZ302">
        <v>0</v>
      </c>
      <c s="6" r="BA302">
        <v>0</v>
      </c>
      <c s="6" r="BB302">
        <v>0</v>
      </c>
      <c s="6" r="BC302">
        <v>0</v>
      </c>
      <c s="6" r="BD302">
        <v>0</v>
      </c>
      <c s="6" r="BE302">
        <v>0</v>
      </c>
      <c s="6" r="BF302">
        <v>0</v>
      </c>
      <c s="6" r="BG302">
        <v>0</v>
      </c>
      <c s="6" r="BH302">
        <v>0</v>
      </c>
      <c s="6" r="BI302">
        <v>0</v>
      </c>
      <c s="6" r="BJ302">
        <v>0</v>
      </c>
      <c s="6" r="BK302">
        <v>0</v>
      </c>
      <c s="6" r="BL302">
        <v>0</v>
      </c>
      <c s="6" r="BM302">
        <v>0</v>
      </c>
      <c s="6" r="BN302">
        <v>0</v>
      </c>
      <c s="6" r="BO302">
        <v>0</v>
      </c>
      <c s="6" r="BP302">
        <v>0</v>
      </c>
      <c s="6" r="BQ302">
        <v>0</v>
      </c>
      <c t="str" s="6" r="BR302">
        <f>HYPERLINK("http://www.d20pfsrd.com/magic/all-spells/i/invisibility-purge","Invisibility Purge")</f>
        <v>Invisibility Purge</v>
      </c>
      <c s="6" r="BS302">
        <v>301</v>
      </c>
      <c t="s" s="6" r="BT302">
        <v>92</v>
      </c>
      <c s="6" r="BY302">
        <v>0</v>
      </c>
    </row>
    <row customHeight="1" r="303" ht="14.25">
      <c t="s" s="6" r="A303">
        <v>2560</v>
      </c>
      <c t="s" s="6" r="B303">
        <v>579</v>
      </c>
      <c t="s" s="6" r="C303">
        <v>580</v>
      </c>
      <c t="s" s="6" r="E303">
        <v>2426</v>
      </c>
      <c t="s" s="6" r="F303">
        <v>81</v>
      </c>
      <c t="s" s="6" r="G303">
        <v>1051</v>
      </c>
      <c s="6" r="H303">
        <v>0</v>
      </c>
      <c t="s" s="6" r="J303">
        <v>2561</v>
      </c>
      <c t="s" s="6" r="M303">
        <v>496</v>
      </c>
      <c s="6" r="N303">
        <v>1</v>
      </c>
      <c s="6" r="O303">
        <v>0</v>
      </c>
      <c t="s" s="6" r="P303">
        <v>421</v>
      </c>
      <c t="s" s="6" r="Q303">
        <v>123</v>
      </c>
      <c t="s" s="6" r="R303">
        <v>2562</v>
      </c>
      <c t="s" s="6" r="S303">
        <v>2563</v>
      </c>
      <c t="s" s="6" r="T303">
        <v>90</v>
      </c>
      <c t="s" s="6" r="U303">
        <v>2564</v>
      </c>
      <c s="6" r="V303">
        <v>1</v>
      </c>
      <c s="6" r="W303">
        <v>1</v>
      </c>
      <c s="6" r="X303">
        <v>1</v>
      </c>
      <c s="6" r="Y303">
        <v>0</v>
      </c>
      <c s="6" r="Z303">
        <v>0</v>
      </c>
      <c s="6" r="AA303">
        <v>3</v>
      </c>
      <c s="6" r="AB303">
        <v>3</v>
      </c>
      <c t="s" s="6" r="AC303">
        <v>92</v>
      </c>
      <c t="s" s="6" r="AD303">
        <v>92</v>
      </c>
      <c t="s" s="6" r="AE303">
        <v>92</v>
      </c>
      <c s="6" r="AF303">
        <v>3</v>
      </c>
      <c t="s" s="6" r="AG303">
        <v>92</v>
      </c>
      <c t="s" s="6" r="AH303">
        <v>92</v>
      </c>
      <c t="s" s="6" r="AI303">
        <v>92</v>
      </c>
      <c t="s" s="6" r="AJ303">
        <v>92</v>
      </c>
      <c t="s" s="6" r="AK303">
        <v>92</v>
      </c>
      <c t="s" s="6" r="AL303">
        <v>92</v>
      </c>
      <c t="s" s="6" r="AM303">
        <v>92</v>
      </c>
      <c t="s" s="6" r="AN303">
        <v>92</v>
      </c>
      <c s="6" r="AP303">
        <v>3</v>
      </c>
      <c t="s" s="6" r="AR303">
        <v>2565</v>
      </c>
      <c s="6" r="AS303">
        <v>0</v>
      </c>
      <c s="6" r="AT303">
        <v>0</v>
      </c>
      <c s="6" r="AU303">
        <v>0</v>
      </c>
      <c s="6" r="AV303">
        <v>0</v>
      </c>
      <c s="6" r="AW303">
        <v>0</v>
      </c>
      <c s="6" r="AX303">
        <v>0</v>
      </c>
      <c s="6" r="AY303">
        <v>0</v>
      </c>
      <c s="6" r="AZ303">
        <v>0</v>
      </c>
      <c s="6" r="BA303">
        <v>0</v>
      </c>
      <c s="6" r="BB303">
        <v>0</v>
      </c>
      <c s="6" r="BC303">
        <v>0</v>
      </c>
      <c s="6" r="BD303">
        <v>0</v>
      </c>
      <c s="6" r="BE303">
        <v>0</v>
      </c>
      <c s="6" r="BF303">
        <v>0</v>
      </c>
      <c s="6" r="BG303">
        <v>0</v>
      </c>
      <c s="6" r="BH303">
        <v>0</v>
      </c>
      <c s="6" r="BI303">
        <v>0</v>
      </c>
      <c s="6" r="BJ303">
        <v>0</v>
      </c>
      <c s="6" r="BK303">
        <v>0</v>
      </c>
      <c s="6" r="BL303">
        <v>0</v>
      </c>
      <c s="6" r="BM303">
        <v>0</v>
      </c>
      <c s="6" r="BN303">
        <v>0</v>
      </c>
      <c s="6" r="BO303">
        <v>0</v>
      </c>
      <c s="6" r="BP303">
        <v>0</v>
      </c>
      <c s="6" r="BQ303">
        <v>0</v>
      </c>
      <c t="str" s="6" r="BR303">
        <f>HYPERLINK("http://www.d20pfsrd.com/magic/all-spells/i/invisibility-sphere","Invisibility Sphere")</f>
        <v>Invisibility Sphere</v>
      </c>
      <c s="6" r="BS303">
        <v>302</v>
      </c>
      <c t="s" s="6" r="BT303">
        <v>92</v>
      </c>
      <c s="6" r="BY303">
        <v>0</v>
      </c>
    </row>
    <row customHeight="1" r="304" ht="14.25">
      <c t="s" s="6" r="A304">
        <v>2566</v>
      </c>
      <c t="s" s="6" r="B304">
        <v>131</v>
      </c>
      <c t="s" s="6" r="E304">
        <v>794</v>
      </c>
      <c t="s" s="6" r="F304">
        <v>81</v>
      </c>
      <c t="s" s="6" r="G304">
        <v>2567</v>
      </c>
      <c s="6" r="H304">
        <v>0</v>
      </c>
      <c t="s" s="6" r="I304">
        <v>155</v>
      </c>
      <c t="s" s="6" r="L304">
        <v>156</v>
      </c>
      <c t="s" s="6" r="M304">
        <v>122</v>
      </c>
      <c s="6" r="N304">
        <v>1</v>
      </c>
      <c s="6" r="O304">
        <v>0</v>
      </c>
      <c t="s" s="6" r="R304">
        <v>2568</v>
      </c>
      <c t="s" s="6" r="S304">
        <v>2569</v>
      </c>
      <c t="s" s="6" r="T304">
        <v>90</v>
      </c>
      <c t="s" s="6" r="U304">
        <v>2570</v>
      </c>
      <c s="6" r="V304">
        <v>1</v>
      </c>
      <c s="6" r="W304">
        <v>1</v>
      </c>
      <c s="6" r="X304">
        <v>1</v>
      </c>
      <c s="6" r="Y304">
        <v>0</v>
      </c>
      <c s="6" r="Z304">
        <v>1</v>
      </c>
      <c s="6" r="AA304">
        <v>8</v>
      </c>
      <c s="6" r="AB304">
        <v>8</v>
      </c>
      <c t="s" s="6" r="AC304">
        <v>92</v>
      </c>
      <c t="s" s="6" r="AD304">
        <v>92</v>
      </c>
      <c t="s" s="6" r="AE304">
        <v>92</v>
      </c>
      <c t="s" s="6" r="AF304">
        <v>92</v>
      </c>
      <c t="s" s="6" r="AG304">
        <v>92</v>
      </c>
      <c t="s" s="6" r="AH304">
        <v>92</v>
      </c>
      <c t="s" s="6" r="AI304">
        <v>92</v>
      </c>
      <c t="s" s="6" r="AJ304">
        <v>92</v>
      </c>
      <c t="s" s="6" r="AK304">
        <v>92</v>
      </c>
      <c t="s" s="6" r="AL304">
        <v>92</v>
      </c>
      <c t="s" s="6" r="AM304">
        <v>92</v>
      </c>
      <c t="s" s="6" r="AN304">
        <v>92</v>
      </c>
      <c s="6" r="AP304">
        <v>8</v>
      </c>
      <c t="s" s="6" r="AQ304">
        <v>2571</v>
      </c>
      <c t="s" s="6" r="AR304">
        <v>2572</v>
      </c>
      <c s="6" r="AS304">
        <v>0</v>
      </c>
      <c s="6" r="AT304">
        <v>0</v>
      </c>
      <c s="6" r="AU304">
        <v>0</v>
      </c>
      <c s="6" r="AV304">
        <v>0</v>
      </c>
      <c s="6" r="AW304">
        <v>0</v>
      </c>
      <c s="6" r="AX304">
        <v>0</v>
      </c>
      <c s="6" r="AY304">
        <v>0</v>
      </c>
      <c s="6" r="AZ304">
        <v>0</v>
      </c>
      <c s="6" r="BA304">
        <v>0</v>
      </c>
      <c s="6" r="BB304">
        <v>0</v>
      </c>
      <c s="6" r="BC304">
        <v>0</v>
      </c>
      <c s="6" r="BD304">
        <v>0</v>
      </c>
      <c s="6" r="BE304">
        <v>0</v>
      </c>
      <c s="6" r="BF304">
        <v>0</v>
      </c>
      <c s="6" r="BG304">
        <v>0</v>
      </c>
      <c s="6" r="BH304">
        <v>0</v>
      </c>
      <c s="6" r="BI304">
        <v>0</v>
      </c>
      <c s="6" r="BJ304">
        <v>0</v>
      </c>
      <c s="6" r="BK304">
        <v>0</v>
      </c>
      <c s="6" r="BL304">
        <v>0</v>
      </c>
      <c s="6" r="BM304">
        <v>0</v>
      </c>
      <c s="6" r="BN304">
        <v>0</v>
      </c>
      <c s="6" r="BO304">
        <v>0</v>
      </c>
      <c s="6" r="BP304">
        <v>0</v>
      </c>
      <c s="6" r="BQ304">
        <v>0</v>
      </c>
      <c t="str" s="6" r="BR304">
        <f>HYPERLINK("http://www.d20pfsrd.com/magic/all-spells/i/iron-body","Iron Body")</f>
        <v>Iron Body</v>
      </c>
      <c s="6" r="BS304">
        <v>304</v>
      </c>
      <c t="s" s="6" r="BT304">
        <v>92</v>
      </c>
      <c t="s" s="6" r="BU304">
        <v>2573</v>
      </c>
      <c t="s" s="6" r="BV304">
        <v>434</v>
      </c>
      <c s="6" r="BY304">
        <v>0</v>
      </c>
    </row>
    <row customHeight="1" r="305" ht="14.25">
      <c t="s" s="6" r="A305">
        <v>2574</v>
      </c>
      <c t="s" s="6" r="B305">
        <v>131</v>
      </c>
      <c t="s" s="6" r="E305">
        <v>1799</v>
      </c>
      <c t="s" s="6" r="F305">
        <v>2575</v>
      </c>
      <c t="s" s="6" r="G305">
        <v>2576</v>
      </c>
      <c s="6" r="H305">
        <v>0</v>
      </c>
      <c t="s" s="6" r="I305">
        <v>813</v>
      </c>
      <c t="s" s="6" r="K305">
        <v>2577</v>
      </c>
      <c t="s" s="6" r="M305">
        <v>200</v>
      </c>
      <c s="6" r="N305">
        <v>1</v>
      </c>
      <c s="6" r="O305">
        <v>0</v>
      </c>
      <c t="s" s="6" r="P305">
        <v>86</v>
      </c>
      <c t="s" s="6" r="Q305">
        <v>87</v>
      </c>
      <c t="s" s="6" r="R305">
        <v>2578</v>
      </c>
      <c t="s" s="6" r="S305">
        <v>2579</v>
      </c>
      <c t="s" s="6" r="T305">
        <v>90</v>
      </c>
      <c t="s" s="6" r="U305">
        <v>2580</v>
      </c>
      <c s="6" r="V305">
        <v>1</v>
      </c>
      <c s="6" r="W305">
        <v>1</v>
      </c>
      <c s="6" r="X305">
        <v>1</v>
      </c>
      <c s="6" r="Y305">
        <v>1</v>
      </c>
      <c s="6" r="Z305">
        <v>0</v>
      </c>
      <c t="s" s="6" r="AA305">
        <v>92</v>
      </c>
      <c t="s" s="6" r="AB305">
        <v>92</v>
      </c>
      <c t="s" s="6" r="AC305">
        <v>92</v>
      </c>
      <c s="6" r="AD305">
        <v>6</v>
      </c>
      <c t="s" s="6" r="AE305">
        <v>92</v>
      </c>
      <c t="s" s="6" r="AF305">
        <v>92</v>
      </c>
      <c t="s" s="6" r="AG305">
        <v>92</v>
      </c>
      <c t="s" s="6" r="AH305">
        <v>92</v>
      </c>
      <c t="s" s="6" r="AI305">
        <v>92</v>
      </c>
      <c t="s" s="6" r="AJ305">
        <v>92</v>
      </c>
      <c t="s" s="6" r="AK305">
        <v>92</v>
      </c>
      <c t="s" s="6" r="AL305">
        <v>92</v>
      </c>
      <c t="s" s="6" r="AM305">
        <v>92</v>
      </c>
      <c t="s" s="6" r="AN305">
        <v>92</v>
      </c>
      <c s="6" r="AP305">
        <v>6</v>
      </c>
      <c t="s" s="6" r="AR305">
        <v>2581</v>
      </c>
      <c s="6" r="AS305">
        <v>0</v>
      </c>
      <c s="6" r="AT305">
        <v>0</v>
      </c>
      <c s="6" r="AU305">
        <v>0</v>
      </c>
      <c s="6" r="AV305">
        <v>0</v>
      </c>
      <c s="6" r="AW305">
        <v>0</v>
      </c>
      <c s="6" r="AX305">
        <v>0</v>
      </c>
      <c s="6" r="AY305">
        <v>0</v>
      </c>
      <c s="6" r="AZ305">
        <v>0</v>
      </c>
      <c s="6" r="BA305">
        <v>0</v>
      </c>
      <c s="6" r="BB305">
        <v>0</v>
      </c>
      <c s="6" r="BC305">
        <v>0</v>
      </c>
      <c s="6" r="BD305">
        <v>0</v>
      </c>
      <c s="6" r="BE305">
        <v>0</v>
      </c>
      <c s="6" r="BF305">
        <v>0</v>
      </c>
      <c s="6" r="BG305">
        <v>0</v>
      </c>
      <c s="6" r="BH305">
        <v>0</v>
      </c>
      <c s="6" r="BI305">
        <v>0</v>
      </c>
      <c s="6" r="BJ305">
        <v>0</v>
      </c>
      <c s="6" r="BK305">
        <v>0</v>
      </c>
      <c s="6" r="BL305">
        <v>0</v>
      </c>
      <c s="6" r="BM305">
        <v>0</v>
      </c>
      <c s="6" r="BN305">
        <v>0</v>
      </c>
      <c s="6" r="BO305">
        <v>0</v>
      </c>
      <c s="6" r="BP305">
        <v>0</v>
      </c>
      <c s="6" r="BQ305">
        <v>0</v>
      </c>
      <c t="str" s="6" r="BR305">
        <f>HYPERLINK("http://www.d20pfsrd.com/magic/all-spells/i/ironwood","Ironwood")</f>
        <v>Ironwood</v>
      </c>
      <c s="6" r="BS305">
        <v>305</v>
      </c>
      <c t="s" s="6" r="BT305">
        <v>92</v>
      </c>
      <c s="6" r="BY305">
        <v>0</v>
      </c>
    </row>
    <row customHeight="1" r="306" ht="14.25">
      <c t="s" s="6" r="A306">
        <v>2582</v>
      </c>
      <c t="s" s="6" r="B306">
        <v>115</v>
      </c>
      <c t="s" s="6" r="C306">
        <v>116</v>
      </c>
      <c t="s" s="6" r="D306">
        <v>117</v>
      </c>
      <c t="s" s="6" r="E306">
        <v>2583</v>
      </c>
      <c t="s" s="6" r="F306">
        <v>81</v>
      </c>
      <c t="s" s="6" r="G306">
        <v>251</v>
      </c>
      <c s="6" r="H306">
        <v>0</v>
      </c>
      <c t="s" s="6" r="I306">
        <v>120</v>
      </c>
      <c t="s" s="6" r="L306">
        <v>121</v>
      </c>
      <c t="s" s="6" r="M306">
        <v>2584</v>
      </c>
      <c s="6" r="N306">
        <v>0</v>
      </c>
      <c s="6" r="O306">
        <v>0</v>
      </c>
      <c t="s" s="6" r="P306">
        <v>296</v>
      </c>
      <c t="s" s="6" r="Q306">
        <v>188</v>
      </c>
      <c t="s" s="6" r="R306">
        <v>2585</v>
      </c>
      <c t="s" s="6" r="S306">
        <v>2586</v>
      </c>
      <c t="s" s="6" r="T306">
        <v>90</v>
      </c>
      <c t="s" s="6" r="U306">
        <v>2587</v>
      </c>
      <c s="6" r="V306">
        <v>1</v>
      </c>
      <c s="6" r="W306">
        <v>0</v>
      </c>
      <c s="6" r="X306">
        <v>0</v>
      </c>
      <c s="6" r="Y306">
        <v>0</v>
      </c>
      <c s="6" r="Z306">
        <v>0</v>
      </c>
      <c s="6" r="AA306">
        <v>8</v>
      </c>
      <c s="6" r="AB306">
        <v>8</v>
      </c>
      <c t="s" s="6" r="AC306">
        <v>92</v>
      </c>
      <c t="s" s="6" r="AD306">
        <v>92</v>
      </c>
      <c t="s" s="6" r="AE306">
        <v>92</v>
      </c>
      <c s="6" r="AF306">
        <v>6</v>
      </c>
      <c t="s" s="6" r="AG306">
        <v>92</v>
      </c>
      <c t="s" s="6" r="AH306">
        <v>92</v>
      </c>
      <c t="s" s="6" r="AI306">
        <v>92</v>
      </c>
      <c s="6" r="AJ306">
        <v>8</v>
      </c>
      <c t="s" s="6" r="AK306">
        <v>92</v>
      </c>
      <c t="s" s="6" r="AL306">
        <v>92</v>
      </c>
      <c t="s" s="6" r="AM306">
        <v>92</v>
      </c>
      <c t="s" s="6" r="AN306">
        <v>92</v>
      </c>
      <c s="6" r="AP306">
        <v>8</v>
      </c>
      <c t="s" s="6" r="AR306">
        <v>2588</v>
      </c>
      <c s="6" r="AS306">
        <v>0</v>
      </c>
      <c s="6" r="AT306">
        <v>0</v>
      </c>
      <c s="6" r="AU306">
        <v>0</v>
      </c>
      <c s="6" r="AV306">
        <v>0</v>
      </c>
      <c s="6" r="AW306">
        <v>0</v>
      </c>
      <c s="6" r="AX306">
        <v>0</v>
      </c>
      <c s="6" r="AY306">
        <v>0</v>
      </c>
      <c s="6" r="AZ306">
        <v>0</v>
      </c>
      <c s="6" r="BA306">
        <v>0</v>
      </c>
      <c s="6" r="BB306">
        <v>0</v>
      </c>
      <c s="6" r="BC306">
        <v>0</v>
      </c>
      <c s="6" r="BD306">
        <v>0</v>
      </c>
      <c s="6" r="BE306">
        <v>0</v>
      </c>
      <c s="6" r="BF306">
        <v>0</v>
      </c>
      <c s="6" r="BG306">
        <v>0</v>
      </c>
      <c s="6" r="BH306">
        <v>0</v>
      </c>
      <c s="6" r="BI306">
        <v>0</v>
      </c>
      <c s="6" r="BJ306">
        <v>0</v>
      </c>
      <c s="6" r="BK306">
        <v>0</v>
      </c>
      <c s="6" r="BL306">
        <v>1</v>
      </c>
      <c s="6" r="BM306">
        <v>0</v>
      </c>
      <c s="6" r="BN306">
        <v>0</v>
      </c>
      <c s="6" r="BO306">
        <v>0</v>
      </c>
      <c s="6" r="BP306">
        <v>0</v>
      </c>
      <c s="6" r="BQ306">
        <v>0</v>
      </c>
      <c t="str" s="6" r="BR306">
        <f>HYPERLINK("http://www.d20pfsrd.com/magic/all-spells/i/irresistible-dance","Irresistible Dance")</f>
        <v>Irresistible Dance</v>
      </c>
      <c s="6" r="BS306">
        <v>306</v>
      </c>
      <c t="s" s="6" r="BT306">
        <v>92</v>
      </c>
      <c t="s" s="6" r="BU306">
        <v>2589</v>
      </c>
      <c s="6" r="BY306">
        <v>0</v>
      </c>
    </row>
    <row customHeight="1" r="307" ht="14.25">
      <c t="s" s="6" r="A307">
        <v>2590</v>
      </c>
      <c t="s" s="6" r="B307">
        <v>131</v>
      </c>
      <c t="s" s="6" r="E307">
        <v>2591</v>
      </c>
      <c t="s" s="6" r="F307">
        <v>81</v>
      </c>
      <c t="s" s="6" r="G307">
        <v>2592</v>
      </c>
      <c s="6" r="H307">
        <v>0</v>
      </c>
      <c t="s" s="6" r="I307">
        <v>120</v>
      </c>
      <c t="s" s="6" r="L307">
        <v>420</v>
      </c>
      <c t="s" s="6" r="M307">
        <v>122</v>
      </c>
      <c s="6" r="N307">
        <v>1</v>
      </c>
      <c s="6" r="O307">
        <v>0</v>
      </c>
      <c t="s" s="6" r="P307">
        <v>421</v>
      </c>
      <c t="s" s="6" r="Q307">
        <v>188</v>
      </c>
      <c t="s" s="6" r="R307">
        <v>2593</v>
      </c>
      <c t="s" s="6" r="S307">
        <v>2594</v>
      </c>
      <c t="s" s="6" r="T307">
        <v>90</v>
      </c>
      <c t="s" s="6" r="U307">
        <v>2595</v>
      </c>
      <c s="6" r="V307">
        <v>1</v>
      </c>
      <c s="6" r="W307">
        <v>1</v>
      </c>
      <c s="6" r="X307">
        <v>1</v>
      </c>
      <c s="6" r="Y307">
        <v>0</v>
      </c>
      <c s="6" r="Z307">
        <v>0</v>
      </c>
      <c s="6" r="AA307">
        <v>1</v>
      </c>
      <c s="6" r="AB307">
        <v>1</v>
      </c>
      <c t="s" s="6" r="AC307">
        <v>92</v>
      </c>
      <c s="6" r="AD307">
        <v>1</v>
      </c>
      <c s="6" r="AE307">
        <v>1</v>
      </c>
      <c t="s" s="6" r="AF307">
        <v>92</v>
      </c>
      <c t="s" s="6" r="AG307">
        <v>92</v>
      </c>
      <c s="6" r="AH307">
        <v>1</v>
      </c>
      <c s="6" r="AI307">
        <v>1</v>
      </c>
      <c t="s" s="6" r="AJ307">
        <v>92</v>
      </c>
      <c t="s" s="6" r="AK307">
        <v>92</v>
      </c>
      <c t="s" s="6" r="AL307">
        <v>92</v>
      </c>
      <c t="s" s="6" r="AM307">
        <v>92</v>
      </c>
      <c s="6" r="AN307">
        <v>1</v>
      </c>
      <c s="6" r="AP307">
        <v>1</v>
      </c>
      <c t="s" s="6" r="AR307">
        <v>2596</v>
      </c>
      <c s="6" r="AS307">
        <v>0</v>
      </c>
      <c s="6" r="AT307">
        <v>0</v>
      </c>
      <c s="6" r="AU307">
        <v>0</v>
      </c>
      <c s="6" r="AV307">
        <v>0</v>
      </c>
      <c s="6" r="AW307">
        <v>0</v>
      </c>
      <c s="6" r="AX307">
        <v>0</v>
      </c>
      <c s="6" r="AY307">
        <v>0</v>
      </c>
      <c s="6" r="AZ307">
        <v>0</v>
      </c>
      <c s="6" r="BA307">
        <v>0</v>
      </c>
      <c s="6" r="BB307">
        <v>0</v>
      </c>
      <c s="6" r="BC307">
        <v>0</v>
      </c>
      <c s="6" r="BD307">
        <v>0</v>
      </c>
      <c s="6" r="BE307">
        <v>0</v>
      </c>
      <c s="6" r="BF307">
        <v>0</v>
      </c>
      <c s="6" r="BG307">
        <v>0</v>
      </c>
      <c s="6" r="BH307">
        <v>0</v>
      </c>
      <c s="6" r="BI307">
        <v>0</v>
      </c>
      <c s="6" r="BJ307">
        <v>0</v>
      </c>
      <c s="6" r="BK307">
        <v>0</v>
      </c>
      <c s="6" r="BL307">
        <v>0</v>
      </c>
      <c s="6" r="BM307">
        <v>0</v>
      </c>
      <c s="6" r="BN307">
        <v>0</v>
      </c>
      <c s="6" r="BO307">
        <v>0</v>
      </c>
      <c s="6" r="BP307">
        <v>0</v>
      </c>
      <c s="6" r="BQ307">
        <v>0</v>
      </c>
      <c t="str" s="6" r="BR307">
        <f>HYPERLINK("http://www.d20pfsrd.com/magic/all-spells/j/jump","Jump")</f>
        <v>Jump</v>
      </c>
      <c s="6" r="BS307">
        <v>307</v>
      </c>
      <c t="s" s="6" r="BT307">
        <v>92</v>
      </c>
      <c t="s" s="6" r="BV307">
        <v>2597</v>
      </c>
      <c s="6" r="BY307">
        <v>0</v>
      </c>
    </row>
    <row customHeight="1" r="308" ht="14.25">
      <c t="s" s="6" r="A308">
        <v>2598</v>
      </c>
      <c t="s" s="6" r="B308">
        <v>131</v>
      </c>
      <c t="s" s="6" r="E308">
        <v>2599</v>
      </c>
      <c t="s" s="6" r="F308">
        <v>81</v>
      </c>
      <c t="s" s="6" r="G308">
        <v>106</v>
      </c>
      <c s="6" r="H308">
        <v>0</v>
      </c>
      <c t="s" s="6" r="I308">
        <v>107</v>
      </c>
      <c t="s" s="6" r="L308">
        <v>2600</v>
      </c>
      <c t="s" s="6" r="M308">
        <v>134</v>
      </c>
      <c s="6" r="N308">
        <v>0</v>
      </c>
      <c s="6" r="O308">
        <v>0</v>
      </c>
      <c t="s" s="6" r="P308">
        <v>144</v>
      </c>
      <c t="s" s="6" r="Q308">
        <v>145</v>
      </c>
      <c t="s" s="6" r="R308">
        <v>2601</v>
      </c>
      <c t="s" s="6" r="S308">
        <v>2602</v>
      </c>
      <c t="s" s="6" r="T308">
        <v>90</v>
      </c>
      <c t="s" s="6" r="U308">
        <v>2603</v>
      </c>
      <c s="6" r="V308">
        <v>1</v>
      </c>
      <c s="6" r="W308">
        <v>1</v>
      </c>
      <c s="6" r="X308">
        <v>0</v>
      </c>
      <c s="6" r="Y308">
        <v>0</v>
      </c>
      <c s="6" r="Z308">
        <v>0</v>
      </c>
      <c s="6" r="AA308">
        <v>3</v>
      </c>
      <c s="6" r="AB308">
        <v>3</v>
      </c>
      <c t="s" s="6" r="AC308">
        <v>92</v>
      </c>
      <c t="s" s="6" r="AD308">
        <v>92</v>
      </c>
      <c t="s" s="6" r="AE308">
        <v>92</v>
      </c>
      <c t="s" s="6" r="AF308">
        <v>92</v>
      </c>
      <c t="s" s="6" r="AG308">
        <v>92</v>
      </c>
      <c t="s" s="6" r="AH308">
        <v>92</v>
      </c>
      <c t="s" s="6" r="AI308">
        <v>92</v>
      </c>
      <c t="s" s="6" r="AJ308">
        <v>92</v>
      </c>
      <c s="6" r="AK308">
        <v>3</v>
      </c>
      <c t="s" s="6" r="AL308">
        <v>92</v>
      </c>
      <c t="s" s="6" r="AM308">
        <v>92</v>
      </c>
      <c s="6" r="AN308">
        <v>3</v>
      </c>
      <c s="6" r="AP308">
        <v>3</v>
      </c>
      <c t="s" s="6" r="AQ308">
        <v>2604</v>
      </c>
      <c t="s" s="6" r="AR308">
        <v>2605</v>
      </c>
      <c s="6" r="AS308">
        <v>0</v>
      </c>
      <c s="6" r="AT308">
        <v>0</v>
      </c>
      <c s="6" r="AU308">
        <v>0</v>
      </c>
      <c s="6" r="AV308">
        <v>0</v>
      </c>
      <c s="6" r="AW308">
        <v>0</v>
      </c>
      <c s="6" r="AX308">
        <v>0</v>
      </c>
      <c s="6" r="AY308">
        <v>0</v>
      </c>
      <c s="6" r="AZ308">
        <v>0</v>
      </c>
      <c s="6" r="BA308">
        <v>0</v>
      </c>
      <c s="6" r="BB308">
        <v>0</v>
      </c>
      <c s="6" r="BC308">
        <v>0</v>
      </c>
      <c s="6" r="BD308">
        <v>0</v>
      </c>
      <c s="6" r="BE308">
        <v>0</v>
      </c>
      <c s="6" r="BF308">
        <v>0</v>
      </c>
      <c s="6" r="BG308">
        <v>0</v>
      </c>
      <c s="6" r="BH308">
        <v>0</v>
      </c>
      <c s="6" r="BI308">
        <v>0</v>
      </c>
      <c s="6" r="BJ308">
        <v>0</v>
      </c>
      <c s="6" r="BK308">
        <v>0</v>
      </c>
      <c s="6" r="BL308">
        <v>0</v>
      </c>
      <c s="6" r="BM308">
        <v>0</v>
      </c>
      <c s="6" r="BN308">
        <v>0</v>
      </c>
      <c s="6" r="BO308">
        <v>0</v>
      </c>
      <c s="6" r="BP308">
        <v>0</v>
      </c>
      <c s="6" r="BQ308">
        <v>0</v>
      </c>
      <c t="str" s="6" r="BR308">
        <f>HYPERLINK("http://www.d20pfsrd.com/magic/all-spells/k/keen-edge","Keen Edge")</f>
        <v>Keen Edge</v>
      </c>
      <c s="6" r="BS308">
        <v>308</v>
      </c>
      <c t="s" s="6" r="BT308">
        <v>92</v>
      </c>
      <c s="6" r="BY308">
        <v>0</v>
      </c>
    </row>
    <row customHeight="1" r="309" ht="14.25">
      <c t="s" s="6" r="A309">
        <v>2606</v>
      </c>
      <c t="s" s="6" r="B309">
        <v>131</v>
      </c>
      <c t="s" s="6" r="E309">
        <v>2607</v>
      </c>
      <c t="s" s="6" r="F309">
        <v>81</v>
      </c>
      <c t="s" s="6" r="G309">
        <v>251</v>
      </c>
      <c s="6" r="H309">
        <v>0</v>
      </c>
      <c t="s" s="6" r="I309">
        <v>97</v>
      </c>
      <c t="s" s="6" r="L309">
        <v>2608</v>
      </c>
      <c t="s" s="6" r="M309">
        <v>834</v>
      </c>
      <c s="6" r="N309">
        <v>0</v>
      </c>
      <c s="6" r="O309">
        <v>0</v>
      </c>
      <c t="s" s="6" r="P309">
        <v>86</v>
      </c>
      <c t="s" s="6" r="Q309">
        <v>87</v>
      </c>
      <c t="s" s="6" r="R309">
        <v>2609</v>
      </c>
      <c t="s" s="6" r="S309">
        <v>2610</v>
      </c>
      <c t="s" s="6" r="T309">
        <v>90</v>
      </c>
      <c t="s" s="6" r="U309">
        <v>2611</v>
      </c>
      <c s="6" r="V309">
        <v>1</v>
      </c>
      <c s="6" r="W309">
        <v>0</v>
      </c>
      <c s="6" r="X309">
        <v>0</v>
      </c>
      <c s="6" r="Y309">
        <v>0</v>
      </c>
      <c s="6" r="Z309">
        <v>0</v>
      </c>
      <c s="6" r="AA309">
        <v>2</v>
      </c>
      <c s="6" r="AB309">
        <v>2</v>
      </c>
      <c t="s" s="6" r="AC309">
        <v>92</v>
      </c>
      <c t="s" s="6" r="AD309">
        <v>92</v>
      </c>
      <c t="s" s="6" r="AE309">
        <v>92</v>
      </c>
      <c t="s" s="6" r="AF309">
        <v>92</v>
      </c>
      <c t="s" s="6" r="AG309">
        <v>92</v>
      </c>
      <c t="s" s="6" r="AH309">
        <v>92</v>
      </c>
      <c t="s" s="6" r="AI309">
        <v>92</v>
      </c>
      <c t="s" s="6" r="AJ309">
        <v>92</v>
      </c>
      <c s="6" r="AK309">
        <v>2</v>
      </c>
      <c t="s" s="6" r="AL309">
        <v>92</v>
      </c>
      <c t="s" s="6" r="AM309">
        <v>92</v>
      </c>
      <c t="s" s="6" r="AN309">
        <v>92</v>
      </c>
      <c s="6" r="AP309">
        <v>2</v>
      </c>
      <c t="s" s="6" r="AR309">
        <v>2612</v>
      </c>
      <c s="6" r="AS309">
        <v>0</v>
      </c>
      <c s="6" r="AT309">
        <v>0</v>
      </c>
      <c s="6" r="AU309">
        <v>0</v>
      </c>
      <c s="6" r="AV309">
        <v>0</v>
      </c>
      <c s="6" r="AW309">
        <v>0</v>
      </c>
      <c s="6" r="AX309">
        <v>0</v>
      </c>
      <c s="6" r="AY309">
        <v>0</v>
      </c>
      <c s="6" r="AZ309">
        <v>0</v>
      </c>
      <c s="6" r="BA309">
        <v>0</v>
      </c>
      <c s="6" r="BB309">
        <v>0</v>
      </c>
      <c s="6" r="BC309">
        <v>0</v>
      </c>
      <c s="6" r="BD309">
        <v>0</v>
      </c>
      <c s="6" r="BE309">
        <v>0</v>
      </c>
      <c s="6" r="BF309">
        <v>0</v>
      </c>
      <c s="6" r="BG309">
        <v>0</v>
      </c>
      <c s="6" r="BH309">
        <v>0</v>
      </c>
      <c s="6" r="BI309">
        <v>0</v>
      </c>
      <c s="6" r="BJ309">
        <v>0</v>
      </c>
      <c s="6" r="BK309">
        <v>0</v>
      </c>
      <c s="6" r="BL309">
        <v>0</v>
      </c>
      <c s="6" r="BM309">
        <v>0</v>
      </c>
      <c s="6" r="BN309">
        <v>0</v>
      </c>
      <c s="6" r="BO309">
        <v>0</v>
      </c>
      <c s="6" r="BP309">
        <v>0</v>
      </c>
      <c s="6" r="BQ309">
        <v>0</v>
      </c>
      <c t="str" s="6" r="BR309">
        <f>HYPERLINK("http://www.d20pfsrd.com/magic/all-spells/k/knock","Knock")</f>
        <v>Knock</v>
      </c>
      <c s="6" r="BS309">
        <v>309</v>
      </c>
      <c t="s" s="6" r="BT309">
        <v>92</v>
      </c>
      <c s="6" r="BY309">
        <v>0</v>
      </c>
    </row>
    <row customHeight="1" r="310" ht="14.25">
      <c t="s" s="6" r="A310">
        <v>2613</v>
      </c>
      <c t="s" s="6" r="B310">
        <v>174</v>
      </c>
      <c t="s" s="6" r="E310">
        <v>2614</v>
      </c>
      <c t="s" s="6" r="F310">
        <v>81</v>
      </c>
      <c t="s" s="6" r="G310">
        <v>106</v>
      </c>
      <c s="6" r="H310">
        <v>0</v>
      </c>
      <c t="s" s="6" r="I310">
        <v>155</v>
      </c>
      <c t="s" s="6" r="L310">
        <v>156</v>
      </c>
      <c t="s" s="6" r="M310">
        <v>109</v>
      </c>
      <c s="6" r="N310">
        <v>0</v>
      </c>
      <c s="6" r="O310">
        <v>0</v>
      </c>
      <c t="s" s="6" r="R310">
        <v>2615</v>
      </c>
      <c t="s" s="6" r="S310">
        <v>2616</v>
      </c>
      <c t="s" s="6" r="T310">
        <v>90</v>
      </c>
      <c t="s" s="6" r="U310">
        <v>2617</v>
      </c>
      <c s="6" r="V310">
        <v>1</v>
      </c>
      <c s="6" r="W310">
        <v>1</v>
      </c>
      <c s="6" r="X310">
        <v>0</v>
      </c>
      <c s="6" r="Y310">
        <v>0</v>
      </c>
      <c s="6" r="Z310">
        <v>0</v>
      </c>
      <c t="s" s="6" r="AA310">
        <v>92</v>
      </c>
      <c t="s" s="6" r="AB310">
        <v>92</v>
      </c>
      <c t="s" s="6" r="AC310">
        <v>92</v>
      </c>
      <c s="6" r="AD310">
        <v>0</v>
      </c>
      <c t="s" s="6" r="AE310">
        <v>92</v>
      </c>
      <c s="6" r="AF310">
        <v>0</v>
      </c>
      <c t="s" s="6" r="AG310">
        <v>92</v>
      </c>
      <c t="s" s="6" r="AH310">
        <v>92</v>
      </c>
      <c t="s" s="6" r="AI310">
        <v>92</v>
      </c>
      <c t="s" s="6" r="AJ310">
        <v>92</v>
      </c>
      <c t="s" s="6" r="AK310">
        <v>92</v>
      </c>
      <c t="s" s="6" r="AL310">
        <v>92</v>
      </c>
      <c t="s" s="6" r="AM310">
        <v>92</v>
      </c>
      <c t="s" s="6" r="AN310">
        <v>92</v>
      </c>
      <c s="6" r="AP310">
        <v>0</v>
      </c>
      <c t="s" s="6" r="AR310">
        <v>2618</v>
      </c>
      <c s="6" r="AS310">
        <v>0</v>
      </c>
      <c s="6" r="AT310">
        <v>0</v>
      </c>
      <c s="6" r="AU310">
        <v>0</v>
      </c>
      <c s="6" r="AV310">
        <v>0</v>
      </c>
      <c s="6" r="AW310">
        <v>0</v>
      </c>
      <c s="6" r="AX310">
        <v>0</v>
      </c>
      <c s="6" r="AY310">
        <v>0</v>
      </c>
      <c s="6" r="AZ310">
        <v>0</v>
      </c>
      <c s="6" r="BA310">
        <v>0</v>
      </c>
      <c s="6" r="BB310">
        <v>0</v>
      </c>
      <c s="6" r="BC310">
        <v>0</v>
      </c>
      <c s="6" r="BD310">
        <v>0</v>
      </c>
      <c s="6" r="BE310">
        <v>0</v>
      </c>
      <c s="6" r="BF310">
        <v>0</v>
      </c>
      <c s="6" r="BG310">
        <v>0</v>
      </c>
      <c s="6" r="BH310">
        <v>0</v>
      </c>
      <c s="6" r="BI310">
        <v>0</v>
      </c>
      <c s="6" r="BJ310">
        <v>0</v>
      </c>
      <c s="6" r="BK310">
        <v>0</v>
      </c>
      <c s="6" r="BL310">
        <v>0</v>
      </c>
      <c s="6" r="BM310">
        <v>0</v>
      </c>
      <c s="6" r="BN310">
        <v>0</v>
      </c>
      <c s="6" r="BO310">
        <v>0</v>
      </c>
      <c s="6" r="BP310">
        <v>0</v>
      </c>
      <c s="6" r="BQ310">
        <v>0</v>
      </c>
      <c t="str" s="6" r="BR310">
        <f>HYPERLINK("http://www.d20pfsrd.com/magic/all-spells/k/know-direction","Know Direction")</f>
        <v>Know Direction</v>
      </c>
      <c s="6" r="BS310">
        <v>310</v>
      </c>
      <c t="s" s="6" r="BT310">
        <v>92</v>
      </c>
      <c s="6" r="BY310">
        <v>0</v>
      </c>
    </row>
    <row customHeight="1" r="311" ht="14.25">
      <c t="s" s="6" r="A311">
        <v>2619</v>
      </c>
      <c t="s" s="6" r="B311">
        <v>174</v>
      </c>
      <c t="s" s="6" r="E311">
        <v>2620</v>
      </c>
      <c t="s" s="6" r="F311">
        <v>141</v>
      </c>
      <c t="s" s="6" r="G311">
        <v>2621</v>
      </c>
      <c s="6" r="H311">
        <v>1</v>
      </c>
      <c t="s" s="6" r="I311">
        <v>155</v>
      </c>
      <c t="s" s="6" r="L311">
        <v>156</v>
      </c>
      <c t="s" s="6" r="M311">
        <v>141</v>
      </c>
      <c s="6" r="N311">
        <v>0</v>
      </c>
      <c s="6" r="O311">
        <v>0</v>
      </c>
      <c t="s" s="6" r="R311">
        <v>2622</v>
      </c>
      <c t="s" s="6" r="S311">
        <v>2623</v>
      </c>
      <c t="s" s="6" r="T311">
        <v>90</v>
      </c>
      <c t="s" s="6" r="U311">
        <v>2624</v>
      </c>
      <c s="6" r="V311">
        <v>1</v>
      </c>
      <c s="6" r="W311">
        <v>1</v>
      </c>
      <c s="6" r="X311">
        <v>1</v>
      </c>
      <c s="6" r="Y311">
        <v>1</v>
      </c>
      <c s="6" r="Z311">
        <v>0</v>
      </c>
      <c s="6" r="AA311">
        <v>6</v>
      </c>
      <c s="6" r="AB311">
        <v>6</v>
      </c>
      <c t="s" s="6" r="AC311">
        <v>92</v>
      </c>
      <c t="s" s="6" r="AD311">
        <v>92</v>
      </c>
      <c t="s" s="6" r="AE311">
        <v>92</v>
      </c>
      <c s="6" r="AF311">
        <v>4</v>
      </c>
      <c t="s" s="6" r="AG311">
        <v>92</v>
      </c>
      <c t="s" s="6" r="AH311">
        <v>92</v>
      </c>
      <c t="s" s="6" r="AI311">
        <v>92</v>
      </c>
      <c s="6" r="AJ311">
        <v>6</v>
      </c>
      <c s="6" r="AK311">
        <v>6</v>
      </c>
      <c t="s" s="6" r="AL311">
        <v>92</v>
      </c>
      <c t="s" s="6" r="AM311">
        <v>92</v>
      </c>
      <c t="s" s="6" r="AN311">
        <v>92</v>
      </c>
      <c s="6" r="AP311">
        <v>6</v>
      </c>
      <c t="s" s="6" r="AQ311">
        <v>1323</v>
      </c>
      <c t="s" s="6" r="AR311">
        <v>2625</v>
      </c>
      <c s="6" r="AS311">
        <v>0</v>
      </c>
      <c s="6" r="AT311">
        <v>0</v>
      </c>
      <c s="6" r="AU311">
        <v>0</v>
      </c>
      <c s="6" r="AV311">
        <v>0</v>
      </c>
      <c s="6" r="AW311">
        <v>0</v>
      </c>
      <c s="6" r="AX311">
        <v>0</v>
      </c>
      <c s="6" r="AY311">
        <v>0</v>
      </c>
      <c s="6" r="AZ311">
        <v>0</v>
      </c>
      <c s="6" r="BA311">
        <v>0</v>
      </c>
      <c s="6" r="BB311">
        <v>0</v>
      </c>
      <c s="6" r="BC311">
        <v>0</v>
      </c>
      <c s="6" r="BD311">
        <v>0</v>
      </c>
      <c s="6" r="BE311">
        <v>0</v>
      </c>
      <c s="6" r="BF311">
        <v>0</v>
      </c>
      <c s="6" r="BG311">
        <v>0</v>
      </c>
      <c s="6" r="BH311">
        <v>0</v>
      </c>
      <c s="6" r="BI311">
        <v>0</v>
      </c>
      <c s="6" r="BJ311">
        <v>0</v>
      </c>
      <c s="6" r="BK311">
        <v>0</v>
      </c>
      <c s="6" r="BL311">
        <v>0</v>
      </c>
      <c s="6" r="BM311">
        <v>0</v>
      </c>
      <c s="6" r="BN311">
        <v>0</v>
      </c>
      <c s="6" r="BO311">
        <v>0</v>
      </c>
      <c s="6" r="BP311">
        <v>0</v>
      </c>
      <c s="6" r="BQ311">
        <v>0</v>
      </c>
      <c t="str" s="6" r="BR311">
        <f>HYPERLINK("http://www.d20pfsrd.com/magic/all-spells/l/legend-lore","Legend Lore")</f>
        <v>Legend Lore</v>
      </c>
      <c s="6" r="BS311">
        <v>311</v>
      </c>
      <c s="6" r="BT311">
        <v>250</v>
      </c>
      <c t="s" s="6" r="BV311">
        <v>848</v>
      </c>
      <c s="6" r="BY311">
        <v>0</v>
      </c>
    </row>
    <row customHeight="1" r="312" ht="14.25">
      <c t="s" s="6" r="A312">
        <v>2626</v>
      </c>
      <c t="s" s="6" r="B312">
        <v>131</v>
      </c>
      <c t="s" s="6" r="E312">
        <v>2627</v>
      </c>
      <c t="s" s="6" r="F312">
        <v>81</v>
      </c>
      <c t="s" s="6" r="G312">
        <v>2628</v>
      </c>
      <c s="6" r="H312">
        <v>0</v>
      </c>
      <c t="s" s="6" r="I312">
        <v>2629</v>
      </c>
      <c t="s" s="6" r="L312">
        <v>2630</v>
      </c>
      <c t="s" s="6" r="M312">
        <v>122</v>
      </c>
      <c s="6" r="N312">
        <v>1</v>
      </c>
      <c s="6" r="O312">
        <v>0</v>
      </c>
      <c t="s" s="6" r="P312">
        <v>86</v>
      </c>
      <c t="s" s="6" r="Q312">
        <v>87</v>
      </c>
      <c t="s" s="6" r="R312">
        <v>2631</v>
      </c>
      <c t="s" s="6" r="S312">
        <v>2632</v>
      </c>
      <c t="s" s="6" r="T312">
        <v>90</v>
      </c>
      <c t="s" s="6" r="U312">
        <v>2633</v>
      </c>
      <c s="6" r="V312">
        <v>1</v>
      </c>
      <c s="6" r="W312">
        <v>1</v>
      </c>
      <c s="6" r="X312">
        <v>0</v>
      </c>
      <c s="6" r="Y312">
        <v>1</v>
      </c>
      <c s="6" r="Z312">
        <v>0</v>
      </c>
      <c s="6" r="AA312">
        <v>2</v>
      </c>
      <c s="6" r="AB312">
        <v>2</v>
      </c>
      <c t="s" s="6" r="AC312">
        <v>92</v>
      </c>
      <c t="s" s="6" r="AD312">
        <v>92</v>
      </c>
      <c t="s" s="6" r="AE312">
        <v>92</v>
      </c>
      <c t="s" s="6" r="AF312">
        <v>92</v>
      </c>
      <c t="s" s="6" r="AG312">
        <v>92</v>
      </c>
      <c s="6" r="AH312">
        <v>2</v>
      </c>
      <c s="6" r="AI312">
        <v>2</v>
      </c>
      <c s="6" r="AJ312">
        <v>2</v>
      </c>
      <c t="s" s="6" r="AK312">
        <v>92</v>
      </c>
      <c t="s" s="6" r="AL312">
        <v>92</v>
      </c>
      <c t="s" s="6" r="AM312">
        <v>92</v>
      </c>
      <c s="6" r="AN312">
        <v>2</v>
      </c>
      <c s="6" r="AP312">
        <v>2</v>
      </c>
      <c t="s" s="6" r="AR312">
        <v>2634</v>
      </c>
      <c s="6" r="AS312">
        <v>0</v>
      </c>
      <c s="6" r="AT312">
        <v>0</v>
      </c>
      <c s="6" r="AU312">
        <v>0</v>
      </c>
      <c s="6" r="AV312">
        <v>0</v>
      </c>
      <c s="6" r="AW312">
        <v>0</v>
      </c>
      <c s="6" r="AX312">
        <v>0</v>
      </c>
      <c s="6" r="AY312">
        <v>0</v>
      </c>
      <c s="6" r="AZ312">
        <v>0</v>
      </c>
      <c s="6" r="BA312">
        <v>0</v>
      </c>
      <c s="6" r="BB312">
        <v>0</v>
      </c>
      <c s="6" r="BC312">
        <v>0</v>
      </c>
      <c s="6" r="BD312">
        <v>0</v>
      </c>
      <c s="6" r="BE312">
        <v>0</v>
      </c>
      <c s="6" r="BF312">
        <v>0</v>
      </c>
      <c s="6" r="BG312">
        <v>0</v>
      </c>
      <c s="6" r="BH312">
        <v>0</v>
      </c>
      <c s="6" r="BI312">
        <v>0</v>
      </c>
      <c s="6" r="BJ312">
        <v>0</v>
      </c>
      <c s="6" r="BK312">
        <v>0</v>
      </c>
      <c s="6" r="BL312">
        <v>0</v>
      </c>
      <c s="6" r="BM312">
        <v>0</v>
      </c>
      <c s="6" r="BN312">
        <v>0</v>
      </c>
      <c s="6" r="BO312">
        <v>0</v>
      </c>
      <c s="6" r="BP312">
        <v>0</v>
      </c>
      <c s="6" r="BQ312">
        <v>0</v>
      </c>
      <c t="str" s="6" r="BR312">
        <f>HYPERLINK("http://www.d20pfsrd.com/magic/all-spells/l/levitate","Levitate")</f>
        <v>Levitate</v>
      </c>
      <c s="6" r="BS312">
        <v>312</v>
      </c>
      <c t="s" s="6" r="BT312">
        <v>92</v>
      </c>
      <c s="6" r="BY312">
        <v>0</v>
      </c>
    </row>
    <row customHeight="1" r="313" ht="14.25">
      <c t="s" s="6" r="A313">
        <v>966</v>
      </c>
      <c t="s" s="6" r="B313">
        <v>493</v>
      </c>
      <c t="s" s="6" r="D313">
        <v>62</v>
      </c>
      <c t="s" s="6" r="E313">
        <v>2635</v>
      </c>
      <c t="s" s="6" r="F313">
        <v>81</v>
      </c>
      <c t="s" s="6" r="G313">
        <v>2636</v>
      </c>
      <c s="6" r="H313">
        <v>0</v>
      </c>
      <c t="s" s="6" r="I313">
        <v>120</v>
      </c>
      <c t="s" s="6" r="L313">
        <v>1137</v>
      </c>
      <c t="s" s="6" r="M313">
        <v>134</v>
      </c>
      <c s="6" r="N313">
        <v>0</v>
      </c>
      <c s="6" r="O313">
        <v>0</v>
      </c>
      <c t="s" s="6" r="P313">
        <v>86</v>
      </c>
      <c t="s" s="6" r="Q313">
        <v>87</v>
      </c>
      <c t="s" s="6" r="R313">
        <v>2637</v>
      </c>
      <c t="s" s="6" r="S313">
        <v>2638</v>
      </c>
      <c t="s" s="6" r="T313">
        <v>90</v>
      </c>
      <c t="s" s="6" r="U313">
        <v>2639</v>
      </c>
      <c s="6" r="V313">
        <v>1</v>
      </c>
      <c s="6" r="W313">
        <v>0</v>
      </c>
      <c s="6" r="X313">
        <v>1</v>
      </c>
      <c s="6" r="Y313">
        <v>0</v>
      </c>
      <c s="6" r="Z313">
        <v>1</v>
      </c>
      <c s="6" r="AA313">
        <v>0</v>
      </c>
      <c s="6" r="AB313">
        <v>0</v>
      </c>
      <c s="6" r="AC313">
        <v>0</v>
      </c>
      <c s="6" r="AD313">
        <v>0</v>
      </c>
      <c t="s" s="6" r="AE313">
        <v>92</v>
      </c>
      <c s="6" r="AF313">
        <v>0</v>
      </c>
      <c t="s" s="6" r="AG313">
        <v>92</v>
      </c>
      <c t="s" s="6" r="AH313">
        <v>92</v>
      </c>
      <c t="s" s="6" r="AI313">
        <v>92</v>
      </c>
      <c t="s" s="6" r="AJ313">
        <v>92</v>
      </c>
      <c t="s" s="6" r="AK313">
        <v>92</v>
      </c>
      <c s="6" r="AL313">
        <v>0</v>
      </c>
      <c t="s" s="6" r="AM313">
        <v>92</v>
      </c>
      <c t="s" s="6" r="AN313">
        <v>92</v>
      </c>
      <c s="6" r="AP313">
        <v>0</v>
      </c>
      <c t="s" s="6" r="AR313">
        <v>2640</v>
      </c>
      <c s="6" r="AS313">
        <v>0</v>
      </c>
      <c s="6" r="AT313">
        <v>0</v>
      </c>
      <c s="6" r="AU313">
        <v>0</v>
      </c>
      <c s="6" r="AV313">
        <v>0</v>
      </c>
      <c s="6" r="AW313">
        <v>0</v>
      </c>
      <c s="6" r="AX313">
        <v>0</v>
      </c>
      <c s="6" r="AY313">
        <v>0</v>
      </c>
      <c s="6" r="AZ313">
        <v>0</v>
      </c>
      <c s="6" r="BA313">
        <v>0</v>
      </c>
      <c s="6" r="BB313">
        <v>0</v>
      </c>
      <c s="6" r="BC313">
        <v>0</v>
      </c>
      <c s="6" r="BD313">
        <v>0</v>
      </c>
      <c s="6" r="BE313">
        <v>0</v>
      </c>
      <c s="6" r="BF313">
        <v>0</v>
      </c>
      <c s="6" r="BG313">
        <v>0</v>
      </c>
      <c s="6" r="BH313">
        <v>0</v>
      </c>
      <c s="6" r="BI313">
        <v>0</v>
      </c>
      <c s="6" r="BJ313">
        <v>0</v>
      </c>
      <c s="6" r="BK313">
        <v>1</v>
      </c>
      <c s="6" r="BL313">
        <v>0</v>
      </c>
      <c s="6" r="BM313">
        <v>0</v>
      </c>
      <c s="6" r="BN313">
        <v>0</v>
      </c>
      <c s="6" r="BO313">
        <v>0</v>
      </c>
      <c s="6" r="BP313">
        <v>0</v>
      </c>
      <c s="6" r="BQ313">
        <v>0</v>
      </c>
      <c t="str" s="6" r="BR313">
        <f>HYPERLINK("http://www.d20pfsrd.com/magic/all-spells/l/light","Light")</f>
        <v>Light</v>
      </c>
      <c s="6" r="BS313">
        <v>313</v>
      </c>
      <c t="s" s="6" r="BT313">
        <v>92</v>
      </c>
      <c s="6" r="BY313">
        <v>0</v>
      </c>
    </row>
    <row customHeight="1" r="314" ht="14.25">
      <c t="s" s="6" r="A314">
        <v>2641</v>
      </c>
      <c t="s" s="6" r="B314">
        <v>493</v>
      </c>
      <c t="s" s="6" r="D314">
        <v>53</v>
      </c>
      <c t="s" s="6" r="E314">
        <v>2642</v>
      </c>
      <c t="s" s="6" r="F314">
        <v>81</v>
      </c>
      <c t="s" s="6" r="G314">
        <v>2643</v>
      </c>
      <c s="6" r="H314">
        <v>0</v>
      </c>
      <c t="s" s="6" r="I314">
        <v>2644</v>
      </c>
      <c t="s" s="6" r="J314">
        <v>2645</v>
      </c>
      <c t="s" s="6" r="M314">
        <v>109</v>
      </c>
      <c s="6" r="N314">
        <v>0</v>
      </c>
      <c s="6" r="O314">
        <v>0</v>
      </c>
      <c t="s" s="6" r="P314">
        <v>631</v>
      </c>
      <c t="s" s="6" r="Q314">
        <v>188</v>
      </c>
      <c t="s" s="6" r="R314">
        <v>2646</v>
      </c>
      <c t="s" s="6" r="S314">
        <v>2647</v>
      </c>
      <c t="s" s="6" r="T314">
        <v>90</v>
      </c>
      <c t="s" s="6" r="U314">
        <v>2648</v>
      </c>
      <c s="6" r="V314">
        <v>1</v>
      </c>
      <c s="6" r="W314">
        <v>1</v>
      </c>
      <c s="6" r="X314">
        <v>1</v>
      </c>
      <c s="6" r="Y314">
        <v>0</v>
      </c>
      <c s="6" r="Z314">
        <v>0</v>
      </c>
      <c s="6" r="AA314">
        <v>3</v>
      </c>
      <c s="6" r="AB314">
        <v>3</v>
      </c>
      <c t="s" s="6" r="AC314">
        <v>92</v>
      </c>
      <c t="s" s="6" r="AD314">
        <v>92</v>
      </c>
      <c t="s" s="6" r="AE314">
        <v>92</v>
      </c>
      <c t="s" s="6" r="AF314">
        <v>92</v>
      </c>
      <c t="s" s="6" r="AG314">
        <v>92</v>
      </c>
      <c t="s" s="6" r="AH314">
        <v>92</v>
      </c>
      <c t="s" s="6" r="AI314">
        <v>92</v>
      </c>
      <c s="6" r="AJ314">
        <v>3</v>
      </c>
      <c t="s" s="6" r="AK314">
        <v>92</v>
      </c>
      <c t="s" s="6" r="AL314">
        <v>92</v>
      </c>
      <c t="s" s="6" r="AM314">
        <v>92</v>
      </c>
      <c s="6" r="AN314">
        <v>3</v>
      </c>
      <c s="6" r="AP314">
        <v>3</v>
      </c>
      <c t="s" s="6" r="AR314">
        <v>2649</v>
      </c>
      <c s="6" r="AS314">
        <v>0</v>
      </c>
      <c s="6" r="AT314">
        <v>0</v>
      </c>
      <c s="6" r="AU314">
        <v>0</v>
      </c>
      <c s="6" r="AV314">
        <v>0</v>
      </c>
      <c s="6" r="AW314">
        <v>0</v>
      </c>
      <c s="6" r="AX314">
        <v>0</v>
      </c>
      <c s="6" r="AY314">
        <v>0</v>
      </c>
      <c s="6" r="AZ314">
        <v>0</v>
      </c>
      <c s="6" r="BA314">
        <v>0</v>
      </c>
      <c s="6" r="BB314">
        <v>1</v>
      </c>
      <c s="6" r="BC314">
        <v>0</v>
      </c>
      <c s="6" r="BD314">
        <v>0</v>
      </c>
      <c s="6" r="BE314">
        <v>0</v>
      </c>
      <c s="6" r="BF314">
        <v>0</v>
      </c>
      <c s="6" r="BG314">
        <v>0</v>
      </c>
      <c s="6" r="BH314">
        <v>0</v>
      </c>
      <c s="6" r="BI314">
        <v>0</v>
      </c>
      <c s="6" r="BJ314">
        <v>0</v>
      </c>
      <c s="6" r="BK314">
        <v>0</v>
      </c>
      <c s="6" r="BL314">
        <v>0</v>
      </c>
      <c s="6" r="BM314">
        <v>0</v>
      </c>
      <c s="6" r="BN314">
        <v>0</v>
      </c>
      <c s="6" r="BO314">
        <v>0</v>
      </c>
      <c s="6" r="BP314">
        <v>0</v>
      </c>
      <c s="6" r="BQ314">
        <v>0</v>
      </c>
      <c t="str" s="6" r="BR314">
        <f>HYPERLINK("http://www.d20pfsrd.com/magic/all-spells/l/lightning-bolt","Lightning Bolt")</f>
        <v>Lightning Bolt</v>
      </c>
      <c s="6" r="BS314">
        <v>314</v>
      </c>
      <c t="s" s="6" r="BT314">
        <v>92</v>
      </c>
      <c t="s" s="6" r="BU314">
        <v>999</v>
      </c>
      <c t="s" s="6" r="BW314">
        <v>2650</v>
      </c>
      <c t="s" s="6" r="BX314">
        <v>2651</v>
      </c>
      <c s="6" r="BY314">
        <v>1</v>
      </c>
    </row>
    <row customHeight="1" r="315" ht="14.25">
      <c t="s" s="6" r="A315">
        <v>2652</v>
      </c>
      <c t="s" s="6" r="B315">
        <v>330</v>
      </c>
      <c t="s" s="6" r="E315">
        <v>973</v>
      </c>
      <c t="s" s="6" r="F315">
        <v>81</v>
      </c>
      <c t="s" s="6" r="G315">
        <v>2653</v>
      </c>
      <c s="6" r="H315">
        <v>1</v>
      </c>
      <c t="s" s="6" r="I315">
        <v>141</v>
      </c>
      <c t="s" s="6" r="J315">
        <v>2654</v>
      </c>
      <c t="s" s="6" r="K315">
        <v>2655</v>
      </c>
      <c t="s" s="6" r="M315">
        <v>141</v>
      </c>
      <c s="6" r="N315">
        <v>0</v>
      </c>
      <c s="6" r="O315">
        <v>0</v>
      </c>
      <c t="s" s="6" r="P315">
        <v>2656</v>
      </c>
      <c t="s" s="6" r="Q315">
        <v>188</v>
      </c>
      <c t="s" s="6" r="R315">
        <v>2657</v>
      </c>
      <c t="s" s="6" r="S315">
        <v>2658</v>
      </c>
      <c t="s" s="6" r="T315">
        <v>90</v>
      </c>
      <c t="s" s="6" r="U315">
        <v>2659</v>
      </c>
      <c s="6" r="V315">
        <v>1</v>
      </c>
      <c s="6" r="W315">
        <v>1</v>
      </c>
      <c s="6" r="X315">
        <v>1</v>
      </c>
      <c s="6" r="Y315">
        <v>0</v>
      </c>
      <c s="6" r="Z315">
        <v>0</v>
      </c>
      <c s="6" r="AA315">
        <v>7</v>
      </c>
      <c s="6" r="AB315">
        <v>7</v>
      </c>
      <c t="s" s="6" r="AC315">
        <v>92</v>
      </c>
      <c t="s" s="6" r="AD315">
        <v>92</v>
      </c>
      <c t="s" s="6" r="AE315">
        <v>92</v>
      </c>
      <c t="s" s="6" r="AF315">
        <v>92</v>
      </c>
      <c t="s" s="6" r="AG315">
        <v>92</v>
      </c>
      <c t="s" s="6" r="AH315">
        <v>92</v>
      </c>
      <c t="s" s="6" r="AI315">
        <v>92</v>
      </c>
      <c t="s" s="6" r="AJ315">
        <v>92</v>
      </c>
      <c t="s" s="6" r="AK315">
        <v>92</v>
      </c>
      <c t="s" s="6" r="AL315">
        <v>92</v>
      </c>
      <c t="s" s="6" r="AM315">
        <v>92</v>
      </c>
      <c t="s" s="6" r="AN315">
        <v>92</v>
      </c>
      <c s="6" r="AP315">
        <v>7</v>
      </c>
      <c t="s" s="6" r="AQ315">
        <v>2660</v>
      </c>
      <c t="s" s="6" r="AR315">
        <v>2661</v>
      </c>
      <c s="6" r="AS315">
        <v>0</v>
      </c>
      <c s="6" r="AT315">
        <v>0</v>
      </c>
      <c s="6" r="AU315">
        <v>0</v>
      </c>
      <c s="6" r="AV315">
        <v>0</v>
      </c>
      <c s="6" r="AW315">
        <v>0</v>
      </c>
      <c s="6" r="AX315">
        <v>0</v>
      </c>
      <c s="6" r="AY315">
        <v>0</v>
      </c>
      <c s="6" r="AZ315">
        <v>0</v>
      </c>
      <c s="6" r="BA315">
        <v>0</v>
      </c>
      <c s="6" r="BB315">
        <v>0</v>
      </c>
      <c s="6" r="BC315">
        <v>0</v>
      </c>
      <c s="6" r="BD315">
        <v>0</v>
      </c>
      <c s="6" r="BE315">
        <v>0</v>
      </c>
      <c s="6" r="BF315">
        <v>0</v>
      </c>
      <c s="6" r="BG315">
        <v>0</v>
      </c>
      <c s="6" r="BH315">
        <v>0</v>
      </c>
      <c s="6" r="BI315">
        <v>0</v>
      </c>
      <c s="6" r="BJ315">
        <v>0</v>
      </c>
      <c s="6" r="BK315">
        <v>0</v>
      </c>
      <c s="6" r="BL315">
        <v>0</v>
      </c>
      <c s="6" r="BM315">
        <v>0</v>
      </c>
      <c s="6" r="BN315">
        <v>0</v>
      </c>
      <c s="6" r="BO315">
        <v>0</v>
      </c>
      <c s="6" r="BP315">
        <v>0</v>
      </c>
      <c s="6" r="BQ315">
        <v>0</v>
      </c>
      <c t="str" s="6" r="BR315">
        <f>HYPERLINK("http://www.d20pfsrd.com/magic/all-spells/l/limited-wish","Limited Wish")</f>
        <v>Limited Wish</v>
      </c>
      <c s="6" r="BS315">
        <v>315</v>
      </c>
      <c s="6" r="BT315">
        <v>1500</v>
      </c>
      <c t="s" s="6" r="BW315">
        <v>2662</v>
      </c>
      <c t="s" s="6" r="BX315">
        <v>2663</v>
      </c>
      <c s="6" r="BY315">
        <v>1</v>
      </c>
    </row>
    <row customHeight="1" r="316" ht="14.25">
      <c t="s" s="6" r="A316">
        <v>2664</v>
      </c>
      <c t="s" s="6" r="B316">
        <v>131</v>
      </c>
      <c t="s" s="6" r="E316">
        <v>1799</v>
      </c>
      <c t="s" s="6" r="F316">
        <v>311</v>
      </c>
      <c t="s" s="6" r="G316">
        <v>106</v>
      </c>
      <c s="6" r="H316">
        <v>0</v>
      </c>
      <c t="s" s="6" r="I316">
        <v>120</v>
      </c>
      <c t="s" s="6" r="L316">
        <v>2665</v>
      </c>
      <c t="s" s="6" r="M316">
        <v>200</v>
      </c>
      <c s="6" r="N316">
        <v>1</v>
      </c>
      <c s="6" r="O316">
        <v>0</v>
      </c>
      <c t="s" s="6" r="P316">
        <v>86</v>
      </c>
      <c t="s" s="6" r="Q316">
        <v>87</v>
      </c>
      <c t="s" s="6" r="R316">
        <v>2666</v>
      </c>
      <c t="s" s="6" r="S316">
        <v>2667</v>
      </c>
      <c t="s" s="6" r="T316">
        <v>90</v>
      </c>
      <c t="s" s="6" r="U316">
        <v>2668</v>
      </c>
      <c s="6" r="V316">
        <v>1</v>
      </c>
      <c s="6" r="W316">
        <v>1</v>
      </c>
      <c s="6" r="X316">
        <v>0</v>
      </c>
      <c s="6" r="Y316">
        <v>0</v>
      </c>
      <c s="6" r="Z316">
        <v>0</v>
      </c>
      <c t="s" s="6" r="AA316">
        <v>92</v>
      </c>
      <c t="s" s="6" r="AB316">
        <v>92</v>
      </c>
      <c t="s" s="6" r="AC316">
        <v>92</v>
      </c>
      <c s="6" r="AD316">
        <v>6</v>
      </c>
      <c t="s" s="6" r="AE316">
        <v>92</v>
      </c>
      <c t="s" s="6" r="AF316">
        <v>92</v>
      </c>
      <c t="s" s="6" r="AG316">
        <v>92</v>
      </c>
      <c t="s" s="6" r="AH316">
        <v>92</v>
      </c>
      <c t="s" s="6" r="AI316">
        <v>92</v>
      </c>
      <c t="s" s="6" r="AJ316">
        <v>92</v>
      </c>
      <c t="s" s="6" r="AK316">
        <v>92</v>
      </c>
      <c t="s" s="6" r="AL316">
        <v>92</v>
      </c>
      <c t="s" s="6" r="AM316">
        <v>92</v>
      </c>
      <c t="s" s="6" r="AN316">
        <v>92</v>
      </c>
      <c s="6" r="AP316">
        <v>6</v>
      </c>
      <c t="s" s="6" r="AR316">
        <v>2669</v>
      </c>
      <c s="6" r="AS316">
        <v>0</v>
      </c>
      <c s="6" r="AT316">
        <v>0</v>
      </c>
      <c s="6" r="AU316">
        <v>0</v>
      </c>
      <c s="6" r="AV316">
        <v>0</v>
      </c>
      <c s="6" r="AW316">
        <v>0</v>
      </c>
      <c s="6" r="AX316">
        <v>0</v>
      </c>
      <c s="6" r="AY316">
        <v>0</v>
      </c>
      <c s="6" r="AZ316">
        <v>0</v>
      </c>
      <c s="6" r="BA316">
        <v>0</v>
      </c>
      <c s="6" r="BB316">
        <v>0</v>
      </c>
      <c s="6" r="BC316">
        <v>0</v>
      </c>
      <c s="6" r="BD316">
        <v>0</v>
      </c>
      <c s="6" r="BE316">
        <v>0</v>
      </c>
      <c s="6" r="BF316">
        <v>0</v>
      </c>
      <c s="6" r="BG316">
        <v>0</v>
      </c>
      <c s="6" r="BH316">
        <v>0</v>
      </c>
      <c s="6" r="BI316">
        <v>0</v>
      </c>
      <c s="6" r="BJ316">
        <v>0</v>
      </c>
      <c s="6" r="BK316">
        <v>0</v>
      </c>
      <c s="6" r="BL316">
        <v>0</v>
      </c>
      <c s="6" r="BM316">
        <v>0</v>
      </c>
      <c s="6" r="BN316">
        <v>0</v>
      </c>
      <c s="6" r="BO316">
        <v>0</v>
      </c>
      <c s="6" r="BP316">
        <v>0</v>
      </c>
      <c s="6" r="BQ316">
        <v>0</v>
      </c>
      <c t="str" s="6" r="BR316">
        <f>HYPERLINK("http://www.d20pfsrd.com/magic/all-spells/l/liveoak","Liveoak")</f>
        <v>Liveoak</v>
      </c>
      <c s="6" r="BS316">
        <v>316</v>
      </c>
      <c t="s" s="6" r="BT316">
        <v>92</v>
      </c>
      <c s="6" r="BY316">
        <v>0</v>
      </c>
    </row>
    <row customHeight="1" r="317" ht="14.25">
      <c t="s" s="6" r="A317">
        <v>2670</v>
      </c>
      <c t="s" s="6" r="B317">
        <v>174</v>
      </c>
      <c t="s" s="6" r="E317">
        <v>2671</v>
      </c>
      <c t="s" s="6" r="F317">
        <v>81</v>
      </c>
      <c t="s" s="6" r="G317">
        <v>2672</v>
      </c>
      <c s="6" r="H317">
        <v>0</v>
      </c>
      <c t="s" s="6" r="I317">
        <v>83</v>
      </c>
      <c t="s" s="6" r="J317">
        <v>2673</v>
      </c>
      <c t="s" s="6" r="M317">
        <v>122</v>
      </c>
      <c s="6" r="N317">
        <v>0</v>
      </c>
      <c s="6" r="O317">
        <v>0</v>
      </c>
      <c t="s" s="6" r="P317">
        <v>86</v>
      </c>
      <c t="s" s="6" r="Q317">
        <v>87</v>
      </c>
      <c t="s" s="6" r="R317">
        <v>2674</v>
      </c>
      <c t="s" s="6" r="S317">
        <v>2675</v>
      </c>
      <c t="s" s="6" r="T317">
        <v>90</v>
      </c>
      <c t="s" s="6" r="U317">
        <v>2676</v>
      </c>
      <c s="6" r="V317">
        <v>1</v>
      </c>
      <c s="6" r="W317">
        <v>1</v>
      </c>
      <c s="6" r="X317">
        <v>0</v>
      </c>
      <c s="6" r="Y317">
        <v>1</v>
      </c>
      <c s="6" r="Z317">
        <v>1</v>
      </c>
      <c s="6" r="AA317">
        <v>2</v>
      </c>
      <c s="6" r="AB317">
        <v>2</v>
      </c>
      <c s="6" r="AC317">
        <v>3</v>
      </c>
      <c t="s" s="6" r="AD317">
        <v>92</v>
      </c>
      <c t="s" s="6" r="AE317">
        <v>92</v>
      </c>
      <c s="6" r="AF317">
        <v>2</v>
      </c>
      <c t="s" s="6" r="AG317">
        <v>92</v>
      </c>
      <c t="s" s="6" r="AH317">
        <v>92</v>
      </c>
      <c t="s" s="6" r="AI317">
        <v>92</v>
      </c>
      <c s="6" r="AJ317">
        <v>3</v>
      </c>
      <c s="6" r="AK317">
        <v>3</v>
      </c>
      <c s="6" r="AL317">
        <v>3</v>
      </c>
      <c t="s" s="6" r="AM317">
        <v>92</v>
      </c>
      <c t="s" s="6" r="AN317">
        <v>92</v>
      </c>
      <c s="6" r="AP317">
        <v>2</v>
      </c>
      <c t="s" s="6" r="AQ317">
        <v>2677</v>
      </c>
      <c t="s" s="6" r="AR317">
        <v>2678</v>
      </c>
      <c s="6" r="AS317">
        <v>0</v>
      </c>
      <c s="6" r="AT317">
        <v>0</v>
      </c>
      <c s="6" r="AU317">
        <v>0</v>
      </c>
      <c s="6" r="AV317">
        <v>0</v>
      </c>
      <c s="6" r="AW317">
        <v>0</v>
      </c>
      <c s="6" r="AX317">
        <v>0</v>
      </c>
      <c s="6" r="AY317">
        <v>0</v>
      </c>
      <c s="6" r="AZ317">
        <v>0</v>
      </c>
      <c s="6" r="BA317">
        <v>0</v>
      </c>
      <c s="6" r="BB317">
        <v>0</v>
      </c>
      <c s="6" r="BC317">
        <v>0</v>
      </c>
      <c s="6" r="BD317">
        <v>0</v>
      </c>
      <c s="6" r="BE317">
        <v>0</v>
      </c>
      <c s="6" r="BF317">
        <v>0</v>
      </c>
      <c s="6" r="BG317">
        <v>0</v>
      </c>
      <c s="6" r="BH317">
        <v>0</v>
      </c>
      <c s="6" r="BI317">
        <v>0</v>
      </c>
      <c s="6" r="BJ317">
        <v>0</v>
      </c>
      <c s="6" r="BK317">
        <v>0</v>
      </c>
      <c s="6" r="BL317">
        <v>0</v>
      </c>
      <c s="6" r="BM317">
        <v>0</v>
      </c>
      <c s="6" r="BN317">
        <v>0</v>
      </c>
      <c s="6" r="BO317">
        <v>0</v>
      </c>
      <c s="6" r="BP317">
        <v>0</v>
      </c>
      <c s="6" r="BQ317">
        <v>0</v>
      </c>
      <c t="str" s="6" r="BR317">
        <f>HYPERLINK("http://www.d20pfsrd.com/magic/all-spells/l/locate-object","Locate Object")</f>
        <v>Locate Object</v>
      </c>
      <c s="6" r="BS317">
        <v>317</v>
      </c>
      <c t="s" s="6" r="BT317">
        <v>92</v>
      </c>
      <c t="s" s="6" r="BV317">
        <v>848</v>
      </c>
      <c s="6" r="BY317">
        <v>0</v>
      </c>
    </row>
    <row customHeight="1" r="318" ht="14.25">
      <c t="s" s="6" r="A318">
        <v>2679</v>
      </c>
      <c t="s" s="6" r="B318">
        <v>174</v>
      </c>
      <c t="s" s="6" r="E318">
        <v>2680</v>
      </c>
      <c t="s" s="6" r="F318">
        <v>81</v>
      </c>
      <c t="s" s="6" r="G318">
        <v>2681</v>
      </c>
      <c s="6" r="H318">
        <v>0</v>
      </c>
      <c t="s" s="6" r="I318">
        <v>83</v>
      </c>
      <c t="s" s="6" r="J318">
        <v>2673</v>
      </c>
      <c t="s" s="6" r="M318">
        <v>134</v>
      </c>
      <c s="6" r="N318">
        <v>0</v>
      </c>
      <c s="6" r="O318">
        <v>0</v>
      </c>
      <c t="s" s="6" r="P318">
        <v>86</v>
      </c>
      <c t="s" s="6" r="Q318">
        <v>87</v>
      </c>
      <c t="s" s="6" r="R318">
        <v>2682</v>
      </c>
      <c t="s" s="6" r="S318">
        <v>2683</v>
      </c>
      <c t="s" s="6" r="T318">
        <v>90</v>
      </c>
      <c t="s" s="6" r="U318">
        <v>2684</v>
      </c>
      <c s="6" r="V318">
        <v>1</v>
      </c>
      <c s="6" r="W318">
        <v>1</v>
      </c>
      <c s="6" r="X318">
        <v>1</v>
      </c>
      <c s="6" r="Y318">
        <v>0</v>
      </c>
      <c s="6" r="Z318">
        <v>0</v>
      </c>
      <c s="6" r="AA318">
        <v>4</v>
      </c>
      <c s="6" r="AB318">
        <v>4</v>
      </c>
      <c t="s" s="6" r="AC318">
        <v>92</v>
      </c>
      <c t="s" s="6" r="AD318">
        <v>92</v>
      </c>
      <c t="s" s="6" r="AE318">
        <v>92</v>
      </c>
      <c s="6" r="AF318">
        <v>4</v>
      </c>
      <c t="s" s="6" r="AG318">
        <v>92</v>
      </c>
      <c t="s" s="6" r="AH318">
        <v>92</v>
      </c>
      <c s="6" r="AI318">
        <v>3</v>
      </c>
      <c s="6" r="AJ318">
        <v>4</v>
      </c>
      <c t="s" s="6" r="AK318">
        <v>92</v>
      </c>
      <c t="s" s="6" r="AL318">
        <v>92</v>
      </c>
      <c t="s" s="6" r="AM318">
        <v>92</v>
      </c>
      <c t="s" s="6" r="AN318">
        <v>92</v>
      </c>
      <c s="6" r="AP318">
        <v>4</v>
      </c>
      <c t="s" s="6" r="AQ318">
        <v>2685</v>
      </c>
      <c t="s" s="6" r="AR318">
        <v>2686</v>
      </c>
      <c s="6" r="AS318">
        <v>0</v>
      </c>
      <c s="6" r="AT318">
        <v>0</v>
      </c>
      <c s="6" r="AU318">
        <v>0</v>
      </c>
      <c s="6" r="AV318">
        <v>0</v>
      </c>
      <c s="6" r="AW318">
        <v>0</v>
      </c>
      <c s="6" r="AX318">
        <v>0</v>
      </c>
      <c s="6" r="AY318">
        <v>0</v>
      </c>
      <c s="6" r="AZ318">
        <v>0</v>
      </c>
      <c s="6" r="BA318">
        <v>0</v>
      </c>
      <c s="6" r="BB318">
        <v>0</v>
      </c>
      <c s="6" r="BC318">
        <v>0</v>
      </c>
      <c s="6" r="BD318">
        <v>0</v>
      </c>
      <c s="6" r="BE318">
        <v>0</v>
      </c>
      <c s="6" r="BF318">
        <v>0</v>
      </c>
      <c s="6" r="BG318">
        <v>0</v>
      </c>
      <c s="6" r="BH318">
        <v>0</v>
      </c>
      <c s="6" r="BI318">
        <v>0</v>
      </c>
      <c s="6" r="BJ318">
        <v>0</v>
      </c>
      <c s="6" r="BK318">
        <v>0</v>
      </c>
      <c s="6" r="BL318">
        <v>0</v>
      </c>
      <c s="6" r="BM318">
        <v>0</v>
      </c>
      <c s="6" r="BN318">
        <v>0</v>
      </c>
      <c s="6" r="BO318">
        <v>0</v>
      </c>
      <c s="6" r="BP318">
        <v>0</v>
      </c>
      <c s="6" r="BQ318">
        <v>0</v>
      </c>
      <c t="str" s="6" r="BR318">
        <f>HYPERLINK("http://www.d20pfsrd.com/magic/all-spells/l/locate-creature","Locate Creature")</f>
        <v>Locate Creature</v>
      </c>
      <c s="6" r="BS318">
        <v>318</v>
      </c>
      <c t="s" s="6" r="BT318">
        <v>92</v>
      </c>
      <c s="6" r="BY318">
        <v>0</v>
      </c>
    </row>
    <row customHeight="1" r="319" ht="14.25">
      <c t="s" s="6" r="A319">
        <v>2687</v>
      </c>
      <c t="s" s="6" r="B319">
        <v>131</v>
      </c>
      <c t="s" s="6" r="E319">
        <v>656</v>
      </c>
      <c t="s" s="6" r="F319">
        <v>81</v>
      </c>
      <c t="s" s="6" r="G319">
        <v>2688</v>
      </c>
      <c s="6" r="H319">
        <v>0</v>
      </c>
      <c t="s" s="6" r="I319">
        <v>155</v>
      </c>
      <c t="s" s="6" r="L319">
        <v>156</v>
      </c>
      <c t="s" s="6" r="M319">
        <v>209</v>
      </c>
      <c s="6" r="N319">
        <v>1</v>
      </c>
      <c s="6" r="O319">
        <v>0</v>
      </c>
      <c t="s" s="6" r="R319">
        <v>2689</v>
      </c>
      <c t="s" s="6" r="S319">
        <v>2690</v>
      </c>
      <c t="s" s="6" r="T319">
        <v>90</v>
      </c>
      <c t="s" s="6" r="U319">
        <v>2691</v>
      </c>
      <c s="6" r="V319">
        <v>1</v>
      </c>
      <c s="6" r="W319">
        <v>1</v>
      </c>
      <c s="6" r="X319">
        <v>1</v>
      </c>
      <c s="6" r="Y319">
        <v>0</v>
      </c>
      <c s="6" r="Z319">
        <v>0</v>
      </c>
      <c t="s" s="6" r="AA319">
        <v>92</v>
      </c>
      <c t="s" s="6" r="AB319">
        <v>92</v>
      </c>
      <c t="s" s="6" r="AC319">
        <v>92</v>
      </c>
      <c s="6" r="AD319">
        <v>1</v>
      </c>
      <c s="6" r="AE319">
        <v>1</v>
      </c>
      <c t="s" s="6" r="AF319">
        <v>92</v>
      </c>
      <c t="s" s="6" r="AG319">
        <v>92</v>
      </c>
      <c t="s" s="6" r="AH319">
        <v>92</v>
      </c>
      <c t="s" s="6" r="AI319">
        <v>92</v>
      </c>
      <c t="s" s="6" r="AJ319">
        <v>92</v>
      </c>
      <c t="s" s="6" r="AK319">
        <v>92</v>
      </c>
      <c t="s" s="6" r="AL319">
        <v>92</v>
      </c>
      <c t="s" s="6" r="AM319">
        <v>92</v>
      </c>
      <c t="s" s="6" r="AN319">
        <v>92</v>
      </c>
      <c s="6" r="AP319">
        <v>1</v>
      </c>
      <c t="s" s="6" r="AQ319">
        <v>357</v>
      </c>
      <c t="s" s="6" r="AR319">
        <v>2692</v>
      </c>
      <c s="6" r="AS319">
        <v>0</v>
      </c>
      <c s="6" r="AT319">
        <v>0</v>
      </c>
      <c s="6" r="AU319">
        <v>0</v>
      </c>
      <c s="6" r="AV319">
        <v>0</v>
      </c>
      <c s="6" r="AW319">
        <v>0</v>
      </c>
      <c s="6" r="AX319">
        <v>0</v>
      </c>
      <c s="6" r="AY319">
        <v>0</v>
      </c>
      <c s="6" r="AZ319">
        <v>0</v>
      </c>
      <c s="6" r="BA319">
        <v>0</v>
      </c>
      <c s="6" r="BB319">
        <v>0</v>
      </c>
      <c s="6" r="BC319">
        <v>0</v>
      </c>
      <c s="6" r="BD319">
        <v>0</v>
      </c>
      <c s="6" r="BE319">
        <v>0</v>
      </c>
      <c s="6" r="BF319">
        <v>0</v>
      </c>
      <c s="6" r="BG319">
        <v>0</v>
      </c>
      <c s="6" r="BH319">
        <v>0</v>
      </c>
      <c s="6" r="BI319">
        <v>0</v>
      </c>
      <c s="6" r="BJ319">
        <v>0</v>
      </c>
      <c s="6" r="BK319">
        <v>0</v>
      </c>
      <c s="6" r="BL319">
        <v>0</v>
      </c>
      <c s="6" r="BM319">
        <v>0</v>
      </c>
      <c s="6" r="BN319">
        <v>0</v>
      </c>
      <c s="6" r="BO319">
        <v>0</v>
      </c>
      <c s="6" r="BP319">
        <v>0</v>
      </c>
      <c s="6" r="BQ319">
        <v>0</v>
      </c>
      <c t="str" s="6" r="BR319">
        <f>HYPERLINK("http://www.d20pfsrd.com/magic/all-spells/l/longstrider","Longstrider")</f>
        <v>Longstrider</v>
      </c>
      <c s="6" r="BS319">
        <v>319</v>
      </c>
      <c t="s" s="6" r="BT319">
        <v>92</v>
      </c>
      <c s="6" r="BY319">
        <v>0</v>
      </c>
    </row>
    <row customHeight="1" r="320" ht="14.25">
      <c t="s" s="6" r="A320">
        <v>2693</v>
      </c>
      <c t="s" s="6" r="B320">
        <v>115</v>
      </c>
      <c t="s" s="6" r="C320">
        <v>116</v>
      </c>
      <c t="s" s="6" r="D320">
        <v>117</v>
      </c>
      <c t="s" s="6" r="E320">
        <v>2694</v>
      </c>
      <c t="s" s="6" r="F320">
        <v>81</v>
      </c>
      <c t="s" s="6" r="G320">
        <v>106</v>
      </c>
      <c s="6" r="H320">
        <v>0</v>
      </c>
      <c t="s" s="6" r="I320">
        <v>97</v>
      </c>
      <c t="s" s="6" r="J320">
        <v>2695</v>
      </c>
      <c t="s" s="6" r="M320">
        <v>2696</v>
      </c>
      <c s="6" r="N320">
        <v>1</v>
      </c>
      <c s="6" r="O320">
        <v>0</v>
      </c>
      <c t="s" s="6" r="P320">
        <v>221</v>
      </c>
      <c t="s" s="6" r="Q320">
        <v>188</v>
      </c>
      <c t="s" s="6" r="R320">
        <v>2697</v>
      </c>
      <c t="s" s="6" r="S320">
        <v>2698</v>
      </c>
      <c t="s" s="6" r="T320">
        <v>90</v>
      </c>
      <c t="s" s="6" r="U320">
        <v>2699</v>
      </c>
      <c s="6" r="V320">
        <v>1</v>
      </c>
      <c s="6" r="W320">
        <v>1</v>
      </c>
      <c s="6" r="X320">
        <v>0</v>
      </c>
      <c s="6" r="Y320">
        <v>0</v>
      </c>
      <c s="6" r="Z320">
        <v>0</v>
      </c>
      <c t="s" s="6" r="AA320">
        <v>92</v>
      </c>
      <c t="s" s="6" r="AB320">
        <v>92</v>
      </c>
      <c t="s" s="6" r="AC320">
        <v>92</v>
      </c>
      <c t="s" s="6" r="AD320">
        <v>92</v>
      </c>
      <c t="s" s="6" r="AE320">
        <v>92</v>
      </c>
      <c s="6" r="AF320">
        <v>0</v>
      </c>
      <c t="s" s="6" r="AG320">
        <v>92</v>
      </c>
      <c t="s" s="6" r="AH320">
        <v>92</v>
      </c>
      <c t="s" s="6" r="AI320">
        <v>92</v>
      </c>
      <c t="s" s="6" r="AJ320">
        <v>92</v>
      </c>
      <c t="s" s="6" r="AK320">
        <v>92</v>
      </c>
      <c t="s" s="6" r="AL320">
        <v>92</v>
      </c>
      <c t="s" s="6" r="AM320">
        <v>92</v>
      </c>
      <c t="s" s="6" r="AN320">
        <v>92</v>
      </c>
      <c s="6" r="AP320">
        <v>0</v>
      </c>
      <c t="s" s="6" r="AR320">
        <v>2700</v>
      </c>
      <c s="6" r="AS320">
        <v>0</v>
      </c>
      <c s="6" r="AT320">
        <v>0</v>
      </c>
      <c s="6" r="AU320">
        <v>0</v>
      </c>
      <c s="6" r="AV320">
        <v>0</v>
      </c>
      <c s="6" r="AW320">
        <v>0</v>
      </c>
      <c s="6" r="AX320">
        <v>0</v>
      </c>
      <c s="6" r="AY320">
        <v>0</v>
      </c>
      <c s="6" r="AZ320">
        <v>0</v>
      </c>
      <c s="6" r="BA320">
        <v>0</v>
      </c>
      <c s="6" r="BB320">
        <v>0</v>
      </c>
      <c s="6" r="BC320">
        <v>0</v>
      </c>
      <c s="6" r="BD320">
        <v>0</v>
      </c>
      <c s="6" r="BE320">
        <v>0</v>
      </c>
      <c s="6" r="BF320">
        <v>0</v>
      </c>
      <c s="6" r="BG320">
        <v>0</v>
      </c>
      <c s="6" r="BH320">
        <v>0</v>
      </c>
      <c s="6" r="BI320">
        <v>0</v>
      </c>
      <c s="6" r="BJ320">
        <v>0</v>
      </c>
      <c s="6" r="BK320">
        <v>0</v>
      </c>
      <c s="6" r="BL320">
        <v>1</v>
      </c>
      <c s="6" r="BM320">
        <v>0</v>
      </c>
      <c s="6" r="BN320">
        <v>0</v>
      </c>
      <c s="6" r="BO320">
        <v>0</v>
      </c>
      <c s="6" r="BP320">
        <v>0</v>
      </c>
      <c s="6" r="BQ320">
        <v>0</v>
      </c>
      <c t="str" s="6" r="BR320">
        <f>HYPERLINK("http://www.d20pfsrd.com/magic/all-spells/l/lullaby","Lullaby")</f>
        <v>Lullaby</v>
      </c>
      <c s="6" r="BS320">
        <v>320</v>
      </c>
      <c t="s" s="6" r="BT320">
        <v>92</v>
      </c>
      <c s="6" r="BY320">
        <v>0</v>
      </c>
    </row>
    <row customHeight="1" r="321" ht="14.25">
      <c t="s" s="6" r="A321">
        <v>2701</v>
      </c>
      <c t="s" s="6" r="B321">
        <v>78</v>
      </c>
      <c t="s" s="6" r="C321">
        <v>79</v>
      </c>
      <c t="s" s="6" r="D321">
        <v>58</v>
      </c>
      <c t="s" s="6" r="E321">
        <v>2702</v>
      </c>
      <c t="s" s="6" r="F321">
        <v>81</v>
      </c>
      <c t="s" s="6" r="G321">
        <v>2703</v>
      </c>
      <c s="6" r="H321">
        <v>0</v>
      </c>
      <c t="s" s="6" r="I321">
        <v>120</v>
      </c>
      <c t="s" s="6" r="L321">
        <v>420</v>
      </c>
      <c t="s" s="6" r="M321">
        <v>711</v>
      </c>
      <c s="6" r="N321">
        <v>1</v>
      </c>
      <c s="6" r="O321">
        <v>0</v>
      </c>
      <c t="s" s="6" r="P321">
        <v>421</v>
      </c>
      <c t="s" s="6" r="Q321">
        <v>87</v>
      </c>
      <c t="s" s="6" r="R321">
        <v>2704</v>
      </c>
      <c t="s" s="6" r="S321">
        <v>2705</v>
      </c>
      <c t="s" s="6" r="T321">
        <v>90</v>
      </c>
      <c t="s" s="6" r="U321">
        <v>2706</v>
      </c>
      <c s="6" r="V321">
        <v>1</v>
      </c>
      <c s="6" r="W321">
        <v>1</v>
      </c>
      <c s="6" r="X321">
        <v>0</v>
      </c>
      <c s="6" r="Y321">
        <v>0</v>
      </c>
      <c s="6" r="Z321">
        <v>0</v>
      </c>
      <c s="6" r="AA321">
        <v>1</v>
      </c>
      <c s="6" r="AB321">
        <v>1</v>
      </c>
      <c t="s" s="6" r="AC321">
        <v>92</v>
      </c>
      <c t="s" s="6" r="AD321">
        <v>92</v>
      </c>
      <c t="s" s="6" r="AE321">
        <v>92</v>
      </c>
      <c t="s" s="6" r="AF321">
        <v>92</v>
      </c>
      <c t="s" s="6" r="AG321">
        <v>92</v>
      </c>
      <c t="s" s="6" r="AH321">
        <v>92</v>
      </c>
      <c s="6" r="AI321">
        <v>1</v>
      </c>
      <c s="6" r="AJ321">
        <v>1</v>
      </c>
      <c t="s" s="6" r="AK321">
        <v>92</v>
      </c>
      <c t="s" s="6" r="AL321">
        <v>92</v>
      </c>
      <c t="s" s="6" r="AM321">
        <v>92</v>
      </c>
      <c t="s" s="6" r="AN321">
        <v>92</v>
      </c>
      <c s="6" r="AP321">
        <v>1</v>
      </c>
      <c t="s" s="6" r="AR321">
        <v>2707</v>
      </c>
      <c s="6" r="AS321">
        <v>0</v>
      </c>
      <c s="6" r="AT321">
        <v>0</v>
      </c>
      <c s="6" r="AU321">
        <v>0</v>
      </c>
      <c s="6" r="AV321">
        <v>0</v>
      </c>
      <c s="6" r="AW321">
        <v>0</v>
      </c>
      <c s="6" r="AX321">
        <v>0</v>
      </c>
      <c s="6" r="AY321">
        <v>0</v>
      </c>
      <c s="6" r="AZ321">
        <v>0</v>
      </c>
      <c s="6" r="BA321">
        <v>0</v>
      </c>
      <c s="6" r="BB321">
        <v>0</v>
      </c>
      <c s="6" r="BC321">
        <v>0</v>
      </c>
      <c s="6" r="BD321">
        <v>0</v>
      </c>
      <c s="6" r="BE321">
        <v>0</v>
      </c>
      <c s="6" r="BF321">
        <v>0</v>
      </c>
      <c s="6" r="BG321">
        <v>1</v>
      </c>
      <c s="6" r="BH321">
        <v>0</v>
      </c>
      <c s="6" r="BI321">
        <v>0</v>
      </c>
      <c s="6" r="BJ321">
        <v>0</v>
      </c>
      <c s="6" r="BK321">
        <v>0</v>
      </c>
      <c s="6" r="BL321">
        <v>0</v>
      </c>
      <c s="6" r="BM321">
        <v>0</v>
      </c>
      <c s="6" r="BN321">
        <v>0</v>
      </c>
      <c s="6" r="BO321">
        <v>0</v>
      </c>
      <c s="6" r="BP321">
        <v>0</v>
      </c>
      <c s="6" r="BQ321">
        <v>0</v>
      </c>
      <c t="str" s="6" r="BR321">
        <f>HYPERLINK("http://www.d20pfsrd.com/magic/all-spells/m/mage-armor","Mage Armor")</f>
        <v>Mage Armor</v>
      </c>
      <c s="6" r="BS321">
        <v>321</v>
      </c>
      <c t="s" s="6" r="BT321">
        <v>92</v>
      </c>
      <c t="s" s="6" r="BU321">
        <v>1951</v>
      </c>
      <c t="s" s="6" r="BW321">
        <v>2708</v>
      </c>
      <c s="6" r="BY321">
        <v>1</v>
      </c>
    </row>
    <row customHeight="1" r="322" ht="14.25">
      <c t="s" s="6" r="A322">
        <v>2709</v>
      </c>
      <c t="s" s="6" r="B322">
        <v>131</v>
      </c>
      <c t="s" s="6" r="E322">
        <v>2710</v>
      </c>
      <c t="s" s="6" r="F322">
        <v>81</v>
      </c>
      <c t="s" s="6" r="G322">
        <v>106</v>
      </c>
      <c s="6" r="H322">
        <v>0</v>
      </c>
      <c t="s" s="6" r="I322">
        <v>107</v>
      </c>
      <c t="s" s="6" r="L322">
        <v>2711</v>
      </c>
      <c t="s" s="6" r="M322">
        <v>220</v>
      </c>
      <c s="6" r="N322">
        <v>0</v>
      </c>
      <c s="6" r="O322">
        <v>0</v>
      </c>
      <c t="s" s="6" r="P322">
        <v>86</v>
      </c>
      <c t="s" s="6" r="Q322">
        <v>87</v>
      </c>
      <c t="s" s="6" r="R322">
        <v>2712</v>
      </c>
      <c t="s" s="6" r="S322">
        <v>2713</v>
      </c>
      <c t="s" s="6" r="T322">
        <v>90</v>
      </c>
      <c t="s" s="6" r="U322">
        <v>2714</v>
      </c>
      <c s="6" r="V322">
        <v>1</v>
      </c>
      <c s="6" r="W322">
        <v>1</v>
      </c>
      <c s="6" r="X322">
        <v>0</v>
      </c>
      <c s="6" r="Y322">
        <v>0</v>
      </c>
      <c s="6" r="Z322">
        <v>0</v>
      </c>
      <c s="6" r="AA322">
        <v>0</v>
      </c>
      <c s="6" r="AB322">
        <v>0</v>
      </c>
      <c t="s" s="6" r="AC322">
        <v>92</v>
      </c>
      <c t="s" s="6" r="AD322">
        <v>92</v>
      </c>
      <c t="s" s="6" r="AE322">
        <v>92</v>
      </c>
      <c s="6" r="AF322">
        <v>0</v>
      </c>
      <c t="s" s="6" r="AG322">
        <v>92</v>
      </c>
      <c t="s" s="6" r="AH322">
        <v>92</v>
      </c>
      <c s="6" r="AI322">
        <v>0</v>
      </c>
      <c t="s" s="6" r="AJ322">
        <v>92</v>
      </c>
      <c t="s" s="6" r="AK322">
        <v>92</v>
      </c>
      <c t="s" s="6" r="AL322">
        <v>92</v>
      </c>
      <c t="s" s="6" r="AM322">
        <v>92</v>
      </c>
      <c s="6" r="AN322">
        <v>0</v>
      </c>
      <c s="6" r="AP322">
        <v>0</v>
      </c>
      <c t="s" s="6" r="AR322">
        <v>2715</v>
      </c>
      <c s="6" r="AS322">
        <v>0</v>
      </c>
      <c s="6" r="AT322">
        <v>0</v>
      </c>
      <c s="6" r="AU322">
        <v>0</v>
      </c>
      <c s="6" r="AV322">
        <v>0</v>
      </c>
      <c s="6" r="AW322">
        <v>0</v>
      </c>
      <c s="6" r="AX322">
        <v>0</v>
      </c>
      <c s="6" r="AY322">
        <v>0</v>
      </c>
      <c s="6" r="AZ322">
        <v>0</v>
      </c>
      <c s="6" r="BA322">
        <v>0</v>
      </c>
      <c s="6" r="BB322">
        <v>0</v>
      </c>
      <c s="6" r="BC322">
        <v>0</v>
      </c>
      <c s="6" r="BD322">
        <v>0</v>
      </c>
      <c s="6" r="BE322">
        <v>0</v>
      </c>
      <c s="6" r="BF322">
        <v>0</v>
      </c>
      <c s="6" r="BG322">
        <v>0</v>
      </c>
      <c s="6" r="BH322">
        <v>0</v>
      </c>
      <c s="6" r="BI322">
        <v>0</v>
      </c>
      <c s="6" r="BJ322">
        <v>0</v>
      </c>
      <c s="6" r="BK322">
        <v>0</v>
      </c>
      <c s="6" r="BL322">
        <v>0</v>
      </c>
      <c s="6" r="BM322">
        <v>0</v>
      </c>
      <c s="6" r="BN322">
        <v>0</v>
      </c>
      <c s="6" r="BO322">
        <v>0</v>
      </c>
      <c s="6" r="BP322">
        <v>0</v>
      </c>
      <c s="6" r="BQ322">
        <v>0</v>
      </c>
      <c t="str" s="6" r="BR322">
        <f>HYPERLINK("http://www.d20pfsrd.com/magic/all-spells/m/mage-hand","Mage Hand")</f>
        <v>Mage Hand</v>
      </c>
      <c s="6" r="BS322">
        <v>322</v>
      </c>
      <c t="s" s="6" r="BT322">
        <v>92</v>
      </c>
      <c s="6" r="BY322">
        <v>0</v>
      </c>
    </row>
    <row customHeight="1" r="323" ht="14.25">
      <c t="s" s="6" r="A323">
        <v>2716</v>
      </c>
      <c t="s" s="6" r="B323">
        <v>162</v>
      </c>
      <c t="s" s="6" r="E323">
        <v>1058</v>
      </c>
      <c t="s" s="6" r="F323">
        <v>81</v>
      </c>
      <c t="s" s="6" r="G323">
        <v>251</v>
      </c>
      <c s="6" r="H323">
        <v>0</v>
      </c>
      <c t="s" s="6" r="I323">
        <v>107</v>
      </c>
      <c t="s" s="6" r="J323">
        <v>2717</v>
      </c>
      <c t="s" s="6" r="M323">
        <v>2718</v>
      </c>
      <c s="6" r="N323">
        <v>0</v>
      </c>
      <c s="6" r="O323">
        <v>0</v>
      </c>
      <c t="s" s="6" r="P323">
        <v>535</v>
      </c>
      <c t="s" s="6" r="Q323">
        <v>87</v>
      </c>
      <c t="s" s="6" r="R323">
        <v>2719</v>
      </c>
      <c t="s" s="6" r="S323">
        <v>2720</v>
      </c>
      <c t="s" s="6" r="T323">
        <v>90</v>
      </c>
      <c t="s" s="6" r="U323">
        <v>2721</v>
      </c>
      <c s="6" r="V323">
        <v>1</v>
      </c>
      <c s="6" r="W323">
        <v>0</v>
      </c>
      <c s="6" r="X323">
        <v>0</v>
      </c>
      <c s="6" r="Y323">
        <v>0</v>
      </c>
      <c s="6" r="Z323">
        <v>0</v>
      </c>
      <c s="6" r="AA323">
        <v>9</v>
      </c>
      <c s="6" r="AB323">
        <v>9</v>
      </c>
      <c t="s" s="6" r="AC323">
        <v>92</v>
      </c>
      <c t="s" s="6" r="AD323">
        <v>92</v>
      </c>
      <c t="s" s="6" r="AE323">
        <v>92</v>
      </c>
      <c t="s" s="6" r="AF323">
        <v>92</v>
      </c>
      <c t="s" s="6" r="AG323">
        <v>92</v>
      </c>
      <c t="s" s="6" r="AH323">
        <v>92</v>
      </c>
      <c t="s" s="6" r="AI323">
        <v>92</v>
      </c>
      <c t="s" s="6" r="AJ323">
        <v>92</v>
      </c>
      <c t="s" s="6" r="AK323">
        <v>92</v>
      </c>
      <c t="s" s="6" r="AL323">
        <v>92</v>
      </c>
      <c t="s" s="6" r="AM323">
        <v>92</v>
      </c>
      <c t="s" s="6" r="AN323">
        <v>92</v>
      </c>
      <c s="6" r="AP323">
        <v>9</v>
      </c>
      <c t="s" s="6" r="AQ323">
        <v>1443</v>
      </c>
      <c t="s" s="6" r="AR323">
        <v>2722</v>
      </c>
      <c s="6" r="AS323">
        <v>0</v>
      </c>
      <c s="6" r="AT323">
        <v>0</v>
      </c>
      <c s="6" r="AU323">
        <v>0</v>
      </c>
      <c s="6" r="AV323">
        <v>0</v>
      </c>
      <c s="6" r="AW323">
        <v>0</v>
      </c>
      <c s="6" r="AX323">
        <v>0</v>
      </c>
      <c s="6" r="AY323">
        <v>0</v>
      </c>
      <c s="6" r="AZ323">
        <v>0</v>
      </c>
      <c s="6" r="BA323">
        <v>0</v>
      </c>
      <c s="6" r="BB323">
        <v>0</v>
      </c>
      <c s="6" r="BC323">
        <v>0</v>
      </c>
      <c s="6" r="BD323">
        <v>0</v>
      </c>
      <c s="6" r="BE323">
        <v>0</v>
      </c>
      <c s="6" r="BF323">
        <v>0</v>
      </c>
      <c s="6" r="BG323">
        <v>0</v>
      </c>
      <c s="6" r="BH323">
        <v>0</v>
      </c>
      <c s="6" r="BI323">
        <v>0</v>
      </c>
      <c s="6" r="BJ323">
        <v>0</v>
      </c>
      <c s="6" r="BK323">
        <v>0</v>
      </c>
      <c s="6" r="BL323">
        <v>0</v>
      </c>
      <c s="6" r="BM323">
        <v>0</v>
      </c>
      <c s="6" r="BN323">
        <v>0</v>
      </c>
      <c s="6" r="BO323">
        <v>0</v>
      </c>
      <c s="6" r="BP323">
        <v>0</v>
      </c>
      <c s="6" r="BQ323">
        <v>0</v>
      </c>
      <c t="str" s="6" r="BR323">
        <f>HYPERLINK("http://www.d20pfsrd.com/magic/all-spells/m/mage-s-disjunction","Mage's Disjunction")</f>
        <v>Mage's Disjunction</v>
      </c>
      <c s="6" r="BS323">
        <v>323</v>
      </c>
      <c t="s" s="6" r="BT323">
        <v>92</v>
      </c>
      <c t="s" s="6" r="BV323">
        <v>2109</v>
      </c>
      <c t="s" s="6" r="BW323">
        <v>2723</v>
      </c>
      <c s="6" r="BY323">
        <v>1</v>
      </c>
    </row>
    <row customHeight="1" r="324" ht="14.25">
      <c t="s" s="6" r="A324">
        <v>2724</v>
      </c>
      <c t="s" s="6" r="B324">
        <v>78</v>
      </c>
      <c t="s" s="6" r="C324">
        <v>79</v>
      </c>
      <c t="s" s="6" r="E324">
        <v>2725</v>
      </c>
      <c t="s" s="6" r="F324">
        <v>81</v>
      </c>
      <c t="s" s="6" r="G324">
        <v>2726</v>
      </c>
      <c s="6" r="H324">
        <v>0</v>
      </c>
      <c t="s" s="6" r="I324">
        <v>107</v>
      </c>
      <c t="s" s="6" r="K324">
        <v>2727</v>
      </c>
      <c t="s" s="6" r="M324">
        <v>2728</v>
      </c>
      <c s="6" r="N324">
        <v>0</v>
      </c>
      <c s="6" r="O324">
        <v>0</v>
      </c>
      <c t="s" s="6" r="P324">
        <v>86</v>
      </c>
      <c t="s" s="6" r="Q324">
        <v>87</v>
      </c>
      <c t="s" s="6" r="R324">
        <v>2729</v>
      </c>
      <c t="s" s="6" r="S324">
        <v>2730</v>
      </c>
      <c t="s" s="6" r="T324">
        <v>90</v>
      </c>
      <c t="s" s="6" r="U324">
        <v>2731</v>
      </c>
      <c s="6" r="V324">
        <v>1</v>
      </c>
      <c s="6" r="W324">
        <v>1</v>
      </c>
      <c s="6" r="X324">
        <v>1</v>
      </c>
      <c s="6" r="Y324">
        <v>0</v>
      </c>
      <c s="6" r="Z324">
        <v>0</v>
      </c>
      <c s="6" r="AA324">
        <v>5</v>
      </c>
      <c s="6" r="AB324">
        <v>5</v>
      </c>
      <c t="s" s="6" r="AC324">
        <v>92</v>
      </c>
      <c t="s" s="6" r="AD324">
        <v>92</v>
      </c>
      <c t="s" s="6" r="AE324">
        <v>92</v>
      </c>
      <c t="s" s="6" r="AF324">
        <v>92</v>
      </c>
      <c t="s" s="6" r="AG324">
        <v>92</v>
      </c>
      <c t="s" s="6" r="AH324">
        <v>92</v>
      </c>
      <c s="6" r="AI324">
        <v>4</v>
      </c>
      <c t="s" s="6" r="AJ324">
        <v>92</v>
      </c>
      <c t="s" s="6" r="AK324">
        <v>92</v>
      </c>
      <c t="s" s="6" r="AL324">
        <v>92</v>
      </c>
      <c t="s" s="6" r="AM324">
        <v>92</v>
      </c>
      <c t="s" s="6" r="AN324">
        <v>92</v>
      </c>
      <c s="6" r="AP324">
        <v>5</v>
      </c>
      <c t="s" s="6" r="AR324">
        <v>2732</v>
      </c>
      <c s="6" r="AS324">
        <v>0</v>
      </c>
      <c s="6" r="AT324">
        <v>0</v>
      </c>
      <c s="6" r="AU324">
        <v>0</v>
      </c>
      <c s="6" r="AV324">
        <v>0</v>
      </c>
      <c s="6" r="AW324">
        <v>0</v>
      </c>
      <c s="6" r="AX324">
        <v>0</v>
      </c>
      <c s="6" r="AY324">
        <v>0</v>
      </c>
      <c s="6" r="AZ324">
        <v>0</v>
      </c>
      <c s="6" r="BA324">
        <v>0</v>
      </c>
      <c s="6" r="BB324">
        <v>0</v>
      </c>
      <c s="6" r="BC324">
        <v>0</v>
      </c>
      <c s="6" r="BD324">
        <v>0</v>
      </c>
      <c s="6" r="BE324">
        <v>0</v>
      </c>
      <c s="6" r="BF324">
        <v>0</v>
      </c>
      <c s="6" r="BG324">
        <v>0</v>
      </c>
      <c s="6" r="BH324">
        <v>0</v>
      </c>
      <c s="6" r="BI324">
        <v>0</v>
      </c>
      <c s="6" r="BJ324">
        <v>0</v>
      </c>
      <c s="6" r="BK324">
        <v>0</v>
      </c>
      <c s="6" r="BL324">
        <v>0</v>
      </c>
      <c s="6" r="BM324">
        <v>0</v>
      </c>
      <c s="6" r="BN324">
        <v>0</v>
      </c>
      <c s="6" r="BO324">
        <v>0</v>
      </c>
      <c s="6" r="BP324">
        <v>0</v>
      </c>
      <c s="6" r="BQ324">
        <v>0</v>
      </c>
      <c t="str" s="6" r="BR324">
        <f>HYPERLINK("http://www.d20pfsrd.com/magic/all-spells/m/mage-s-faithful-hound","Mage's Faithful Hound")</f>
        <v>Mage's Faithful Hound</v>
      </c>
      <c s="6" r="BS324">
        <v>324</v>
      </c>
      <c t="s" s="6" r="BT324">
        <v>92</v>
      </c>
      <c s="6" r="BY324">
        <v>0</v>
      </c>
    </row>
    <row customHeight="1" r="325" ht="14.25">
      <c t="s" s="6" r="A325">
        <v>2733</v>
      </c>
      <c t="s" s="6" r="B325">
        <v>131</v>
      </c>
      <c t="s" s="6" r="E325">
        <v>2734</v>
      </c>
      <c t="s" s="6" r="F325">
        <v>81</v>
      </c>
      <c t="s" s="6" r="G325">
        <v>106</v>
      </c>
      <c s="6" r="H325">
        <v>0</v>
      </c>
      <c t="s" s="6" r="I325">
        <v>155</v>
      </c>
      <c t="s" s="6" r="L325">
        <v>156</v>
      </c>
      <c t="s" s="6" r="M325">
        <v>109</v>
      </c>
      <c s="6" r="N325">
        <v>0</v>
      </c>
      <c s="6" r="O325">
        <v>0</v>
      </c>
      <c t="s" s="6" r="R325">
        <v>2735</v>
      </c>
      <c t="s" s="6" r="S325">
        <v>2736</v>
      </c>
      <c t="s" s="6" r="T325">
        <v>90</v>
      </c>
      <c t="s" s="6" r="U325">
        <v>2737</v>
      </c>
      <c s="6" r="V325">
        <v>1</v>
      </c>
      <c s="6" r="W325">
        <v>1</v>
      </c>
      <c s="6" r="X325">
        <v>0</v>
      </c>
      <c s="6" r="Y325">
        <v>0</v>
      </c>
      <c s="6" r="Z325">
        <v>0</v>
      </c>
      <c t="s" s="6" r="AA325">
        <v>92</v>
      </c>
      <c s="6" r="AB325">
        <v>6</v>
      </c>
      <c t="s" s="6" r="AC325">
        <v>92</v>
      </c>
      <c t="s" s="6" r="AD325">
        <v>92</v>
      </c>
      <c t="s" s="6" r="AE325">
        <v>92</v>
      </c>
      <c t="s" s="6" r="AF325">
        <v>92</v>
      </c>
      <c t="s" s="6" r="AG325">
        <v>92</v>
      </c>
      <c t="s" s="6" r="AH325">
        <v>92</v>
      </c>
      <c t="s" s="6" r="AI325">
        <v>92</v>
      </c>
      <c t="s" s="6" r="AJ325">
        <v>92</v>
      </c>
      <c t="s" s="6" r="AK325">
        <v>92</v>
      </c>
      <c t="s" s="6" r="AL325">
        <v>92</v>
      </c>
      <c t="s" s="6" r="AM325">
        <v>92</v>
      </c>
      <c t="s" s="6" r="AN325">
        <v>92</v>
      </c>
      <c s="6" r="AP325">
        <v>6</v>
      </c>
      <c t="s" s="6" r="AR325">
        <v>2738</v>
      </c>
      <c s="6" r="AS325">
        <v>0</v>
      </c>
      <c s="6" r="AT325">
        <v>0</v>
      </c>
      <c s="6" r="AU325">
        <v>0</v>
      </c>
      <c s="6" r="AV325">
        <v>0</v>
      </c>
      <c s="6" r="AW325">
        <v>0</v>
      </c>
      <c s="6" r="AX325">
        <v>0</v>
      </c>
      <c s="6" r="AY325">
        <v>0</v>
      </c>
      <c s="6" r="AZ325">
        <v>0</v>
      </c>
      <c s="6" r="BA325">
        <v>0</v>
      </c>
      <c s="6" r="BB325">
        <v>0</v>
      </c>
      <c s="6" r="BC325">
        <v>0</v>
      </c>
      <c s="6" r="BD325">
        <v>0</v>
      </c>
      <c s="6" r="BE325">
        <v>0</v>
      </c>
      <c s="6" r="BF325">
        <v>0</v>
      </c>
      <c s="6" r="BG325">
        <v>0</v>
      </c>
      <c s="6" r="BH325">
        <v>0</v>
      </c>
      <c s="6" r="BI325">
        <v>0</v>
      </c>
      <c s="6" r="BJ325">
        <v>0</v>
      </c>
      <c s="6" r="BK325">
        <v>0</v>
      </c>
      <c s="6" r="BL325">
        <v>0</v>
      </c>
      <c s="6" r="BM325">
        <v>0</v>
      </c>
      <c s="6" r="BN325">
        <v>0</v>
      </c>
      <c s="6" r="BO325">
        <v>0</v>
      </c>
      <c s="6" r="BP325">
        <v>0</v>
      </c>
      <c s="6" r="BQ325">
        <v>0</v>
      </c>
      <c t="str" s="6" r="BR325">
        <f>HYPERLINK("http://www.d20pfsrd.com/magic/all-spells/m/mage-s-lucubration","Mage's Lucubration")</f>
        <v>Mage's Lucubration</v>
      </c>
      <c s="6" r="BS325">
        <v>325</v>
      </c>
      <c t="s" s="6" r="BT325">
        <v>92</v>
      </c>
      <c s="6" r="BY325">
        <v>0</v>
      </c>
    </row>
    <row customHeight="1" r="326" ht="14.25">
      <c t="s" s="6" r="A326">
        <v>2739</v>
      </c>
      <c t="s" s="6" r="B326">
        <v>78</v>
      </c>
      <c t="s" s="6" r="C326">
        <v>79</v>
      </c>
      <c t="s" s="6" r="E326">
        <v>973</v>
      </c>
      <c t="s" s="6" r="F326">
        <v>81</v>
      </c>
      <c t="s" s="6" r="G326">
        <v>2740</v>
      </c>
      <c s="6" r="H326">
        <v>1</v>
      </c>
      <c t="s" s="6" r="I326">
        <v>107</v>
      </c>
      <c t="s" s="6" r="K326">
        <v>2741</v>
      </c>
      <c t="s" s="6" r="M326">
        <v>166</v>
      </c>
      <c s="6" r="N326">
        <v>1</v>
      </c>
      <c s="6" r="O326">
        <v>0</v>
      </c>
      <c t="s" s="6" r="P326">
        <v>86</v>
      </c>
      <c t="s" s="6" r="Q326">
        <v>87</v>
      </c>
      <c t="s" s="6" r="R326">
        <v>2742</v>
      </c>
      <c t="s" s="6" r="S326">
        <v>2743</v>
      </c>
      <c t="s" s="6" r="T326">
        <v>90</v>
      </c>
      <c t="s" s="6" r="U326">
        <v>2744</v>
      </c>
      <c s="6" r="V326">
        <v>1</v>
      </c>
      <c s="6" r="W326">
        <v>1</v>
      </c>
      <c s="6" r="X326">
        <v>1</v>
      </c>
      <c s="6" r="Y326">
        <v>1</v>
      </c>
      <c s="6" r="Z326">
        <v>0</v>
      </c>
      <c s="6" r="AA326">
        <v>7</v>
      </c>
      <c s="6" r="AB326">
        <v>7</v>
      </c>
      <c t="s" s="6" r="AC326">
        <v>92</v>
      </c>
      <c t="s" s="6" r="AD326">
        <v>92</v>
      </c>
      <c t="s" s="6" r="AE326">
        <v>92</v>
      </c>
      <c t="s" s="6" r="AF326">
        <v>92</v>
      </c>
      <c t="s" s="6" r="AG326">
        <v>92</v>
      </c>
      <c t="s" s="6" r="AH326">
        <v>92</v>
      </c>
      <c t="s" s="6" r="AI326">
        <v>92</v>
      </c>
      <c t="s" s="6" r="AJ326">
        <v>92</v>
      </c>
      <c t="s" s="6" r="AK326">
        <v>92</v>
      </c>
      <c t="s" s="6" r="AL326">
        <v>92</v>
      </c>
      <c t="s" s="6" r="AM326">
        <v>92</v>
      </c>
      <c t="s" s="6" r="AN326">
        <v>92</v>
      </c>
      <c s="6" r="AP326">
        <v>7</v>
      </c>
      <c t="s" s="6" r="AR326">
        <v>2745</v>
      </c>
      <c s="6" r="AS326">
        <v>0</v>
      </c>
      <c s="6" r="AT326">
        <v>0</v>
      </c>
      <c s="6" r="AU326">
        <v>0</v>
      </c>
      <c s="6" r="AV326">
        <v>0</v>
      </c>
      <c s="6" r="AW326">
        <v>0</v>
      </c>
      <c s="6" r="AX326">
        <v>0</v>
      </c>
      <c s="6" r="AY326">
        <v>0</v>
      </c>
      <c s="6" r="AZ326">
        <v>0</v>
      </c>
      <c s="6" r="BA326">
        <v>0</v>
      </c>
      <c s="6" r="BB326">
        <v>0</v>
      </c>
      <c s="6" r="BC326">
        <v>0</v>
      </c>
      <c s="6" r="BD326">
        <v>0</v>
      </c>
      <c s="6" r="BE326">
        <v>0</v>
      </c>
      <c s="6" r="BF326">
        <v>0</v>
      </c>
      <c s="6" r="BG326">
        <v>0</v>
      </c>
      <c s="6" r="BH326">
        <v>0</v>
      </c>
      <c s="6" r="BI326">
        <v>0</v>
      </c>
      <c s="6" r="BJ326">
        <v>0</v>
      </c>
      <c s="6" r="BK326">
        <v>0</v>
      </c>
      <c s="6" r="BL326">
        <v>0</v>
      </c>
      <c s="6" r="BM326">
        <v>0</v>
      </c>
      <c s="6" r="BN326">
        <v>0</v>
      </c>
      <c s="6" r="BO326">
        <v>0</v>
      </c>
      <c s="6" r="BP326">
        <v>0</v>
      </c>
      <c s="6" r="BQ326">
        <v>0</v>
      </c>
      <c t="str" s="6" r="BR326">
        <f>HYPERLINK("http://www.d20pfsrd.com/magic/all-spells/m/mage-s-magnificent-mansion","Mage's Magnificent Mansion")</f>
        <v>Mage's Magnificent Mansion</v>
      </c>
      <c s="6" r="BS326">
        <v>326</v>
      </c>
      <c s="6" r="BT326">
        <v>5</v>
      </c>
      <c s="6" r="BY326">
        <v>0</v>
      </c>
    </row>
    <row customHeight="1" r="327" ht="14.25">
      <c t="s" s="6" r="A327">
        <v>2746</v>
      </c>
      <c t="s" s="6" r="B327">
        <v>162</v>
      </c>
      <c t="s" s="6" r="E327">
        <v>1709</v>
      </c>
      <c t="s" s="6" r="F327">
        <v>311</v>
      </c>
      <c t="s" s="6" r="G327">
        <v>2747</v>
      </c>
      <c s="6" r="H327">
        <v>0</v>
      </c>
      <c t="s" s="6" r="I327">
        <v>107</v>
      </c>
      <c t="s" s="6" r="J327">
        <v>2748</v>
      </c>
      <c t="s" s="6" r="M327">
        <v>379</v>
      </c>
      <c s="6" r="N327">
        <v>1</v>
      </c>
      <c s="6" r="O327">
        <v>1</v>
      </c>
      <c t="s" s="6" r="P327">
        <v>86</v>
      </c>
      <c t="s" s="6" r="Q327">
        <v>87</v>
      </c>
      <c t="s" s="6" r="R327">
        <v>2749</v>
      </c>
      <c t="s" s="6" r="S327">
        <v>2750</v>
      </c>
      <c t="s" s="6" r="T327">
        <v>90</v>
      </c>
      <c t="s" s="6" r="U327">
        <v>2751</v>
      </c>
      <c s="6" r="V327">
        <v>1</v>
      </c>
      <c s="6" r="W327">
        <v>1</v>
      </c>
      <c s="6" r="X327">
        <v>1</v>
      </c>
      <c s="6" r="Y327">
        <v>0</v>
      </c>
      <c s="6" r="Z327">
        <v>0</v>
      </c>
      <c s="6" r="AA327">
        <v>5</v>
      </c>
      <c s="6" r="AB327">
        <v>5</v>
      </c>
      <c t="s" s="6" r="AC327">
        <v>92</v>
      </c>
      <c t="s" s="6" r="AD327">
        <v>92</v>
      </c>
      <c t="s" s="6" r="AE327">
        <v>92</v>
      </c>
      <c t="s" s="6" r="AF327">
        <v>92</v>
      </c>
      <c t="s" s="6" r="AG327">
        <v>92</v>
      </c>
      <c t="s" s="6" r="AH327">
        <v>92</v>
      </c>
      <c t="s" s="6" r="AI327">
        <v>92</v>
      </c>
      <c t="s" s="6" r="AJ327">
        <v>92</v>
      </c>
      <c t="s" s="6" r="AK327">
        <v>92</v>
      </c>
      <c t="s" s="6" r="AL327">
        <v>92</v>
      </c>
      <c t="s" s="6" r="AM327">
        <v>92</v>
      </c>
      <c t="s" s="6" r="AN327">
        <v>92</v>
      </c>
      <c s="6" r="AP327">
        <v>5</v>
      </c>
      <c t="s" s="6" r="AR327">
        <v>2752</v>
      </c>
      <c s="6" r="AS327">
        <v>0</v>
      </c>
      <c s="6" r="AT327">
        <v>0</v>
      </c>
      <c s="6" r="AU327">
        <v>0</v>
      </c>
      <c s="6" r="AV327">
        <v>0</v>
      </c>
      <c s="6" r="AW327">
        <v>0</v>
      </c>
      <c s="6" r="AX327">
        <v>0</v>
      </c>
      <c s="6" r="AY327">
        <v>0</v>
      </c>
      <c s="6" r="AZ327">
        <v>0</v>
      </c>
      <c s="6" r="BA327">
        <v>0</v>
      </c>
      <c s="6" r="BB327">
        <v>0</v>
      </c>
      <c s="6" r="BC327">
        <v>0</v>
      </c>
      <c s="6" r="BD327">
        <v>0</v>
      </c>
      <c s="6" r="BE327">
        <v>0</v>
      </c>
      <c s="6" r="BF327">
        <v>0</v>
      </c>
      <c s="6" r="BG327">
        <v>0</v>
      </c>
      <c s="6" r="BH327">
        <v>0</v>
      </c>
      <c s="6" r="BI327">
        <v>0</v>
      </c>
      <c s="6" r="BJ327">
        <v>0</v>
      </c>
      <c s="6" r="BK327">
        <v>0</v>
      </c>
      <c s="6" r="BL327">
        <v>0</v>
      </c>
      <c s="6" r="BM327">
        <v>0</v>
      </c>
      <c s="6" r="BN327">
        <v>0</v>
      </c>
      <c s="6" r="BO327">
        <v>0</v>
      </c>
      <c s="6" r="BP327">
        <v>0</v>
      </c>
      <c s="6" r="BQ327">
        <v>0</v>
      </c>
      <c t="str" s="6" r="BR327">
        <f>HYPERLINK("http://www.d20pfsrd.com/magic/all-spells/m/mage-s-private-sanctum","Mage's Private Sanctum")</f>
        <v>Mage's Private Sanctum</v>
      </c>
      <c s="6" r="BS327">
        <v>327</v>
      </c>
      <c t="s" s="6" r="BT327">
        <v>92</v>
      </c>
      <c s="6" r="BY327">
        <v>0</v>
      </c>
    </row>
    <row customHeight="1" r="328" ht="14.25">
      <c t="s" s="6" r="A328">
        <v>2753</v>
      </c>
      <c t="s" s="6" r="B328">
        <v>493</v>
      </c>
      <c t="s" s="6" r="D328">
        <v>58</v>
      </c>
      <c t="s" s="6" r="E328">
        <v>973</v>
      </c>
      <c t="s" s="6" r="F328">
        <v>81</v>
      </c>
      <c t="s" s="6" r="G328">
        <v>2754</v>
      </c>
      <c s="6" r="H328">
        <v>1</v>
      </c>
      <c t="s" s="6" r="I328">
        <v>107</v>
      </c>
      <c t="s" s="6" r="K328">
        <v>2755</v>
      </c>
      <c t="s" s="6" r="M328">
        <v>99</v>
      </c>
      <c s="6" r="N328">
        <v>1</v>
      </c>
      <c s="6" r="O328">
        <v>0</v>
      </c>
      <c t="s" s="6" r="P328">
        <v>86</v>
      </c>
      <c t="s" s="6" r="Q328">
        <v>188</v>
      </c>
      <c t="s" s="6" r="R328">
        <v>2756</v>
      </c>
      <c t="s" s="6" r="S328">
        <v>2757</v>
      </c>
      <c t="s" s="6" r="T328">
        <v>90</v>
      </c>
      <c t="s" s="6" r="U328">
        <v>2758</v>
      </c>
      <c s="6" r="V328">
        <v>1</v>
      </c>
      <c s="6" r="W328">
        <v>1</v>
      </c>
      <c s="6" r="X328">
        <v>1</v>
      </c>
      <c s="6" r="Y328">
        <v>1</v>
      </c>
      <c s="6" r="Z328">
        <v>0</v>
      </c>
      <c s="6" r="AA328">
        <v>7</v>
      </c>
      <c s="6" r="AB328">
        <v>7</v>
      </c>
      <c t="s" s="6" r="AC328">
        <v>92</v>
      </c>
      <c t="s" s="6" r="AD328">
        <v>92</v>
      </c>
      <c t="s" s="6" r="AE328">
        <v>92</v>
      </c>
      <c t="s" s="6" r="AF328">
        <v>92</v>
      </c>
      <c t="s" s="6" r="AG328">
        <v>92</v>
      </c>
      <c t="s" s="6" r="AH328">
        <v>92</v>
      </c>
      <c t="s" s="6" r="AI328">
        <v>92</v>
      </c>
      <c t="s" s="6" r="AJ328">
        <v>92</v>
      </c>
      <c t="s" s="6" r="AK328">
        <v>92</v>
      </c>
      <c t="s" s="6" r="AL328">
        <v>92</v>
      </c>
      <c t="s" s="6" r="AM328">
        <v>92</v>
      </c>
      <c t="s" s="6" r="AN328">
        <v>92</v>
      </c>
      <c s="6" r="AP328">
        <v>7</v>
      </c>
      <c t="s" s="6" r="AR328">
        <v>2759</v>
      </c>
      <c s="6" r="AS328">
        <v>0</v>
      </c>
      <c s="6" r="AT328">
        <v>0</v>
      </c>
      <c s="6" r="AU328">
        <v>0</v>
      </c>
      <c s="6" r="AV328">
        <v>0</v>
      </c>
      <c s="6" r="AW328">
        <v>0</v>
      </c>
      <c s="6" r="AX328">
        <v>0</v>
      </c>
      <c s="6" r="AY328">
        <v>0</v>
      </c>
      <c s="6" r="AZ328">
        <v>0</v>
      </c>
      <c s="6" r="BA328">
        <v>0</v>
      </c>
      <c s="6" r="BB328">
        <v>0</v>
      </c>
      <c s="6" r="BC328">
        <v>0</v>
      </c>
      <c s="6" r="BD328">
        <v>0</v>
      </c>
      <c s="6" r="BE328">
        <v>0</v>
      </c>
      <c s="6" r="BF328">
        <v>0</v>
      </c>
      <c s="6" r="BG328">
        <v>1</v>
      </c>
      <c s="6" r="BH328">
        <v>0</v>
      </c>
      <c s="6" r="BI328">
        <v>0</v>
      </c>
      <c s="6" r="BJ328">
        <v>0</v>
      </c>
      <c s="6" r="BK328">
        <v>0</v>
      </c>
      <c s="6" r="BL328">
        <v>0</v>
      </c>
      <c s="6" r="BM328">
        <v>0</v>
      </c>
      <c s="6" r="BN328">
        <v>0</v>
      </c>
      <c s="6" r="BO328">
        <v>0</v>
      </c>
      <c s="6" r="BP328">
        <v>0</v>
      </c>
      <c s="6" r="BQ328">
        <v>0</v>
      </c>
      <c t="str" s="6" r="BR328">
        <f>HYPERLINK("http://www.d20pfsrd.com/magic/all-spells/m/mage-s-sword","Mage's Sword")</f>
        <v>Mage's Sword</v>
      </c>
      <c s="6" r="BS328">
        <v>328</v>
      </c>
      <c s="6" r="BT328">
        <v>250</v>
      </c>
      <c s="6" r="BY328">
        <v>0</v>
      </c>
    </row>
    <row customHeight="1" r="329" ht="14.25">
      <c t="s" s="6" r="A329">
        <v>2760</v>
      </c>
      <c t="s" s="6" r="B329">
        <v>579</v>
      </c>
      <c t="s" s="6" r="C329">
        <v>580</v>
      </c>
      <c t="s" s="6" r="E329">
        <v>262</v>
      </c>
      <c t="s" s="6" r="F329">
        <v>81</v>
      </c>
      <c t="s" s="6" r="G329">
        <v>2761</v>
      </c>
      <c s="6" r="H329">
        <v>0</v>
      </c>
      <c t="s" s="6" r="I329">
        <v>120</v>
      </c>
      <c t="s" s="6" r="L329">
        <v>2762</v>
      </c>
      <c t="s" s="6" r="M329">
        <v>200</v>
      </c>
      <c s="6" r="N329">
        <v>1</v>
      </c>
      <c s="6" r="O329">
        <v>0</v>
      </c>
      <c t="s" s="6" r="P329">
        <v>201</v>
      </c>
      <c t="s" s="6" r="Q329">
        <v>87</v>
      </c>
      <c t="s" s="6" r="R329">
        <v>2763</v>
      </c>
      <c t="s" s="6" r="S329">
        <v>2764</v>
      </c>
      <c t="s" s="6" r="T329">
        <v>90</v>
      </c>
      <c t="s" s="6" r="U329">
        <v>2765</v>
      </c>
      <c s="6" r="V329">
        <v>1</v>
      </c>
      <c s="6" r="W329">
        <v>1</v>
      </c>
      <c s="6" r="X329">
        <v>1</v>
      </c>
      <c s="6" r="Y329">
        <v>1</v>
      </c>
      <c s="6" r="Z329">
        <v>0</v>
      </c>
      <c s="6" r="AA329">
        <v>1</v>
      </c>
      <c s="6" r="AB329">
        <v>1</v>
      </c>
      <c t="s" s="6" r="AC329">
        <v>92</v>
      </c>
      <c t="s" s="6" r="AD329">
        <v>92</v>
      </c>
      <c t="s" s="6" r="AE329">
        <v>92</v>
      </c>
      <c s="6" r="AF329">
        <v>1</v>
      </c>
      <c t="s" s="6" r="AG329">
        <v>92</v>
      </c>
      <c t="s" s="6" r="AH329">
        <v>92</v>
      </c>
      <c t="s" s="6" r="AI329">
        <v>92</v>
      </c>
      <c t="s" s="6" r="AJ329">
        <v>92</v>
      </c>
      <c t="s" s="6" r="AK329">
        <v>92</v>
      </c>
      <c t="s" s="6" r="AL329">
        <v>92</v>
      </c>
      <c t="s" s="6" r="AM329">
        <v>92</v>
      </c>
      <c t="s" s="6" r="AN329">
        <v>92</v>
      </c>
      <c s="6" r="AP329">
        <v>1</v>
      </c>
      <c t="s" s="6" r="AQ329">
        <v>182</v>
      </c>
      <c t="s" s="6" r="AR329">
        <v>2766</v>
      </c>
      <c s="6" r="AS329">
        <v>0</v>
      </c>
      <c s="6" r="AT329">
        <v>0</v>
      </c>
      <c s="6" r="AU329">
        <v>0</v>
      </c>
      <c s="6" r="AV329">
        <v>0</v>
      </c>
      <c s="6" r="AW329">
        <v>0</v>
      </c>
      <c s="6" r="AX329">
        <v>0</v>
      </c>
      <c s="6" r="AY329">
        <v>0</v>
      </c>
      <c s="6" r="AZ329">
        <v>0</v>
      </c>
      <c s="6" r="BA329">
        <v>0</v>
      </c>
      <c s="6" r="BB329">
        <v>0</v>
      </c>
      <c s="6" r="BC329">
        <v>0</v>
      </c>
      <c s="6" r="BD329">
        <v>0</v>
      </c>
      <c s="6" r="BE329">
        <v>0</v>
      </c>
      <c s="6" r="BF329">
        <v>0</v>
      </c>
      <c s="6" r="BG329">
        <v>0</v>
      </c>
      <c s="6" r="BH329">
        <v>0</v>
      </c>
      <c s="6" r="BI329">
        <v>0</v>
      </c>
      <c s="6" r="BJ329">
        <v>0</v>
      </c>
      <c s="6" r="BK329">
        <v>0</v>
      </c>
      <c s="6" r="BL329">
        <v>0</v>
      </c>
      <c s="6" r="BM329">
        <v>0</v>
      </c>
      <c s="6" r="BN329">
        <v>0</v>
      </c>
      <c s="6" r="BO329">
        <v>0</v>
      </c>
      <c s="6" r="BP329">
        <v>0</v>
      </c>
      <c s="6" r="BQ329">
        <v>0</v>
      </c>
      <c t="str" s="6" r="BR329">
        <f>HYPERLINK("http://www.d20pfsrd.com/magic/all-spells/m/magic-aura","Magic Aura")</f>
        <v>Magic Aura</v>
      </c>
      <c s="6" r="BS329">
        <v>329</v>
      </c>
      <c t="s" s="6" r="BT329">
        <v>92</v>
      </c>
      <c s="6" r="BY329">
        <v>0</v>
      </c>
    </row>
    <row customHeight="1" r="330" ht="14.25">
      <c t="s" s="6" r="A330">
        <v>2767</v>
      </c>
      <c t="s" s="6" r="B330">
        <v>162</v>
      </c>
      <c t="s" s="6" r="D330">
        <v>59</v>
      </c>
      <c t="s" s="6" r="E330">
        <v>2768</v>
      </c>
      <c t="s" s="6" r="F330">
        <v>81</v>
      </c>
      <c t="s" s="6" r="G330">
        <v>2769</v>
      </c>
      <c s="6" r="H330">
        <v>0</v>
      </c>
      <c t="s" s="6" r="I330">
        <v>120</v>
      </c>
      <c t="s" s="6" r="J330">
        <v>2770</v>
      </c>
      <c t="s" s="6" r="M330">
        <v>134</v>
      </c>
      <c s="6" r="N330">
        <v>0</v>
      </c>
      <c s="6" r="O330">
        <v>0</v>
      </c>
      <c t="s" s="6" r="P330">
        <v>421</v>
      </c>
      <c t="s" s="6" r="Q330">
        <v>2771</v>
      </c>
      <c t="s" s="6" r="R330">
        <v>2772</v>
      </c>
      <c t="s" s="6" r="S330">
        <v>2773</v>
      </c>
      <c t="s" s="6" r="T330">
        <v>90</v>
      </c>
      <c t="s" s="6" r="U330">
        <v>2774</v>
      </c>
      <c s="6" r="V330">
        <v>1</v>
      </c>
      <c s="6" r="W330">
        <v>1</v>
      </c>
      <c s="6" r="X330">
        <v>1</v>
      </c>
      <c s="6" r="Y330">
        <v>0</v>
      </c>
      <c s="6" r="Z330">
        <v>1</v>
      </c>
      <c s="6" r="AA330">
        <v>3</v>
      </c>
      <c s="6" r="AB330">
        <v>3</v>
      </c>
      <c s="6" r="AC330">
        <v>3</v>
      </c>
      <c t="s" s="6" r="AD330">
        <v>92</v>
      </c>
      <c t="s" s="6" r="AE330">
        <v>92</v>
      </c>
      <c t="s" s="6" r="AF330">
        <v>92</v>
      </c>
      <c s="6" r="AG330">
        <v>3</v>
      </c>
      <c t="s" s="6" r="AH330">
        <v>92</v>
      </c>
      <c s="6" r="AI330">
        <v>3</v>
      </c>
      <c t="s" s="6" r="AJ330">
        <v>92</v>
      </c>
      <c s="6" r="AK330">
        <v>3</v>
      </c>
      <c s="6" r="AL330">
        <v>3</v>
      </c>
      <c t="s" s="6" r="AM330">
        <v>92</v>
      </c>
      <c t="s" s="6" r="AN330">
        <v>92</v>
      </c>
      <c s="6" r="AP330">
        <v>3</v>
      </c>
      <c t="s" s="6" r="AQ330">
        <v>1422</v>
      </c>
      <c t="s" s="6" r="AR330">
        <v>2775</v>
      </c>
      <c s="6" r="AS330">
        <v>0</v>
      </c>
      <c s="6" r="AT330">
        <v>0</v>
      </c>
      <c s="6" r="AU330">
        <v>0</v>
      </c>
      <c s="6" r="AV330">
        <v>0</v>
      </c>
      <c s="6" r="AW330">
        <v>0</v>
      </c>
      <c s="6" r="AX330">
        <v>0</v>
      </c>
      <c s="6" r="AY330">
        <v>0</v>
      </c>
      <c s="6" r="AZ330">
        <v>0</v>
      </c>
      <c s="6" r="BA330">
        <v>0</v>
      </c>
      <c s="6" r="BB330">
        <v>0</v>
      </c>
      <c s="6" r="BC330">
        <v>0</v>
      </c>
      <c s="6" r="BD330">
        <v>0</v>
      </c>
      <c s="6" r="BE330">
        <v>0</v>
      </c>
      <c s="6" r="BF330">
        <v>0</v>
      </c>
      <c s="6" r="BG330">
        <v>0</v>
      </c>
      <c s="6" r="BH330">
        <v>1</v>
      </c>
      <c s="6" r="BI330">
        <v>0</v>
      </c>
      <c s="6" r="BJ330">
        <v>0</v>
      </c>
      <c s="6" r="BK330">
        <v>0</v>
      </c>
      <c s="6" r="BL330">
        <v>0</v>
      </c>
      <c s="6" r="BM330">
        <v>0</v>
      </c>
      <c s="6" r="BN330">
        <v>0</v>
      </c>
      <c s="6" r="BO330">
        <v>0</v>
      </c>
      <c s="6" r="BP330">
        <v>0</v>
      </c>
      <c s="6" r="BQ330">
        <v>0</v>
      </c>
      <c t="str" s="6" r="BR330">
        <f>HYPERLINK("http://www.d20pfsrd.com/magic/all-spells/m/magic-circle-against-evil","Magic Circle against Evil")</f>
        <v>Magic Circle against Evil</v>
      </c>
      <c s="6" r="BS330">
        <v>330</v>
      </c>
      <c t="s" s="6" r="BT330">
        <v>92</v>
      </c>
      <c t="s" s="6" r="BU330">
        <v>406</v>
      </c>
      <c t="s" s="6" r="BV330">
        <v>407</v>
      </c>
      <c s="6" r="BY330">
        <v>0</v>
      </c>
    </row>
    <row customHeight="1" r="331" ht="14.25">
      <c t="s" s="6" r="A331">
        <v>2776</v>
      </c>
      <c t="s" s="6" r="B331">
        <v>162</v>
      </c>
      <c t="s" s="6" r="D331">
        <v>61</v>
      </c>
      <c t="s" s="6" r="E331">
        <v>2768</v>
      </c>
      <c t="s" s="6" r="F331">
        <v>81</v>
      </c>
      <c t="s" s="6" r="G331">
        <v>2769</v>
      </c>
      <c s="6" r="H331">
        <v>0</v>
      </c>
      <c t="s" s="6" r="I331">
        <v>120</v>
      </c>
      <c t="s" s="6" r="J331">
        <v>2770</v>
      </c>
      <c t="s" s="6" r="M331">
        <v>134</v>
      </c>
      <c s="6" r="N331">
        <v>0</v>
      </c>
      <c s="6" r="O331">
        <v>0</v>
      </c>
      <c t="s" s="6" r="P331">
        <v>421</v>
      </c>
      <c t="s" s="6" r="Q331">
        <v>2771</v>
      </c>
      <c t="s" s="6" r="R331">
        <v>2777</v>
      </c>
      <c t="s" s="6" r="S331">
        <v>2778</v>
      </c>
      <c t="s" s="6" r="T331">
        <v>90</v>
      </c>
      <c t="s" s="6" r="U331">
        <v>2779</v>
      </c>
      <c s="6" r="V331">
        <v>1</v>
      </c>
      <c s="6" r="W331">
        <v>1</v>
      </c>
      <c s="6" r="X331">
        <v>1</v>
      </c>
      <c s="6" r="Y331">
        <v>0</v>
      </c>
      <c s="6" r="Z331">
        <v>1</v>
      </c>
      <c s="6" r="AA331">
        <v>3</v>
      </c>
      <c s="6" r="AB331">
        <v>3</v>
      </c>
      <c s="6" r="AC331">
        <v>3</v>
      </c>
      <c t="s" s="6" r="AD331">
        <v>92</v>
      </c>
      <c t="s" s="6" r="AE331">
        <v>92</v>
      </c>
      <c t="s" s="6" r="AF331">
        <v>92</v>
      </c>
      <c s="6" r="AG331">
        <v>3</v>
      </c>
      <c t="s" s="6" r="AH331">
        <v>92</v>
      </c>
      <c s="6" r="AI331">
        <v>3</v>
      </c>
      <c t="s" s="6" r="AJ331">
        <v>92</v>
      </c>
      <c s="6" r="AK331">
        <v>3</v>
      </c>
      <c s="6" r="AL331">
        <v>3</v>
      </c>
      <c t="s" s="6" r="AM331">
        <v>92</v>
      </c>
      <c t="s" s="6" r="AN331">
        <v>92</v>
      </c>
      <c s="6" r="AP331">
        <v>3</v>
      </c>
      <c t="s" s="6" r="AQ331">
        <v>1339</v>
      </c>
      <c t="s" s="6" r="AR331">
        <v>2775</v>
      </c>
      <c s="6" r="AS331">
        <v>0</v>
      </c>
      <c s="6" r="AT331">
        <v>0</v>
      </c>
      <c s="6" r="AU331">
        <v>0</v>
      </c>
      <c s="6" r="AV331">
        <v>0</v>
      </c>
      <c s="6" r="AW331">
        <v>0</v>
      </c>
      <c s="6" r="AX331">
        <v>0</v>
      </c>
      <c s="6" r="AY331">
        <v>0</v>
      </c>
      <c s="6" r="AZ331">
        <v>0</v>
      </c>
      <c s="6" r="BA331">
        <v>0</v>
      </c>
      <c s="6" r="BB331">
        <v>0</v>
      </c>
      <c s="6" r="BC331">
        <v>0</v>
      </c>
      <c s="6" r="BD331">
        <v>0</v>
      </c>
      <c s="6" r="BE331">
        <v>0</v>
      </c>
      <c s="6" r="BF331">
        <v>0</v>
      </c>
      <c s="6" r="BG331">
        <v>0</v>
      </c>
      <c s="6" r="BH331">
        <v>0</v>
      </c>
      <c s="6" r="BI331">
        <v>0</v>
      </c>
      <c s="6" r="BJ331">
        <v>1</v>
      </c>
      <c s="6" r="BK331">
        <v>0</v>
      </c>
      <c s="6" r="BL331">
        <v>0</v>
      </c>
      <c s="6" r="BM331">
        <v>0</v>
      </c>
      <c s="6" r="BN331">
        <v>0</v>
      </c>
      <c s="6" r="BO331">
        <v>0</v>
      </c>
      <c s="6" r="BP331">
        <v>0</v>
      </c>
      <c s="6" r="BQ331">
        <v>0</v>
      </c>
      <c t="str" s="6" r="BR331">
        <f>HYPERLINK("http://www.d20pfsrd.com/magic/all-spells/m/magic-circle-against-chaos","Magic Circle against Chaos")</f>
        <v>Magic Circle against Chaos</v>
      </c>
      <c s="6" r="BS331">
        <v>331</v>
      </c>
      <c t="s" s="6" r="BT331">
        <v>92</v>
      </c>
      <c s="6" r="BY331">
        <v>0</v>
      </c>
    </row>
    <row customHeight="1" r="332" ht="14.25">
      <c t="s" s="6" r="A332">
        <v>2780</v>
      </c>
      <c t="s" s="6" r="B332">
        <v>162</v>
      </c>
      <c t="s" s="6" r="D332">
        <v>55</v>
      </c>
      <c t="s" s="6" r="E332">
        <v>2781</v>
      </c>
      <c t="s" s="6" r="F332">
        <v>81</v>
      </c>
      <c t="s" s="6" r="G332">
        <v>2769</v>
      </c>
      <c s="6" r="H332">
        <v>0</v>
      </c>
      <c t="s" s="6" r="I332">
        <v>120</v>
      </c>
      <c t="s" s="6" r="J332">
        <v>2770</v>
      </c>
      <c t="s" s="6" r="M332">
        <v>134</v>
      </c>
      <c s="6" r="N332">
        <v>0</v>
      </c>
      <c s="6" r="O332">
        <v>0</v>
      </c>
      <c t="s" s="6" r="P332">
        <v>421</v>
      </c>
      <c t="s" s="6" r="Q332">
        <v>2771</v>
      </c>
      <c t="s" s="6" r="R332">
        <v>2782</v>
      </c>
      <c t="s" s="6" r="S332">
        <v>2783</v>
      </c>
      <c t="s" s="6" r="T332">
        <v>90</v>
      </c>
      <c t="s" s="6" r="U332">
        <v>2784</v>
      </c>
      <c s="6" r="V332">
        <v>1</v>
      </c>
      <c s="6" r="W332">
        <v>1</v>
      </c>
      <c s="6" r="X332">
        <v>1</v>
      </c>
      <c s="6" r="Y332">
        <v>0</v>
      </c>
      <c s="6" r="Z332">
        <v>1</v>
      </c>
      <c s="6" r="AA332">
        <v>3</v>
      </c>
      <c s="6" r="AB332">
        <v>3</v>
      </c>
      <c s="6" r="AC332">
        <v>3</v>
      </c>
      <c t="s" s="6" r="AD332">
        <v>92</v>
      </c>
      <c t="s" s="6" r="AE332">
        <v>92</v>
      </c>
      <c t="s" s="6" r="AF332">
        <v>92</v>
      </c>
      <c t="s" s="6" r="AG332">
        <v>92</v>
      </c>
      <c t="s" s="6" r="AH332">
        <v>92</v>
      </c>
      <c s="6" r="AI332">
        <v>3</v>
      </c>
      <c t="s" s="6" r="AJ332">
        <v>92</v>
      </c>
      <c s="6" r="AK332">
        <v>3</v>
      </c>
      <c s="6" r="AL332">
        <v>3</v>
      </c>
      <c s="6" r="AM332">
        <v>3</v>
      </c>
      <c t="s" s="6" r="AN332">
        <v>92</v>
      </c>
      <c s="6" r="AP332">
        <v>3</v>
      </c>
      <c t="s" s="6" r="AQ332">
        <v>513</v>
      </c>
      <c t="s" s="6" r="AR332">
        <v>2775</v>
      </c>
      <c s="6" r="AS332">
        <v>0</v>
      </c>
      <c s="6" r="AT332">
        <v>0</v>
      </c>
      <c s="6" r="AU332">
        <v>0</v>
      </c>
      <c s="6" r="AV332">
        <v>0</v>
      </c>
      <c s="6" r="AW332">
        <v>0</v>
      </c>
      <c s="6" r="AX332">
        <v>0</v>
      </c>
      <c s="6" r="AY332">
        <v>0</v>
      </c>
      <c s="6" r="AZ332">
        <v>0</v>
      </c>
      <c s="6" r="BA332">
        <v>0</v>
      </c>
      <c s="6" r="BB332">
        <v>0</v>
      </c>
      <c s="6" r="BC332">
        <v>0</v>
      </c>
      <c s="6" r="BD332">
        <v>1</v>
      </c>
      <c s="6" r="BE332">
        <v>0</v>
      </c>
      <c s="6" r="BF332">
        <v>0</v>
      </c>
      <c s="6" r="BG332">
        <v>0</v>
      </c>
      <c s="6" r="BH332">
        <v>0</v>
      </c>
      <c s="6" r="BI332">
        <v>0</v>
      </c>
      <c s="6" r="BJ332">
        <v>0</v>
      </c>
      <c s="6" r="BK332">
        <v>0</v>
      </c>
      <c s="6" r="BL332">
        <v>0</v>
      </c>
      <c s="6" r="BM332">
        <v>0</v>
      </c>
      <c s="6" r="BN332">
        <v>0</v>
      </c>
      <c s="6" r="BO332">
        <v>0</v>
      </c>
      <c s="6" r="BP332">
        <v>0</v>
      </c>
      <c s="6" r="BQ332">
        <v>0</v>
      </c>
      <c t="str" s="6" r="BR332">
        <f>HYPERLINK("http://www.d20pfsrd.com/magic/all-spells/m/magic-circle-against-good","Magic Circle against Good")</f>
        <v>Magic Circle against Good</v>
      </c>
      <c s="6" r="BS332">
        <v>332</v>
      </c>
      <c t="s" s="6" r="BT332">
        <v>92</v>
      </c>
      <c s="6" r="BY332">
        <v>0</v>
      </c>
    </row>
    <row customHeight="1" r="333" ht="14.25">
      <c t="s" s="6" r="A333">
        <v>2785</v>
      </c>
      <c t="s" s="6" r="B333">
        <v>162</v>
      </c>
      <c t="s" s="6" r="D333">
        <v>46</v>
      </c>
      <c t="s" s="6" r="E333">
        <v>2781</v>
      </c>
      <c t="s" s="6" r="F333">
        <v>81</v>
      </c>
      <c t="s" s="6" r="G333">
        <v>2769</v>
      </c>
      <c s="6" r="H333">
        <v>0</v>
      </c>
      <c t="s" s="6" r="I333">
        <v>120</v>
      </c>
      <c t="s" s="6" r="J333">
        <v>2770</v>
      </c>
      <c t="s" s="6" r="M333">
        <v>134</v>
      </c>
      <c s="6" r="N333">
        <v>0</v>
      </c>
      <c s="6" r="O333">
        <v>0</v>
      </c>
      <c t="s" s="6" r="P333">
        <v>421</v>
      </c>
      <c t="s" s="6" r="Q333">
        <v>2771</v>
      </c>
      <c t="s" s="6" r="R333">
        <v>2786</v>
      </c>
      <c t="s" s="6" r="S333">
        <v>2787</v>
      </c>
      <c t="s" s="6" r="T333">
        <v>90</v>
      </c>
      <c t="s" s="6" r="U333">
        <v>2788</v>
      </c>
      <c s="6" r="V333">
        <v>1</v>
      </c>
      <c s="6" r="W333">
        <v>1</v>
      </c>
      <c s="6" r="X333">
        <v>1</v>
      </c>
      <c s="6" r="Y333">
        <v>0</v>
      </c>
      <c s="6" r="Z333">
        <v>1</v>
      </c>
      <c s="6" r="AA333">
        <v>3</v>
      </c>
      <c s="6" r="AB333">
        <v>3</v>
      </c>
      <c s="6" r="AC333">
        <v>3</v>
      </c>
      <c t="s" s="6" r="AD333">
        <v>92</v>
      </c>
      <c t="s" s="6" r="AE333">
        <v>92</v>
      </c>
      <c t="s" s="6" r="AF333">
        <v>92</v>
      </c>
      <c t="s" s="6" r="AG333">
        <v>92</v>
      </c>
      <c t="s" s="6" r="AH333">
        <v>92</v>
      </c>
      <c s="6" r="AI333">
        <v>3</v>
      </c>
      <c t="s" s="6" r="AJ333">
        <v>92</v>
      </c>
      <c s="6" r="AK333">
        <v>3</v>
      </c>
      <c s="6" r="AL333">
        <v>3</v>
      </c>
      <c s="6" r="AM333">
        <v>3</v>
      </c>
      <c t="s" s="6" r="AN333">
        <v>92</v>
      </c>
      <c s="6" r="AP333">
        <v>3</v>
      </c>
      <c t="s" s="6" r="AQ333">
        <v>246</v>
      </c>
      <c t="s" s="6" r="AR333">
        <v>2775</v>
      </c>
      <c s="6" r="AS333">
        <v>0</v>
      </c>
      <c s="6" r="AT333">
        <v>0</v>
      </c>
      <c s="6" r="AU333">
        <v>1</v>
      </c>
      <c s="6" r="AV333">
        <v>0</v>
      </c>
      <c s="6" r="AW333">
        <v>0</v>
      </c>
      <c s="6" r="AX333">
        <v>0</v>
      </c>
      <c s="6" r="AY333">
        <v>0</v>
      </c>
      <c s="6" r="AZ333">
        <v>0</v>
      </c>
      <c s="6" r="BA333">
        <v>0</v>
      </c>
      <c s="6" r="BB333">
        <v>0</v>
      </c>
      <c s="6" r="BC333">
        <v>0</v>
      </c>
      <c s="6" r="BD333">
        <v>0</v>
      </c>
      <c s="6" r="BE333">
        <v>0</v>
      </c>
      <c s="6" r="BF333">
        <v>0</v>
      </c>
      <c s="6" r="BG333">
        <v>0</v>
      </c>
      <c s="6" r="BH333">
        <v>0</v>
      </c>
      <c s="6" r="BI333">
        <v>0</v>
      </c>
      <c s="6" r="BJ333">
        <v>0</v>
      </c>
      <c s="6" r="BK333">
        <v>0</v>
      </c>
      <c s="6" r="BL333">
        <v>0</v>
      </c>
      <c s="6" r="BM333">
        <v>0</v>
      </c>
      <c s="6" r="BN333">
        <v>0</v>
      </c>
      <c s="6" r="BO333">
        <v>0</v>
      </c>
      <c s="6" r="BP333">
        <v>0</v>
      </c>
      <c s="6" r="BQ333">
        <v>0</v>
      </c>
      <c t="str" s="6" r="BR333">
        <f>HYPERLINK("http://www.d20pfsrd.com/magic/all-spells/m/magic-circle-against-law","Magic Circle against Law")</f>
        <v>Magic Circle against Law</v>
      </c>
      <c s="6" r="BS333">
        <v>333</v>
      </c>
      <c t="s" s="6" r="BT333">
        <v>92</v>
      </c>
      <c s="6" r="BY333">
        <v>0</v>
      </c>
    </row>
    <row customHeight="1" r="334" ht="14.25">
      <c t="s" s="6" r="A334">
        <v>2789</v>
      </c>
      <c t="s" s="6" r="B334">
        <v>131</v>
      </c>
      <c t="s" s="6" r="E334">
        <v>2790</v>
      </c>
      <c t="s" s="6" r="F334">
        <v>81</v>
      </c>
      <c t="s" s="6" r="G334">
        <v>119</v>
      </c>
      <c s="6" r="H334">
        <v>0</v>
      </c>
      <c t="s" s="6" r="I334">
        <v>120</v>
      </c>
      <c t="s" s="6" r="L334">
        <v>121</v>
      </c>
      <c t="s" s="6" r="M334">
        <v>122</v>
      </c>
      <c s="6" r="N334">
        <v>0</v>
      </c>
      <c s="6" r="O334">
        <v>0</v>
      </c>
      <c t="s" s="6" r="P334">
        <v>421</v>
      </c>
      <c t="s" s="6" r="Q334">
        <v>123</v>
      </c>
      <c t="s" s="6" r="R334">
        <v>2791</v>
      </c>
      <c t="s" s="6" r="S334">
        <v>2792</v>
      </c>
      <c t="s" s="6" r="T334">
        <v>90</v>
      </c>
      <c t="s" s="6" r="U334">
        <v>2793</v>
      </c>
      <c s="6" r="V334">
        <v>1</v>
      </c>
      <c s="6" r="W334">
        <v>1</v>
      </c>
      <c s="6" r="X334">
        <v>0</v>
      </c>
      <c s="6" r="Y334">
        <v>0</v>
      </c>
      <c s="6" r="Z334">
        <v>1</v>
      </c>
      <c t="s" s="6" r="AA334">
        <v>92</v>
      </c>
      <c t="s" s="6" r="AB334">
        <v>92</v>
      </c>
      <c t="s" s="6" r="AC334">
        <v>92</v>
      </c>
      <c s="6" r="AD334">
        <v>1</v>
      </c>
      <c s="6" r="AE334">
        <v>1</v>
      </c>
      <c t="s" s="6" r="AF334">
        <v>92</v>
      </c>
      <c t="s" s="6" r="AG334">
        <v>92</v>
      </c>
      <c t="s" s="6" r="AH334">
        <v>92</v>
      </c>
      <c s="6" r="AI334">
        <v>1</v>
      </c>
      <c t="s" s="6" r="AJ334">
        <v>92</v>
      </c>
      <c t="s" s="6" r="AK334">
        <v>92</v>
      </c>
      <c t="s" s="6" r="AL334">
        <v>92</v>
      </c>
      <c t="s" s="6" r="AM334">
        <v>92</v>
      </c>
      <c t="s" s="6" r="AN334">
        <v>92</v>
      </c>
      <c s="6" r="AP334">
        <v>1</v>
      </c>
      <c t="s" s="6" r="AQ334">
        <v>2794</v>
      </c>
      <c t="s" s="6" r="AR334">
        <v>2795</v>
      </c>
      <c s="6" r="AS334">
        <v>0</v>
      </c>
      <c s="6" r="AT334">
        <v>0</v>
      </c>
      <c s="6" r="AU334">
        <v>0</v>
      </c>
      <c s="6" r="AV334">
        <v>0</v>
      </c>
      <c s="6" r="AW334">
        <v>0</v>
      </c>
      <c s="6" r="AX334">
        <v>0</v>
      </c>
      <c s="6" r="AY334">
        <v>0</v>
      </c>
      <c s="6" r="AZ334">
        <v>0</v>
      </c>
      <c s="6" r="BA334">
        <v>0</v>
      </c>
      <c s="6" r="BB334">
        <v>0</v>
      </c>
      <c s="6" r="BC334">
        <v>0</v>
      </c>
      <c s="6" r="BD334">
        <v>0</v>
      </c>
      <c s="6" r="BE334">
        <v>0</v>
      </c>
      <c s="6" r="BF334">
        <v>0</v>
      </c>
      <c s="6" r="BG334">
        <v>0</v>
      </c>
      <c s="6" r="BH334">
        <v>0</v>
      </c>
      <c s="6" r="BI334">
        <v>0</v>
      </c>
      <c s="6" r="BJ334">
        <v>0</v>
      </c>
      <c s="6" r="BK334">
        <v>0</v>
      </c>
      <c s="6" r="BL334">
        <v>0</v>
      </c>
      <c s="6" r="BM334">
        <v>0</v>
      </c>
      <c s="6" r="BN334">
        <v>0</v>
      </c>
      <c s="6" r="BO334">
        <v>0</v>
      </c>
      <c s="6" r="BP334">
        <v>0</v>
      </c>
      <c s="6" r="BQ334">
        <v>0</v>
      </c>
      <c t="str" s="6" r="BR334">
        <f>HYPERLINK("http://www.d20pfsrd.com/magic/all-spells/m/magic-fang","Magic Fang")</f>
        <v>Magic Fang</v>
      </c>
      <c s="6" r="BS334">
        <v>334</v>
      </c>
      <c t="s" s="6" r="BT334">
        <v>92</v>
      </c>
      <c t="s" s="6" r="BW334">
        <v>2796</v>
      </c>
      <c s="6" r="BY334">
        <v>1</v>
      </c>
    </row>
    <row customHeight="1" r="335" ht="14.25">
      <c t="s" s="6" r="A335">
        <v>2797</v>
      </c>
      <c t="s" s="6" r="B335">
        <v>131</v>
      </c>
      <c t="s" s="6" r="E335">
        <v>2798</v>
      </c>
      <c t="s" s="6" r="F335">
        <v>81</v>
      </c>
      <c t="s" s="6" r="G335">
        <v>119</v>
      </c>
      <c s="6" r="H335">
        <v>0</v>
      </c>
      <c t="s" s="6" r="I335">
        <v>107</v>
      </c>
      <c t="s" s="6" r="L335">
        <v>473</v>
      </c>
      <c t="s" s="6" r="M335">
        <v>209</v>
      </c>
      <c s="6" r="N335">
        <v>0</v>
      </c>
      <c s="6" r="O335">
        <v>0</v>
      </c>
      <c t="s" s="6" r="P335">
        <v>421</v>
      </c>
      <c t="s" s="6" r="Q335">
        <v>123</v>
      </c>
      <c t="s" s="6" r="R335">
        <v>2799</v>
      </c>
      <c t="s" s="6" r="S335">
        <v>2800</v>
      </c>
      <c t="s" s="6" r="T335">
        <v>90</v>
      </c>
      <c t="s" s="6" r="U335">
        <v>2801</v>
      </c>
      <c s="6" r="V335">
        <v>1</v>
      </c>
      <c s="6" r="W335">
        <v>1</v>
      </c>
      <c s="6" r="X335">
        <v>0</v>
      </c>
      <c s="6" r="Y335">
        <v>0</v>
      </c>
      <c s="6" r="Z335">
        <v>1</v>
      </c>
      <c t="s" s="6" r="AA335">
        <v>92</v>
      </c>
      <c t="s" s="6" r="AB335">
        <v>92</v>
      </c>
      <c t="s" s="6" r="AC335">
        <v>92</v>
      </c>
      <c s="6" r="AD335">
        <v>3</v>
      </c>
      <c s="6" r="AE335">
        <v>3</v>
      </c>
      <c t="s" s="6" r="AF335">
        <v>92</v>
      </c>
      <c t="s" s="6" r="AG335">
        <v>92</v>
      </c>
      <c t="s" s="6" r="AH335">
        <v>92</v>
      </c>
      <c s="6" r="AI335">
        <v>3</v>
      </c>
      <c t="s" s="6" r="AJ335">
        <v>92</v>
      </c>
      <c t="s" s="6" r="AK335">
        <v>92</v>
      </c>
      <c t="s" s="6" r="AL335">
        <v>92</v>
      </c>
      <c t="s" s="6" r="AM335">
        <v>92</v>
      </c>
      <c t="s" s="6" r="AN335">
        <v>92</v>
      </c>
      <c s="6" r="AP335">
        <v>3</v>
      </c>
      <c t="s" s="6" r="AQ335">
        <v>192</v>
      </c>
      <c t="s" s="6" r="AR335">
        <v>2802</v>
      </c>
      <c s="6" r="AS335">
        <v>0</v>
      </c>
      <c s="6" r="AT335">
        <v>0</v>
      </c>
      <c s="6" r="AU335">
        <v>0</v>
      </c>
      <c s="6" r="AV335">
        <v>0</v>
      </c>
      <c s="6" r="AW335">
        <v>0</v>
      </c>
      <c s="6" r="AX335">
        <v>0</v>
      </c>
      <c s="6" r="AY335">
        <v>0</v>
      </c>
      <c s="6" r="AZ335">
        <v>0</v>
      </c>
      <c s="6" r="BA335">
        <v>0</v>
      </c>
      <c s="6" r="BB335">
        <v>0</v>
      </c>
      <c s="6" r="BC335">
        <v>0</v>
      </c>
      <c s="6" r="BD335">
        <v>0</v>
      </c>
      <c s="6" r="BE335">
        <v>0</v>
      </c>
      <c s="6" r="BF335">
        <v>0</v>
      </c>
      <c s="6" r="BG335">
        <v>0</v>
      </c>
      <c s="6" r="BH335">
        <v>0</v>
      </c>
      <c s="6" r="BI335">
        <v>0</v>
      </c>
      <c s="6" r="BJ335">
        <v>0</v>
      </c>
      <c s="6" r="BK335">
        <v>0</v>
      </c>
      <c s="6" r="BL335">
        <v>0</v>
      </c>
      <c s="6" r="BM335">
        <v>0</v>
      </c>
      <c s="6" r="BN335">
        <v>0</v>
      </c>
      <c s="6" r="BO335">
        <v>0</v>
      </c>
      <c s="6" r="BP335">
        <v>0</v>
      </c>
      <c s="6" r="BQ335">
        <v>0</v>
      </c>
      <c t="str" s="6" r="BR335">
        <f>HYPERLINK("http://www.d20pfsrd.com/magic/all-spells/m/magic-fang","Magic Fang, Greater")</f>
        <v>Magic Fang, Greater</v>
      </c>
      <c s="6" r="BS335">
        <v>335</v>
      </c>
      <c t="s" s="6" r="BT335">
        <v>92</v>
      </c>
      <c s="6" r="BY335">
        <v>0</v>
      </c>
    </row>
    <row customHeight="1" r="336" ht="14.25">
      <c t="s" s="6" r="A336">
        <v>2803</v>
      </c>
      <c t="s" s="6" r="B336">
        <v>227</v>
      </c>
      <c t="s" s="6" r="E336">
        <v>2804</v>
      </c>
      <c t="s" s="6" r="F336">
        <v>81</v>
      </c>
      <c t="s" s="6" r="G336">
        <v>2805</v>
      </c>
      <c s="6" r="H336">
        <v>1</v>
      </c>
      <c t="s" s="6" r="I336">
        <v>97</v>
      </c>
      <c t="s" s="6" r="L336">
        <v>1235</v>
      </c>
      <c t="s" s="6" r="M336">
        <v>2806</v>
      </c>
      <c s="6" r="N336">
        <v>0</v>
      </c>
      <c s="6" r="O336">
        <v>0</v>
      </c>
      <c t="s" s="6" r="P336">
        <v>474</v>
      </c>
      <c t="s" s="6" r="Q336">
        <v>188</v>
      </c>
      <c t="s" s="6" r="R336">
        <v>2807</v>
      </c>
      <c t="s" s="6" r="S336">
        <v>2808</v>
      </c>
      <c t="s" s="6" r="T336">
        <v>90</v>
      </c>
      <c t="s" s="6" r="U336">
        <v>2809</v>
      </c>
      <c s="6" r="V336">
        <v>1</v>
      </c>
      <c s="6" r="W336">
        <v>1</v>
      </c>
      <c s="6" r="X336">
        <v>1</v>
      </c>
      <c s="6" r="Y336">
        <v>1</v>
      </c>
      <c s="6" r="Z336">
        <v>0</v>
      </c>
      <c s="6" r="AA336">
        <v>5</v>
      </c>
      <c s="6" r="AB336">
        <v>5</v>
      </c>
      <c t="s" s="6" r="AC336">
        <v>92</v>
      </c>
      <c t="s" s="6" r="AD336">
        <v>92</v>
      </c>
      <c t="s" s="6" r="AE336">
        <v>92</v>
      </c>
      <c t="s" s="6" r="AF336">
        <v>92</v>
      </c>
      <c t="s" s="6" r="AG336">
        <v>92</v>
      </c>
      <c s="6" r="AH336">
        <v>5</v>
      </c>
      <c s="6" r="AI336">
        <v>4</v>
      </c>
      <c s="6" r="AJ336">
        <v>5</v>
      </c>
      <c t="s" s="6" r="AK336">
        <v>92</v>
      </c>
      <c t="s" s="6" r="AL336">
        <v>92</v>
      </c>
      <c t="s" s="6" r="AM336">
        <v>92</v>
      </c>
      <c t="s" s="6" r="AN336">
        <v>92</v>
      </c>
      <c s="6" r="AP336">
        <v>5</v>
      </c>
      <c t="s" s="6" r="AR336">
        <v>2810</v>
      </c>
      <c s="6" r="AS336">
        <v>0</v>
      </c>
      <c s="6" r="AT336">
        <v>0</v>
      </c>
      <c s="6" r="AU336">
        <v>0</v>
      </c>
      <c s="6" r="AV336">
        <v>0</v>
      </c>
      <c s="6" r="AW336">
        <v>0</v>
      </c>
      <c s="6" r="AX336">
        <v>0</v>
      </c>
      <c s="6" r="AY336">
        <v>0</v>
      </c>
      <c s="6" r="AZ336">
        <v>0</v>
      </c>
      <c s="6" r="BA336">
        <v>0</v>
      </c>
      <c s="6" r="BB336">
        <v>0</v>
      </c>
      <c s="6" r="BC336">
        <v>0</v>
      </c>
      <c s="6" r="BD336">
        <v>0</v>
      </c>
      <c s="6" r="BE336">
        <v>0</v>
      </c>
      <c s="6" r="BF336">
        <v>0</v>
      </c>
      <c s="6" r="BG336">
        <v>0</v>
      </c>
      <c s="6" r="BH336">
        <v>0</v>
      </c>
      <c s="6" r="BI336">
        <v>0</v>
      </c>
      <c s="6" r="BJ336">
        <v>0</v>
      </c>
      <c s="6" r="BK336">
        <v>0</v>
      </c>
      <c s="6" r="BL336">
        <v>0</v>
      </c>
      <c s="6" r="BM336">
        <v>0</v>
      </c>
      <c s="6" r="BN336">
        <v>0</v>
      </c>
      <c s="6" r="BO336">
        <v>0</v>
      </c>
      <c s="6" r="BP336">
        <v>0</v>
      </c>
      <c s="6" r="BQ336">
        <v>0</v>
      </c>
      <c t="str" s="6" r="BR336">
        <f>HYPERLINK("http://www.d20pfsrd.com/magic/all-spells/m/magic-jar","Magic Jar")</f>
        <v>Magic Jar</v>
      </c>
      <c s="6" r="BS336">
        <v>336</v>
      </c>
      <c s="6" r="BT336">
        <v>100</v>
      </c>
      <c s="6" r="BY336">
        <v>0</v>
      </c>
    </row>
    <row customHeight="1" r="337" ht="14.25">
      <c t="s" s="6" r="A337">
        <v>2811</v>
      </c>
      <c t="s" s="6" r="B337">
        <v>493</v>
      </c>
      <c t="s" s="6" r="D337">
        <v>58</v>
      </c>
      <c t="s" s="6" r="E337">
        <v>832</v>
      </c>
      <c t="s" s="6" r="F337">
        <v>81</v>
      </c>
      <c t="s" s="6" r="G337">
        <v>106</v>
      </c>
      <c s="6" r="H337">
        <v>0</v>
      </c>
      <c t="s" s="6" r="I337">
        <v>97</v>
      </c>
      <c t="s" s="6" r="L337">
        <v>2812</v>
      </c>
      <c t="s" s="6" r="M337">
        <v>109</v>
      </c>
      <c s="6" r="N337">
        <v>0</v>
      </c>
      <c s="6" r="O337">
        <v>0</v>
      </c>
      <c t="s" s="6" r="P337">
        <v>86</v>
      </c>
      <c t="s" s="6" r="Q337">
        <v>188</v>
      </c>
      <c t="s" s="6" r="R337">
        <v>2813</v>
      </c>
      <c t="s" s="6" r="S337">
        <v>2814</v>
      </c>
      <c t="s" s="6" r="T337">
        <v>90</v>
      </c>
      <c t="s" s="6" r="U337">
        <v>2815</v>
      </c>
      <c s="6" r="V337">
        <v>1</v>
      </c>
      <c s="6" r="W337">
        <v>1</v>
      </c>
      <c s="6" r="X337">
        <v>0</v>
      </c>
      <c s="6" r="Y337">
        <v>0</v>
      </c>
      <c s="6" r="Z337">
        <v>0</v>
      </c>
      <c s="6" r="AA337">
        <v>1</v>
      </c>
      <c s="6" r="AB337">
        <v>1</v>
      </c>
      <c t="s" s="6" r="AC337">
        <v>92</v>
      </c>
      <c t="s" s="6" r="AD337">
        <v>92</v>
      </c>
      <c t="s" s="6" r="AE337">
        <v>92</v>
      </c>
      <c t="s" s="6" r="AF337">
        <v>92</v>
      </c>
      <c t="s" s="6" r="AG337">
        <v>92</v>
      </c>
      <c t="s" s="6" r="AH337">
        <v>92</v>
      </c>
      <c t="s" s="6" r="AI337">
        <v>92</v>
      </c>
      <c t="s" s="6" r="AJ337">
        <v>92</v>
      </c>
      <c t="s" s="6" r="AK337">
        <v>92</v>
      </c>
      <c t="s" s="6" r="AL337">
        <v>92</v>
      </c>
      <c t="s" s="6" r="AM337">
        <v>92</v>
      </c>
      <c s="6" r="AN337">
        <v>1</v>
      </c>
      <c s="6" r="AP337">
        <v>1</v>
      </c>
      <c t="s" s="6" r="AR337">
        <v>2816</v>
      </c>
      <c s="6" r="AS337">
        <v>0</v>
      </c>
      <c s="6" r="AT337">
        <v>0</v>
      </c>
      <c s="6" r="AU337">
        <v>0</v>
      </c>
      <c s="6" r="AV337">
        <v>0</v>
      </c>
      <c s="6" r="AW337">
        <v>0</v>
      </c>
      <c s="6" r="AX337">
        <v>0</v>
      </c>
      <c s="6" r="AY337">
        <v>0</v>
      </c>
      <c s="6" r="AZ337">
        <v>0</v>
      </c>
      <c s="6" r="BA337">
        <v>0</v>
      </c>
      <c s="6" r="BB337">
        <v>0</v>
      </c>
      <c s="6" r="BC337">
        <v>0</v>
      </c>
      <c s="6" r="BD337">
        <v>0</v>
      </c>
      <c s="6" r="BE337">
        <v>0</v>
      </c>
      <c s="6" r="BF337">
        <v>0</v>
      </c>
      <c s="6" r="BG337">
        <v>1</v>
      </c>
      <c s="6" r="BH337">
        <v>0</v>
      </c>
      <c s="6" r="BI337">
        <v>0</v>
      </c>
      <c s="6" r="BJ337">
        <v>0</v>
      </c>
      <c s="6" r="BK337">
        <v>0</v>
      </c>
      <c s="6" r="BL337">
        <v>0</v>
      </c>
      <c s="6" r="BM337">
        <v>0</v>
      </c>
      <c s="6" r="BN337">
        <v>0</v>
      </c>
      <c s="6" r="BO337">
        <v>0</v>
      </c>
      <c s="6" r="BP337">
        <v>0</v>
      </c>
      <c s="6" r="BQ337">
        <v>0</v>
      </c>
      <c t="str" s="6" r="BR337">
        <f>HYPERLINK("http://www.d20pfsrd.com/magic/all-spells/m/magic-missile","Magic Missile")</f>
        <v>Magic Missile</v>
      </c>
      <c s="6" r="BS337">
        <v>337</v>
      </c>
      <c t="s" s="6" r="BT337">
        <v>92</v>
      </c>
      <c t="s" s="6" r="BW337">
        <v>2817</v>
      </c>
      <c t="s" s="6" r="BX337">
        <v>2818</v>
      </c>
      <c s="6" r="BY337">
        <v>1</v>
      </c>
    </row>
    <row customHeight="1" r="338" ht="14.25">
      <c t="s" s="6" r="A338">
        <v>2819</v>
      </c>
      <c t="s" s="6" r="B338">
        <v>579</v>
      </c>
      <c t="s" s="6" r="C338">
        <v>580</v>
      </c>
      <c t="s" s="6" r="E338">
        <v>2820</v>
      </c>
      <c t="s" s="6" r="F338">
        <v>81</v>
      </c>
      <c t="s" s="6" r="G338">
        <v>2821</v>
      </c>
      <c s="6" r="H338">
        <v>1</v>
      </c>
      <c t="s" s="6" r="I338">
        <v>107</v>
      </c>
      <c t="s" s="6" r="L338">
        <v>1380</v>
      </c>
      <c t="s" s="6" r="M338">
        <v>1693</v>
      </c>
      <c s="6" r="N338">
        <v>0</v>
      </c>
      <c s="6" r="O338">
        <v>0</v>
      </c>
      <c t="s" s="6" r="P338">
        <v>535</v>
      </c>
      <c t="s" s="6" r="Q338">
        <v>536</v>
      </c>
      <c t="s" s="6" r="R338">
        <v>2822</v>
      </c>
      <c t="s" s="6" r="S338">
        <v>2823</v>
      </c>
      <c t="s" s="6" r="T338">
        <v>90</v>
      </c>
      <c t="s" s="6" r="U338">
        <v>2824</v>
      </c>
      <c s="6" r="V338">
        <v>1</v>
      </c>
      <c s="6" r="W338">
        <v>1</v>
      </c>
      <c s="6" r="X338">
        <v>1</v>
      </c>
      <c s="6" r="Y338">
        <v>0</v>
      </c>
      <c s="6" r="Z338">
        <v>0</v>
      </c>
      <c s="6" r="AA338">
        <v>2</v>
      </c>
      <c s="6" r="AB338">
        <v>2</v>
      </c>
      <c t="s" s="6" r="AC338">
        <v>92</v>
      </c>
      <c t="s" s="6" r="AD338">
        <v>92</v>
      </c>
      <c t="s" s="6" r="AE338">
        <v>92</v>
      </c>
      <c s="6" r="AF338">
        <v>1</v>
      </c>
      <c t="s" s="6" r="AG338">
        <v>92</v>
      </c>
      <c t="s" s="6" r="AH338">
        <v>92</v>
      </c>
      <c s="6" r="AI338">
        <v>1</v>
      </c>
      <c t="s" s="6" r="AJ338">
        <v>92</v>
      </c>
      <c t="s" s="6" r="AK338">
        <v>92</v>
      </c>
      <c t="s" s="6" r="AL338">
        <v>92</v>
      </c>
      <c t="s" s="6" r="AM338">
        <v>92</v>
      </c>
      <c t="s" s="6" r="AN338">
        <v>92</v>
      </c>
      <c s="6" r="AP338">
        <v>2</v>
      </c>
      <c t="s" s="6" r="AQ338">
        <v>1443</v>
      </c>
      <c t="s" s="6" r="AR338">
        <v>2825</v>
      </c>
      <c s="6" r="AS338">
        <v>0</v>
      </c>
      <c s="6" r="AT338">
        <v>0</v>
      </c>
      <c s="6" r="AU338">
        <v>0</v>
      </c>
      <c s="6" r="AV338">
        <v>0</v>
      </c>
      <c s="6" r="AW338">
        <v>0</v>
      </c>
      <c s="6" r="AX338">
        <v>0</v>
      </c>
      <c s="6" r="AY338">
        <v>0</v>
      </c>
      <c s="6" r="AZ338">
        <v>0</v>
      </c>
      <c s="6" r="BA338">
        <v>0</v>
      </c>
      <c s="6" r="BB338">
        <v>0</v>
      </c>
      <c s="6" r="BC338">
        <v>0</v>
      </c>
      <c s="6" r="BD338">
        <v>0</v>
      </c>
      <c s="6" r="BE338">
        <v>0</v>
      </c>
      <c s="6" r="BF338">
        <v>0</v>
      </c>
      <c s="6" r="BG338">
        <v>0</v>
      </c>
      <c s="6" r="BH338">
        <v>0</v>
      </c>
      <c s="6" r="BI338">
        <v>0</v>
      </c>
      <c s="6" r="BJ338">
        <v>0</v>
      </c>
      <c s="6" r="BK338">
        <v>0</v>
      </c>
      <c s="6" r="BL338">
        <v>0</v>
      </c>
      <c s="6" r="BM338">
        <v>0</v>
      </c>
      <c s="6" r="BN338">
        <v>0</v>
      </c>
      <c s="6" r="BO338">
        <v>0</v>
      </c>
      <c s="6" r="BP338">
        <v>0</v>
      </c>
      <c s="6" r="BQ338">
        <v>0</v>
      </c>
      <c t="str" s="6" r="BR338">
        <f>HYPERLINK("http://www.d20pfsrd.com/magic/all-spells/m/magic-mouth","Magic Mouth")</f>
        <v>Magic Mouth</v>
      </c>
      <c s="6" r="BS338">
        <v>338</v>
      </c>
      <c s="6" r="BT338">
        <v>10</v>
      </c>
      <c s="6" r="BY338">
        <v>0</v>
      </c>
    </row>
    <row customHeight="1" r="339" ht="14.25">
      <c t="s" s="6" r="A339">
        <v>2826</v>
      </c>
      <c t="s" s="6" r="B339">
        <v>131</v>
      </c>
      <c t="s" s="6" r="E339">
        <v>2827</v>
      </c>
      <c t="s" s="6" r="F339">
        <v>81</v>
      </c>
      <c t="s" s="6" r="G339">
        <v>119</v>
      </c>
      <c s="6" r="H339">
        <v>0</v>
      </c>
      <c t="s" s="6" r="I339">
        <v>120</v>
      </c>
      <c t="s" s="6" r="L339">
        <v>2828</v>
      </c>
      <c t="s" s="6" r="M339">
        <v>2829</v>
      </c>
      <c s="6" r="N339">
        <v>0</v>
      </c>
      <c s="6" r="O339">
        <v>0</v>
      </c>
      <c t="s" s="6" r="P339">
        <v>144</v>
      </c>
      <c t="s" s="6" r="Q339">
        <v>145</v>
      </c>
      <c t="s" s="6" r="R339">
        <v>2830</v>
      </c>
      <c t="s" s="6" r="S339">
        <v>2831</v>
      </c>
      <c t="s" s="6" r="T339">
        <v>90</v>
      </c>
      <c t="s" s="6" r="U339">
        <v>2832</v>
      </c>
      <c s="6" r="V339">
        <v>1</v>
      </c>
      <c s="6" r="W339">
        <v>1</v>
      </c>
      <c s="6" r="X339">
        <v>0</v>
      </c>
      <c s="6" r="Y339">
        <v>0</v>
      </c>
      <c s="6" r="Z339">
        <v>1</v>
      </c>
      <c t="s" s="6" r="AA339">
        <v>92</v>
      </c>
      <c t="s" s="6" r="AB339">
        <v>92</v>
      </c>
      <c s="6" r="AC339">
        <v>1</v>
      </c>
      <c s="6" r="AD339">
        <v>1</v>
      </c>
      <c t="s" s="6" r="AE339">
        <v>92</v>
      </c>
      <c t="s" s="6" r="AF339">
        <v>92</v>
      </c>
      <c t="s" s="6" r="AG339">
        <v>92</v>
      </c>
      <c t="s" s="6" r="AH339">
        <v>92</v>
      </c>
      <c t="s" s="6" r="AI339">
        <v>92</v>
      </c>
      <c t="s" s="6" r="AJ339">
        <v>92</v>
      </c>
      <c t="s" s="6" r="AK339">
        <v>92</v>
      </c>
      <c s="6" r="AL339">
        <v>1</v>
      </c>
      <c t="s" s="6" r="AM339">
        <v>92</v>
      </c>
      <c t="s" s="6" r="AN339">
        <v>92</v>
      </c>
      <c s="6" r="AP339">
        <v>1</v>
      </c>
      <c t="s" s="6" r="AQ339">
        <v>2833</v>
      </c>
      <c t="s" s="6" r="AR339">
        <v>2834</v>
      </c>
      <c s="6" r="AS339">
        <v>0</v>
      </c>
      <c s="6" r="AT339">
        <v>0</v>
      </c>
      <c s="6" r="AU339">
        <v>0</v>
      </c>
      <c s="6" r="AV339">
        <v>0</v>
      </c>
      <c s="6" r="AW339">
        <v>0</v>
      </c>
      <c s="6" r="AX339">
        <v>0</v>
      </c>
      <c s="6" r="AY339">
        <v>0</v>
      </c>
      <c s="6" r="AZ339">
        <v>0</v>
      </c>
      <c s="6" r="BA339">
        <v>0</v>
      </c>
      <c s="6" r="BB339">
        <v>0</v>
      </c>
      <c s="6" r="BC339">
        <v>0</v>
      </c>
      <c s="6" r="BD339">
        <v>0</v>
      </c>
      <c s="6" r="BE339">
        <v>0</v>
      </c>
      <c s="6" r="BF339">
        <v>0</v>
      </c>
      <c s="6" r="BG339">
        <v>0</v>
      </c>
      <c s="6" r="BH339">
        <v>0</v>
      </c>
      <c s="6" r="BI339">
        <v>0</v>
      </c>
      <c s="6" r="BJ339">
        <v>0</v>
      </c>
      <c s="6" r="BK339">
        <v>0</v>
      </c>
      <c s="6" r="BL339">
        <v>0</v>
      </c>
      <c s="6" r="BM339">
        <v>0</v>
      </c>
      <c s="6" r="BN339">
        <v>0</v>
      </c>
      <c s="6" r="BO339">
        <v>0</v>
      </c>
      <c s="6" r="BP339">
        <v>0</v>
      </c>
      <c s="6" r="BQ339">
        <v>0</v>
      </c>
      <c t="str" s="6" r="BR339">
        <f>HYPERLINK("http://www.d20pfsrd.com/magic/all-spells/m/magic-stone","Magic Stone")</f>
        <v>Magic Stone</v>
      </c>
      <c s="6" r="BS339">
        <v>339</v>
      </c>
      <c t="s" s="6" r="BT339">
        <v>92</v>
      </c>
      <c s="6" r="BY339">
        <v>0</v>
      </c>
    </row>
    <row customHeight="1" r="340" ht="14.25">
      <c t="s" s="6" r="A340">
        <v>2835</v>
      </c>
      <c t="s" s="6" r="B340">
        <v>131</v>
      </c>
      <c t="s" s="6" r="E340">
        <v>2836</v>
      </c>
      <c t="s" s="6" r="F340">
        <v>81</v>
      </c>
      <c t="s" s="6" r="G340">
        <v>119</v>
      </c>
      <c s="6" r="H340">
        <v>0</v>
      </c>
      <c t="s" s="6" r="I340">
        <v>120</v>
      </c>
      <c t="s" s="6" r="L340">
        <v>2837</v>
      </c>
      <c t="s" s="6" r="M340">
        <v>209</v>
      </c>
      <c s="6" r="N340">
        <v>0</v>
      </c>
      <c s="6" r="O340">
        <v>0</v>
      </c>
      <c t="s" s="6" r="P340">
        <v>144</v>
      </c>
      <c t="s" s="6" r="Q340">
        <v>145</v>
      </c>
      <c t="s" s="6" r="R340">
        <v>2838</v>
      </c>
      <c t="s" s="6" r="S340">
        <v>2839</v>
      </c>
      <c t="s" s="6" r="T340">
        <v>90</v>
      </c>
      <c t="s" s="6" r="U340">
        <v>2840</v>
      </c>
      <c s="6" r="V340">
        <v>1</v>
      </c>
      <c s="6" r="W340">
        <v>1</v>
      </c>
      <c s="6" r="X340">
        <v>0</v>
      </c>
      <c s="6" r="Y340">
        <v>0</v>
      </c>
      <c s="6" r="Z340">
        <v>1</v>
      </c>
      <c t="s" s="6" r="AA340">
        <v>92</v>
      </c>
      <c t="s" s="6" r="AB340">
        <v>92</v>
      </c>
      <c s="6" r="AC340">
        <v>3</v>
      </c>
      <c t="s" s="6" r="AD340">
        <v>92</v>
      </c>
      <c t="s" s="6" r="AE340">
        <v>92</v>
      </c>
      <c t="s" s="6" r="AF340">
        <v>92</v>
      </c>
      <c t="s" s="6" r="AG340">
        <v>92</v>
      </c>
      <c t="s" s="6" r="AH340">
        <v>92</v>
      </c>
      <c t="s" s="6" r="AI340">
        <v>92</v>
      </c>
      <c t="s" s="6" r="AJ340">
        <v>92</v>
      </c>
      <c s="6" r="AK340">
        <v>3</v>
      </c>
      <c s="6" r="AL340">
        <v>3</v>
      </c>
      <c t="s" s="6" r="AM340">
        <v>92</v>
      </c>
      <c t="s" s="6" r="AN340">
        <v>92</v>
      </c>
      <c s="6" r="AP340">
        <v>3</v>
      </c>
      <c t="s" s="6" r="AQ340">
        <v>2841</v>
      </c>
      <c t="s" s="6" r="AR340">
        <v>2842</v>
      </c>
      <c s="6" r="AS340">
        <v>0</v>
      </c>
      <c s="6" r="AT340">
        <v>0</v>
      </c>
      <c s="6" r="AU340">
        <v>0</v>
      </c>
      <c s="6" r="AV340">
        <v>0</v>
      </c>
      <c s="6" r="AW340">
        <v>0</v>
      </c>
      <c s="6" r="AX340">
        <v>0</v>
      </c>
      <c s="6" r="AY340">
        <v>0</v>
      </c>
      <c s="6" r="AZ340">
        <v>0</v>
      </c>
      <c s="6" r="BA340">
        <v>0</v>
      </c>
      <c s="6" r="BB340">
        <v>0</v>
      </c>
      <c s="6" r="BC340">
        <v>0</v>
      </c>
      <c s="6" r="BD340">
        <v>0</v>
      </c>
      <c s="6" r="BE340">
        <v>0</v>
      </c>
      <c s="6" r="BF340">
        <v>0</v>
      </c>
      <c s="6" r="BG340">
        <v>0</v>
      </c>
      <c s="6" r="BH340">
        <v>0</v>
      </c>
      <c s="6" r="BI340">
        <v>0</v>
      </c>
      <c s="6" r="BJ340">
        <v>0</v>
      </c>
      <c s="6" r="BK340">
        <v>0</v>
      </c>
      <c s="6" r="BL340">
        <v>0</v>
      </c>
      <c s="6" r="BM340">
        <v>0</v>
      </c>
      <c s="6" r="BN340">
        <v>0</v>
      </c>
      <c s="6" r="BO340">
        <v>0</v>
      </c>
      <c s="6" r="BP340">
        <v>0</v>
      </c>
      <c s="6" r="BQ340">
        <v>0</v>
      </c>
      <c t="str" s="6" r="BR340">
        <f>HYPERLINK("http://www.d20pfsrd.com/magic/all-spells/m/magic-vestment","Magic Vestment")</f>
        <v>Magic Vestment</v>
      </c>
      <c s="6" r="BS340">
        <v>340</v>
      </c>
      <c t="s" s="6" r="BT340">
        <v>92</v>
      </c>
      <c t="s" s="6" r="BV340">
        <v>2843</v>
      </c>
      <c t="s" s="6" r="BW340">
        <v>2844</v>
      </c>
      <c t="s" s="6" r="BX340">
        <v>2845</v>
      </c>
      <c s="6" r="BY340">
        <v>1</v>
      </c>
    </row>
    <row customHeight="1" r="341" ht="14.25">
      <c t="s" s="6" r="A341">
        <v>2846</v>
      </c>
      <c t="s" s="6" r="B341">
        <v>131</v>
      </c>
      <c t="s" s="6" r="E341">
        <v>2847</v>
      </c>
      <c t="s" s="6" r="F341">
        <v>81</v>
      </c>
      <c t="s" s="6" r="G341">
        <v>119</v>
      </c>
      <c s="6" r="H341">
        <v>0</v>
      </c>
      <c t="s" s="6" r="I341">
        <v>120</v>
      </c>
      <c t="s" s="6" r="L341">
        <v>545</v>
      </c>
      <c t="s" s="6" r="M341">
        <v>122</v>
      </c>
      <c s="6" r="N341">
        <v>0</v>
      </c>
      <c s="6" r="O341">
        <v>0</v>
      </c>
      <c t="s" s="6" r="P341">
        <v>144</v>
      </c>
      <c t="s" s="6" r="Q341">
        <v>145</v>
      </c>
      <c t="s" s="6" r="R341">
        <v>2848</v>
      </c>
      <c t="s" s="6" r="S341">
        <v>2849</v>
      </c>
      <c t="s" s="6" r="T341">
        <v>90</v>
      </c>
      <c t="s" s="6" r="U341">
        <v>2850</v>
      </c>
      <c s="6" r="V341">
        <v>1</v>
      </c>
      <c s="6" r="W341">
        <v>1</v>
      </c>
      <c s="6" r="X341">
        <v>0</v>
      </c>
      <c s="6" r="Y341">
        <v>0</v>
      </c>
      <c s="6" r="Z341">
        <v>1</v>
      </c>
      <c s="6" r="AA341">
        <v>1</v>
      </c>
      <c s="6" r="AB341">
        <v>1</v>
      </c>
      <c s="6" r="AC341">
        <v>1</v>
      </c>
      <c t="s" s="6" r="AD341">
        <v>92</v>
      </c>
      <c t="s" s="6" r="AE341">
        <v>92</v>
      </c>
      <c t="s" s="6" r="AF341">
        <v>92</v>
      </c>
      <c s="6" r="AG341">
        <v>1</v>
      </c>
      <c t="s" s="6" r="AH341">
        <v>92</v>
      </c>
      <c t="s" s="6" r="AI341">
        <v>92</v>
      </c>
      <c t="s" s="6" r="AJ341">
        <v>92</v>
      </c>
      <c s="6" r="AK341">
        <v>1</v>
      </c>
      <c s="6" r="AL341">
        <v>1</v>
      </c>
      <c s="6" r="AM341">
        <v>1</v>
      </c>
      <c s="6" r="AN341">
        <v>1</v>
      </c>
      <c s="6" r="AP341">
        <v>1</v>
      </c>
      <c t="s" s="6" r="AQ341">
        <v>1494</v>
      </c>
      <c t="s" s="6" r="AR341">
        <v>2851</v>
      </c>
      <c s="6" r="AS341">
        <v>0</v>
      </c>
      <c s="6" r="AT341">
        <v>0</v>
      </c>
      <c s="6" r="AU341">
        <v>0</v>
      </c>
      <c s="6" r="AV341">
        <v>0</v>
      </c>
      <c s="6" r="AW341">
        <v>0</v>
      </c>
      <c s="6" r="AX341">
        <v>0</v>
      </c>
      <c s="6" r="AY341">
        <v>0</v>
      </c>
      <c s="6" r="AZ341">
        <v>0</v>
      </c>
      <c s="6" r="BA341">
        <v>0</v>
      </c>
      <c s="6" r="BB341">
        <v>0</v>
      </c>
      <c s="6" r="BC341">
        <v>0</v>
      </c>
      <c s="6" r="BD341">
        <v>0</v>
      </c>
      <c s="6" r="BE341">
        <v>0</v>
      </c>
      <c s="6" r="BF341">
        <v>0</v>
      </c>
      <c s="6" r="BG341">
        <v>0</v>
      </c>
      <c s="6" r="BH341">
        <v>0</v>
      </c>
      <c s="6" r="BI341">
        <v>0</v>
      </c>
      <c s="6" r="BJ341">
        <v>0</v>
      </c>
      <c s="6" r="BK341">
        <v>0</v>
      </c>
      <c s="6" r="BL341">
        <v>0</v>
      </c>
      <c s="6" r="BM341">
        <v>0</v>
      </c>
      <c s="6" r="BN341">
        <v>0</v>
      </c>
      <c s="6" r="BO341">
        <v>0</v>
      </c>
      <c s="6" r="BP341">
        <v>0</v>
      </c>
      <c s="6" r="BQ341">
        <v>0</v>
      </c>
      <c t="str" s="6" r="BR341">
        <f>HYPERLINK("http://www.d20pfsrd.com/magic/all-spells/m/magic-weapon","Magic Weapon")</f>
        <v>Magic Weapon</v>
      </c>
      <c s="6" r="BS341">
        <v>341</v>
      </c>
      <c t="s" s="6" r="BT341">
        <v>92</v>
      </c>
      <c s="6" r="BY341">
        <v>0</v>
      </c>
    </row>
    <row customHeight="1" r="342" ht="14.25">
      <c t="s" s="6" r="A342">
        <v>2852</v>
      </c>
      <c t="s" s="6" r="B342">
        <v>131</v>
      </c>
      <c t="s" s="6" r="E342">
        <v>2853</v>
      </c>
      <c t="s" s="6" r="F342">
        <v>81</v>
      </c>
      <c t="s" s="6" r="G342">
        <v>2854</v>
      </c>
      <c s="6" r="H342">
        <v>0</v>
      </c>
      <c t="s" s="6" r="I342">
        <v>107</v>
      </c>
      <c t="s" s="6" r="L342">
        <v>2855</v>
      </c>
      <c t="s" s="6" r="M342">
        <v>209</v>
      </c>
      <c s="6" r="N342">
        <v>0</v>
      </c>
      <c s="6" r="O342">
        <v>0</v>
      </c>
      <c t="s" s="6" r="P342">
        <v>144</v>
      </c>
      <c t="s" s="6" r="Q342">
        <v>145</v>
      </c>
      <c t="s" s="6" r="R342">
        <v>2856</v>
      </c>
      <c t="s" s="6" r="S342">
        <v>2857</v>
      </c>
      <c t="s" s="6" r="T342">
        <v>90</v>
      </c>
      <c t="s" s="6" r="U342">
        <v>2858</v>
      </c>
      <c s="6" r="V342">
        <v>1</v>
      </c>
      <c s="6" r="W342">
        <v>1</v>
      </c>
      <c s="6" r="X342">
        <v>1</v>
      </c>
      <c s="6" r="Y342">
        <v>0</v>
      </c>
      <c s="6" r="Z342">
        <v>1</v>
      </c>
      <c s="6" r="AA342">
        <v>3</v>
      </c>
      <c s="6" r="AB342">
        <v>3</v>
      </c>
      <c s="6" r="AC342">
        <v>4</v>
      </c>
      <c t="s" s="6" r="AD342">
        <v>92</v>
      </c>
      <c t="s" s="6" r="AE342">
        <v>92</v>
      </c>
      <c t="s" s="6" r="AF342">
        <v>92</v>
      </c>
      <c s="6" r="AG342">
        <v>3</v>
      </c>
      <c t="s" s="6" r="AH342">
        <v>92</v>
      </c>
      <c t="s" s="6" r="AI342">
        <v>92</v>
      </c>
      <c t="s" s="6" r="AJ342">
        <v>92</v>
      </c>
      <c s="6" r="AK342">
        <v>3</v>
      </c>
      <c s="6" r="AL342">
        <v>4</v>
      </c>
      <c s="6" r="AM342">
        <v>3</v>
      </c>
      <c s="6" r="AN342">
        <v>3</v>
      </c>
      <c s="6" r="AP342">
        <v>3</v>
      </c>
      <c t="s" s="6" r="AR342">
        <v>2859</v>
      </c>
      <c s="6" r="AS342">
        <v>0</v>
      </c>
      <c s="6" r="AT342">
        <v>0</v>
      </c>
      <c s="6" r="AU342">
        <v>0</v>
      </c>
      <c s="6" r="AV342">
        <v>0</v>
      </c>
      <c s="6" r="AW342">
        <v>0</v>
      </c>
      <c s="6" r="AX342">
        <v>0</v>
      </c>
      <c s="6" r="AY342">
        <v>0</v>
      </c>
      <c s="6" r="AZ342">
        <v>0</v>
      </c>
      <c s="6" r="BA342">
        <v>0</v>
      </c>
      <c s="6" r="BB342">
        <v>0</v>
      </c>
      <c s="6" r="BC342">
        <v>0</v>
      </c>
      <c s="6" r="BD342">
        <v>0</v>
      </c>
      <c s="6" r="BE342">
        <v>0</v>
      </c>
      <c s="6" r="BF342">
        <v>0</v>
      </c>
      <c s="6" r="BG342">
        <v>0</v>
      </c>
      <c s="6" r="BH342">
        <v>0</v>
      </c>
      <c s="6" r="BI342">
        <v>0</v>
      </c>
      <c s="6" r="BJ342">
        <v>0</v>
      </c>
      <c s="6" r="BK342">
        <v>0</v>
      </c>
      <c s="6" r="BL342">
        <v>0</v>
      </c>
      <c s="6" r="BM342">
        <v>0</v>
      </c>
      <c s="6" r="BN342">
        <v>0</v>
      </c>
      <c s="6" r="BO342">
        <v>0</v>
      </c>
      <c s="6" r="BP342">
        <v>0</v>
      </c>
      <c s="6" r="BQ342">
        <v>0</v>
      </c>
      <c t="str" s="6" r="BR342">
        <f>HYPERLINK("http://www.d20pfsrd.com/magic/all-spells/m/magic-weapon","Magic Weapon, Greater")</f>
        <v>Magic Weapon, Greater</v>
      </c>
      <c s="6" r="BS342">
        <v>342</v>
      </c>
      <c t="s" s="6" r="BT342">
        <v>92</v>
      </c>
      <c t="s" s="6" r="BU342">
        <v>2860</v>
      </c>
      <c t="s" s="6" r="BV342">
        <v>626</v>
      </c>
      <c t="s" s="6" r="BW342">
        <v>2861</v>
      </c>
      <c t="s" s="6" r="BX342">
        <v>2862</v>
      </c>
      <c s="6" r="BY342">
        <v>1</v>
      </c>
    </row>
    <row customHeight="1" r="343" ht="14.25">
      <c t="s" s="6" r="A343">
        <v>2863</v>
      </c>
      <c t="s" s="6" r="B343">
        <v>78</v>
      </c>
      <c t="s" s="6" r="C343">
        <v>79</v>
      </c>
      <c t="s" s="6" r="E343">
        <v>2864</v>
      </c>
      <c t="s" s="6" r="F343">
        <v>197</v>
      </c>
      <c t="s" s="6" r="G343">
        <v>2865</v>
      </c>
      <c s="6" r="H343">
        <v>0</v>
      </c>
      <c t="s" s="6" r="I343">
        <v>813</v>
      </c>
      <c t="s" s="6" r="K343">
        <v>2866</v>
      </c>
      <c t="s" s="6" r="M343">
        <v>209</v>
      </c>
      <c s="6" r="N343">
        <v>1</v>
      </c>
      <c s="6" r="O343">
        <v>0</v>
      </c>
      <c t="s" s="6" r="P343">
        <v>86</v>
      </c>
      <c t="s" s="6" r="Q343">
        <v>87</v>
      </c>
      <c t="s" s="6" r="R343">
        <v>2867</v>
      </c>
      <c t="s" s="6" r="S343">
        <v>2868</v>
      </c>
      <c t="s" s="6" r="T343">
        <v>90</v>
      </c>
      <c t="s" s="6" r="U343">
        <v>2869</v>
      </c>
      <c s="6" r="V343">
        <v>1</v>
      </c>
      <c s="6" r="W343">
        <v>1</v>
      </c>
      <c s="6" r="X343">
        <v>1</v>
      </c>
      <c s="6" r="Y343">
        <v>0</v>
      </c>
      <c s="6" r="Z343">
        <v>0</v>
      </c>
      <c s="6" r="AA343">
        <v>4</v>
      </c>
      <c s="6" r="AB343">
        <v>4</v>
      </c>
      <c t="s" s="6" r="AC343">
        <v>92</v>
      </c>
      <c t="s" s="6" r="AD343">
        <v>92</v>
      </c>
      <c t="s" s="6" r="AE343">
        <v>92</v>
      </c>
      <c t="s" s="6" r="AF343">
        <v>92</v>
      </c>
      <c t="s" s="6" r="AG343">
        <v>92</v>
      </c>
      <c t="s" s="6" r="AH343">
        <v>92</v>
      </c>
      <c s="6" r="AI343">
        <v>3</v>
      </c>
      <c s="6" r="AJ343">
        <v>4</v>
      </c>
      <c t="s" s="6" r="AK343">
        <v>92</v>
      </c>
      <c t="s" s="6" r="AL343">
        <v>92</v>
      </c>
      <c t="s" s="6" r="AM343">
        <v>92</v>
      </c>
      <c t="s" s="6" r="AN343">
        <v>92</v>
      </c>
      <c s="6" r="AP343">
        <v>4</v>
      </c>
      <c t="s" s="6" r="AQ343">
        <v>267</v>
      </c>
      <c t="s" s="6" r="AR343">
        <v>2870</v>
      </c>
      <c s="6" r="AS343">
        <v>0</v>
      </c>
      <c s="6" r="AT343">
        <v>0</v>
      </c>
      <c s="6" r="AU343">
        <v>0</v>
      </c>
      <c s="6" r="AV343">
        <v>0</v>
      </c>
      <c s="6" r="AW343">
        <v>0</v>
      </c>
      <c s="6" r="AX343">
        <v>0</v>
      </c>
      <c s="6" r="AY343">
        <v>0</v>
      </c>
      <c s="6" r="AZ343">
        <v>0</v>
      </c>
      <c s="6" r="BA343">
        <v>0</v>
      </c>
      <c s="6" r="BB343">
        <v>0</v>
      </c>
      <c s="6" r="BC343">
        <v>0</v>
      </c>
      <c s="6" r="BD343">
        <v>0</v>
      </c>
      <c s="6" r="BE343">
        <v>0</v>
      </c>
      <c s="6" r="BF343">
        <v>0</v>
      </c>
      <c s="6" r="BG343">
        <v>0</v>
      </c>
      <c s="6" r="BH343">
        <v>0</v>
      </c>
      <c s="6" r="BI343">
        <v>0</v>
      </c>
      <c s="6" r="BJ343">
        <v>0</v>
      </c>
      <c s="6" r="BK343">
        <v>0</v>
      </c>
      <c s="6" r="BL343">
        <v>0</v>
      </c>
      <c s="6" r="BM343">
        <v>0</v>
      </c>
      <c s="6" r="BN343">
        <v>0</v>
      </c>
      <c s="6" r="BO343">
        <v>0</v>
      </c>
      <c s="6" r="BP343">
        <v>0</v>
      </c>
      <c s="6" r="BQ343">
        <v>0</v>
      </c>
      <c t="str" s="6" r="BR343">
        <f>HYPERLINK("http://www.d20pfsrd.com/magic/all-spells/m/minor-creation","Minor Creation")</f>
        <v>Minor Creation</v>
      </c>
      <c s="6" r="BS343">
        <v>343</v>
      </c>
      <c t="s" s="6" r="BT343">
        <v>92</v>
      </c>
      <c t="s" s="6" r="BU343">
        <v>2871</v>
      </c>
      <c s="6" r="BY343">
        <v>0</v>
      </c>
    </row>
    <row customHeight="1" r="344" ht="14.25">
      <c t="s" s="6" r="A344">
        <v>2872</v>
      </c>
      <c t="s" s="6" r="B344">
        <v>78</v>
      </c>
      <c t="s" s="6" r="C344">
        <v>79</v>
      </c>
      <c t="s" s="6" r="E344">
        <v>2873</v>
      </c>
      <c t="s" s="6" r="F344">
        <v>311</v>
      </c>
      <c t="s" s="6" r="G344">
        <v>2865</v>
      </c>
      <c s="6" r="H344">
        <v>0</v>
      </c>
      <c t="s" s="6" r="I344">
        <v>107</v>
      </c>
      <c t="s" s="6" r="K344">
        <v>2866</v>
      </c>
      <c t="s" s="6" r="M344">
        <v>141</v>
      </c>
      <c s="6" r="N344">
        <v>0</v>
      </c>
      <c s="6" r="O344">
        <v>0</v>
      </c>
      <c t="s" s="6" r="P344">
        <v>86</v>
      </c>
      <c t="s" s="6" r="Q344">
        <v>87</v>
      </c>
      <c t="s" s="6" r="R344">
        <v>2874</v>
      </c>
      <c t="s" s="6" r="S344">
        <v>2875</v>
      </c>
      <c t="s" s="6" r="T344">
        <v>90</v>
      </c>
      <c t="s" s="6" r="U344">
        <v>2876</v>
      </c>
      <c s="6" r="V344">
        <v>1</v>
      </c>
      <c s="6" r="W344">
        <v>1</v>
      </c>
      <c s="6" r="X344">
        <v>1</v>
      </c>
      <c s="6" r="Y344">
        <v>0</v>
      </c>
      <c s="6" r="Z344">
        <v>0</v>
      </c>
      <c s="6" r="AA344">
        <v>5</v>
      </c>
      <c s="6" r="AB344">
        <v>5</v>
      </c>
      <c t="s" s="6" r="AC344">
        <v>92</v>
      </c>
      <c t="s" s="6" r="AD344">
        <v>92</v>
      </c>
      <c t="s" s="6" r="AE344">
        <v>92</v>
      </c>
      <c t="s" s="6" r="AF344">
        <v>92</v>
      </c>
      <c t="s" s="6" r="AG344">
        <v>92</v>
      </c>
      <c t="s" s="6" r="AH344">
        <v>92</v>
      </c>
      <c s="6" r="AI344">
        <v>4</v>
      </c>
      <c s="6" r="AJ344">
        <v>5</v>
      </c>
      <c t="s" s="6" r="AK344">
        <v>92</v>
      </c>
      <c t="s" s="6" r="AL344">
        <v>92</v>
      </c>
      <c t="s" s="6" r="AM344">
        <v>92</v>
      </c>
      <c t="s" s="6" r="AN344">
        <v>92</v>
      </c>
      <c s="6" r="AP344">
        <v>5</v>
      </c>
      <c t="s" s="6" r="AQ344">
        <v>267</v>
      </c>
      <c t="s" s="6" r="AR344">
        <v>2877</v>
      </c>
      <c s="6" r="AS344">
        <v>0</v>
      </c>
      <c s="6" r="AT344">
        <v>0</v>
      </c>
      <c s="6" r="AU344">
        <v>0</v>
      </c>
      <c s="6" r="AV344">
        <v>0</v>
      </c>
      <c s="6" r="AW344">
        <v>0</v>
      </c>
      <c s="6" r="AX344">
        <v>0</v>
      </c>
      <c s="6" r="AY344">
        <v>0</v>
      </c>
      <c s="6" r="AZ344">
        <v>0</v>
      </c>
      <c s="6" r="BA344">
        <v>0</v>
      </c>
      <c s="6" r="BB344">
        <v>0</v>
      </c>
      <c s="6" r="BC344">
        <v>0</v>
      </c>
      <c s="6" r="BD344">
        <v>0</v>
      </c>
      <c s="6" r="BE344">
        <v>0</v>
      </c>
      <c s="6" r="BF344">
        <v>0</v>
      </c>
      <c s="6" r="BG344">
        <v>0</v>
      </c>
      <c s="6" r="BH344">
        <v>0</v>
      </c>
      <c s="6" r="BI344">
        <v>0</v>
      </c>
      <c s="6" r="BJ344">
        <v>0</v>
      </c>
      <c s="6" r="BK344">
        <v>0</v>
      </c>
      <c s="6" r="BL344">
        <v>0</v>
      </c>
      <c s="6" r="BM344">
        <v>0</v>
      </c>
      <c s="6" r="BN344">
        <v>0</v>
      </c>
      <c s="6" r="BO344">
        <v>0</v>
      </c>
      <c s="6" r="BP344">
        <v>0</v>
      </c>
      <c s="6" r="BQ344">
        <v>0</v>
      </c>
      <c t="str" s="6" r="BR344">
        <f>HYPERLINK("http://www.d20pfsrd.com/magic/all-spells/m/major-creation","Major Creation")</f>
        <v>Major Creation</v>
      </c>
      <c s="6" r="BS344">
        <v>344</v>
      </c>
      <c t="s" s="6" r="BT344">
        <v>92</v>
      </c>
      <c s="6" r="BY344">
        <v>0</v>
      </c>
    </row>
    <row customHeight="1" r="345" ht="14.25">
      <c t="s" s="6" r="A345">
        <v>2878</v>
      </c>
      <c t="s" s="6" r="B345">
        <v>579</v>
      </c>
      <c t="s" s="6" r="C345">
        <v>2047</v>
      </c>
      <c t="s" s="6" r="E345">
        <v>569</v>
      </c>
      <c t="s" s="6" r="F345">
        <v>81</v>
      </c>
      <c t="s" s="6" r="G345">
        <v>2879</v>
      </c>
      <c s="6" r="H345">
        <v>0</v>
      </c>
      <c t="s" s="6" r="I345">
        <v>83</v>
      </c>
      <c t="s" s="6" r="K345">
        <v>2880</v>
      </c>
      <c t="s" s="6" r="M345">
        <v>2881</v>
      </c>
      <c s="6" r="N345">
        <v>0</v>
      </c>
      <c s="6" r="O345">
        <v>0</v>
      </c>
      <c t="s" s="6" r="P345">
        <v>2197</v>
      </c>
      <c t="s" s="6" r="Q345">
        <v>87</v>
      </c>
      <c t="s" s="6" r="R345">
        <v>2882</v>
      </c>
      <c t="s" s="6" r="S345">
        <v>2883</v>
      </c>
      <c t="s" s="6" r="T345">
        <v>90</v>
      </c>
      <c t="s" s="6" r="U345">
        <v>2884</v>
      </c>
      <c s="6" r="V345">
        <v>1</v>
      </c>
      <c s="6" r="W345">
        <v>1</v>
      </c>
      <c s="6" r="X345">
        <v>0</v>
      </c>
      <c s="6" r="Y345">
        <v>1</v>
      </c>
      <c s="6" r="Z345">
        <v>0</v>
      </c>
      <c s="6" r="AA345">
        <v>3</v>
      </c>
      <c s="6" r="AB345">
        <v>3</v>
      </c>
      <c t="s" s="6" r="AC345">
        <v>92</v>
      </c>
      <c t="s" s="6" r="AD345">
        <v>92</v>
      </c>
      <c t="s" s="6" r="AE345">
        <v>92</v>
      </c>
      <c s="6" r="AF345">
        <v>3</v>
      </c>
      <c t="s" s="6" r="AG345">
        <v>92</v>
      </c>
      <c t="s" s="6" r="AH345">
        <v>92</v>
      </c>
      <c t="s" s="6" r="AI345">
        <v>92</v>
      </c>
      <c t="s" s="6" r="AJ345">
        <v>92</v>
      </c>
      <c t="s" s="6" r="AK345">
        <v>92</v>
      </c>
      <c t="s" s="6" r="AL345">
        <v>92</v>
      </c>
      <c t="s" s="6" r="AM345">
        <v>92</v>
      </c>
      <c s="6" r="AN345">
        <v>3</v>
      </c>
      <c s="6" r="AP345">
        <v>3</v>
      </c>
      <c t="s" s="6" r="AR345">
        <v>2885</v>
      </c>
      <c s="6" r="AS345">
        <v>0</v>
      </c>
      <c s="6" r="AT345">
        <v>0</v>
      </c>
      <c s="6" r="AU345">
        <v>0</v>
      </c>
      <c s="6" r="AV345">
        <v>0</v>
      </c>
      <c s="6" r="AW345">
        <v>0</v>
      </c>
      <c s="6" r="AX345">
        <v>0</v>
      </c>
      <c s="6" r="AY345">
        <v>0</v>
      </c>
      <c s="6" r="AZ345">
        <v>0</v>
      </c>
      <c s="6" r="BA345">
        <v>0</v>
      </c>
      <c s="6" r="BB345">
        <v>0</v>
      </c>
      <c s="6" r="BC345">
        <v>0</v>
      </c>
      <c s="6" r="BD345">
        <v>0</v>
      </c>
      <c s="6" r="BE345">
        <v>0</v>
      </c>
      <c s="6" r="BF345">
        <v>0</v>
      </c>
      <c s="6" r="BG345">
        <v>0</v>
      </c>
      <c s="6" r="BH345">
        <v>0</v>
      </c>
      <c s="6" r="BI345">
        <v>0</v>
      </c>
      <c s="6" r="BJ345">
        <v>0</v>
      </c>
      <c s="6" r="BK345">
        <v>0</v>
      </c>
      <c s="6" r="BL345">
        <v>0</v>
      </c>
      <c s="6" r="BM345">
        <v>0</v>
      </c>
      <c s="6" r="BN345">
        <v>0</v>
      </c>
      <c s="6" r="BO345">
        <v>0</v>
      </c>
      <c s="6" r="BP345">
        <v>0</v>
      </c>
      <c s="6" r="BQ345">
        <v>0</v>
      </c>
      <c t="str" s="6" r="BR345">
        <f>HYPERLINK("http://www.d20pfsrd.com/magic/all-spells/m/major-image","Major Image")</f>
        <v>Major Image</v>
      </c>
      <c s="6" r="BS345">
        <v>345</v>
      </c>
      <c t="s" s="6" r="BT345">
        <v>92</v>
      </c>
      <c t="s" s="6" r="BV345">
        <v>269</v>
      </c>
      <c s="6" r="BY345">
        <v>0</v>
      </c>
    </row>
    <row customHeight="1" r="346" ht="14.25">
      <c t="s" s="6" r="A346">
        <v>2886</v>
      </c>
      <c t="s" s="6" r="B346">
        <v>131</v>
      </c>
      <c t="s" s="6" r="E346">
        <v>2887</v>
      </c>
      <c t="s" s="6" r="F346">
        <v>311</v>
      </c>
      <c t="s" s="6" r="G346">
        <v>106</v>
      </c>
      <c s="6" r="H346">
        <v>0</v>
      </c>
      <c t="s" s="6" r="I346">
        <v>107</v>
      </c>
      <c t="s" s="6" r="L346">
        <v>2888</v>
      </c>
      <c t="s" s="6" r="M346">
        <v>109</v>
      </c>
      <c s="6" r="N346">
        <v>0</v>
      </c>
      <c s="6" r="O346">
        <v>0</v>
      </c>
      <c t="s" s="6" r="P346">
        <v>144</v>
      </c>
      <c t="s" s="6" r="Q346">
        <v>145</v>
      </c>
      <c t="s" s="6" r="R346">
        <v>2889</v>
      </c>
      <c t="s" s="6" r="S346">
        <v>2890</v>
      </c>
      <c t="s" s="6" r="T346">
        <v>90</v>
      </c>
      <c t="s" s="6" r="U346">
        <v>2891</v>
      </c>
      <c s="6" r="V346">
        <v>1</v>
      </c>
      <c s="6" r="W346">
        <v>1</v>
      </c>
      <c s="6" r="X346">
        <v>0</v>
      </c>
      <c s="6" r="Y346">
        <v>0</v>
      </c>
      <c s="6" r="Z346">
        <v>0</v>
      </c>
      <c s="6" r="AA346">
        <v>2</v>
      </c>
      <c s="6" r="AB346">
        <v>2</v>
      </c>
      <c s="6" r="AC346">
        <v>2</v>
      </c>
      <c t="s" s="6" r="AD346">
        <v>92</v>
      </c>
      <c t="s" s="6" r="AE346">
        <v>92</v>
      </c>
      <c t="s" s="6" r="AF346">
        <v>92</v>
      </c>
      <c t="s" s="6" r="AG346">
        <v>92</v>
      </c>
      <c t="s" s="6" r="AH346">
        <v>92</v>
      </c>
      <c t="s" s="6" r="AI346">
        <v>92</v>
      </c>
      <c t="s" s="6" r="AJ346">
        <v>92</v>
      </c>
      <c t="s" s="6" r="AK346">
        <v>92</v>
      </c>
      <c s="6" r="AL346">
        <v>2</v>
      </c>
      <c t="s" s="6" r="AM346">
        <v>92</v>
      </c>
      <c t="s" s="6" r="AN346">
        <v>92</v>
      </c>
      <c s="6" r="AP346">
        <v>2</v>
      </c>
      <c t="s" s="6" r="AR346">
        <v>2892</v>
      </c>
      <c s="6" r="AS346">
        <v>0</v>
      </c>
      <c s="6" r="AT346">
        <v>0</v>
      </c>
      <c s="6" r="AU346">
        <v>0</v>
      </c>
      <c s="6" r="AV346">
        <v>0</v>
      </c>
      <c s="6" r="AW346">
        <v>0</v>
      </c>
      <c s="6" r="AX346">
        <v>0</v>
      </c>
      <c s="6" r="AY346">
        <v>0</v>
      </c>
      <c s="6" r="AZ346">
        <v>0</v>
      </c>
      <c s="6" r="BA346">
        <v>0</v>
      </c>
      <c s="6" r="BB346">
        <v>0</v>
      </c>
      <c s="6" r="BC346">
        <v>0</v>
      </c>
      <c s="6" r="BD346">
        <v>0</v>
      </c>
      <c s="6" r="BE346">
        <v>0</v>
      </c>
      <c s="6" r="BF346">
        <v>0</v>
      </c>
      <c s="6" r="BG346">
        <v>0</v>
      </c>
      <c s="6" r="BH346">
        <v>0</v>
      </c>
      <c s="6" r="BI346">
        <v>0</v>
      </c>
      <c s="6" r="BJ346">
        <v>0</v>
      </c>
      <c s="6" r="BK346">
        <v>0</v>
      </c>
      <c s="6" r="BL346">
        <v>0</v>
      </c>
      <c s="6" r="BM346">
        <v>0</v>
      </c>
      <c s="6" r="BN346">
        <v>0</v>
      </c>
      <c s="6" r="BO346">
        <v>0</v>
      </c>
      <c s="6" r="BP346">
        <v>0</v>
      </c>
      <c s="6" r="BQ346">
        <v>0</v>
      </c>
      <c t="str" s="6" r="BR346">
        <f>HYPERLINK("http://www.d20pfsrd.com/magic/all-spells/m/make-whole","Make Whole")</f>
        <v>Make Whole</v>
      </c>
      <c s="6" r="BS346">
        <v>346</v>
      </c>
      <c t="s" s="6" r="BT346">
        <v>92</v>
      </c>
      <c t="s" s="6" r="BW346">
        <v>2893</v>
      </c>
      <c s="6" r="BY346">
        <v>1</v>
      </c>
    </row>
    <row customHeight="1" r="347" ht="14.25">
      <c t="s" s="6" r="A347">
        <v>2894</v>
      </c>
      <c t="s" s="6" r="B347">
        <v>227</v>
      </c>
      <c t="s" s="6" r="D347">
        <v>48</v>
      </c>
      <c t="s" s="6" r="E347">
        <v>2895</v>
      </c>
      <c t="s" s="6" r="F347">
        <v>311</v>
      </c>
      <c t="s" s="6" r="G347">
        <v>119</v>
      </c>
      <c s="6" r="H347">
        <v>0</v>
      </c>
      <c t="s" s="6" r="I347">
        <v>120</v>
      </c>
      <c t="s" s="6" r="L347">
        <v>420</v>
      </c>
      <c t="s" s="6" r="M347">
        <v>2896</v>
      </c>
      <c s="6" r="N347">
        <v>0</v>
      </c>
      <c s="6" r="O347">
        <v>0</v>
      </c>
      <c t="s" s="6" r="P347">
        <v>86</v>
      </c>
      <c t="s" s="6" r="Q347">
        <v>188</v>
      </c>
      <c t="s" s="6" r="R347">
        <v>2897</v>
      </c>
      <c t="s" s="6" r="S347">
        <v>2898</v>
      </c>
      <c t="s" s="6" r="T347">
        <v>90</v>
      </c>
      <c t="s" s="6" r="U347">
        <v>2899</v>
      </c>
      <c s="6" r="V347">
        <v>1</v>
      </c>
      <c s="6" r="W347">
        <v>1</v>
      </c>
      <c s="6" r="X347">
        <v>0</v>
      </c>
      <c s="6" r="Y347">
        <v>0</v>
      </c>
      <c s="6" r="Z347">
        <v>1</v>
      </c>
      <c t="s" s="6" r="AA347">
        <v>92</v>
      </c>
      <c t="s" s="6" r="AB347">
        <v>92</v>
      </c>
      <c s="6" r="AC347">
        <v>5</v>
      </c>
      <c t="s" s="6" r="AD347">
        <v>92</v>
      </c>
      <c t="s" s="6" r="AE347">
        <v>92</v>
      </c>
      <c t="s" s="6" r="AF347">
        <v>92</v>
      </c>
      <c s="6" r="AG347">
        <v>4</v>
      </c>
      <c t="s" s="6" r="AH347">
        <v>92</v>
      </c>
      <c t="s" s="6" r="AI347">
        <v>92</v>
      </c>
      <c s="6" r="AJ347">
        <v>5</v>
      </c>
      <c s="6" r="AK347">
        <v>5</v>
      </c>
      <c s="6" r="AL347">
        <v>5</v>
      </c>
      <c t="s" s="6" r="AM347">
        <v>92</v>
      </c>
      <c t="s" s="6" r="AN347">
        <v>92</v>
      </c>
      <c s="6" r="AP347">
        <v>5</v>
      </c>
      <c t="s" s="6" r="AR347">
        <v>2900</v>
      </c>
      <c s="6" r="AS347">
        <v>0</v>
      </c>
      <c s="6" r="AT347">
        <v>0</v>
      </c>
      <c s="6" r="AU347">
        <v>0</v>
      </c>
      <c s="6" r="AV347">
        <v>0</v>
      </c>
      <c s="6" r="AW347">
        <v>1</v>
      </c>
      <c s="6" r="AX347">
        <v>0</v>
      </c>
      <c s="6" r="AY347">
        <v>0</v>
      </c>
      <c s="6" r="AZ347">
        <v>0</v>
      </c>
      <c s="6" r="BA347">
        <v>0</v>
      </c>
      <c s="6" r="BB347">
        <v>0</v>
      </c>
      <c s="6" r="BC347">
        <v>0</v>
      </c>
      <c s="6" r="BD347">
        <v>0</v>
      </c>
      <c s="6" r="BE347">
        <v>0</v>
      </c>
      <c s="6" r="BF347">
        <v>0</v>
      </c>
      <c s="6" r="BG347">
        <v>0</v>
      </c>
      <c s="6" r="BH347">
        <v>0</v>
      </c>
      <c s="6" r="BI347">
        <v>0</v>
      </c>
      <c s="6" r="BJ347">
        <v>0</v>
      </c>
      <c s="6" r="BK347">
        <v>0</v>
      </c>
      <c s="6" r="BL347">
        <v>0</v>
      </c>
      <c s="6" r="BM347">
        <v>0</v>
      </c>
      <c s="6" r="BN347">
        <v>0</v>
      </c>
      <c s="6" r="BO347">
        <v>0</v>
      </c>
      <c s="6" r="BP347">
        <v>0</v>
      </c>
      <c s="6" r="BQ347">
        <v>0</v>
      </c>
      <c t="str" s="6" r="BR347">
        <f>HYPERLINK("http://www.d20pfsrd.com/magic/all-spells/m/mark-of-justice","Mark of Justice")</f>
        <v>Mark of Justice</v>
      </c>
      <c s="6" r="BS347">
        <v>347</v>
      </c>
      <c t="s" s="6" r="BT347">
        <v>92</v>
      </c>
      <c s="6" r="BY347">
        <v>0</v>
      </c>
    </row>
    <row customHeight="1" r="348" ht="14.25">
      <c t="s" s="6" r="A348">
        <v>2901</v>
      </c>
      <c t="s" s="6" r="B348">
        <v>78</v>
      </c>
      <c t="s" s="6" r="C348">
        <v>1356</v>
      </c>
      <c t="s" s="6" r="E348">
        <v>2902</v>
      </c>
      <c t="s" s="6" r="F348">
        <v>81</v>
      </c>
      <c t="s" s="6" r="G348">
        <v>106</v>
      </c>
      <c s="6" r="H348">
        <v>0</v>
      </c>
      <c t="s" s="6" r="I348">
        <v>107</v>
      </c>
      <c t="s" s="6" r="L348">
        <v>1235</v>
      </c>
      <c t="s" s="6" r="M348">
        <v>141</v>
      </c>
      <c s="6" r="N348">
        <v>0</v>
      </c>
      <c s="6" r="O348">
        <v>0</v>
      </c>
      <c t="s" s="6" r="P348">
        <v>86</v>
      </c>
      <c t="s" s="6" r="Q348">
        <v>188</v>
      </c>
      <c t="s" s="6" r="R348">
        <v>2903</v>
      </c>
      <c t="s" s="6" r="S348">
        <v>2904</v>
      </c>
      <c t="s" s="6" r="T348">
        <v>90</v>
      </c>
      <c t="s" s="6" r="U348">
        <v>2905</v>
      </c>
      <c s="6" r="V348">
        <v>1</v>
      </c>
      <c s="6" r="W348">
        <v>1</v>
      </c>
      <c s="6" r="X348">
        <v>0</v>
      </c>
      <c s="6" r="Y348">
        <v>0</v>
      </c>
      <c s="6" r="Z348">
        <v>0</v>
      </c>
      <c s="6" r="AA348">
        <v>8</v>
      </c>
      <c s="6" r="AB348">
        <v>8</v>
      </c>
      <c t="s" s="6" r="AC348">
        <v>92</v>
      </c>
      <c t="s" s="6" r="AD348">
        <v>92</v>
      </c>
      <c t="s" s="6" r="AE348">
        <v>92</v>
      </c>
      <c t="s" s="6" r="AF348">
        <v>92</v>
      </c>
      <c t="s" s="6" r="AG348">
        <v>92</v>
      </c>
      <c t="s" s="6" r="AH348">
        <v>92</v>
      </c>
      <c s="6" r="AI348">
        <v>6</v>
      </c>
      <c s="6" r="AJ348">
        <v>8</v>
      </c>
      <c t="s" s="6" r="AK348">
        <v>92</v>
      </c>
      <c t="s" s="6" r="AL348">
        <v>92</v>
      </c>
      <c t="s" s="6" r="AM348">
        <v>92</v>
      </c>
      <c t="s" s="6" r="AN348">
        <v>92</v>
      </c>
      <c s="6" r="AP348">
        <v>8</v>
      </c>
      <c t="s" s="6" r="AR348">
        <v>2906</v>
      </c>
      <c s="6" r="AS348">
        <v>0</v>
      </c>
      <c s="6" r="AT348">
        <v>0</v>
      </c>
      <c s="6" r="AU348">
        <v>0</v>
      </c>
      <c s="6" r="AV348">
        <v>0</v>
      </c>
      <c s="6" r="AW348">
        <v>0</v>
      </c>
      <c s="6" r="AX348">
        <v>0</v>
      </c>
      <c s="6" r="AY348">
        <v>0</v>
      </c>
      <c s="6" r="AZ348">
        <v>0</v>
      </c>
      <c s="6" r="BA348">
        <v>0</v>
      </c>
      <c s="6" r="BB348">
        <v>0</v>
      </c>
      <c s="6" r="BC348">
        <v>0</v>
      </c>
      <c s="6" r="BD348">
        <v>0</v>
      </c>
      <c s="6" r="BE348">
        <v>0</v>
      </c>
      <c s="6" r="BF348">
        <v>0</v>
      </c>
      <c s="6" r="BG348">
        <v>0</v>
      </c>
      <c s="6" r="BH348">
        <v>0</v>
      </c>
      <c s="6" r="BI348">
        <v>0</v>
      </c>
      <c s="6" r="BJ348">
        <v>0</v>
      </c>
      <c s="6" r="BK348">
        <v>0</v>
      </c>
      <c s="6" r="BL348">
        <v>0</v>
      </c>
      <c s="6" r="BM348">
        <v>0</v>
      </c>
      <c s="6" r="BN348">
        <v>0</v>
      </c>
      <c s="6" r="BO348">
        <v>0</v>
      </c>
      <c s="6" r="BP348">
        <v>0</v>
      </c>
      <c s="6" r="BQ348">
        <v>0</v>
      </c>
      <c t="str" s="6" r="BR348">
        <f>HYPERLINK("http://www.d20pfsrd.com/magic/all-spells/m/maze","Maze")</f>
        <v>Maze</v>
      </c>
      <c s="6" r="BS348">
        <v>348</v>
      </c>
      <c t="s" s="6" r="BT348">
        <v>92</v>
      </c>
      <c t="s" s="6" r="BW348">
        <v>2907</v>
      </c>
      <c s="6" r="BY348">
        <v>1</v>
      </c>
    </row>
    <row customHeight="1" r="349" ht="14.25">
      <c t="s" s="6" r="A349">
        <v>2908</v>
      </c>
      <c t="s" s="6" r="B349">
        <v>131</v>
      </c>
      <c t="s" s="6" r="D349">
        <v>52</v>
      </c>
      <c t="s" s="6" r="E349">
        <v>2909</v>
      </c>
      <c t="s" s="6" r="F349">
        <v>81</v>
      </c>
      <c t="s" s="6" r="G349">
        <v>119</v>
      </c>
      <c s="6" r="H349">
        <v>0</v>
      </c>
      <c t="s" s="6" r="I349">
        <v>155</v>
      </c>
      <c t="s" s="6" r="L349">
        <v>156</v>
      </c>
      <c t="s" s="6" r="M349">
        <v>134</v>
      </c>
      <c s="6" r="N349">
        <v>0</v>
      </c>
      <c s="6" r="O349">
        <v>0</v>
      </c>
      <c t="s" s="6" r="R349">
        <v>2910</v>
      </c>
      <c t="s" s="6" r="S349">
        <v>2911</v>
      </c>
      <c t="s" s="6" r="T349">
        <v>90</v>
      </c>
      <c t="s" s="6" r="U349">
        <v>2912</v>
      </c>
      <c s="6" r="V349">
        <v>1</v>
      </c>
      <c s="6" r="W349">
        <v>1</v>
      </c>
      <c s="6" r="X349">
        <v>0</v>
      </c>
      <c s="6" r="Y349">
        <v>0</v>
      </c>
      <c s="6" r="Z349">
        <v>1</v>
      </c>
      <c t="s" s="6" r="AA349">
        <v>92</v>
      </c>
      <c t="s" s="6" r="AB349">
        <v>92</v>
      </c>
      <c s="6" r="AC349">
        <v>3</v>
      </c>
      <c s="6" r="AD349">
        <v>3</v>
      </c>
      <c t="s" s="6" r="AE349">
        <v>92</v>
      </c>
      <c t="s" s="6" r="AF349">
        <v>92</v>
      </c>
      <c t="s" s="6" r="AG349">
        <v>92</v>
      </c>
      <c t="s" s="6" r="AH349">
        <v>92</v>
      </c>
      <c t="s" s="6" r="AI349">
        <v>92</v>
      </c>
      <c t="s" s="6" r="AJ349">
        <v>92</v>
      </c>
      <c t="s" s="6" r="AK349">
        <v>92</v>
      </c>
      <c s="6" r="AL349">
        <v>3</v>
      </c>
      <c t="s" s="6" r="AM349">
        <v>92</v>
      </c>
      <c t="s" s="6" r="AN349">
        <v>92</v>
      </c>
      <c s="6" r="AP349">
        <v>3</v>
      </c>
      <c t="s" s="6" r="AR349">
        <v>2913</v>
      </c>
      <c s="6" r="AS349">
        <v>0</v>
      </c>
      <c s="6" r="AT349">
        <v>0</v>
      </c>
      <c s="6" r="AU349">
        <v>0</v>
      </c>
      <c s="6" r="AV349">
        <v>0</v>
      </c>
      <c s="6" r="AW349">
        <v>0</v>
      </c>
      <c s="6" r="AX349">
        <v>0</v>
      </c>
      <c s="6" r="AY349">
        <v>0</v>
      </c>
      <c s="6" r="AZ349">
        <v>0</v>
      </c>
      <c s="6" r="BA349">
        <v>1</v>
      </c>
      <c s="6" r="BB349">
        <v>0</v>
      </c>
      <c s="6" r="BC349">
        <v>0</v>
      </c>
      <c s="6" r="BD349">
        <v>0</v>
      </c>
      <c s="6" r="BE349">
        <v>0</v>
      </c>
      <c s="6" r="BF349">
        <v>0</v>
      </c>
      <c s="6" r="BG349">
        <v>0</v>
      </c>
      <c s="6" r="BH349">
        <v>0</v>
      </c>
      <c s="6" r="BI349">
        <v>0</v>
      </c>
      <c s="6" r="BJ349">
        <v>0</v>
      </c>
      <c s="6" r="BK349">
        <v>0</v>
      </c>
      <c s="6" r="BL349">
        <v>0</v>
      </c>
      <c s="6" r="BM349">
        <v>0</v>
      </c>
      <c s="6" r="BN349">
        <v>0</v>
      </c>
      <c s="6" r="BO349">
        <v>0</v>
      </c>
      <c s="6" r="BP349">
        <v>0</v>
      </c>
      <c s="6" r="BQ349">
        <v>0</v>
      </c>
      <c t="str" s="6" r="BR349">
        <f>HYPERLINK("http://www.d20pfsrd.com/magic/all-spells/m/meld-into-stone","Meld into Stone")</f>
        <v>Meld into Stone</v>
      </c>
      <c s="6" r="BS349">
        <v>349</v>
      </c>
      <c t="s" s="6" r="BT349">
        <v>92</v>
      </c>
      <c s="6" r="BY349">
        <v>0</v>
      </c>
    </row>
    <row customHeight="1" r="350" ht="14.25">
      <c t="s" s="6" r="A350">
        <v>2914</v>
      </c>
      <c t="s" s="6" r="B350">
        <v>131</v>
      </c>
      <c t="s" s="6" r="E350">
        <v>2915</v>
      </c>
      <c t="s" s="6" r="F350">
        <v>311</v>
      </c>
      <c t="s" s="6" r="G350">
        <v>106</v>
      </c>
      <c s="6" r="H350">
        <v>0</v>
      </c>
      <c t="s" s="6" r="I350">
        <v>273</v>
      </c>
      <c t="s" s="6" r="L350">
        <v>2916</v>
      </c>
      <c t="s" s="6" r="M350">
        <v>109</v>
      </c>
      <c s="6" r="N350">
        <v>0</v>
      </c>
      <c s="6" r="O350">
        <v>0</v>
      </c>
      <c t="s" s="6" r="P350">
        <v>144</v>
      </c>
      <c t="s" s="6" r="Q350">
        <v>145</v>
      </c>
      <c t="s" s="6" r="R350">
        <v>2917</v>
      </c>
      <c t="s" s="6" r="S350">
        <v>2918</v>
      </c>
      <c t="s" s="6" r="T350">
        <v>90</v>
      </c>
      <c t="s" s="6" r="U350">
        <v>2919</v>
      </c>
      <c s="6" r="V350">
        <v>1</v>
      </c>
      <c s="6" r="W350">
        <v>1</v>
      </c>
      <c s="6" r="X350">
        <v>0</v>
      </c>
      <c s="6" r="Y350">
        <v>0</v>
      </c>
      <c s="6" r="Z350">
        <v>0</v>
      </c>
      <c s="6" r="AA350">
        <v>0</v>
      </c>
      <c s="6" r="AB350">
        <v>0</v>
      </c>
      <c s="6" r="AC350">
        <v>0</v>
      </c>
      <c s="6" r="AD350">
        <v>0</v>
      </c>
      <c t="s" s="6" r="AE350">
        <v>92</v>
      </c>
      <c s="6" r="AF350">
        <v>0</v>
      </c>
      <c t="s" s="6" r="AG350">
        <v>92</v>
      </c>
      <c t="s" s="6" r="AH350">
        <v>92</v>
      </c>
      <c s="6" r="AI350">
        <v>0</v>
      </c>
      <c s="6" r="AJ350">
        <v>0</v>
      </c>
      <c t="s" s="6" r="AK350">
        <v>92</v>
      </c>
      <c s="6" r="AL350">
        <v>0</v>
      </c>
      <c t="s" s="6" r="AM350">
        <v>92</v>
      </c>
      <c t="s" s="6" r="AN350">
        <v>92</v>
      </c>
      <c s="6" r="AP350">
        <v>0</v>
      </c>
      <c t="s" s="6" r="AR350">
        <v>2920</v>
      </c>
      <c s="6" r="AS350">
        <v>0</v>
      </c>
      <c s="6" r="AT350">
        <v>0</v>
      </c>
      <c s="6" r="AU350">
        <v>0</v>
      </c>
      <c s="6" r="AV350">
        <v>0</v>
      </c>
      <c s="6" r="AW350">
        <v>0</v>
      </c>
      <c s="6" r="AX350">
        <v>0</v>
      </c>
      <c s="6" r="AY350">
        <v>0</v>
      </c>
      <c s="6" r="AZ350">
        <v>0</v>
      </c>
      <c s="6" r="BA350">
        <v>0</v>
      </c>
      <c s="6" r="BB350">
        <v>0</v>
      </c>
      <c s="6" r="BC350">
        <v>0</v>
      </c>
      <c s="6" r="BD350">
        <v>0</v>
      </c>
      <c s="6" r="BE350">
        <v>0</v>
      </c>
      <c s="6" r="BF350">
        <v>0</v>
      </c>
      <c s="6" r="BG350">
        <v>0</v>
      </c>
      <c s="6" r="BH350">
        <v>0</v>
      </c>
      <c s="6" r="BI350">
        <v>0</v>
      </c>
      <c s="6" r="BJ350">
        <v>0</v>
      </c>
      <c s="6" r="BK350">
        <v>0</v>
      </c>
      <c s="6" r="BL350">
        <v>0</v>
      </c>
      <c s="6" r="BM350">
        <v>0</v>
      </c>
      <c s="6" r="BN350">
        <v>0</v>
      </c>
      <c s="6" r="BO350">
        <v>0</v>
      </c>
      <c s="6" r="BP350">
        <v>0</v>
      </c>
      <c s="6" r="BQ350">
        <v>0</v>
      </c>
      <c t="str" s="6" r="BR350">
        <f>HYPERLINK("http://www.d20pfsrd.com/magic/all-spells/m/mending","Mending")</f>
        <v>Mending</v>
      </c>
      <c s="6" r="BS350">
        <v>350</v>
      </c>
      <c t="s" s="6" r="BT350">
        <v>92</v>
      </c>
      <c s="6" r="BY350">
        <v>0</v>
      </c>
    </row>
    <row customHeight="1" r="351" ht="14.25">
      <c t="s" s="6" r="A351">
        <v>2921</v>
      </c>
      <c t="s" s="6" r="B351">
        <v>131</v>
      </c>
      <c t="s" s="6" r="D351">
        <v>2922</v>
      </c>
      <c t="s" s="6" r="E351">
        <v>2923</v>
      </c>
      <c t="s" s="6" r="F351">
        <v>81</v>
      </c>
      <c t="s" s="6" r="G351">
        <v>2924</v>
      </c>
      <c s="6" r="H351">
        <v>0</v>
      </c>
      <c t="s" s="6" r="I351">
        <v>97</v>
      </c>
      <c t="s" s="6" r="L351">
        <v>2925</v>
      </c>
      <c t="s" s="6" r="M351">
        <v>134</v>
      </c>
      <c s="6" r="N351">
        <v>0</v>
      </c>
      <c s="6" r="O351">
        <v>0</v>
      </c>
      <c t="s" s="6" r="P351">
        <v>86</v>
      </c>
      <c t="s" s="6" r="Q351">
        <v>87</v>
      </c>
      <c t="s" s="6" r="R351">
        <v>2926</v>
      </c>
      <c t="s" s="6" r="S351">
        <v>2927</v>
      </c>
      <c t="s" s="6" r="T351">
        <v>90</v>
      </c>
      <c t="s" s="6" r="U351">
        <v>2928</v>
      </c>
      <c s="6" r="V351">
        <v>1</v>
      </c>
      <c s="6" r="W351">
        <v>1</v>
      </c>
      <c s="6" r="X351">
        <v>0</v>
      </c>
      <c s="6" r="Y351">
        <v>1</v>
      </c>
      <c s="6" r="Z351">
        <v>0</v>
      </c>
      <c s="6" r="AA351">
        <v>0</v>
      </c>
      <c s="6" r="AB351">
        <v>0</v>
      </c>
      <c t="s" s="6" r="AC351">
        <v>92</v>
      </c>
      <c t="s" s="6" r="AD351">
        <v>92</v>
      </c>
      <c t="s" s="6" r="AE351">
        <v>92</v>
      </c>
      <c s="6" r="AF351">
        <v>0</v>
      </c>
      <c t="s" s="6" r="AG351">
        <v>92</v>
      </c>
      <c t="s" s="6" r="AH351">
        <v>92</v>
      </c>
      <c s="6" r="AI351">
        <v>0</v>
      </c>
      <c s="6" r="AJ351">
        <v>0</v>
      </c>
      <c t="s" s="6" r="AK351">
        <v>92</v>
      </c>
      <c t="s" s="6" r="AL351">
        <v>92</v>
      </c>
      <c t="s" s="6" r="AM351">
        <v>92</v>
      </c>
      <c t="s" s="6" r="AN351">
        <v>92</v>
      </c>
      <c s="6" r="AP351">
        <v>0</v>
      </c>
      <c t="s" s="6" r="AR351">
        <v>2929</v>
      </c>
      <c s="6" r="AS351">
        <v>0</v>
      </c>
      <c s="6" r="AT351">
        <v>0</v>
      </c>
      <c s="6" r="AU351">
        <v>0</v>
      </c>
      <c s="6" r="AV351">
        <v>0</v>
      </c>
      <c s="6" r="AW351">
        <v>0</v>
      </c>
      <c s="6" r="AX351">
        <v>0</v>
      </c>
      <c s="6" r="AY351">
        <v>0</v>
      </c>
      <c s="6" r="AZ351">
        <v>0</v>
      </c>
      <c s="6" r="BA351">
        <v>0</v>
      </c>
      <c s="6" r="BB351">
        <v>0</v>
      </c>
      <c s="6" r="BC351">
        <v>0</v>
      </c>
      <c s="6" r="BD351">
        <v>0</v>
      </c>
      <c s="6" r="BE351">
        <v>0</v>
      </c>
      <c s="6" r="BF351">
        <v>0</v>
      </c>
      <c s="6" r="BG351">
        <v>0</v>
      </c>
      <c s="6" r="BH351">
        <v>0</v>
      </c>
      <c s="6" r="BI351">
        <v>1</v>
      </c>
      <c s="6" r="BJ351">
        <v>0</v>
      </c>
      <c s="6" r="BK351">
        <v>0</v>
      </c>
      <c s="6" r="BL351">
        <v>0</v>
      </c>
      <c s="6" r="BM351">
        <v>0</v>
      </c>
      <c s="6" r="BN351">
        <v>0</v>
      </c>
      <c s="6" r="BO351">
        <v>0</v>
      </c>
      <c s="6" r="BP351">
        <v>0</v>
      </c>
      <c s="6" r="BQ351">
        <v>0</v>
      </c>
      <c t="str" s="6" r="BR351">
        <f>HYPERLINK("http://www.d20pfsrd.com/magic/all-spells/m/message","Message")</f>
        <v>Message</v>
      </c>
      <c s="6" r="BS351">
        <v>351</v>
      </c>
      <c t="s" s="6" r="BT351">
        <v>92</v>
      </c>
      <c s="6" r="BY351">
        <v>0</v>
      </c>
    </row>
    <row customHeight="1" r="352" ht="14.25">
      <c t="s" s="6" r="A352">
        <v>2930</v>
      </c>
      <c t="s" s="6" r="B352">
        <v>493</v>
      </c>
      <c t="s" s="6" r="D352">
        <v>57</v>
      </c>
      <c t="s" s="6" r="E352">
        <v>1058</v>
      </c>
      <c t="s" s="6" r="F352">
        <v>81</v>
      </c>
      <c t="s" s="6" r="G352">
        <v>106</v>
      </c>
      <c s="6" r="H352">
        <v>0</v>
      </c>
      <c t="s" s="6" r="I352">
        <v>83</v>
      </c>
      <c t="s" s="6" r="J352">
        <v>2931</v>
      </c>
      <c t="s" s="6" r="M352">
        <v>109</v>
      </c>
      <c s="6" r="N352">
        <v>0</v>
      </c>
      <c s="6" r="O352">
        <v>0</v>
      </c>
      <c t="s" s="6" r="P352">
        <v>2932</v>
      </c>
      <c t="s" s="6" r="Q352">
        <v>188</v>
      </c>
      <c t="s" s="6" r="R352">
        <v>2933</v>
      </c>
      <c t="s" s="6" r="S352">
        <v>2934</v>
      </c>
      <c t="s" s="6" r="T352">
        <v>90</v>
      </c>
      <c t="s" s="6" r="U352">
        <v>2935</v>
      </c>
      <c s="6" r="V352">
        <v>1</v>
      </c>
      <c s="6" r="W352">
        <v>1</v>
      </c>
      <c s="6" r="X352">
        <v>0</v>
      </c>
      <c s="6" r="Y352">
        <v>0</v>
      </c>
      <c s="6" r="Z352">
        <v>0</v>
      </c>
      <c s="6" r="AA352">
        <v>9</v>
      </c>
      <c s="6" r="AB352">
        <v>9</v>
      </c>
      <c t="s" s="6" r="AC352">
        <v>92</v>
      </c>
      <c t="s" s="6" r="AD352">
        <v>92</v>
      </c>
      <c t="s" s="6" r="AE352">
        <v>92</v>
      </c>
      <c t="s" s="6" r="AF352">
        <v>92</v>
      </c>
      <c t="s" s="6" r="AG352">
        <v>92</v>
      </c>
      <c t="s" s="6" r="AH352">
        <v>92</v>
      </c>
      <c t="s" s="6" r="AI352">
        <v>92</v>
      </c>
      <c t="s" s="6" r="AJ352">
        <v>92</v>
      </c>
      <c t="s" s="6" r="AK352">
        <v>92</v>
      </c>
      <c t="s" s="6" r="AL352">
        <v>92</v>
      </c>
      <c t="s" s="6" r="AM352">
        <v>92</v>
      </c>
      <c t="s" s="6" r="AN352">
        <v>92</v>
      </c>
      <c s="6" r="AP352">
        <v>9</v>
      </c>
      <c t="s" s="6" r="AR352">
        <v>2936</v>
      </c>
      <c s="6" r="AS352">
        <v>0</v>
      </c>
      <c s="6" r="AT352">
        <v>0</v>
      </c>
      <c s="6" r="AU352">
        <v>0</v>
      </c>
      <c s="6" r="AV352">
        <v>0</v>
      </c>
      <c s="6" r="AW352">
        <v>0</v>
      </c>
      <c s="6" r="AX352">
        <v>0</v>
      </c>
      <c s="6" r="AY352">
        <v>0</v>
      </c>
      <c s="6" r="AZ352">
        <v>0</v>
      </c>
      <c s="6" r="BA352">
        <v>0</v>
      </c>
      <c s="6" r="BB352">
        <v>0</v>
      </c>
      <c s="6" r="BC352">
        <v>0</v>
      </c>
      <c s="6" r="BD352">
        <v>0</v>
      </c>
      <c s="6" r="BE352">
        <v>0</v>
      </c>
      <c s="6" r="BF352">
        <v>1</v>
      </c>
      <c s="6" r="BG352">
        <v>0</v>
      </c>
      <c s="6" r="BH352">
        <v>0</v>
      </c>
      <c s="6" r="BI352">
        <v>0</v>
      </c>
      <c s="6" r="BJ352">
        <v>0</v>
      </c>
      <c s="6" r="BK352">
        <v>0</v>
      </c>
      <c s="6" r="BL352">
        <v>0</v>
      </c>
      <c s="6" r="BM352">
        <v>0</v>
      </c>
      <c s="6" r="BN352">
        <v>0</v>
      </c>
      <c s="6" r="BO352">
        <v>0</v>
      </c>
      <c s="6" r="BP352">
        <v>0</v>
      </c>
      <c s="6" r="BQ352">
        <v>0</v>
      </c>
      <c t="str" s="6" r="BR352">
        <f>HYPERLINK("http://www.d20pfsrd.com/magic/all-spells/m/meteor-swarm","Meteor Swarm")</f>
        <v>Meteor Swarm</v>
      </c>
      <c s="6" r="BS352">
        <v>352</v>
      </c>
      <c t="s" s="6" r="BT352">
        <v>92</v>
      </c>
      <c t="s" s="6" r="BU352">
        <v>2937</v>
      </c>
      <c t="s" s="6" r="BV352">
        <v>2938</v>
      </c>
      <c t="s" s="6" r="BW352">
        <v>2939</v>
      </c>
      <c t="s" s="6" r="BX352">
        <v>2940</v>
      </c>
      <c s="6" r="BY352">
        <v>1</v>
      </c>
    </row>
    <row customHeight="1" r="353" ht="14.25">
      <c t="s" s="6" r="A353">
        <v>2941</v>
      </c>
      <c t="s" s="6" r="B353">
        <v>162</v>
      </c>
      <c t="s" s="6" r="E353">
        <v>811</v>
      </c>
      <c t="s" s="6" r="F353">
        <v>81</v>
      </c>
      <c t="s" s="6" r="G353">
        <v>106</v>
      </c>
      <c s="6" r="H353">
        <v>0</v>
      </c>
      <c t="s" s="6" r="I353">
        <v>107</v>
      </c>
      <c t="s" s="6" r="L353">
        <v>1235</v>
      </c>
      <c t="s" s="6" r="M353">
        <v>379</v>
      </c>
      <c s="6" r="N353">
        <v>0</v>
      </c>
      <c s="6" r="O353">
        <v>0</v>
      </c>
      <c t="s" s="6" r="P353">
        <v>421</v>
      </c>
      <c t="s" s="6" r="Q353">
        <v>123</v>
      </c>
      <c t="s" s="6" r="R353">
        <v>2942</v>
      </c>
      <c t="s" s="6" r="S353">
        <v>2943</v>
      </c>
      <c t="s" s="6" r="T353">
        <v>90</v>
      </c>
      <c t="s" s="6" r="U353">
        <v>2944</v>
      </c>
      <c s="6" r="V353">
        <v>1</v>
      </c>
      <c s="6" r="W353">
        <v>1</v>
      </c>
      <c s="6" r="X353">
        <v>0</v>
      </c>
      <c s="6" r="Y353">
        <v>0</v>
      </c>
      <c s="6" r="Z353">
        <v>0</v>
      </c>
      <c s="6" r="AA353">
        <v>8</v>
      </c>
      <c s="6" r="AB353">
        <v>8</v>
      </c>
      <c t="s" s="6" r="AC353">
        <v>92</v>
      </c>
      <c t="s" s="6" r="AD353">
        <v>92</v>
      </c>
      <c t="s" s="6" r="AE353">
        <v>92</v>
      </c>
      <c t="s" s="6" r="AF353">
        <v>92</v>
      </c>
      <c t="s" s="6" r="AG353">
        <v>92</v>
      </c>
      <c t="s" s="6" r="AH353">
        <v>92</v>
      </c>
      <c t="s" s="6" r="AI353">
        <v>92</v>
      </c>
      <c s="6" r="AJ353">
        <v>8</v>
      </c>
      <c t="s" s="6" r="AK353">
        <v>92</v>
      </c>
      <c t="s" s="6" r="AL353">
        <v>92</v>
      </c>
      <c t="s" s="6" r="AM353">
        <v>92</v>
      </c>
      <c t="s" s="6" r="AN353">
        <v>92</v>
      </c>
      <c s="6" r="AP353">
        <v>8</v>
      </c>
      <c t="s" s="6" r="AQ353">
        <v>2945</v>
      </c>
      <c t="s" s="6" r="AR353">
        <v>2946</v>
      </c>
      <c s="6" r="AS353">
        <v>0</v>
      </c>
      <c s="6" r="AT353">
        <v>0</v>
      </c>
      <c s="6" r="AU353">
        <v>0</v>
      </c>
      <c s="6" r="AV353">
        <v>0</v>
      </c>
      <c s="6" r="AW353">
        <v>0</v>
      </c>
      <c s="6" r="AX353">
        <v>0</v>
      </c>
      <c s="6" r="AY353">
        <v>0</v>
      </c>
      <c s="6" r="AZ353">
        <v>0</v>
      </c>
      <c s="6" r="BA353">
        <v>0</v>
      </c>
      <c s="6" r="BB353">
        <v>0</v>
      </c>
      <c s="6" r="BC353">
        <v>0</v>
      </c>
      <c s="6" r="BD353">
        <v>0</v>
      </c>
      <c s="6" r="BE353">
        <v>0</v>
      </c>
      <c s="6" r="BF353">
        <v>0</v>
      </c>
      <c s="6" r="BG353">
        <v>0</v>
      </c>
      <c s="6" r="BH353">
        <v>0</v>
      </c>
      <c s="6" r="BI353">
        <v>0</v>
      </c>
      <c s="6" r="BJ353">
        <v>0</v>
      </c>
      <c s="6" r="BK353">
        <v>0</v>
      </c>
      <c s="6" r="BL353">
        <v>0</v>
      </c>
      <c s="6" r="BM353">
        <v>0</v>
      </c>
      <c s="6" r="BN353">
        <v>0</v>
      </c>
      <c s="6" r="BO353">
        <v>0</v>
      </c>
      <c s="6" r="BP353">
        <v>0</v>
      </c>
      <c s="6" r="BQ353">
        <v>0</v>
      </c>
      <c t="str" s="6" r="BR353">
        <f>HYPERLINK("http://www.d20pfsrd.com/magic/all-spells/m/mind-blank","Mind Blank")</f>
        <v>Mind Blank</v>
      </c>
      <c s="6" r="BS353">
        <v>353</v>
      </c>
      <c t="s" s="6" r="BT353">
        <v>92</v>
      </c>
      <c t="s" s="6" r="BU353">
        <v>2947</v>
      </c>
      <c s="6" r="BY353">
        <v>0</v>
      </c>
    </row>
    <row customHeight="1" r="354" ht="14.25">
      <c t="s" s="6" r="A354">
        <v>2948</v>
      </c>
      <c t="s" s="6" r="B354">
        <v>115</v>
      </c>
      <c t="s" s="6" r="C354">
        <v>116</v>
      </c>
      <c t="s" s="6" r="D354">
        <v>117</v>
      </c>
      <c t="s" s="6" r="E354">
        <v>2949</v>
      </c>
      <c t="s" s="6" r="F354">
        <v>81</v>
      </c>
      <c t="s" s="6" r="G354">
        <v>106</v>
      </c>
      <c s="6" r="H354">
        <v>0</v>
      </c>
      <c t="s" s="6" r="I354">
        <v>97</v>
      </c>
      <c t="s" s="6" r="K354">
        <v>98</v>
      </c>
      <c t="s" s="6" r="M354">
        <v>2950</v>
      </c>
      <c s="6" r="N354">
        <v>0</v>
      </c>
      <c s="6" r="O354">
        <v>0</v>
      </c>
      <c t="s" s="6" r="P354">
        <v>221</v>
      </c>
      <c t="s" s="6" r="Q354">
        <v>188</v>
      </c>
      <c t="s" s="6" r="R354">
        <v>2951</v>
      </c>
      <c t="s" s="6" r="S354">
        <v>2952</v>
      </c>
      <c t="s" s="6" r="T354">
        <v>90</v>
      </c>
      <c t="s" s="6" r="U354">
        <v>2953</v>
      </c>
      <c s="6" r="V354">
        <v>1</v>
      </c>
      <c s="6" r="W354">
        <v>1</v>
      </c>
      <c s="6" r="X354">
        <v>0</v>
      </c>
      <c s="6" r="Y354">
        <v>0</v>
      </c>
      <c s="6" r="Z354">
        <v>0</v>
      </c>
      <c s="6" r="AA354">
        <v>5</v>
      </c>
      <c s="6" r="AB354">
        <v>5</v>
      </c>
      <c t="s" s="6" r="AC354">
        <v>92</v>
      </c>
      <c t="s" s="6" r="AD354">
        <v>92</v>
      </c>
      <c t="s" s="6" r="AE354">
        <v>92</v>
      </c>
      <c s="6" r="AF354">
        <v>5</v>
      </c>
      <c t="s" s="6" r="AG354">
        <v>92</v>
      </c>
      <c t="s" s="6" r="AH354">
        <v>92</v>
      </c>
      <c t="s" s="6" r="AI354">
        <v>92</v>
      </c>
      <c s="6" r="AJ354">
        <v>5</v>
      </c>
      <c t="s" s="6" r="AK354">
        <v>92</v>
      </c>
      <c t="s" s="6" r="AL354">
        <v>92</v>
      </c>
      <c t="s" s="6" r="AM354">
        <v>92</v>
      </c>
      <c t="s" s="6" r="AN354">
        <v>92</v>
      </c>
      <c s="6" r="AP354">
        <v>5</v>
      </c>
      <c t="s" s="6" r="AR354">
        <v>2954</v>
      </c>
      <c s="6" r="AS354">
        <v>0</v>
      </c>
      <c s="6" r="AT354">
        <v>0</v>
      </c>
      <c s="6" r="AU354">
        <v>0</v>
      </c>
      <c s="6" r="AV354">
        <v>0</v>
      </c>
      <c s="6" r="AW354">
        <v>0</v>
      </c>
      <c s="6" r="AX354">
        <v>0</v>
      </c>
      <c s="6" r="AY354">
        <v>0</v>
      </c>
      <c s="6" r="AZ354">
        <v>0</v>
      </c>
      <c s="6" r="BA354">
        <v>0</v>
      </c>
      <c s="6" r="BB354">
        <v>0</v>
      </c>
      <c s="6" r="BC354">
        <v>0</v>
      </c>
      <c s="6" r="BD354">
        <v>0</v>
      </c>
      <c s="6" r="BE354">
        <v>0</v>
      </c>
      <c s="6" r="BF354">
        <v>0</v>
      </c>
      <c s="6" r="BG354">
        <v>0</v>
      </c>
      <c s="6" r="BH354">
        <v>0</v>
      </c>
      <c s="6" r="BI354">
        <v>0</v>
      </c>
      <c s="6" r="BJ354">
        <v>0</v>
      </c>
      <c s="6" r="BK354">
        <v>0</v>
      </c>
      <c s="6" r="BL354">
        <v>1</v>
      </c>
      <c s="6" r="BM354">
        <v>0</v>
      </c>
      <c s="6" r="BN354">
        <v>0</v>
      </c>
      <c s="6" r="BO354">
        <v>0</v>
      </c>
      <c s="6" r="BP354">
        <v>0</v>
      </c>
      <c s="6" r="BQ354">
        <v>0</v>
      </c>
      <c t="str" s="6" r="BR354">
        <f>HYPERLINK("http://www.d20pfsrd.com/magic/all-spells/m/mind-fog","Mind Fog")</f>
        <v>Mind Fog</v>
      </c>
      <c s="6" r="BS354">
        <v>354</v>
      </c>
      <c t="s" s="6" r="BT354">
        <v>92</v>
      </c>
      <c t="s" s="6" r="BV354">
        <v>2317</v>
      </c>
      <c s="6" r="BY354">
        <v>0</v>
      </c>
    </row>
    <row customHeight="1" r="355" ht="14.25">
      <c t="s" s="6" r="A355">
        <v>2955</v>
      </c>
      <c t="s" s="6" r="B355">
        <v>579</v>
      </c>
      <c t="s" s="6" r="C355">
        <v>2047</v>
      </c>
      <c t="s" s="6" r="E355">
        <v>2956</v>
      </c>
      <c t="s" s="6" r="F355">
        <v>81</v>
      </c>
      <c t="s" s="6" r="G355">
        <v>2879</v>
      </c>
      <c s="6" r="H355">
        <v>0</v>
      </c>
      <c t="s" s="6" r="I355">
        <v>83</v>
      </c>
      <c t="s" s="6" r="K355">
        <v>2880</v>
      </c>
      <c t="s" s="6" r="M355">
        <v>2957</v>
      </c>
      <c s="6" r="N355">
        <v>0</v>
      </c>
      <c s="6" r="O355">
        <v>0</v>
      </c>
      <c t="s" s="6" r="P355">
        <v>2197</v>
      </c>
      <c t="s" s="6" r="Q355">
        <v>87</v>
      </c>
      <c t="s" s="6" r="R355">
        <v>2958</v>
      </c>
      <c t="s" s="6" r="S355">
        <v>2959</v>
      </c>
      <c t="s" s="6" r="T355">
        <v>90</v>
      </c>
      <c t="s" s="6" r="U355">
        <v>2960</v>
      </c>
      <c s="6" r="V355">
        <v>1</v>
      </c>
      <c s="6" r="W355">
        <v>1</v>
      </c>
      <c s="6" r="X355">
        <v>0</v>
      </c>
      <c s="6" r="Y355">
        <v>1</v>
      </c>
      <c s="6" r="Z355">
        <v>0</v>
      </c>
      <c s="6" r="AA355">
        <v>2</v>
      </c>
      <c s="6" r="AB355">
        <v>2</v>
      </c>
      <c t="s" s="6" r="AC355">
        <v>92</v>
      </c>
      <c t="s" s="6" r="AD355">
        <v>92</v>
      </c>
      <c t="s" s="6" r="AE355">
        <v>92</v>
      </c>
      <c s="6" r="AF355">
        <v>2</v>
      </c>
      <c t="s" s="6" r="AG355">
        <v>92</v>
      </c>
      <c t="s" s="6" r="AH355">
        <v>92</v>
      </c>
      <c t="s" s="6" r="AI355">
        <v>92</v>
      </c>
      <c t="s" s="6" r="AJ355">
        <v>92</v>
      </c>
      <c t="s" s="6" r="AK355">
        <v>92</v>
      </c>
      <c t="s" s="6" r="AL355">
        <v>92</v>
      </c>
      <c t="s" s="6" r="AM355">
        <v>92</v>
      </c>
      <c s="6" r="AN355">
        <v>2</v>
      </c>
      <c s="6" r="AP355">
        <v>2</v>
      </c>
      <c t="s" s="6" r="AR355">
        <v>2961</v>
      </c>
      <c s="6" r="AS355">
        <v>0</v>
      </c>
      <c s="6" r="AT355">
        <v>0</v>
      </c>
      <c s="6" r="AU355">
        <v>0</v>
      </c>
      <c s="6" r="AV355">
        <v>0</v>
      </c>
      <c s="6" r="AW355">
        <v>0</v>
      </c>
      <c s="6" r="AX355">
        <v>0</v>
      </c>
      <c s="6" r="AY355">
        <v>0</v>
      </c>
      <c s="6" r="AZ355">
        <v>0</v>
      </c>
      <c s="6" r="BA355">
        <v>0</v>
      </c>
      <c s="6" r="BB355">
        <v>0</v>
      </c>
      <c s="6" r="BC355">
        <v>0</v>
      </c>
      <c s="6" r="BD355">
        <v>0</v>
      </c>
      <c s="6" r="BE355">
        <v>0</v>
      </c>
      <c s="6" r="BF355">
        <v>0</v>
      </c>
      <c s="6" r="BG355">
        <v>0</v>
      </c>
      <c s="6" r="BH355">
        <v>0</v>
      </c>
      <c s="6" r="BI355">
        <v>0</v>
      </c>
      <c s="6" r="BJ355">
        <v>0</v>
      </c>
      <c s="6" r="BK355">
        <v>0</v>
      </c>
      <c s="6" r="BL355">
        <v>0</v>
      </c>
      <c s="6" r="BM355">
        <v>0</v>
      </c>
      <c s="6" r="BN355">
        <v>0</v>
      </c>
      <c s="6" r="BO355">
        <v>0</v>
      </c>
      <c s="6" r="BP355">
        <v>0</v>
      </c>
      <c s="6" r="BQ355">
        <v>0</v>
      </c>
      <c t="str" s="6" r="BR355">
        <f>HYPERLINK("http://www.d20pfsrd.com/magic/all-spells/m/minor-image","Minor Image")</f>
        <v>Minor Image</v>
      </c>
      <c s="6" r="BS355">
        <v>355</v>
      </c>
      <c t="s" s="6" r="BT355">
        <v>92</v>
      </c>
      <c s="6" r="BY355">
        <v>0</v>
      </c>
    </row>
    <row customHeight="1" r="356" ht="14.25">
      <c t="s" s="6" r="A356">
        <v>2962</v>
      </c>
      <c t="s" s="6" r="B356">
        <v>493</v>
      </c>
      <c t="s" s="6" r="E356">
        <v>2240</v>
      </c>
      <c t="s" s="6" r="F356">
        <v>81</v>
      </c>
      <c t="s" s="6" r="G356">
        <v>2963</v>
      </c>
      <c s="6" r="H356">
        <v>0</v>
      </c>
      <c t="s" s="6" r="I356">
        <v>141</v>
      </c>
      <c t="s" s="6" r="J356">
        <v>141</v>
      </c>
      <c t="s" s="6" r="M356">
        <v>141</v>
      </c>
      <c s="6" r="N356">
        <v>0</v>
      </c>
      <c s="6" r="O356">
        <v>0</v>
      </c>
      <c t="s" s="6" r="P356">
        <v>141</v>
      </c>
      <c t="s" s="6" r="Q356">
        <v>188</v>
      </c>
      <c t="s" s="6" r="R356">
        <v>2964</v>
      </c>
      <c t="s" s="6" r="S356">
        <v>2965</v>
      </c>
      <c t="s" s="6" r="T356">
        <v>90</v>
      </c>
      <c t="s" s="6" r="U356">
        <v>2966</v>
      </c>
      <c s="6" r="V356">
        <v>1</v>
      </c>
      <c s="6" r="W356">
        <v>1</v>
      </c>
      <c s="6" r="X356">
        <v>0</v>
      </c>
      <c s="6" r="Y356">
        <v>0</v>
      </c>
      <c s="6" r="Z356">
        <v>0</v>
      </c>
      <c t="s" s="6" r="AA356">
        <v>92</v>
      </c>
      <c t="s" s="6" r="AB356">
        <v>92</v>
      </c>
      <c s="6" r="AC356">
        <v>9</v>
      </c>
      <c t="s" s="6" r="AD356">
        <v>92</v>
      </c>
      <c t="s" s="6" r="AE356">
        <v>92</v>
      </c>
      <c t="s" s="6" r="AF356">
        <v>92</v>
      </c>
      <c t="s" s="6" r="AG356">
        <v>92</v>
      </c>
      <c t="s" s="6" r="AH356">
        <v>92</v>
      </c>
      <c t="s" s="6" r="AI356">
        <v>92</v>
      </c>
      <c t="s" s="6" r="AJ356">
        <v>92</v>
      </c>
      <c t="s" s="6" r="AK356">
        <v>92</v>
      </c>
      <c s="6" r="AL356">
        <v>9</v>
      </c>
      <c t="s" s="6" r="AM356">
        <v>92</v>
      </c>
      <c t="s" s="6" r="AN356">
        <v>92</v>
      </c>
      <c s="6" r="AP356">
        <v>9</v>
      </c>
      <c t="s" s="6" r="AQ356">
        <v>2967</v>
      </c>
      <c t="s" s="6" r="AR356">
        <v>2968</v>
      </c>
      <c s="6" r="AS356">
        <v>0</v>
      </c>
      <c s="6" r="AT356">
        <v>0</v>
      </c>
      <c s="6" r="AU356">
        <v>0</v>
      </c>
      <c s="6" r="AV356">
        <v>0</v>
      </c>
      <c s="6" r="AW356">
        <v>0</v>
      </c>
      <c s="6" r="AX356">
        <v>0</v>
      </c>
      <c s="6" r="AY356">
        <v>0</v>
      </c>
      <c s="6" r="AZ356">
        <v>0</v>
      </c>
      <c s="6" r="BA356">
        <v>0</v>
      </c>
      <c s="6" r="BB356">
        <v>0</v>
      </c>
      <c s="6" r="BC356">
        <v>0</v>
      </c>
      <c s="6" r="BD356">
        <v>0</v>
      </c>
      <c s="6" r="BE356">
        <v>0</v>
      </c>
      <c s="6" r="BF356">
        <v>0</v>
      </c>
      <c s="6" r="BG356">
        <v>0</v>
      </c>
      <c s="6" r="BH356">
        <v>0</v>
      </c>
      <c s="6" r="BI356">
        <v>0</v>
      </c>
      <c s="6" r="BJ356">
        <v>0</v>
      </c>
      <c s="6" r="BK356">
        <v>0</v>
      </c>
      <c s="6" r="BL356">
        <v>0</v>
      </c>
      <c s="6" r="BM356">
        <v>0</v>
      </c>
      <c s="6" r="BN356">
        <v>0</v>
      </c>
      <c s="6" r="BO356">
        <v>0</v>
      </c>
      <c s="6" r="BP356">
        <v>0</v>
      </c>
      <c s="6" r="BQ356">
        <v>0</v>
      </c>
      <c t="str" s="6" r="BR356">
        <f>HYPERLINK("http://www.d20pfsrd.com/magic/all-spells/m/miracle","Miracle")</f>
        <v>Miracle</v>
      </c>
      <c s="6" r="BS356">
        <v>356</v>
      </c>
      <c t="s" s="6" r="BT356">
        <v>92</v>
      </c>
      <c t="s" s="6" r="BV356">
        <v>434</v>
      </c>
      <c s="6" r="BY356">
        <v>0</v>
      </c>
    </row>
    <row customHeight="1" r="357" ht="14.25">
      <c t="s" s="6" r="A357">
        <v>2969</v>
      </c>
      <c t="s" s="6" r="B357">
        <v>579</v>
      </c>
      <c t="s" s="6" r="C357">
        <v>580</v>
      </c>
      <c t="s" s="6" r="E357">
        <v>1734</v>
      </c>
      <c t="s" s="6" r="F357">
        <v>81</v>
      </c>
      <c t="s" s="6" r="G357">
        <v>106</v>
      </c>
      <c s="6" r="H357">
        <v>0</v>
      </c>
      <c t="s" s="6" r="I357">
        <v>83</v>
      </c>
      <c t="s" s="6" r="J357">
        <v>2970</v>
      </c>
      <c t="s" s="6" r="M357">
        <v>2971</v>
      </c>
      <c s="6" r="N357">
        <v>1</v>
      </c>
      <c s="6" r="O357">
        <v>1</v>
      </c>
      <c t="s" s="6" r="P357">
        <v>2197</v>
      </c>
      <c t="s" s="6" r="Q357">
        <v>87</v>
      </c>
      <c t="s" s="6" r="R357">
        <v>2972</v>
      </c>
      <c t="s" s="6" r="S357">
        <v>2973</v>
      </c>
      <c t="s" s="6" r="T357">
        <v>90</v>
      </c>
      <c t="s" s="6" r="U357">
        <v>2974</v>
      </c>
      <c s="6" r="V357">
        <v>1</v>
      </c>
      <c s="6" r="W357">
        <v>1</v>
      </c>
      <c s="6" r="X357">
        <v>0</v>
      </c>
      <c s="6" r="Y357">
        <v>0</v>
      </c>
      <c s="6" r="Z357">
        <v>0</v>
      </c>
      <c s="6" r="AA357">
        <v>5</v>
      </c>
      <c s="6" r="AB357">
        <v>5</v>
      </c>
      <c t="s" s="6" r="AC357">
        <v>92</v>
      </c>
      <c t="s" s="6" r="AD357">
        <v>92</v>
      </c>
      <c t="s" s="6" r="AE357">
        <v>92</v>
      </c>
      <c s="6" r="AF357">
        <v>5</v>
      </c>
      <c t="s" s="6" r="AG357">
        <v>92</v>
      </c>
      <c t="s" s="6" r="AH357">
        <v>92</v>
      </c>
      <c t="s" s="6" r="AI357">
        <v>92</v>
      </c>
      <c t="s" s="6" r="AJ357">
        <v>92</v>
      </c>
      <c t="s" s="6" r="AK357">
        <v>92</v>
      </c>
      <c t="s" s="6" r="AL357">
        <v>92</v>
      </c>
      <c t="s" s="6" r="AM357">
        <v>92</v>
      </c>
      <c t="s" s="6" r="AN357">
        <v>92</v>
      </c>
      <c s="6" r="AP357">
        <v>5</v>
      </c>
      <c t="s" s="6" r="AR357">
        <v>2975</v>
      </c>
      <c s="6" r="AS357">
        <v>0</v>
      </c>
      <c s="6" r="AT357">
        <v>0</v>
      </c>
      <c s="6" r="AU357">
        <v>0</v>
      </c>
      <c s="6" r="AV357">
        <v>0</v>
      </c>
      <c s="6" r="AW357">
        <v>0</v>
      </c>
      <c s="6" r="AX357">
        <v>0</v>
      </c>
      <c s="6" r="AY357">
        <v>0</v>
      </c>
      <c s="6" r="AZ357">
        <v>0</v>
      </c>
      <c s="6" r="BA357">
        <v>0</v>
      </c>
      <c s="6" r="BB357">
        <v>0</v>
      </c>
      <c s="6" r="BC357">
        <v>0</v>
      </c>
      <c s="6" r="BD357">
        <v>0</v>
      </c>
      <c s="6" r="BE357">
        <v>0</v>
      </c>
      <c s="6" r="BF357">
        <v>0</v>
      </c>
      <c s="6" r="BG357">
        <v>0</v>
      </c>
      <c s="6" r="BH357">
        <v>0</v>
      </c>
      <c s="6" r="BI357">
        <v>0</v>
      </c>
      <c s="6" r="BJ357">
        <v>0</v>
      </c>
      <c s="6" r="BK357">
        <v>0</v>
      </c>
      <c s="6" r="BL357">
        <v>0</v>
      </c>
      <c s="6" r="BM357">
        <v>0</v>
      </c>
      <c s="6" r="BN357">
        <v>0</v>
      </c>
      <c s="6" r="BO357">
        <v>0</v>
      </c>
      <c s="6" r="BP357">
        <v>0</v>
      </c>
      <c s="6" r="BQ357">
        <v>0</v>
      </c>
      <c t="str" s="6" r="BR357">
        <f>HYPERLINK("http://www.d20pfsrd.com/magic/all-spells/m/mirage-arcana","Mirage Arcana")</f>
        <v>Mirage Arcana</v>
      </c>
      <c s="6" r="BS357">
        <v>357</v>
      </c>
      <c t="s" s="6" r="BT357">
        <v>92</v>
      </c>
      <c t="s" s="6" r="BV357">
        <v>269</v>
      </c>
      <c s="6" r="BY357">
        <v>0</v>
      </c>
    </row>
    <row customHeight="1" r="358" ht="14.25">
      <c t="s" s="6" r="A358">
        <v>2976</v>
      </c>
      <c t="s" s="6" r="B358">
        <v>579</v>
      </c>
      <c t="s" s="6" r="C358">
        <v>2047</v>
      </c>
      <c t="s" s="6" r="E358">
        <v>2956</v>
      </c>
      <c t="s" s="6" r="F358">
        <v>81</v>
      </c>
      <c t="s" s="6" r="G358">
        <v>106</v>
      </c>
      <c s="6" r="H358">
        <v>0</v>
      </c>
      <c t="s" s="6" r="I358">
        <v>155</v>
      </c>
      <c t="s" s="6" r="L358">
        <v>156</v>
      </c>
      <c t="s" s="6" r="M358">
        <v>122</v>
      </c>
      <c s="6" r="N358">
        <v>0</v>
      </c>
      <c s="6" r="O358">
        <v>0</v>
      </c>
      <c t="s" s="6" r="R358">
        <v>2977</v>
      </c>
      <c t="s" s="6" r="S358">
        <v>2978</v>
      </c>
      <c t="s" s="6" r="T358">
        <v>90</v>
      </c>
      <c t="s" s="6" r="U358">
        <v>2979</v>
      </c>
      <c s="6" r="V358">
        <v>1</v>
      </c>
      <c s="6" r="W358">
        <v>1</v>
      </c>
      <c s="6" r="X358">
        <v>0</v>
      </c>
      <c s="6" r="Y358">
        <v>0</v>
      </c>
      <c s="6" r="Z358">
        <v>0</v>
      </c>
      <c s="6" r="AA358">
        <v>2</v>
      </c>
      <c s="6" r="AB358">
        <v>2</v>
      </c>
      <c t="s" s="6" r="AC358">
        <v>92</v>
      </c>
      <c t="s" s="6" r="AD358">
        <v>92</v>
      </c>
      <c t="s" s="6" r="AE358">
        <v>92</v>
      </c>
      <c s="6" r="AF358">
        <v>2</v>
      </c>
      <c t="s" s="6" r="AG358">
        <v>92</v>
      </c>
      <c t="s" s="6" r="AH358">
        <v>92</v>
      </c>
      <c t="s" s="6" r="AI358">
        <v>92</v>
      </c>
      <c t="s" s="6" r="AJ358">
        <v>92</v>
      </c>
      <c t="s" s="6" r="AK358">
        <v>92</v>
      </c>
      <c t="s" s="6" r="AL358">
        <v>92</v>
      </c>
      <c t="s" s="6" r="AM358">
        <v>92</v>
      </c>
      <c s="6" r="AN358">
        <v>2</v>
      </c>
      <c s="6" r="AP358">
        <v>2</v>
      </c>
      <c t="s" s="6" r="AQ358">
        <v>575</v>
      </c>
      <c t="s" s="6" r="AR358">
        <v>2980</v>
      </c>
      <c s="6" r="AS358">
        <v>0</v>
      </c>
      <c s="6" r="AT358">
        <v>0</v>
      </c>
      <c s="6" r="AU358">
        <v>0</v>
      </c>
      <c s="6" r="AV358">
        <v>0</v>
      </c>
      <c s="6" r="AW358">
        <v>0</v>
      </c>
      <c s="6" r="AX358">
        <v>0</v>
      </c>
      <c s="6" r="AY358">
        <v>0</v>
      </c>
      <c s="6" r="AZ358">
        <v>0</v>
      </c>
      <c s="6" r="BA358">
        <v>0</v>
      </c>
      <c s="6" r="BB358">
        <v>0</v>
      </c>
      <c s="6" r="BC358">
        <v>0</v>
      </c>
      <c s="6" r="BD358">
        <v>0</v>
      </c>
      <c s="6" r="BE358">
        <v>0</v>
      </c>
      <c s="6" r="BF358">
        <v>0</v>
      </c>
      <c s="6" r="BG358">
        <v>0</v>
      </c>
      <c s="6" r="BH358">
        <v>0</v>
      </c>
      <c s="6" r="BI358">
        <v>0</v>
      </c>
      <c s="6" r="BJ358">
        <v>0</v>
      </c>
      <c s="6" r="BK358">
        <v>0</v>
      </c>
      <c s="6" r="BL358">
        <v>0</v>
      </c>
      <c s="6" r="BM358">
        <v>0</v>
      </c>
      <c s="6" r="BN358">
        <v>0</v>
      </c>
      <c s="6" r="BO358">
        <v>0</v>
      </c>
      <c s="6" r="BP358">
        <v>0</v>
      </c>
      <c s="6" r="BQ358">
        <v>0</v>
      </c>
      <c t="str" s="6" r="BR358">
        <f>HYPERLINK("http://www.d20pfsrd.com/magic/all-spells/m/mirror-image","Mirror Image")</f>
        <v>Mirror Image</v>
      </c>
      <c s="6" r="BS358">
        <v>358</v>
      </c>
      <c t="s" s="6" r="BT358">
        <v>92</v>
      </c>
      <c t="s" s="6" r="BV358">
        <v>269</v>
      </c>
      <c t="s" s="6" r="BW358">
        <v>2981</v>
      </c>
      <c s="6" r="BY358">
        <v>1</v>
      </c>
    </row>
    <row customHeight="1" r="359" ht="14.25">
      <c t="s" s="6" r="A359">
        <v>2982</v>
      </c>
      <c t="s" s="6" r="B359">
        <v>579</v>
      </c>
      <c t="s" s="6" r="C359">
        <v>580</v>
      </c>
      <c t="s" s="6" r="E359">
        <v>2983</v>
      </c>
      <c t="s" s="6" r="F359">
        <v>81</v>
      </c>
      <c t="s" s="6" r="G359">
        <v>106</v>
      </c>
      <c s="6" r="H359">
        <v>0</v>
      </c>
      <c t="s" s="6" r="I359">
        <v>107</v>
      </c>
      <c t="s" s="6" r="L359">
        <v>2984</v>
      </c>
      <c t="s" s="6" r="M359">
        <v>209</v>
      </c>
      <c s="6" r="N359">
        <v>0</v>
      </c>
      <c s="6" r="O359">
        <v>0</v>
      </c>
      <c t="s" s="6" r="P359">
        <v>178</v>
      </c>
      <c t="s" s="6" r="Q359">
        <v>87</v>
      </c>
      <c t="s" s="6" r="R359">
        <v>2985</v>
      </c>
      <c t="s" s="6" r="S359">
        <v>2986</v>
      </c>
      <c t="s" s="6" r="T359">
        <v>90</v>
      </c>
      <c t="s" s="6" r="U359">
        <v>2987</v>
      </c>
      <c s="6" r="V359">
        <v>1</v>
      </c>
      <c s="6" r="W359">
        <v>1</v>
      </c>
      <c s="6" r="X359">
        <v>0</v>
      </c>
      <c s="6" r="Y359">
        <v>0</v>
      </c>
      <c s="6" r="Z359">
        <v>0</v>
      </c>
      <c s="6" r="AA359">
        <v>2</v>
      </c>
      <c s="6" r="AB359">
        <v>2</v>
      </c>
      <c t="s" s="6" r="AC359">
        <v>92</v>
      </c>
      <c t="s" s="6" r="AD359">
        <v>92</v>
      </c>
      <c t="s" s="6" r="AE359">
        <v>92</v>
      </c>
      <c s="6" r="AF359">
        <v>2</v>
      </c>
      <c t="s" s="6" r="AG359">
        <v>92</v>
      </c>
      <c t="s" s="6" r="AH359">
        <v>92</v>
      </c>
      <c s="6" r="AI359">
        <v>2</v>
      </c>
      <c t="s" s="6" r="AJ359">
        <v>92</v>
      </c>
      <c t="s" s="6" r="AK359">
        <v>92</v>
      </c>
      <c t="s" s="6" r="AL359">
        <v>92</v>
      </c>
      <c t="s" s="6" r="AM359">
        <v>92</v>
      </c>
      <c t="s" s="6" r="AN359">
        <v>92</v>
      </c>
      <c s="6" r="AP359">
        <v>2</v>
      </c>
      <c t="s" s="6" r="AR359">
        <v>2988</v>
      </c>
      <c s="6" r="AS359">
        <v>0</v>
      </c>
      <c s="6" r="AT359">
        <v>0</v>
      </c>
      <c s="6" r="AU359">
        <v>0</v>
      </c>
      <c s="6" r="AV359">
        <v>0</v>
      </c>
      <c s="6" r="AW359">
        <v>0</v>
      </c>
      <c s="6" r="AX359">
        <v>0</v>
      </c>
      <c s="6" r="AY359">
        <v>0</v>
      </c>
      <c s="6" r="AZ359">
        <v>0</v>
      </c>
      <c s="6" r="BA359">
        <v>0</v>
      </c>
      <c s="6" r="BB359">
        <v>0</v>
      </c>
      <c s="6" r="BC359">
        <v>0</v>
      </c>
      <c s="6" r="BD359">
        <v>0</v>
      </c>
      <c s="6" r="BE359">
        <v>0</v>
      </c>
      <c s="6" r="BF359">
        <v>0</v>
      </c>
      <c s="6" r="BG359">
        <v>0</v>
      </c>
      <c s="6" r="BH359">
        <v>0</v>
      </c>
      <c s="6" r="BI359">
        <v>0</v>
      </c>
      <c s="6" r="BJ359">
        <v>0</v>
      </c>
      <c s="6" r="BK359">
        <v>0</v>
      </c>
      <c s="6" r="BL359">
        <v>0</v>
      </c>
      <c s="6" r="BM359">
        <v>0</v>
      </c>
      <c s="6" r="BN359">
        <v>0</v>
      </c>
      <c s="6" r="BO359">
        <v>0</v>
      </c>
      <c s="6" r="BP359">
        <v>0</v>
      </c>
      <c s="6" r="BQ359">
        <v>0</v>
      </c>
      <c t="str" s="6" r="BR359">
        <f>HYPERLINK("http://www.d20pfsrd.com/magic/all-spells/m/misdirection","Misdirection")</f>
        <v>Misdirection</v>
      </c>
      <c s="6" r="BS359">
        <v>359</v>
      </c>
      <c t="s" s="6" r="BT359">
        <v>92</v>
      </c>
      <c s="6" r="BY359">
        <v>0</v>
      </c>
    </row>
    <row customHeight="1" r="360" ht="14.25">
      <c t="s" s="6" r="A360">
        <v>2989</v>
      </c>
      <c t="s" s="6" r="B360">
        <v>579</v>
      </c>
      <c t="s" s="6" r="C360">
        <v>2990</v>
      </c>
      <c t="s" s="6" r="E360">
        <v>2991</v>
      </c>
      <c t="s" s="6" r="F360">
        <v>81</v>
      </c>
      <c t="s" s="6" r="G360">
        <v>2086</v>
      </c>
      <c s="6" r="H360">
        <v>0</v>
      </c>
      <c t="s" s="6" r="I360">
        <v>107</v>
      </c>
      <c t="s" s="6" r="K360">
        <v>2992</v>
      </c>
      <c t="s" s="6" r="M360">
        <v>2993</v>
      </c>
      <c s="6" r="N360">
        <v>1</v>
      </c>
      <c s="6" r="O360">
        <v>0</v>
      </c>
      <c t="s" s="6" r="P360">
        <v>2994</v>
      </c>
      <c t="s" s="6" r="Q360">
        <v>87</v>
      </c>
      <c t="s" s="6" r="R360">
        <v>2995</v>
      </c>
      <c t="s" s="6" r="S360">
        <v>2996</v>
      </c>
      <c t="s" s="6" r="T360">
        <v>90</v>
      </c>
      <c t="s" s="6" r="U360">
        <v>2997</v>
      </c>
      <c s="6" r="V360">
        <v>0</v>
      </c>
      <c s="6" r="W360">
        <v>1</v>
      </c>
      <c s="6" r="X360">
        <v>0</v>
      </c>
      <c s="6" r="Y360">
        <v>0</v>
      </c>
      <c s="6" r="Z360">
        <v>0</v>
      </c>
      <c s="6" r="AA360">
        <v>6</v>
      </c>
      <c s="6" r="AB360">
        <v>6</v>
      </c>
      <c t="s" s="6" r="AC360">
        <v>92</v>
      </c>
      <c t="s" s="6" r="AD360">
        <v>92</v>
      </c>
      <c t="s" s="6" r="AE360">
        <v>92</v>
      </c>
      <c s="6" r="AF360">
        <v>5</v>
      </c>
      <c t="s" s="6" r="AG360">
        <v>92</v>
      </c>
      <c s="6" r="AH360">
        <v>6</v>
      </c>
      <c t="s" s="6" r="AI360">
        <v>92</v>
      </c>
      <c t="s" s="6" r="AJ360">
        <v>92</v>
      </c>
      <c t="s" s="6" r="AK360">
        <v>92</v>
      </c>
      <c t="s" s="6" r="AL360">
        <v>92</v>
      </c>
      <c t="s" s="6" r="AM360">
        <v>92</v>
      </c>
      <c s="6" r="AN360">
        <v>6</v>
      </c>
      <c s="6" r="AP360">
        <v>6</v>
      </c>
      <c t="s" s="6" r="AQ360">
        <v>2998</v>
      </c>
      <c t="s" s="6" r="AR360">
        <v>2999</v>
      </c>
      <c s="6" r="AS360">
        <v>0</v>
      </c>
      <c s="6" r="AT360">
        <v>0</v>
      </c>
      <c s="6" r="AU360">
        <v>0</v>
      </c>
      <c s="6" r="AV360">
        <v>0</v>
      </c>
      <c s="6" r="AW360">
        <v>0</v>
      </c>
      <c s="6" r="AX360">
        <v>0</v>
      </c>
      <c s="6" r="AY360">
        <v>0</v>
      </c>
      <c s="6" r="AZ360">
        <v>0</v>
      </c>
      <c s="6" r="BA360">
        <v>0</v>
      </c>
      <c s="6" r="BB360">
        <v>0</v>
      </c>
      <c s="6" r="BC360">
        <v>0</v>
      </c>
      <c s="6" r="BD360">
        <v>0</v>
      </c>
      <c s="6" r="BE360">
        <v>0</v>
      </c>
      <c s="6" r="BF360">
        <v>0</v>
      </c>
      <c s="6" r="BG360">
        <v>0</v>
      </c>
      <c s="6" r="BH360">
        <v>0</v>
      </c>
      <c s="6" r="BI360">
        <v>0</v>
      </c>
      <c s="6" r="BJ360">
        <v>0</v>
      </c>
      <c s="6" r="BK360">
        <v>0</v>
      </c>
      <c s="6" r="BL360">
        <v>0</v>
      </c>
      <c s="6" r="BM360">
        <v>0</v>
      </c>
      <c s="6" r="BN360">
        <v>0</v>
      </c>
      <c s="6" r="BO360">
        <v>0</v>
      </c>
      <c s="6" r="BP360">
        <v>0</v>
      </c>
      <c s="6" r="BQ360">
        <v>0</v>
      </c>
      <c t="str" s="6" r="BR360">
        <f>HYPERLINK("http://www.d20pfsrd.com/magic/all-spells/m/mislead","Mislead")</f>
        <v>Mislead</v>
      </c>
      <c s="6" r="BS360">
        <v>360</v>
      </c>
      <c t="s" s="6" r="BT360">
        <v>92</v>
      </c>
      <c t="s" s="6" r="BU360">
        <v>3000</v>
      </c>
      <c t="s" s="6" r="BV360">
        <v>269</v>
      </c>
      <c t="s" s="6" r="BW360">
        <v>3001</v>
      </c>
      <c t="s" s="6" r="BX360">
        <v>3002</v>
      </c>
      <c s="6" r="BY360">
        <v>1</v>
      </c>
    </row>
    <row customHeight="1" r="361" ht="14.25">
      <c t="s" s="6" r="A361">
        <v>3003</v>
      </c>
      <c t="s" s="6" r="B361">
        <v>131</v>
      </c>
      <c t="s" s="6" r="E361">
        <v>3004</v>
      </c>
      <c t="s" s="6" r="F361">
        <v>311</v>
      </c>
      <c t="s" s="6" r="G361">
        <v>3005</v>
      </c>
      <c s="6" r="H361">
        <v>1</v>
      </c>
      <c t="s" s="6" r="I361">
        <v>155</v>
      </c>
      <c t="s" s="6" r="L361">
        <v>156</v>
      </c>
      <c t="s" s="6" r="M361">
        <v>109</v>
      </c>
      <c s="6" r="N361">
        <v>0</v>
      </c>
      <c s="6" r="O361">
        <v>0</v>
      </c>
      <c t="s" s="6" r="R361">
        <v>3006</v>
      </c>
      <c t="s" s="6" r="S361">
        <v>3007</v>
      </c>
      <c t="s" s="6" r="T361">
        <v>90</v>
      </c>
      <c t="s" s="6" r="U361">
        <v>3008</v>
      </c>
      <c s="6" r="V361">
        <v>1</v>
      </c>
      <c s="6" r="W361">
        <v>1</v>
      </c>
      <c s="6" r="X361">
        <v>1</v>
      </c>
      <c s="6" r="Y361">
        <v>1</v>
      </c>
      <c s="6" r="Z361">
        <v>0</v>
      </c>
      <c t="s" s="6" r="AA361">
        <v>92</v>
      </c>
      <c s="6" r="AB361">
        <v>4</v>
      </c>
      <c t="s" s="6" r="AC361">
        <v>92</v>
      </c>
      <c t="s" s="6" r="AD361">
        <v>92</v>
      </c>
      <c t="s" s="6" r="AE361">
        <v>92</v>
      </c>
      <c t="s" s="6" r="AF361">
        <v>92</v>
      </c>
      <c t="s" s="6" r="AG361">
        <v>92</v>
      </c>
      <c t="s" s="6" r="AH361">
        <v>92</v>
      </c>
      <c t="s" s="6" r="AI361">
        <v>92</v>
      </c>
      <c t="s" s="6" r="AJ361">
        <v>92</v>
      </c>
      <c t="s" s="6" r="AK361">
        <v>92</v>
      </c>
      <c t="s" s="6" r="AL361">
        <v>92</v>
      </c>
      <c t="s" s="6" r="AM361">
        <v>92</v>
      </c>
      <c t="s" s="6" r="AN361">
        <v>92</v>
      </c>
      <c s="6" r="AP361">
        <v>4</v>
      </c>
      <c t="s" s="6" r="AR361">
        <v>3009</v>
      </c>
      <c s="6" r="AS361">
        <v>0</v>
      </c>
      <c s="6" r="AT361">
        <v>0</v>
      </c>
      <c s="6" r="AU361">
        <v>0</v>
      </c>
      <c s="6" r="AV361">
        <v>0</v>
      </c>
      <c s="6" r="AW361">
        <v>0</v>
      </c>
      <c s="6" r="AX361">
        <v>0</v>
      </c>
      <c s="6" r="AY361">
        <v>0</v>
      </c>
      <c s="6" r="AZ361">
        <v>0</v>
      </c>
      <c s="6" r="BA361">
        <v>0</v>
      </c>
      <c s="6" r="BB361">
        <v>0</v>
      </c>
      <c s="6" r="BC361">
        <v>0</v>
      </c>
      <c s="6" r="BD361">
        <v>0</v>
      </c>
      <c s="6" r="BE361">
        <v>0</v>
      </c>
      <c s="6" r="BF361">
        <v>0</v>
      </c>
      <c s="6" r="BG361">
        <v>0</v>
      </c>
      <c s="6" r="BH361">
        <v>0</v>
      </c>
      <c s="6" r="BI361">
        <v>0</v>
      </c>
      <c s="6" r="BJ361">
        <v>0</v>
      </c>
      <c s="6" r="BK361">
        <v>0</v>
      </c>
      <c s="6" r="BL361">
        <v>0</v>
      </c>
      <c s="6" r="BM361">
        <v>0</v>
      </c>
      <c s="6" r="BN361">
        <v>0</v>
      </c>
      <c s="6" r="BO361">
        <v>0</v>
      </c>
      <c s="6" r="BP361">
        <v>0</v>
      </c>
      <c s="6" r="BQ361">
        <v>0</v>
      </c>
      <c t="str" s="6" r="BR361">
        <f>HYPERLINK("http://www.d20pfsrd.com/magic/all-spells/m/mnemonic-enhancer","Mnemonic Enhancer")</f>
        <v>Mnemonic Enhancer</v>
      </c>
      <c s="6" r="BS361">
        <v>361</v>
      </c>
      <c s="6" r="BT361">
        <v>50</v>
      </c>
      <c s="6" r="BY361">
        <v>0</v>
      </c>
    </row>
    <row customHeight="1" r="362" ht="14.25">
      <c t="s" s="6" r="A362">
        <v>3010</v>
      </c>
      <c t="s" s="6" r="B362">
        <v>115</v>
      </c>
      <c t="s" s="6" r="C362">
        <v>116</v>
      </c>
      <c t="s" s="6" r="D362">
        <v>117</v>
      </c>
      <c t="s" s="6" r="E362">
        <v>3011</v>
      </c>
      <c t="s" s="6" r="F362">
        <v>1236</v>
      </c>
      <c t="s" s="6" r="G362">
        <v>106</v>
      </c>
      <c s="6" r="H362">
        <v>0</v>
      </c>
      <c t="s" s="6" r="I362">
        <v>107</v>
      </c>
      <c t="s" s="6" r="L362">
        <v>473</v>
      </c>
      <c t="s" s="6" r="M362">
        <v>323</v>
      </c>
      <c s="6" r="N362">
        <v>0</v>
      </c>
      <c s="6" r="O362">
        <v>0</v>
      </c>
      <c t="s" s="6" r="P362">
        <v>221</v>
      </c>
      <c t="s" s="6" r="Q362">
        <v>188</v>
      </c>
      <c t="s" s="6" r="R362">
        <v>3012</v>
      </c>
      <c t="s" s="6" r="S362">
        <v>3013</v>
      </c>
      <c t="s" s="6" r="T362">
        <v>90</v>
      </c>
      <c t="s" s="6" r="U362">
        <v>3014</v>
      </c>
      <c s="6" r="V362">
        <v>1</v>
      </c>
      <c s="6" r="W362">
        <v>1</v>
      </c>
      <c s="6" r="X362">
        <v>0</v>
      </c>
      <c s="6" r="Y362">
        <v>0</v>
      </c>
      <c s="6" r="Z362">
        <v>0</v>
      </c>
      <c t="s" s="6" r="AA362">
        <v>92</v>
      </c>
      <c t="s" s="6" r="AB362">
        <v>92</v>
      </c>
      <c t="s" s="6" r="AC362">
        <v>92</v>
      </c>
      <c t="s" s="6" r="AD362">
        <v>92</v>
      </c>
      <c t="s" s="6" r="AE362">
        <v>92</v>
      </c>
      <c s="6" r="AF362">
        <v>4</v>
      </c>
      <c t="s" s="6" r="AG362">
        <v>92</v>
      </c>
      <c t="s" s="6" r="AH362">
        <v>92</v>
      </c>
      <c t="s" s="6" r="AI362">
        <v>92</v>
      </c>
      <c t="s" s="6" r="AJ362">
        <v>92</v>
      </c>
      <c t="s" s="6" r="AK362">
        <v>92</v>
      </c>
      <c t="s" s="6" r="AL362">
        <v>92</v>
      </c>
      <c t="s" s="6" r="AM362">
        <v>92</v>
      </c>
      <c t="s" s="6" r="AN362">
        <v>92</v>
      </c>
      <c s="6" r="AP362">
        <v>4</v>
      </c>
      <c t="s" s="6" r="AQ362">
        <v>3015</v>
      </c>
      <c t="s" s="6" r="AR362">
        <v>3016</v>
      </c>
      <c s="6" r="AS362">
        <v>0</v>
      </c>
      <c s="6" r="AT362">
        <v>0</v>
      </c>
      <c s="6" r="AU362">
        <v>0</v>
      </c>
      <c s="6" r="AV362">
        <v>0</v>
      </c>
      <c s="6" r="AW362">
        <v>0</v>
      </c>
      <c s="6" r="AX362">
        <v>0</v>
      </c>
      <c s="6" r="AY362">
        <v>0</v>
      </c>
      <c s="6" r="AZ362">
        <v>0</v>
      </c>
      <c s="6" r="BA362">
        <v>0</v>
      </c>
      <c s="6" r="BB362">
        <v>0</v>
      </c>
      <c s="6" r="BC362">
        <v>0</v>
      </c>
      <c s="6" r="BD362">
        <v>0</v>
      </c>
      <c s="6" r="BE362">
        <v>0</v>
      </c>
      <c s="6" r="BF362">
        <v>0</v>
      </c>
      <c s="6" r="BG362">
        <v>0</v>
      </c>
      <c s="6" r="BH362">
        <v>0</v>
      </c>
      <c s="6" r="BI362">
        <v>0</v>
      </c>
      <c s="6" r="BJ362">
        <v>0</v>
      </c>
      <c s="6" r="BK362">
        <v>0</v>
      </c>
      <c s="6" r="BL362">
        <v>1</v>
      </c>
      <c s="6" r="BM362">
        <v>0</v>
      </c>
      <c s="6" r="BN362">
        <v>0</v>
      </c>
      <c s="6" r="BO362">
        <v>0</v>
      </c>
      <c s="6" r="BP362">
        <v>0</v>
      </c>
      <c s="6" r="BQ362">
        <v>0</v>
      </c>
      <c t="str" s="6" r="BR362">
        <f>HYPERLINK("http://www.d20pfsrd.com/magic/all-spells/m/modify-memory","Modify Memory")</f>
        <v>Modify Memory</v>
      </c>
      <c s="6" r="BS362">
        <v>362</v>
      </c>
      <c t="s" s="6" r="BT362">
        <v>92</v>
      </c>
      <c s="6" r="BY362">
        <v>0</v>
      </c>
    </row>
    <row customHeight="1" r="363" ht="14.25">
      <c t="s" s="6" r="A363">
        <v>3017</v>
      </c>
      <c t="s" s="6" r="B363">
        <v>174</v>
      </c>
      <c t="s" s="6" r="E363">
        <v>811</v>
      </c>
      <c t="s" s="6" r="F363">
        <v>81</v>
      </c>
      <c t="s" s="6" r="G363">
        <v>106</v>
      </c>
      <c s="6" r="H363">
        <v>0</v>
      </c>
      <c t="s" s="6" r="I363">
        <v>155</v>
      </c>
      <c t="s" s="6" r="L363">
        <v>156</v>
      </c>
      <c t="s" s="6" r="M363">
        <v>3018</v>
      </c>
      <c s="6" r="N363">
        <v>0</v>
      </c>
      <c s="6" r="O363">
        <v>0</v>
      </c>
      <c t="s" s="6" r="R363">
        <v>3019</v>
      </c>
      <c t="s" s="6" r="S363">
        <v>3020</v>
      </c>
      <c t="s" s="6" r="T363">
        <v>90</v>
      </c>
      <c t="s" s="6" r="U363">
        <v>3021</v>
      </c>
      <c s="6" r="V363">
        <v>1</v>
      </c>
      <c s="6" r="W363">
        <v>1</v>
      </c>
      <c s="6" r="X363">
        <v>0</v>
      </c>
      <c s="6" r="Y363">
        <v>0</v>
      </c>
      <c s="6" r="Z363">
        <v>0</v>
      </c>
      <c s="6" r="AA363">
        <v>8</v>
      </c>
      <c s="6" r="AB363">
        <v>8</v>
      </c>
      <c t="s" s="6" r="AC363">
        <v>92</v>
      </c>
      <c t="s" s="6" r="AD363">
        <v>92</v>
      </c>
      <c t="s" s="6" r="AE363">
        <v>92</v>
      </c>
      <c t="s" s="6" r="AF363">
        <v>92</v>
      </c>
      <c t="s" s="6" r="AG363">
        <v>92</v>
      </c>
      <c t="s" s="6" r="AH363">
        <v>92</v>
      </c>
      <c t="s" s="6" r="AI363">
        <v>92</v>
      </c>
      <c s="6" r="AJ363">
        <v>8</v>
      </c>
      <c t="s" s="6" r="AK363">
        <v>92</v>
      </c>
      <c t="s" s="6" r="AL363">
        <v>92</v>
      </c>
      <c t="s" s="6" r="AM363">
        <v>92</v>
      </c>
      <c t="s" s="6" r="AN363">
        <v>92</v>
      </c>
      <c s="6" r="AP363">
        <v>8</v>
      </c>
      <c t="s" s="6" r="AQ363">
        <v>3022</v>
      </c>
      <c t="s" s="6" r="AR363">
        <v>3023</v>
      </c>
      <c s="6" r="AS363">
        <v>0</v>
      </c>
      <c s="6" r="AT363">
        <v>0</v>
      </c>
      <c s="6" r="AU363">
        <v>0</v>
      </c>
      <c s="6" r="AV363">
        <v>0</v>
      </c>
      <c s="6" r="AW363">
        <v>0</v>
      </c>
      <c s="6" r="AX363">
        <v>0</v>
      </c>
      <c s="6" r="AY363">
        <v>0</v>
      </c>
      <c s="6" r="AZ363">
        <v>0</v>
      </c>
      <c s="6" r="BA363">
        <v>0</v>
      </c>
      <c s="6" r="BB363">
        <v>0</v>
      </c>
      <c s="6" r="BC363">
        <v>0</v>
      </c>
      <c s="6" r="BD363">
        <v>0</v>
      </c>
      <c s="6" r="BE363">
        <v>0</v>
      </c>
      <c s="6" r="BF363">
        <v>0</v>
      </c>
      <c s="6" r="BG363">
        <v>0</v>
      </c>
      <c s="6" r="BH363">
        <v>0</v>
      </c>
      <c s="6" r="BI363">
        <v>0</v>
      </c>
      <c s="6" r="BJ363">
        <v>0</v>
      </c>
      <c s="6" r="BK363">
        <v>0</v>
      </c>
      <c s="6" r="BL363">
        <v>0</v>
      </c>
      <c s="6" r="BM363">
        <v>0</v>
      </c>
      <c s="6" r="BN363">
        <v>0</v>
      </c>
      <c s="6" r="BO363">
        <v>0</v>
      </c>
      <c s="6" r="BP363">
        <v>0</v>
      </c>
      <c s="6" r="BQ363">
        <v>0</v>
      </c>
      <c t="str" s="6" r="BR363">
        <f>HYPERLINK("http://www.d20pfsrd.com/magic/all-spells/m/moment-of-prescience","Moment of Prescience")</f>
        <v>Moment of Prescience</v>
      </c>
      <c s="6" r="BS363">
        <v>363</v>
      </c>
      <c t="s" s="6" r="BT363">
        <v>92</v>
      </c>
      <c t="s" s="6" r="BU363">
        <v>3024</v>
      </c>
      <c t="s" s="6" r="BV363">
        <v>848</v>
      </c>
      <c s="6" r="BY363">
        <v>0</v>
      </c>
    </row>
    <row customHeight="1" r="364" ht="14.25">
      <c t="s" s="6" r="A364">
        <v>3025</v>
      </c>
      <c t="s" s="6" r="B364">
        <v>78</v>
      </c>
      <c t="s" s="6" r="C364">
        <v>1042</v>
      </c>
      <c t="s" s="6" r="E364">
        <v>3026</v>
      </c>
      <c t="s" s="6" r="F364">
        <v>272</v>
      </c>
      <c t="s" s="6" r="G364">
        <v>3027</v>
      </c>
      <c s="6" r="H364">
        <v>0</v>
      </c>
      <c t="s" s="6" r="I364">
        <v>107</v>
      </c>
      <c t="s" s="6" r="K364">
        <v>3028</v>
      </c>
      <c t="s" s="6" r="M364">
        <v>166</v>
      </c>
      <c s="6" r="N364">
        <v>1</v>
      </c>
      <c s="6" r="O364">
        <v>0</v>
      </c>
      <c t="s" s="6" r="P364">
        <v>86</v>
      </c>
      <c t="s" s="6" r="Q364">
        <v>87</v>
      </c>
      <c t="s" s="6" r="R364">
        <v>3029</v>
      </c>
      <c t="s" s="6" r="S364">
        <v>3030</v>
      </c>
      <c t="s" s="6" r="T364">
        <v>90</v>
      </c>
      <c t="s" s="6" r="U364">
        <v>3031</v>
      </c>
      <c s="6" r="V364">
        <v>1</v>
      </c>
      <c s="6" r="W364">
        <v>1</v>
      </c>
      <c s="6" r="X364">
        <v>1</v>
      </c>
      <c s="6" r="Y364">
        <v>0</v>
      </c>
      <c s="6" r="Z364">
        <v>0</v>
      </c>
      <c s="6" r="AA364">
        <v>1</v>
      </c>
      <c s="6" r="AB364">
        <v>1</v>
      </c>
      <c t="s" s="6" r="AC364">
        <v>92</v>
      </c>
      <c t="s" s="6" r="AD364">
        <v>92</v>
      </c>
      <c t="s" s="6" r="AE364">
        <v>92</v>
      </c>
      <c t="s" s="6" r="AF364">
        <v>92</v>
      </c>
      <c t="s" s="6" r="AG364">
        <v>92</v>
      </c>
      <c t="s" s="6" r="AH364">
        <v>92</v>
      </c>
      <c s="6" r="AI364">
        <v>1</v>
      </c>
      <c s="6" r="AJ364">
        <v>1</v>
      </c>
      <c t="s" s="6" r="AK364">
        <v>92</v>
      </c>
      <c t="s" s="6" r="AL364">
        <v>92</v>
      </c>
      <c t="s" s="6" r="AM364">
        <v>92</v>
      </c>
      <c s="6" r="AN364">
        <v>1</v>
      </c>
      <c s="6" r="AP364">
        <v>1</v>
      </c>
      <c t="s" s="6" r="AR364">
        <v>3032</v>
      </c>
      <c s="6" r="AS364">
        <v>0</v>
      </c>
      <c s="6" r="AT364">
        <v>0</v>
      </c>
      <c s="6" r="AU364">
        <v>0</v>
      </c>
      <c s="6" r="AV364">
        <v>0</v>
      </c>
      <c s="6" r="AW364">
        <v>0</v>
      </c>
      <c s="6" r="AX364">
        <v>0</v>
      </c>
      <c s="6" r="AY364">
        <v>0</v>
      </c>
      <c s="6" r="AZ364">
        <v>0</v>
      </c>
      <c s="6" r="BA364">
        <v>0</v>
      </c>
      <c s="6" r="BB364">
        <v>0</v>
      </c>
      <c s="6" r="BC364">
        <v>0</v>
      </c>
      <c s="6" r="BD364">
        <v>0</v>
      </c>
      <c s="6" r="BE364">
        <v>0</v>
      </c>
      <c s="6" r="BF364">
        <v>0</v>
      </c>
      <c s="6" r="BG364">
        <v>0</v>
      </c>
      <c s="6" r="BH364">
        <v>0</v>
      </c>
      <c s="6" r="BI364">
        <v>0</v>
      </c>
      <c s="6" r="BJ364">
        <v>0</v>
      </c>
      <c s="6" r="BK364">
        <v>0</v>
      </c>
      <c s="6" r="BL364">
        <v>0</v>
      </c>
      <c s="6" r="BM364">
        <v>0</v>
      </c>
      <c s="6" r="BN364">
        <v>0</v>
      </c>
      <c s="6" r="BO364">
        <v>0</v>
      </c>
      <c s="6" r="BP364">
        <v>0</v>
      </c>
      <c s="6" r="BQ364">
        <v>0</v>
      </c>
      <c t="str" s="6" r="BR364">
        <f>HYPERLINK("http://www.d20pfsrd.com/magic/all-spells/m/mount","Mount")</f>
        <v>Mount</v>
      </c>
      <c s="6" r="BS364">
        <v>364</v>
      </c>
      <c t="s" s="6" r="BT364">
        <v>92</v>
      </c>
      <c s="6" r="BY364">
        <v>0</v>
      </c>
    </row>
    <row customHeight="1" r="365" ht="14.25">
      <c t="s" s="6" r="A365">
        <v>3033</v>
      </c>
      <c t="s" s="6" r="B365">
        <v>131</v>
      </c>
      <c t="s" s="6" r="D365">
        <v>52</v>
      </c>
      <c t="s" s="6" r="E365">
        <v>3034</v>
      </c>
      <c t="s" s="6" r="F365">
        <v>141</v>
      </c>
      <c t="s" s="6" r="G365">
        <v>3035</v>
      </c>
      <c s="6" r="H365">
        <v>0</v>
      </c>
      <c t="s" s="6" r="I365">
        <v>83</v>
      </c>
      <c t="s" s="6" r="J365">
        <v>3036</v>
      </c>
      <c t="s" s="6" r="M365">
        <v>109</v>
      </c>
      <c s="6" r="N365">
        <v>0</v>
      </c>
      <c s="6" r="O365">
        <v>1</v>
      </c>
      <c t="s" s="6" r="P365">
        <v>86</v>
      </c>
      <c t="s" s="6" r="Q365">
        <v>87</v>
      </c>
      <c t="s" s="6" r="R365">
        <v>3037</v>
      </c>
      <c t="s" s="6" r="S365">
        <v>3038</v>
      </c>
      <c t="s" s="6" r="T365">
        <v>90</v>
      </c>
      <c t="s" s="6" r="U365">
        <v>3039</v>
      </c>
      <c s="6" r="V365">
        <v>1</v>
      </c>
      <c s="6" r="W365">
        <v>1</v>
      </c>
      <c s="6" r="X365">
        <v>1</v>
      </c>
      <c s="6" r="Y365">
        <v>0</v>
      </c>
      <c s="6" r="Z365">
        <v>0</v>
      </c>
      <c s="6" r="AA365">
        <v>6</v>
      </c>
      <c s="6" r="AB365">
        <v>6</v>
      </c>
      <c t="s" s="6" r="AC365">
        <v>92</v>
      </c>
      <c s="6" r="AD365">
        <v>6</v>
      </c>
      <c t="s" s="6" r="AE365">
        <v>92</v>
      </c>
      <c t="s" s="6" r="AF365">
        <v>92</v>
      </c>
      <c t="s" s="6" r="AG365">
        <v>92</v>
      </c>
      <c t="s" s="6" r="AH365">
        <v>92</v>
      </c>
      <c t="s" s="6" r="AI365">
        <v>92</v>
      </c>
      <c t="s" s="6" r="AJ365">
        <v>92</v>
      </c>
      <c t="s" s="6" r="AK365">
        <v>92</v>
      </c>
      <c t="s" s="6" r="AL365">
        <v>92</v>
      </c>
      <c t="s" s="6" r="AM365">
        <v>92</v>
      </c>
      <c t="s" s="6" r="AN365">
        <v>92</v>
      </c>
      <c s="6" r="AP365">
        <v>6</v>
      </c>
      <c t="s" s="6" r="AR365">
        <v>3040</v>
      </c>
      <c s="6" r="AS365">
        <v>0</v>
      </c>
      <c s="6" r="AT365">
        <v>0</v>
      </c>
      <c s="6" r="AU365">
        <v>0</v>
      </c>
      <c s="6" r="AV365">
        <v>0</v>
      </c>
      <c s="6" r="AW365">
        <v>0</v>
      </c>
      <c s="6" r="AX365">
        <v>0</v>
      </c>
      <c s="6" r="AY365">
        <v>0</v>
      </c>
      <c s="6" r="AZ365">
        <v>0</v>
      </c>
      <c s="6" r="BA365">
        <v>1</v>
      </c>
      <c s="6" r="BB365">
        <v>0</v>
      </c>
      <c s="6" r="BC365">
        <v>0</v>
      </c>
      <c s="6" r="BD365">
        <v>0</v>
      </c>
      <c s="6" r="BE365">
        <v>0</v>
      </c>
      <c s="6" r="BF365">
        <v>0</v>
      </c>
      <c s="6" r="BG365">
        <v>0</v>
      </c>
      <c s="6" r="BH365">
        <v>0</v>
      </c>
      <c s="6" r="BI365">
        <v>0</v>
      </c>
      <c s="6" r="BJ365">
        <v>0</v>
      </c>
      <c s="6" r="BK365">
        <v>0</v>
      </c>
      <c s="6" r="BL365">
        <v>0</v>
      </c>
      <c s="6" r="BM365">
        <v>0</v>
      </c>
      <c s="6" r="BN365">
        <v>0</v>
      </c>
      <c s="6" r="BO365">
        <v>0</v>
      </c>
      <c s="6" r="BP365">
        <v>0</v>
      </c>
      <c s="6" r="BQ365">
        <v>0</v>
      </c>
      <c t="str" s="6" r="BR365">
        <f>HYPERLINK("http://www.d20pfsrd.com/magic/all-spells/m/move-earth","Move Earth")</f>
        <v>Move Earth</v>
      </c>
      <c s="6" r="BS365">
        <v>365</v>
      </c>
      <c t="s" s="6" r="BT365">
        <v>92</v>
      </c>
      <c t="s" s="6" r="BW365">
        <v>3041</v>
      </c>
      <c s="6" r="BY365">
        <v>1</v>
      </c>
    </row>
    <row customHeight="1" r="366" ht="14.25">
      <c t="s" s="6" r="A366">
        <v>3042</v>
      </c>
      <c t="s" s="6" r="B366">
        <v>78</v>
      </c>
      <c t="s" s="6" r="C366">
        <v>598</v>
      </c>
      <c t="s" s="6" r="E366">
        <v>3043</v>
      </c>
      <c t="s" s="6" r="F366">
        <v>81</v>
      </c>
      <c t="s" s="6" r="G366">
        <v>3044</v>
      </c>
      <c s="6" r="H366">
        <v>0</v>
      </c>
      <c t="s" s="6" r="I366">
        <v>120</v>
      </c>
      <c t="s" s="6" r="L366">
        <v>3045</v>
      </c>
      <c t="s" s="6" r="M366">
        <v>3046</v>
      </c>
      <c s="6" r="N366">
        <v>0</v>
      </c>
      <c s="6" r="O366">
        <v>0</v>
      </c>
      <c t="s" s="6" r="P366">
        <v>144</v>
      </c>
      <c t="s" s="6" r="Q366">
        <v>145</v>
      </c>
      <c t="s" s="6" r="R366">
        <v>3047</v>
      </c>
      <c t="s" s="6" r="S366">
        <v>3048</v>
      </c>
      <c t="s" s="6" r="T366">
        <v>90</v>
      </c>
      <c t="s" s="6" r="U366">
        <v>3049</v>
      </c>
      <c s="6" r="V366">
        <v>1</v>
      </c>
      <c s="6" r="W366">
        <v>1</v>
      </c>
      <c s="6" r="X366">
        <v>1</v>
      </c>
      <c s="6" r="Y366">
        <v>0</v>
      </c>
      <c s="6" r="Z366">
        <v>1</v>
      </c>
      <c t="s" s="6" r="AA366">
        <v>92</v>
      </c>
      <c t="s" s="6" r="AB366">
        <v>92</v>
      </c>
      <c s="6" r="AC366">
        <v>4</v>
      </c>
      <c s="6" r="AD366">
        <v>3</v>
      </c>
      <c s="6" r="AE366">
        <v>3</v>
      </c>
      <c s="6" r="AF366">
        <v>4</v>
      </c>
      <c s="6" r="AG366">
        <v>4</v>
      </c>
      <c s="6" r="AH366">
        <v>4</v>
      </c>
      <c t="s" s="6" r="AI366">
        <v>92</v>
      </c>
      <c s="6" r="AJ366">
        <v>4</v>
      </c>
      <c s="6" r="AK366">
        <v>4</v>
      </c>
      <c s="6" r="AL366">
        <v>4</v>
      </c>
      <c t="s" s="6" r="AM366">
        <v>92</v>
      </c>
      <c t="s" s="6" r="AN366">
        <v>92</v>
      </c>
      <c s="6" r="AP366">
        <v>4</v>
      </c>
      <c t="s" s="6" r="AQ366">
        <v>3050</v>
      </c>
      <c t="s" s="6" r="AR366">
        <v>3051</v>
      </c>
      <c s="6" r="AS366">
        <v>0</v>
      </c>
      <c s="6" r="AT366">
        <v>0</v>
      </c>
      <c s="6" r="AU366">
        <v>0</v>
      </c>
      <c s="6" r="AV366">
        <v>0</v>
      </c>
      <c s="6" r="AW366">
        <v>0</v>
      </c>
      <c s="6" r="AX366">
        <v>0</v>
      </c>
      <c s="6" r="AY366">
        <v>0</v>
      </c>
      <c s="6" r="AZ366">
        <v>0</v>
      </c>
      <c s="6" r="BA366">
        <v>0</v>
      </c>
      <c s="6" r="BB366">
        <v>0</v>
      </c>
      <c s="6" r="BC366">
        <v>0</v>
      </c>
      <c s="6" r="BD366">
        <v>0</v>
      </c>
      <c s="6" r="BE366">
        <v>0</v>
      </c>
      <c s="6" r="BF366">
        <v>0</v>
      </c>
      <c s="6" r="BG366">
        <v>0</v>
      </c>
      <c s="6" r="BH366">
        <v>0</v>
      </c>
      <c s="6" r="BI366">
        <v>0</v>
      </c>
      <c s="6" r="BJ366">
        <v>0</v>
      </c>
      <c s="6" r="BK366">
        <v>0</v>
      </c>
      <c s="6" r="BL366">
        <v>0</v>
      </c>
      <c s="6" r="BM366">
        <v>0</v>
      </c>
      <c s="6" r="BN366">
        <v>0</v>
      </c>
      <c s="6" r="BO366">
        <v>0</v>
      </c>
      <c s="6" r="BP366">
        <v>0</v>
      </c>
      <c s="6" r="BQ366">
        <v>0</v>
      </c>
      <c t="str" s="6" r="BR366">
        <f>HYPERLINK("http://www.d20pfsrd.com/magic/all-spells/n/neutralize-poison","Neutralize Poison")</f>
        <v>Neutralize Poison</v>
      </c>
      <c s="6" r="BS366">
        <v>366</v>
      </c>
      <c t="s" s="6" r="BT366">
        <v>92</v>
      </c>
      <c s="6" r="BY366">
        <v>0</v>
      </c>
    </row>
    <row customHeight="1" r="367" ht="14.25">
      <c t="s" s="6" r="A367">
        <v>3052</v>
      </c>
      <c t="s" s="6" r="B367">
        <v>579</v>
      </c>
      <c t="s" s="6" r="C367">
        <v>1523</v>
      </c>
      <c t="s" s="6" r="D367">
        <v>3053</v>
      </c>
      <c t="s" s="6" r="E367">
        <v>1524</v>
      </c>
      <c t="s" s="6" r="F367">
        <v>311</v>
      </c>
      <c t="s" s="6" r="G367">
        <v>106</v>
      </c>
      <c s="6" r="H367">
        <v>0</v>
      </c>
      <c t="s" s="6" r="I367">
        <v>313</v>
      </c>
      <c t="s" s="6" r="L367">
        <v>473</v>
      </c>
      <c t="s" s="6" r="M367">
        <v>109</v>
      </c>
      <c s="6" r="N367">
        <v>0</v>
      </c>
      <c s="6" r="O367">
        <v>0</v>
      </c>
      <c t="s" s="6" r="P367">
        <v>474</v>
      </c>
      <c t="s" s="6" r="Q367">
        <v>188</v>
      </c>
      <c t="s" s="6" r="R367">
        <v>3054</v>
      </c>
      <c t="s" s="6" r="S367">
        <v>3055</v>
      </c>
      <c t="s" s="6" r="T367">
        <v>90</v>
      </c>
      <c t="s" s="6" r="U367">
        <v>3056</v>
      </c>
      <c s="6" r="V367">
        <v>1</v>
      </c>
      <c s="6" r="W367">
        <v>1</v>
      </c>
      <c s="6" r="X367">
        <v>0</v>
      </c>
      <c s="6" r="Y367">
        <v>0</v>
      </c>
      <c s="6" r="Z367">
        <v>0</v>
      </c>
      <c s="6" r="AA367">
        <v>5</v>
      </c>
      <c s="6" r="AB367">
        <v>5</v>
      </c>
      <c t="s" s="6" r="AC367">
        <v>92</v>
      </c>
      <c t="s" s="6" r="AD367">
        <v>92</v>
      </c>
      <c t="s" s="6" r="AE367">
        <v>92</v>
      </c>
      <c s="6" r="AF367">
        <v>5</v>
      </c>
      <c t="s" s="6" r="AG367">
        <v>92</v>
      </c>
      <c s="6" r="AH367">
        <v>5</v>
      </c>
      <c t="s" s="6" r="AI367">
        <v>92</v>
      </c>
      <c t="s" s="6" r="AJ367">
        <v>92</v>
      </c>
      <c t="s" s="6" r="AK367">
        <v>92</v>
      </c>
      <c t="s" s="6" r="AL367">
        <v>92</v>
      </c>
      <c t="s" s="6" r="AM367">
        <v>92</v>
      </c>
      <c t="s" s="6" r="AN367">
        <v>92</v>
      </c>
      <c s="6" r="AP367">
        <v>5</v>
      </c>
      <c t="s" s="6" r="AQ367">
        <v>3057</v>
      </c>
      <c t="s" s="6" r="AR367">
        <v>3058</v>
      </c>
      <c s="6" r="AS367">
        <v>0</v>
      </c>
      <c s="6" r="AT367">
        <v>0</v>
      </c>
      <c s="6" r="AU367">
        <v>0</v>
      </c>
      <c s="6" r="AV367">
        <v>0</v>
      </c>
      <c s="6" r="AW367">
        <v>0</v>
      </c>
      <c s="6" r="AX367">
        <v>0</v>
      </c>
      <c s="6" r="AY367">
        <v>0</v>
      </c>
      <c s="6" r="AZ367">
        <v>0</v>
      </c>
      <c s="6" r="BA367">
        <v>0</v>
      </c>
      <c s="6" r="BB367">
        <v>0</v>
      </c>
      <c s="6" r="BC367">
        <v>0</v>
      </c>
      <c s="6" r="BD367">
        <v>1</v>
      </c>
      <c s="6" r="BE367">
        <v>0</v>
      </c>
      <c s="6" r="BF367">
        <v>0</v>
      </c>
      <c s="6" r="BG367">
        <v>0</v>
      </c>
      <c s="6" r="BH367">
        <v>0</v>
      </c>
      <c s="6" r="BI367">
        <v>0</v>
      </c>
      <c s="6" r="BJ367">
        <v>0</v>
      </c>
      <c s="6" r="BK367">
        <v>0</v>
      </c>
      <c s="6" r="BL367">
        <v>1</v>
      </c>
      <c s="6" r="BM367">
        <v>0</v>
      </c>
      <c s="6" r="BN367">
        <v>0</v>
      </c>
      <c s="6" r="BO367">
        <v>0</v>
      </c>
      <c s="6" r="BP367">
        <v>0</v>
      </c>
      <c s="6" r="BQ367">
        <v>0</v>
      </c>
      <c t="str" s="6" r="BR367">
        <f>HYPERLINK("http://www.d20pfsrd.com/magic/all-spells/n/nightmare","Nightmare")</f>
        <v>Nightmare</v>
      </c>
      <c s="6" r="BS367">
        <v>367</v>
      </c>
      <c t="s" s="6" r="BT367">
        <v>92</v>
      </c>
      <c t="s" s="6" r="BW367">
        <v>3059</v>
      </c>
      <c t="s" s="6" r="BX367">
        <v>3060</v>
      </c>
      <c s="6" r="BY367">
        <v>1</v>
      </c>
    </row>
    <row customHeight="1" r="368" ht="14.25">
      <c t="s" s="6" r="A368">
        <v>3061</v>
      </c>
      <c t="s" s="6" r="B368">
        <v>162</v>
      </c>
      <c t="s" s="6" r="E368">
        <v>3062</v>
      </c>
      <c t="s" s="6" r="F368">
        <v>81</v>
      </c>
      <c t="s" s="6" r="G368">
        <v>3063</v>
      </c>
      <c s="6" r="H368">
        <v>1</v>
      </c>
      <c t="s" s="6" r="I368">
        <v>120</v>
      </c>
      <c t="s" s="6" r="L368">
        <v>3064</v>
      </c>
      <c t="s" s="6" r="M368">
        <v>209</v>
      </c>
      <c s="6" r="N368">
        <v>0</v>
      </c>
      <c s="6" r="O368">
        <v>0</v>
      </c>
      <c t="s" s="6" r="P368">
        <v>144</v>
      </c>
      <c t="s" s="6" r="Q368">
        <v>145</v>
      </c>
      <c t="s" s="6" r="R368">
        <v>3065</v>
      </c>
      <c t="s" s="6" r="S368">
        <v>3066</v>
      </c>
      <c t="s" s="6" r="T368">
        <v>90</v>
      </c>
      <c t="s" s="6" r="U368">
        <v>3067</v>
      </c>
      <c s="6" r="V368">
        <v>1</v>
      </c>
      <c s="6" r="W368">
        <v>1</v>
      </c>
      <c s="6" r="X368">
        <v>1</v>
      </c>
      <c s="6" r="Y368">
        <v>0</v>
      </c>
      <c s="6" r="Z368">
        <v>0</v>
      </c>
      <c s="6" r="AA368">
        <v>3</v>
      </c>
      <c s="6" r="AB368">
        <v>3</v>
      </c>
      <c t="s" s="6" r="AC368">
        <v>92</v>
      </c>
      <c t="s" s="6" r="AD368">
        <v>92</v>
      </c>
      <c s="6" r="AE368">
        <v>4</v>
      </c>
      <c t="s" s="6" r="AF368">
        <v>92</v>
      </c>
      <c t="s" s="6" r="AG368">
        <v>92</v>
      </c>
      <c s="6" r="AH368">
        <v>3</v>
      </c>
      <c s="6" r="AI368">
        <v>3</v>
      </c>
      <c t="s" s="6" r="AJ368">
        <v>92</v>
      </c>
      <c s="6" r="AK368">
        <v>3</v>
      </c>
      <c t="s" s="6" r="AL368">
        <v>92</v>
      </c>
      <c s="6" r="AM368">
        <v>3</v>
      </c>
      <c t="s" s="6" r="AN368">
        <v>92</v>
      </c>
      <c s="6" r="AP368">
        <v>3</v>
      </c>
      <c t="s" s="6" r="AQ368">
        <v>269</v>
      </c>
      <c t="s" s="6" r="AR368">
        <v>3068</v>
      </c>
      <c s="6" r="AS368">
        <v>0</v>
      </c>
      <c s="6" r="AT368">
        <v>0</v>
      </c>
      <c s="6" r="AU368">
        <v>0</v>
      </c>
      <c s="6" r="AV368">
        <v>0</v>
      </c>
      <c s="6" r="AW368">
        <v>0</v>
      </c>
      <c s="6" r="AX368">
        <v>0</v>
      </c>
      <c s="6" r="AY368">
        <v>0</v>
      </c>
      <c s="6" r="AZ368">
        <v>0</v>
      </c>
      <c s="6" r="BA368">
        <v>0</v>
      </c>
      <c s="6" r="BB368">
        <v>0</v>
      </c>
      <c s="6" r="BC368">
        <v>0</v>
      </c>
      <c s="6" r="BD368">
        <v>0</v>
      </c>
      <c s="6" r="BE368">
        <v>0</v>
      </c>
      <c s="6" r="BF368">
        <v>0</v>
      </c>
      <c s="6" r="BG368">
        <v>0</v>
      </c>
      <c s="6" r="BH368">
        <v>0</v>
      </c>
      <c s="6" r="BI368">
        <v>0</v>
      </c>
      <c s="6" r="BJ368">
        <v>0</v>
      </c>
      <c s="6" r="BK368">
        <v>0</v>
      </c>
      <c s="6" r="BL368">
        <v>0</v>
      </c>
      <c s="6" r="BM368">
        <v>0</v>
      </c>
      <c s="6" r="BN368">
        <v>0</v>
      </c>
      <c s="6" r="BO368">
        <v>0</v>
      </c>
      <c s="6" r="BP368">
        <v>0</v>
      </c>
      <c s="6" r="BQ368">
        <v>0</v>
      </c>
      <c t="str" s="6" r="BR368">
        <f>HYPERLINK("http://www.d20pfsrd.com/magic/all-spells/n/nondetection","Nondetection")</f>
        <v>Nondetection</v>
      </c>
      <c s="6" r="BS368">
        <v>368</v>
      </c>
      <c s="6" r="BT368">
        <v>50</v>
      </c>
      <c s="6" r="BY368">
        <v>0</v>
      </c>
    </row>
    <row customHeight="1" r="369" ht="14.25">
      <c t="s" s="6" r="A369">
        <v>3069</v>
      </c>
      <c t="s" s="6" r="B369">
        <v>162</v>
      </c>
      <c t="s" s="6" r="E369">
        <v>3070</v>
      </c>
      <c t="s" s="6" r="F369">
        <v>81</v>
      </c>
      <c t="s" s="6" r="G369">
        <v>3071</v>
      </c>
      <c s="6" r="H369">
        <v>0</v>
      </c>
      <c t="s" s="6" r="I369">
        <v>120</v>
      </c>
      <c t="s" s="6" r="L369">
        <v>3072</v>
      </c>
      <c t="s" s="6" r="M369">
        <v>3073</v>
      </c>
      <c s="6" r="N369">
        <v>1</v>
      </c>
      <c s="6" r="O369">
        <v>0</v>
      </c>
      <c t="s" s="6" r="P369">
        <v>535</v>
      </c>
      <c t="s" s="6" r="Q369">
        <v>536</v>
      </c>
      <c t="s" s="6" r="R369">
        <v>3074</v>
      </c>
      <c t="s" s="6" r="S369">
        <v>3075</v>
      </c>
      <c t="s" s="6" r="T369">
        <v>90</v>
      </c>
      <c t="s" s="6" r="U369">
        <v>3076</v>
      </c>
      <c s="6" r="V369">
        <v>1</v>
      </c>
      <c s="6" r="W369">
        <v>1</v>
      </c>
      <c s="6" r="X369">
        <v>1</v>
      </c>
      <c s="6" r="Y369">
        <v>0</v>
      </c>
      <c s="6" r="Z369">
        <v>1</v>
      </c>
      <c s="6" r="AA369">
        <v>2</v>
      </c>
      <c s="6" r="AB369">
        <v>2</v>
      </c>
      <c s="6" r="AC369">
        <v>3</v>
      </c>
      <c t="s" s="6" r="AD369">
        <v>92</v>
      </c>
      <c t="s" s="6" r="AE369">
        <v>92</v>
      </c>
      <c s="6" r="AF369">
        <v>1</v>
      </c>
      <c t="s" s="6" r="AG369">
        <v>92</v>
      </c>
      <c t="s" s="6" r="AH369">
        <v>92</v>
      </c>
      <c t="s" s="6" r="AI369">
        <v>92</v>
      </c>
      <c t="s" s="6" r="AJ369">
        <v>92</v>
      </c>
      <c s="6" r="AK369">
        <v>3</v>
      </c>
      <c s="6" r="AL369">
        <v>3</v>
      </c>
      <c t="s" s="6" r="AM369">
        <v>92</v>
      </c>
      <c t="s" s="6" r="AN369">
        <v>92</v>
      </c>
      <c s="6" r="AP369">
        <v>2</v>
      </c>
      <c t="s" s="6" r="AR369">
        <v>3077</v>
      </c>
      <c s="6" r="AS369">
        <v>0</v>
      </c>
      <c s="6" r="AT369">
        <v>0</v>
      </c>
      <c s="6" r="AU369">
        <v>0</v>
      </c>
      <c s="6" r="AV369">
        <v>0</v>
      </c>
      <c s="6" r="AW369">
        <v>0</v>
      </c>
      <c s="6" r="AX369">
        <v>0</v>
      </c>
      <c s="6" r="AY369">
        <v>0</v>
      </c>
      <c s="6" r="AZ369">
        <v>0</v>
      </c>
      <c s="6" r="BA369">
        <v>0</v>
      </c>
      <c s="6" r="BB369">
        <v>0</v>
      </c>
      <c s="6" r="BC369">
        <v>0</v>
      </c>
      <c s="6" r="BD369">
        <v>0</v>
      </c>
      <c s="6" r="BE369">
        <v>0</v>
      </c>
      <c s="6" r="BF369">
        <v>0</v>
      </c>
      <c s="6" r="BG369">
        <v>0</v>
      </c>
      <c s="6" r="BH369">
        <v>0</v>
      </c>
      <c s="6" r="BI369">
        <v>0</v>
      </c>
      <c s="6" r="BJ369">
        <v>0</v>
      </c>
      <c s="6" r="BK369">
        <v>0</v>
      </c>
      <c s="6" r="BL369">
        <v>0</v>
      </c>
      <c s="6" r="BM369">
        <v>0</v>
      </c>
      <c s="6" r="BN369">
        <v>0</v>
      </c>
      <c s="6" r="BO369">
        <v>0</v>
      </c>
      <c s="6" r="BP369">
        <v>0</v>
      </c>
      <c s="6" r="BQ369">
        <v>0</v>
      </c>
      <c t="str" s="6" r="BR369">
        <f>HYPERLINK("http://www.d20pfsrd.com/magic/all-spells/o/obscure-object","Obscure Object")</f>
        <v>Obscure Object</v>
      </c>
      <c s="6" r="BS369">
        <v>369</v>
      </c>
      <c t="s" s="6" r="BT369">
        <v>92</v>
      </c>
      <c s="6" r="BY369">
        <v>0</v>
      </c>
    </row>
    <row customHeight="1" r="370" ht="14.25">
      <c t="s" s="6" r="A370">
        <v>3078</v>
      </c>
      <c t="s" s="6" r="B370">
        <v>78</v>
      </c>
      <c t="s" s="6" r="C370">
        <v>79</v>
      </c>
      <c t="s" s="6" r="E370">
        <v>3079</v>
      </c>
      <c t="s" s="6" r="F370">
        <v>81</v>
      </c>
      <c t="s" s="6" r="G370">
        <v>106</v>
      </c>
      <c s="6" r="H370">
        <v>0</v>
      </c>
      <c t="s" s="6" r="I370">
        <v>804</v>
      </c>
      <c t="s" s="6" r="K370">
        <v>3080</v>
      </c>
      <c t="s" s="6" r="M370">
        <v>122</v>
      </c>
      <c s="6" r="N370">
        <v>1</v>
      </c>
      <c s="6" r="O370">
        <v>0</v>
      </c>
      <c t="s" s="6" r="P370">
        <v>86</v>
      </c>
      <c t="s" s="6" r="Q370">
        <v>87</v>
      </c>
      <c t="s" s="6" r="R370">
        <v>3081</v>
      </c>
      <c t="s" s="6" r="S370">
        <v>3082</v>
      </c>
      <c t="s" s="6" r="T370">
        <v>90</v>
      </c>
      <c t="s" s="6" r="U370">
        <v>3083</v>
      </c>
      <c s="6" r="V370">
        <v>1</v>
      </c>
      <c s="6" r="W370">
        <v>1</v>
      </c>
      <c s="6" r="X370">
        <v>0</v>
      </c>
      <c s="6" r="Y370">
        <v>0</v>
      </c>
      <c s="6" r="Z370">
        <v>0</v>
      </c>
      <c s="6" r="AA370">
        <v>1</v>
      </c>
      <c s="6" r="AB370">
        <v>1</v>
      </c>
      <c s="6" r="AC370">
        <v>1</v>
      </c>
      <c s="6" r="AD370">
        <v>1</v>
      </c>
      <c t="s" s="6" r="AE370">
        <v>92</v>
      </c>
      <c t="s" s="6" r="AF370">
        <v>92</v>
      </c>
      <c t="s" s="6" r="AG370">
        <v>92</v>
      </c>
      <c t="s" s="6" r="AH370">
        <v>92</v>
      </c>
      <c t="s" s="6" r="AI370">
        <v>92</v>
      </c>
      <c s="6" r="AJ370">
        <v>1</v>
      </c>
      <c t="s" s="6" r="AK370">
        <v>92</v>
      </c>
      <c s="6" r="AL370">
        <v>1</v>
      </c>
      <c t="s" s="6" r="AM370">
        <v>92</v>
      </c>
      <c s="6" r="AN370">
        <v>1</v>
      </c>
      <c s="6" r="AP370">
        <v>1</v>
      </c>
      <c t="s" s="6" r="AQ370">
        <v>3084</v>
      </c>
      <c t="s" s="6" r="AR370">
        <v>3085</v>
      </c>
      <c s="6" r="AS370">
        <v>0</v>
      </c>
      <c s="6" r="AT370">
        <v>0</v>
      </c>
      <c s="6" r="AU370">
        <v>0</v>
      </c>
      <c s="6" r="AV370">
        <v>0</v>
      </c>
      <c s="6" r="AW370">
        <v>0</v>
      </c>
      <c s="6" r="AX370">
        <v>0</v>
      </c>
      <c s="6" r="AY370">
        <v>0</v>
      </c>
      <c s="6" r="AZ370">
        <v>0</v>
      </c>
      <c s="6" r="BA370">
        <v>0</v>
      </c>
      <c s="6" r="BB370">
        <v>0</v>
      </c>
      <c s="6" r="BC370">
        <v>0</v>
      </c>
      <c s="6" r="BD370">
        <v>0</v>
      </c>
      <c s="6" r="BE370">
        <v>0</v>
      </c>
      <c s="6" r="BF370">
        <v>0</v>
      </c>
      <c s="6" r="BG370">
        <v>0</v>
      </c>
      <c s="6" r="BH370">
        <v>0</v>
      </c>
      <c s="6" r="BI370">
        <v>0</v>
      </c>
      <c s="6" r="BJ370">
        <v>0</v>
      </c>
      <c s="6" r="BK370">
        <v>0</v>
      </c>
      <c s="6" r="BL370">
        <v>0</v>
      </c>
      <c s="6" r="BM370">
        <v>0</v>
      </c>
      <c s="6" r="BN370">
        <v>0</v>
      </c>
      <c s="6" r="BO370">
        <v>0</v>
      </c>
      <c s="6" r="BP370">
        <v>0</v>
      </c>
      <c s="6" r="BQ370">
        <v>0</v>
      </c>
      <c t="str" s="6" r="BR370">
        <f>HYPERLINK("http://www.d20pfsrd.com/magic/all-spells/o/obscuring-mist","Obscuring Mist")</f>
        <v>Obscuring Mist</v>
      </c>
      <c s="6" r="BS370">
        <v>370</v>
      </c>
      <c t="s" s="6" r="BT370">
        <v>92</v>
      </c>
      <c t="s" s="6" r="BU370">
        <v>2009</v>
      </c>
      <c s="6" r="BY370">
        <v>0</v>
      </c>
    </row>
    <row customHeight="1" r="371" ht="14.25">
      <c t="s" s="6" r="A371">
        <v>3086</v>
      </c>
      <c t="s" s="6" r="B371">
        <v>131</v>
      </c>
      <c t="s" s="6" r="E371">
        <v>2710</v>
      </c>
      <c t="s" s="6" r="F371">
        <v>81</v>
      </c>
      <c t="s" s="6" r="G371">
        <v>3087</v>
      </c>
      <c s="6" r="H371">
        <v>0</v>
      </c>
      <c t="s" s="6" r="I371">
        <v>107</v>
      </c>
      <c t="s" s="6" r="L371">
        <v>3088</v>
      </c>
      <c t="s" s="6" r="M371">
        <v>109</v>
      </c>
      <c s="6" r="N371">
        <v>0</v>
      </c>
      <c s="6" r="O371">
        <v>0</v>
      </c>
      <c t="s" s="6" r="P371">
        <v>535</v>
      </c>
      <c t="s" s="6" r="Q371">
        <v>536</v>
      </c>
      <c t="s" s="6" r="R371">
        <v>3089</v>
      </c>
      <c t="s" s="6" r="S371">
        <v>3090</v>
      </c>
      <c t="s" s="6" r="T371">
        <v>90</v>
      </c>
      <c t="s" s="6" r="U371">
        <v>3091</v>
      </c>
      <c s="6" r="V371">
        <v>1</v>
      </c>
      <c s="6" r="W371">
        <v>1</v>
      </c>
      <c s="6" r="X371">
        <v>0</v>
      </c>
      <c s="6" r="Y371">
        <v>1</v>
      </c>
      <c s="6" r="Z371">
        <v>0</v>
      </c>
      <c s="6" r="AA371">
        <v>0</v>
      </c>
      <c s="6" r="AB371">
        <v>0</v>
      </c>
      <c t="s" s="6" r="AC371">
        <v>92</v>
      </c>
      <c t="s" s="6" r="AD371">
        <v>92</v>
      </c>
      <c t="s" s="6" r="AE371">
        <v>92</v>
      </c>
      <c s="6" r="AF371">
        <v>0</v>
      </c>
      <c t="s" s="6" r="AG371">
        <v>92</v>
      </c>
      <c t="s" s="6" r="AH371">
        <v>92</v>
      </c>
      <c s="6" r="AI371">
        <v>0</v>
      </c>
      <c t="s" s="6" r="AJ371">
        <v>92</v>
      </c>
      <c t="s" s="6" r="AK371">
        <v>92</v>
      </c>
      <c t="s" s="6" r="AL371">
        <v>92</v>
      </c>
      <c t="s" s="6" r="AM371">
        <v>92</v>
      </c>
      <c s="6" r="AN371">
        <v>0</v>
      </c>
      <c s="6" r="AP371">
        <v>0</v>
      </c>
      <c t="s" s="6" r="AR371">
        <v>3092</v>
      </c>
      <c s="6" r="AS371">
        <v>0</v>
      </c>
      <c s="6" r="AT371">
        <v>0</v>
      </c>
      <c s="6" r="AU371">
        <v>0</v>
      </c>
      <c s="6" r="AV371">
        <v>0</v>
      </c>
      <c s="6" r="AW371">
        <v>0</v>
      </c>
      <c s="6" r="AX371">
        <v>0</v>
      </c>
      <c s="6" r="AY371">
        <v>0</v>
      </c>
      <c s="6" r="AZ371">
        <v>0</v>
      </c>
      <c s="6" r="BA371">
        <v>0</v>
      </c>
      <c s="6" r="BB371">
        <v>0</v>
      </c>
      <c s="6" r="BC371">
        <v>0</v>
      </c>
      <c s="6" r="BD371">
        <v>0</v>
      </c>
      <c s="6" r="BE371">
        <v>0</v>
      </c>
      <c s="6" r="BF371">
        <v>0</v>
      </c>
      <c s="6" r="BG371">
        <v>0</v>
      </c>
      <c s="6" r="BH371">
        <v>0</v>
      </c>
      <c s="6" r="BI371">
        <v>0</v>
      </c>
      <c s="6" r="BJ371">
        <v>0</v>
      </c>
      <c s="6" r="BK371">
        <v>0</v>
      </c>
      <c s="6" r="BL371">
        <v>0</v>
      </c>
      <c s="6" r="BM371">
        <v>0</v>
      </c>
      <c s="6" r="BN371">
        <v>0</v>
      </c>
      <c s="6" r="BO371">
        <v>0</v>
      </c>
      <c s="6" r="BP371">
        <v>0</v>
      </c>
      <c s="6" r="BQ371">
        <v>0</v>
      </c>
      <c t="str" s="6" r="BR371">
        <f>HYPERLINK("http://www.d20pfsrd.com/magic/all-spells/o/open-close","Open/Close")</f>
        <v>Open/Close</v>
      </c>
      <c s="6" r="BS371">
        <v>371</v>
      </c>
      <c t="s" s="6" r="BT371">
        <v>92</v>
      </c>
      <c s="6" r="BY371">
        <v>0</v>
      </c>
    </row>
    <row customHeight="1" r="372" ht="14.25">
      <c t="s" s="6" r="A372">
        <v>3093</v>
      </c>
      <c t="s" s="6" r="B372">
        <v>493</v>
      </c>
      <c t="s" s="6" r="D372">
        <v>61</v>
      </c>
      <c t="s" s="6" r="E372">
        <v>719</v>
      </c>
      <c t="s" s="6" r="F372">
        <v>81</v>
      </c>
      <c t="s" s="6" r="G372">
        <v>106</v>
      </c>
      <c s="6" r="H372">
        <v>0</v>
      </c>
      <c t="s" s="6" r="I372">
        <v>97</v>
      </c>
      <c t="s" s="6" r="J372">
        <v>3094</v>
      </c>
      <c t="s" s="6" r="M372">
        <v>2360</v>
      </c>
      <c s="6" r="N372">
        <v>0</v>
      </c>
      <c s="6" r="O372">
        <v>0</v>
      </c>
      <c t="s" s="6" r="P372">
        <v>722</v>
      </c>
      <c t="s" s="6" r="Q372">
        <v>188</v>
      </c>
      <c t="s" s="6" r="R372">
        <v>3095</v>
      </c>
      <c t="s" s="6" r="S372">
        <v>3096</v>
      </c>
      <c t="s" s="6" r="T372">
        <v>90</v>
      </c>
      <c t="s" s="6" r="U372">
        <v>3097</v>
      </c>
      <c s="6" r="V372">
        <v>1</v>
      </c>
      <c s="6" r="W372">
        <v>1</v>
      </c>
      <c s="6" r="X372">
        <v>0</v>
      </c>
      <c s="6" r="Y372">
        <v>0</v>
      </c>
      <c s="6" r="Z372">
        <v>0</v>
      </c>
      <c t="s" s="6" r="AA372">
        <v>92</v>
      </c>
      <c t="s" s="6" r="AB372">
        <v>92</v>
      </c>
      <c s="6" r="AC372">
        <v>4</v>
      </c>
      <c t="s" s="6" r="AD372">
        <v>92</v>
      </c>
      <c t="s" s="6" r="AE372">
        <v>92</v>
      </c>
      <c t="s" s="6" r="AF372">
        <v>92</v>
      </c>
      <c t="s" s="6" r="AG372">
        <v>92</v>
      </c>
      <c t="s" s="6" r="AH372">
        <v>92</v>
      </c>
      <c t="s" s="6" r="AI372">
        <v>92</v>
      </c>
      <c t="s" s="6" r="AJ372">
        <v>92</v>
      </c>
      <c s="6" r="AK372">
        <v>4</v>
      </c>
      <c s="6" r="AL372">
        <v>4</v>
      </c>
      <c t="s" s="6" r="AM372">
        <v>92</v>
      </c>
      <c t="s" s="6" r="AN372">
        <v>92</v>
      </c>
      <c s="6" r="AP372">
        <v>4</v>
      </c>
      <c t="s" s="6" r="AQ372">
        <v>1339</v>
      </c>
      <c t="s" s="6" r="AR372">
        <v>3098</v>
      </c>
      <c s="6" r="AS372">
        <v>0</v>
      </c>
      <c s="6" r="AT372">
        <v>0</v>
      </c>
      <c s="6" r="AU372">
        <v>0</v>
      </c>
      <c s="6" r="AV372">
        <v>0</v>
      </c>
      <c s="6" r="AW372">
        <v>0</v>
      </c>
      <c s="6" r="AX372">
        <v>0</v>
      </c>
      <c s="6" r="AY372">
        <v>0</v>
      </c>
      <c s="6" r="AZ372">
        <v>0</v>
      </c>
      <c s="6" r="BA372">
        <v>0</v>
      </c>
      <c s="6" r="BB372">
        <v>0</v>
      </c>
      <c s="6" r="BC372">
        <v>0</v>
      </c>
      <c s="6" r="BD372">
        <v>0</v>
      </c>
      <c s="6" r="BE372">
        <v>0</v>
      </c>
      <c s="6" r="BF372">
        <v>0</v>
      </c>
      <c s="6" r="BG372">
        <v>0</v>
      </c>
      <c s="6" r="BH372">
        <v>0</v>
      </c>
      <c s="6" r="BI372">
        <v>0</v>
      </c>
      <c s="6" r="BJ372">
        <v>1</v>
      </c>
      <c s="6" r="BK372">
        <v>0</v>
      </c>
      <c s="6" r="BL372">
        <v>0</v>
      </c>
      <c s="6" r="BM372">
        <v>0</v>
      </c>
      <c s="6" r="BN372">
        <v>0</v>
      </c>
      <c s="6" r="BO372">
        <v>0</v>
      </c>
      <c s="6" r="BP372">
        <v>0</v>
      </c>
      <c s="6" r="BQ372">
        <v>0</v>
      </c>
      <c t="str" s="6" r="BR372">
        <f>HYPERLINK("http://www.d20pfsrd.com/magic/all-spells/o/order-s-wrath","Order's Wrath")</f>
        <v>Order's Wrath</v>
      </c>
      <c s="6" r="BS372">
        <v>372</v>
      </c>
      <c t="s" s="6" r="BT372">
        <v>92</v>
      </c>
      <c t="s" s="6" r="BW372">
        <v>3099</v>
      </c>
      <c s="6" r="BY372">
        <v>1</v>
      </c>
    </row>
    <row customHeight="1" r="373" ht="14.25">
      <c t="s" s="6" r="A373">
        <v>3100</v>
      </c>
      <c t="s" s="6" r="B373">
        <v>131</v>
      </c>
      <c t="s" s="6" r="E373">
        <v>3101</v>
      </c>
      <c t="s" s="6" r="F373">
        <v>81</v>
      </c>
      <c t="s" s="6" r="G373">
        <v>106</v>
      </c>
      <c s="6" r="H373">
        <v>0</v>
      </c>
      <c t="s" s="6" r="I373">
        <v>155</v>
      </c>
      <c t="s" s="6" r="L373">
        <v>156</v>
      </c>
      <c t="s" s="6" r="M373">
        <v>209</v>
      </c>
      <c s="6" r="N373">
        <v>0</v>
      </c>
      <c s="6" r="O373">
        <v>0</v>
      </c>
      <c t="s" s="6" r="R373">
        <v>3102</v>
      </c>
      <c t="s" s="6" r="S373">
        <v>3103</v>
      </c>
      <c t="s" s="6" r="T373">
        <v>90</v>
      </c>
      <c t="s" s="6" r="U373">
        <v>3104</v>
      </c>
      <c s="6" r="V373">
        <v>1</v>
      </c>
      <c s="6" r="W373">
        <v>1</v>
      </c>
      <c s="6" r="X373">
        <v>0</v>
      </c>
      <c s="6" r="Y373">
        <v>0</v>
      </c>
      <c s="6" r="Z373">
        <v>0</v>
      </c>
      <c s="6" r="AA373">
        <v>5</v>
      </c>
      <c s="6" r="AB373">
        <v>5</v>
      </c>
      <c t="s" s="6" r="AC373">
        <v>92</v>
      </c>
      <c t="s" s="6" r="AD373">
        <v>92</v>
      </c>
      <c t="s" s="6" r="AE373">
        <v>92</v>
      </c>
      <c t="s" s="6" r="AF373">
        <v>92</v>
      </c>
      <c t="s" s="6" r="AG373">
        <v>92</v>
      </c>
      <c s="6" r="AH373">
        <v>5</v>
      </c>
      <c s="6" r="AI373">
        <v>4</v>
      </c>
      <c s="6" r="AJ373">
        <v>5</v>
      </c>
      <c t="s" s="6" r="AK373">
        <v>92</v>
      </c>
      <c t="s" s="6" r="AL373">
        <v>92</v>
      </c>
      <c t="s" s="6" r="AM373">
        <v>92</v>
      </c>
      <c s="6" r="AN373">
        <v>5</v>
      </c>
      <c s="6" r="AP373">
        <v>5</v>
      </c>
      <c t="s" s="6" r="AQ373">
        <v>1890</v>
      </c>
      <c t="s" s="6" r="AR373">
        <v>3105</v>
      </c>
      <c s="6" r="AS373">
        <v>0</v>
      </c>
      <c s="6" r="AT373">
        <v>0</v>
      </c>
      <c s="6" r="AU373">
        <v>0</v>
      </c>
      <c s="6" r="AV373">
        <v>0</v>
      </c>
      <c s="6" r="AW373">
        <v>0</v>
      </c>
      <c s="6" r="AX373">
        <v>0</v>
      </c>
      <c s="6" r="AY373">
        <v>0</v>
      </c>
      <c s="6" r="AZ373">
        <v>0</v>
      </c>
      <c s="6" r="BA373">
        <v>0</v>
      </c>
      <c s="6" r="BB373">
        <v>0</v>
      </c>
      <c s="6" r="BC373">
        <v>0</v>
      </c>
      <c s="6" r="BD373">
        <v>0</v>
      </c>
      <c s="6" r="BE373">
        <v>0</v>
      </c>
      <c s="6" r="BF373">
        <v>0</v>
      </c>
      <c s="6" r="BG373">
        <v>0</v>
      </c>
      <c s="6" r="BH373">
        <v>0</v>
      </c>
      <c s="6" r="BI373">
        <v>0</v>
      </c>
      <c s="6" r="BJ373">
        <v>0</v>
      </c>
      <c s="6" r="BK373">
        <v>0</v>
      </c>
      <c s="6" r="BL373">
        <v>0</v>
      </c>
      <c s="6" r="BM373">
        <v>0</v>
      </c>
      <c s="6" r="BN373">
        <v>0</v>
      </c>
      <c s="6" r="BO373">
        <v>0</v>
      </c>
      <c s="6" r="BP373">
        <v>0</v>
      </c>
      <c s="6" r="BQ373">
        <v>0</v>
      </c>
      <c t="str" s="6" r="BR373">
        <f>HYPERLINK("http://www.d20pfsrd.com/magic/all-spells/o/overland-flight","Overland Flight")</f>
        <v>Overland Flight</v>
      </c>
      <c s="6" r="BS373">
        <v>373</v>
      </c>
      <c t="s" s="6" r="BT373">
        <v>92</v>
      </c>
      <c t="s" s="6" r="BU373">
        <v>3106</v>
      </c>
      <c s="6" r="BY373">
        <v>0</v>
      </c>
    </row>
    <row customHeight="1" r="374" ht="14.25">
      <c t="s" s="6" r="A374">
        <v>3107</v>
      </c>
      <c t="s" s="6" r="B374">
        <v>131</v>
      </c>
      <c t="s" s="6" r="E374">
        <v>3108</v>
      </c>
      <c t="s" s="6" r="F374">
        <v>81</v>
      </c>
      <c t="s" s="6" r="G374">
        <v>3109</v>
      </c>
      <c s="6" r="H374">
        <v>0</v>
      </c>
      <c t="s" s="6" r="I374">
        <v>120</v>
      </c>
      <c t="s" s="6" r="L374">
        <v>420</v>
      </c>
      <c t="s" s="6" r="M374">
        <v>122</v>
      </c>
      <c s="6" r="N374">
        <v>0</v>
      </c>
      <c s="6" r="O374">
        <v>0</v>
      </c>
      <c t="s" s="6" r="P374">
        <v>421</v>
      </c>
      <c t="s" s="6" r="Q374">
        <v>188</v>
      </c>
      <c t="s" s="6" r="R374">
        <v>3110</v>
      </c>
      <c t="s" s="6" r="S374">
        <v>3111</v>
      </c>
      <c t="s" s="6" r="T374">
        <v>90</v>
      </c>
      <c t="s" s="6" r="U374">
        <v>3112</v>
      </c>
      <c s="6" r="V374">
        <v>1</v>
      </c>
      <c s="6" r="W374">
        <v>1</v>
      </c>
      <c s="6" r="X374">
        <v>1</v>
      </c>
      <c s="6" r="Y374">
        <v>0</v>
      </c>
      <c s="6" r="Z374">
        <v>1</v>
      </c>
      <c s="6" r="AA374">
        <v>2</v>
      </c>
      <c s="6" r="AB374">
        <v>2</v>
      </c>
      <c s="6" r="AC374">
        <v>2</v>
      </c>
      <c s="6" r="AD374">
        <v>2</v>
      </c>
      <c s="6" r="AE374">
        <v>2</v>
      </c>
      <c t="s" s="6" r="AF374">
        <v>92</v>
      </c>
      <c s="6" r="AG374">
        <v>2</v>
      </c>
      <c s="6" r="AH374">
        <v>2</v>
      </c>
      <c s="6" r="AI374">
        <v>2</v>
      </c>
      <c t="s" s="6" r="AJ374">
        <v>92</v>
      </c>
      <c t="s" s="6" r="AK374">
        <v>92</v>
      </c>
      <c s="6" r="AL374">
        <v>2</v>
      </c>
      <c t="s" s="6" r="AM374">
        <v>92</v>
      </c>
      <c t="s" s="6" r="AN374">
        <v>92</v>
      </c>
      <c s="6" r="AP374">
        <v>2</v>
      </c>
      <c t="s" s="6" r="AR374">
        <v>3113</v>
      </c>
      <c s="6" r="AS374">
        <v>0</v>
      </c>
      <c s="6" r="AT374">
        <v>0</v>
      </c>
      <c s="6" r="AU374">
        <v>0</v>
      </c>
      <c s="6" r="AV374">
        <v>0</v>
      </c>
      <c s="6" r="AW374">
        <v>0</v>
      </c>
      <c s="6" r="AX374">
        <v>0</v>
      </c>
      <c s="6" r="AY374">
        <v>0</v>
      </c>
      <c s="6" r="AZ374">
        <v>0</v>
      </c>
      <c s="6" r="BA374">
        <v>0</v>
      </c>
      <c s="6" r="BB374">
        <v>0</v>
      </c>
      <c s="6" r="BC374">
        <v>0</v>
      </c>
      <c s="6" r="BD374">
        <v>0</v>
      </c>
      <c s="6" r="BE374">
        <v>0</v>
      </c>
      <c s="6" r="BF374">
        <v>0</v>
      </c>
      <c s="6" r="BG374">
        <v>0</v>
      </c>
      <c s="6" r="BH374">
        <v>0</v>
      </c>
      <c s="6" r="BI374">
        <v>0</v>
      </c>
      <c s="6" r="BJ374">
        <v>0</v>
      </c>
      <c s="6" r="BK374">
        <v>0</v>
      </c>
      <c s="6" r="BL374">
        <v>0</v>
      </c>
      <c s="6" r="BM374">
        <v>0</v>
      </c>
      <c s="6" r="BN374">
        <v>0</v>
      </c>
      <c s="6" r="BO374">
        <v>0</v>
      </c>
      <c s="6" r="BP374">
        <v>0</v>
      </c>
      <c s="6" r="BQ374">
        <v>0</v>
      </c>
      <c t="str" s="6" r="BR374">
        <f>HYPERLINK("http://www.d20pfsrd.com/magic/all-spells/o/owl-s-wisdom","Owl's Wisdom")</f>
        <v>Owl's Wisdom</v>
      </c>
      <c s="6" r="BS374">
        <v>374</v>
      </c>
      <c t="s" s="6" r="BT374">
        <v>92</v>
      </c>
      <c t="s" s="6" r="BV374">
        <v>3114</v>
      </c>
      <c s="6" r="BY374">
        <v>0</v>
      </c>
    </row>
    <row customHeight="1" r="375" ht="14.25">
      <c t="s" s="6" r="A375">
        <v>3115</v>
      </c>
      <c t="s" s="6" r="B375">
        <v>131</v>
      </c>
      <c t="s" s="6" r="E375">
        <v>3116</v>
      </c>
      <c t="s" s="6" r="F375">
        <v>81</v>
      </c>
      <c t="s" s="6" r="G375">
        <v>3109</v>
      </c>
      <c s="6" r="H375">
        <v>0</v>
      </c>
      <c t="s" s="6" r="I375">
        <v>107</v>
      </c>
      <c t="s" s="6" r="L375">
        <v>620</v>
      </c>
      <c t="s" s="6" r="M375">
        <v>122</v>
      </c>
      <c s="6" r="N375">
        <v>0</v>
      </c>
      <c s="6" r="O375">
        <v>0</v>
      </c>
      <c t="s" s="6" r="P375">
        <v>421</v>
      </c>
      <c t="s" s="6" r="Q375">
        <v>188</v>
      </c>
      <c t="s" s="6" r="R375">
        <v>3117</v>
      </c>
      <c t="s" s="6" r="S375">
        <v>3118</v>
      </c>
      <c t="s" s="6" r="T375">
        <v>90</v>
      </c>
      <c t="s" s="6" r="U375">
        <v>3119</v>
      </c>
      <c s="6" r="V375">
        <v>1</v>
      </c>
      <c s="6" r="W375">
        <v>1</v>
      </c>
      <c s="6" r="X375">
        <v>1</v>
      </c>
      <c s="6" r="Y375">
        <v>0</v>
      </c>
      <c s="6" r="Z375">
        <v>1</v>
      </c>
      <c s="6" r="AA375">
        <v>6</v>
      </c>
      <c s="6" r="AB375">
        <v>6</v>
      </c>
      <c s="6" r="AC375">
        <v>6</v>
      </c>
      <c s="6" r="AD375">
        <v>6</v>
      </c>
      <c t="s" s="6" r="AE375">
        <v>92</v>
      </c>
      <c t="s" s="6" r="AF375">
        <v>92</v>
      </c>
      <c t="s" s="6" r="AG375">
        <v>92</v>
      </c>
      <c t="s" s="6" r="AH375">
        <v>92</v>
      </c>
      <c s="6" r="AI375">
        <v>4</v>
      </c>
      <c t="s" s="6" r="AJ375">
        <v>92</v>
      </c>
      <c t="s" s="6" r="AK375">
        <v>92</v>
      </c>
      <c s="6" r="AL375">
        <v>6</v>
      </c>
      <c t="s" s="6" r="AM375">
        <v>92</v>
      </c>
      <c t="s" s="6" r="AN375">
        <v>92</v>
      </c>
      <c s="6" r="AP375">
        <v>6</v>
      </c>
      <c t="s" s="6" r="AR375">
        <v>3120</v>
      </c>
      <c s="6" r="AS375">
        <v>0</v>
      </c>
      <c s="6" r="AT375">
        <v>0</v>
      </c>
      <c s="6" r="AU375">
        <v>0</v>
      </c>
      <c s="6" r="AV375">
        <v>0</v>
      </c>
      <c s="6" r="AW375">
        <v>0</v>
      </c>
      <c s="6" r="AX375">
        <v>0</v>
      </c>
      <c s="6" r="AY375">
        <v>0</v>
      </c>
      <c s="6" r="AZ375">
        <v>0</v>
      </c>
      <c s="6" r="BA375">
        <v>0</v>
      </c>
      <c s="6" r="BB375">
        <v>0</v>
      </c>
      <c s="6" r="BC375">
        <v>0</v>
      </c>
      <c s="6" r="BD375">
        <v>0</v>
      </c>
      <c s="6" r="BE375">
        <v>0</v>
      </c>
      <c s="6" r="BF375">
        <v>0</v>
      </c>
      <c s="6" r="BG375">
        <v>0</v>
      </c>
      <c s="6" r="BH375">
        <v>0</v>
      </c>
      <c s="6" r="BI375">
        <v>0</v>
      </c>
      <c s="6" r="BJ375">
        <v>0</v>
      </c>
      <c s="6" r="BK375">
        <v>0</v>
      </c>
      <c s="6" r="BL375">
        <v>0</v>
      </c>
      <c s="6" r="BM375">
        <v>0</v>
      </c>
      <c s="6" r="BN375">
        <v>0</v>
      </c>
      <c s="6" r="BO375">
        <v>0</v>
      </c>
      <c s="6" r="BP375">
        <v>0</v>
      </c>
      <c s="6" r="BQ375">
        <v>0</v>
      </c>
      <c t="str" s="6" r="BR375">
        <f>HYPERLINK("http://www.d20pfsrd.com/magic/all-spells/o/owl-s-wisdom","Owl's Wisdom, Mass")</f>
        <v>Owl's Wisdom, Mass</v>
      </c>
      <c s="6" r="BS375">
        <v>375</v>
      </c>
      <c t="s" s="6" r="BT375">
        <v>92</v>
      </c>
      <c s="6" r="BY375">
        <v>0</v>
      </c>
    </row>
    <row customHeight="1" r="376" ht="14.25">
      <c t="s" s="6" r="A376">
        <v>3121</v>
      </c>
      <c t="s" s="6" r="B376">
        <v>131</v>
      </c>
      <c t="s" s="6" r="E376">
        <v>1709</v>
      </c>
      <c t="s" s="6" r="F376">
        <v>81</v>
      </c>
      <c t="s" s="6" r="G376">
        <v>3122</v>
      </c>
      <c s="6" r="H376">
        <v>0</v>
      </c>
      <c t="s" s="6" r="I376">
        <v>120</v>
      </c>
      <c t="s" s="6" r="K376">
        <v>3123</v>
      </c>
      <c t="s" s="6" r="M376">
        <v>209</v>
      </c>
      <c s="6" r="N376">
        <v>1</v>
      </c>
      <c s="6" r="O376">
        <v>0</v>
      </c>
      <c t="s" s="6" r="P376">
        <v>86</v>
      </c>
      <c t="s" s="6" r="Q376">
        <v>87</v>
      </c>
      <c t="s" s="6" r="R376">
        <v>3124</v>
      </c>
      <c t="s" s="6" r="S376">
        <v>3125</v>
      </c>
      <c t="s" s="6" r="T376">
        <v>90</v>
      </c>
      <c t="s" s="6" r="U376">
        <v>3126</v>
      </c>
      <c s="6" r="V376">
        <v>1</v>
      </c>
      <c s="6" r="W376">
        <v>1</v>
      </c>
      <c s="6" r="X376">
        <v>1</v>
      </c>
      <c s="6" r="Y376">
        <v>0</v>
      </c>
      <c s="6" r="Z376">
        <v>0</v>
      </c>
      <c s="6" r="AA376">
        <v>5</v>
      </c>
      <c s="6" r="AB376">
        <v>5</v>
      </c>
      <c t="s" s="6" r="AC376">
        <v>92</v>
      </c>
      <c t="s" s="6" r="AD376">
        <v>92</v>
      </c>
      <c t="s" s="6" r="AE376">
        <v>92</v>
      </c>
      <c t="s" s="6" r="AF376">
        <v>92</v>
      </c>
      <c t="s" s="6" r="AG376">
        <v>92</v>
      </c>
      <c t="s" s="6" r="AH376">
        <v>92</v>
      </c>
      <c t="s" s="6" r="AI376">
        <v>92</v>
      </c>
      <c t="s" s="6" r="AJ376">
        <v>92</v>
      </c>
      <c t="s" s="6" r="AK376">
        <v>92</v>
      </c>
      <c t="s" s="6" r="AL376">
        <v>92</v>
      </c>
      <c t="s" s="6" r="AM376">
        <v>92</v>
      </c>
      <c t="s" s="6" r="AN376">
        <v>92</v>
      </c>
      <c s="6" r="AP376">
        <v>5</v>
      </c>
      <c t="s" s="6" r="AR376">
        <v>3127</v>
      </c>
      <c s="6" r="AS376">
        <v>0</v>
      </c>
      <c s="6" r="AT376">
        <v>0</v>
      </c>
      <c s="6" r="AU376">
        <v>0</v>
      </c>
      <c s="6" r="AV376">
        <v>0</v>
      </c>
      <c s="6" r="AW376">
        <v>0</v>
      </c>
      <c s="6" r="AX376">
        <v>0</v>
      </c>
      <c s="6" r="AY376">
        <v>0</v>
      </c>
      <c s="6" r="AZ376">
        <v>0</v>
      </c>
      <c s="6" r="BA376">
        <v>0</v>
      </c>
      <c s="6" r="BB376">
        <v>0</v>
      </c>
      <c s="6" r="BC376">
        <v>0</v>
      </c>
      <c s="6" r="BD376">
        <v>0</v>
      </c>
      <c s="6" r="BE376">
        <v>0</v>
      </c>
      <c s="6" r="BF376">
        <v>0</v>
      </c>
      <c s="6" r="BG376">
        <v>0</v>
      </c>
      <c s="6" r="BH376">
        <v>0</v>
      </c>
      <c s="6" r="BI376">
        <v>0</v>
      </c>
      <c s="6" r="BJ376">
        <v>0</v>
      </c>
      <c s="6" r="BK376">
        <v>0</v>
      </c>
      <c s="6" r="BL376">
        <v>0</v>
      </c>
      <c s="6" r="BM376">
        <v>0</v>
      </c>
      <c s="6" r="BN376">
        <v>0</v>
      </c>
      <c s="6" r="BO376">
        <v>0</v>
      </c>
      <c s="6" r="BP376">
        <v>0</v>
      </c>
      <c s="6" r="BQ376">
        <v>0</v>
      </c>
      <c t="str" s="6" r="BR376">
        <f>HYPERLINK("http://www.d20pfsrd.com/magic/all-spells/p/passwall","Passwall")</f>
        <v>Passwall</v>
      </c>
      <c s="6" r="BS376">
        <v>376</v>
      </c>
      <c t="s" s="6" r="BT376">
        <v>92</v>
      </c>
      <c t="s" s="6" r="BV376">
        <v>575</v>
      </c>
      <c s="6" r="BY376">
        <v>0</v>
      </c>
    </row>
    <row customHeight="1" r="377" ht="14.25">
      <c t="s" s="6" r="A377">
        <v>3128</v>
      </c>
      <c t="s" s="6" r="B377">
        <v>131</v>
      </c>
      <c t="s" s="6" r="E377">
        <v>656</v>
      </c>
      <c t="s" s="6" r="F377">
        <v>81</v>
      </c>
      <c t="s" s="6" r="G377">
        <v>119</v>
      </c>
      <c s="6" r="H377">
        <v>0</v>
      </c>
      <c t="s" s="6" r="I377">
        <v>120</v>
      </c>
      <c t="s" s="6" r="L377">
        <v>3129</v>
      </c>
      <c t="s" s="6" r="M377">
        <v>209</v>
      </c>
      <c s="6" r="N377">
        <v>1</v>
      </c>
      <c s="6" r="O377">
        <v>0</v>
      </c>
      <c t="s" s="6" r="P377">
        <v>421</v>
      </c>
      <c t="s" s="6" r="Q377">
        <v>123</v>
      </c>
      <c t="s" s="6" r="R377">
        <v>3130</v>
      </c>
      <c t="s" s="6" r="S377">
        <v>3131</v>
      </c>
      <c t="s" s="6" r="T377">
        <v>90</v>
      </c>
      <c t="s" s="6" r="U377">
        <v>3132</v>
      </c>
      <c s="6" r="V377">
        <v>1</v>
      </c>
      <c s="6" r="W377">
        <v>1</v>
      </c>
      <c s="6" r="X377">
        <v>0</v>
      </c>
      <c s="6" r="Y377">
        <v>0</v>
      </c>
      <c s="6" r="Z377">
        <v>1</v>
      </c>
      <c t="s" s="6" r="AA377">
        <v>92</v>
      </c>
      <c t="s" s="6" r="AB377">
        <v>92</v>
      </c>
      <c t="s" s="6" r="AC377">
        <v>92</v>
      </c>
      <c s="6" r="AD377">
        <v>1</v>
      </c>
      <c s="6" r="AE377">
        <v>1</v>
      </c>
      <c t="s" s="6" r="AF377">
        <v>92</v>
      </c>
      <c t="s" s="6" r="AG377">
        <v>92</v>
      </c>
      <c t="s" s="6" r="AH377">
        <v>92</v>
      </c>
      <c t="s" s="6" r="AI377">
        <v>92</v>
      </c>
      <c t="s" s="6" r="AJ377">
        <v>92</v>
      </c>
      <c t="s" s="6" r="AK377">
        <v>92</v>
      </c>
      <c t="s" s="6" r="AL377">
        <v>92</v>
      </c>
      <c t="s" s="6" r="AM377">
        <v>92</v>
      </c>
      <c t="s" s="6" r="AN377">
        <v>92</v>
      </c>
      <c s="6" r="AP377">
        <v>1</v>
      </c>
      <c t="s" s="6" r="AR377">
        <v>3133</v>
      </c>
      <c s="6" r="AS377">
        <v>0</v>
      </c>
      <c s="6" r="AT377">
        <v>0</v>
      </c>
      <c s="6" r="AU377">
        <v>0</v>
      </c>
      <c s="6" r="AV377">
        <v>0</v>
      </c>
      <c s="6" r="AW377">
        <v>0</v>
      </c>
      <c s="6" r="AX377">
        <v>0</v>
      </c>
      <c s="6" r="AY377">
        <v>0</v>
      </c>
      <c s="6" r="AZ377">
        <v>0</v>
      </c>
      <c s="6" r="BA377">
        <v>0</v>
      </c>
      <c s="6" r="BB377">
        <v>0</v>
      </c>
      <c s="6" r="BC377">
        <v>0</v>
      </c>
      <c s="6" r="BD377">
        <v>0</v>
      </c>
      <c s="6" r="BE377">
        <v>0</v>
      </c>
      <c s="6" r="BF377">
        <v>0</v>
      </c>
      <c s="6" r="BG377">
        <v>0</v>
      </c>
      <c s="6" r="BH377">
        <v>0</v>
      </c>
      <c s="6" r="BI377">
        <v>0</v>
      </c>
      <c s="6" r="BJ377">
        <v>0</v>
      </c>
      <c s="6" r="BK377">
        <v>0</v>
      </c>
      <c s="6" r="BL377">
        <v>0</v>
      </c>
      <c s="6" r="BM377">
        <v>0</v>
      </c>
      <c s="6" r="BN377">
        <v>0</v>
      </c>
      <c s="6" r="BO377">
        <v>0</v>
      </c>
      <c s="6" r="BP377">
        <v>0</v>
      </c>
      <c s="6" r="BQ377">
        <v>0</v>
      </c>
      <c t="str" s="6" r="BR377">
        <f>HYPERLINK("http://www.d20pfsrd.com/magic/all-spells/p/pass-without-trace","Pass without Trace")</f>
        <v>Pass without Trace</v>
      </c>
      <c s="6" r="BS377">
        <v>377</v>
      </c>
      <c t="s" s="6" r="BT377">
        <v>92</v>
      </c>
      <c s="6" r="BY377">
        <v>0</v>
      </c>
    </row>
    <row customHeight="1" r="378" ht="14.25">
      <c t="s" s="6" r="A378">
        <v>3134</v>
      </c>
      <c t="s" s="6" r="B378">
        <v>330</v>
      </c>
      <c t="s" s="6" r="E378">
        <v>1709</v>
      </c>
      <c t="s" s="6" r="F378">
        <v>3135</v>
      </c>
      <c t="s" s="6" r="G378">
        <v>3136</v>
      </c>
      <c s="6" r="H378">
        <v>1</v>
      </c>
      <c t="s" s="6" r="I378">
        <v>141</v>
      </c>
      <c t="s" s="6" r="L378">
        <v>141</v>
      </c>
      <c t="s" s="6" r="M378">
        <v>2896</v>
      </c>
      <c s="6" r="N378">
        <v>0</v>
      </c>
      <c s="6" r="O378">
        <v>0</v>
      </c>
      <c t="s" s="6" r="P378">
        <v>86</v>
      </c>
      <c t="s" s="6" r="Q378">
        <v>87</v>
      </c>
      <c t="s" s="6" r="R378">
        <v>3137</v>
      </c>
      <c t="s" s="6" r="S378">
        <v>3138</v>
      </c>
      <c t="s" s="6" r="T378">
        <v>90</v>
      </c>
      <c t="s" s="6" r="U378">
        <v>3139</v>
      </c>
      <c s="6" r="V378">
        <v>1</v>
      </c>
      <c s="6" r="W378">
        <v>1</v>
      </c>
      <c s="6" r="X378">
        <v>1</v>
      </c>
      <c s="6" r="Y378">
        <v>0</v>
      </c>
      <c s="6" r="Z378">
        <v>0</v>
      </c>
      <c s="6" r="AA378">
        <v>5</v>
      </c>
      <c s="6" r="AB378">
        <v>5</v>
      </c>
      <c t="s" s="6" r="AC378">
        <v>92</v>
      </c>
      <c t="s" s="6" r="AD378">
        <v>92</v>
      </c>
      <c t="s" s="6" r="AE378">
        <v>92</v>
      </c>
      <c t="s" s="6" r="AF378">
        <v>92</v>
      </c>
      <c t="s" s="6" r="AG378">
        <v>92</v>
      </c>
      <c t="s" s="6" r="AH378">
        <v>92</v>
      </c>
      <c t="s" s="6" r="AI378">
        <v>92</v>
      </c>
      <c t="s" s="6" r="AJ378">
        <v>92</v>
      </c>
      <c t="s" s="6" r="AK378">
        <v>92</v>
      </c>
      <c t="s" s="6" r="AL378">
        <v>92</v>
      </c>
      <c t="s" s="6" r="AM378">
        <v>92</v>
      </c>
      <c t="s" s="6" r="AN378">
        <v>92</v>
      </c>
      <c s="6" r="AP378">
        <v>5</v>
      </c>
      <c t="s" s="6" r="AR378">
        <v>3140</v>
      </c>
      <c s="6" r="AS378">
        <v>0</v>
      </c>
      <c s="6" r="AT378">
        <v>0</v>
      </c>
      <c s="6" r="AU378">
        <v>0</v>
      </c>
      <c s="6" r="AV378">
        <v>0</v>
      </c>
      <c s="6" r="AW378">
        <v>0</v>
      </c>
      <c s="6" r="AX378">
        <v>0</v>
      </c>
      <c s="6" r="AY378">
        <v>0</v>
      </c>
      <c s="6" r="AZ378">
        <v>0</v>
      </c>
      <c s="6" r="BA378">
        <v>0</v>
      </c>
      <c s="6" r="BB378">
        <v>0</v>
      </c>
      <c s="6" r="BC378">
        <v>0</v>
      </c>
      <c s="6" r="BD378">
        <v>0</v>
      </c>
      <c s="6" r="BE378">
        <v>0</v>
      </c>
      <c s="6" r="BF378">
        <v>0</v>
      </c>
      <c s="6" r="BG378">
        <v>0</v>
      </c>
      <c s="6" r="BH378">
        <v>0</v>
      </c>
      <c s="6" r="BI378">
        <v>0</v>
      </c>
      <c s="6" r="BJ378">
        <v>0</v>
      </c>
      <c s="6" r="BK378">
        <v>0</v>
      </c>
      <c s="6" r="BL378">
        <v>0</v>
      </c>
      <c s="6" r="BM378">
        <v>0</v>
      </c>
      <c s="6" r="BN378">
        <v>0</v>
      </c>
      <c s="6" r="BO378">
        <v>0</v>
      </c>
      <c s="6" r="BP378">
        <v>0</v>
      </c>
      <c s="6" r="BQ378">
        <v>0</v>
      </c>
      <c t="str" s="6" r="BR378">
        <f>HYPERLINK("http://www.d20pfsrd.com/magic/all-spells/p/permanency","Permanency")</f>
        <v>Permanency</v>
      </c>
      <c s="6" r="BS378">
        <v>378</v>
      </c>
      <c s="6" r="BT378">
        <v>0</v>
      </c>
      <c s="6" r="BY378">
        <v>0</v>
      </c>
    </row>
    <row customHeight="1" r="379" ht="14.25">
      <c t="s" s="6" r="A379">
        <v>3141</v>
      </c>
      <c t="s" s="6" r="B379">
        <v>579</v>
      </c>
      <c t="s" s="6" r="C379">
        <v>2047</v>
      </c>
      <c t="s" s="6" r="E379">
        <v>3142</v>
      </c>
      <c t="s" s="6" r="F379">
        <v>81</v>
      </c>
      <c t="s" s="6" r="G379">
        <v>2879</v>
      </c>
      <c s="6" r="H379">
        <v>0</v>
      </c>
      <c t="s" s="6" r="I379">
        <v>83</v>
      </c>
      <c t="s" s="6" r="K379">
        <v>3143</v>
      </c>
      <c t="s" s="6" r="M379">
        <v>323</v>
      </c>
      <c s="6" r="N379">
        <v>1</v>
      </c>
      <c s="6" r="O379">
        <v>0</v>
      </c>
      <c t="s" s="6" r="P379">
        <v>2197</v>
      </c>
      <c t="s" s="6" r="Q379">
        <v>87</v>
      </c>
      <c t="s" s="6" r="R379">
        <v>3144</v>
      </c>
      <c t="s" s="6" r="S379">
        <v>3145</v>
      </c>
      <c t="s" s="6" r="T379">
        <v>90</v>
      </c>
      <c t="s" s="6" r="U379">
        <v>3146</v>
      </c>
      <c s="6" r="V379">
        <v>1</v>
      </c>
      <c s="6" r="W379">
        <v>1</v>
      </c>
      <c s="6" r="X379">
        <v>0</v>
      </c>
      <c s="6" r="Y379">
        <v>1</v>
      </c>
      <c s="6" r="Z379">
        <v>0</v>
      </c>
      <c s="6" r="AA379">
        <v>6</v>
      </c>
      <c s="6" r="AB379">
        <v>6</v>
      </c>
      <c t="s" s="6" r="AC379">
        <v>92</v>
      </c>
      <c t="s" s="6" r="AD379">
        <v>92</v>
      </c>
      <c t="s" s="6" r="AE379">
        <v>92</v>
      </c>
      <c s="6" r="AF379">
        <v>6</v>
      </c>
      <c t="s" s="6" r="AG379">
        <v>92</v>
      </c>
      <c t="s" s="6" r="AH379">
        <v>92</v>
      </c>
      <c t="s" s="6" r="AI379">
        <v>92</v>
      </c>
      <c t="s" s="6" r="AJ379">
        <v>92</v>
      </c>
      <c t="s" s="6" r="AK379">
        <v>92</v>
      </c>
      <c t="s" s="6" r="AL379">
        <v>92</v>
      </c>
      <c t="s" s="6" r="AM379">
        <v>92</v>
      </c>
      <c t="s" s="6" r="AN379">
        <v>92</v>
      </c>
      <c s="6" r="AP379">
        <v>6</v>
      </c>
      <c t="s" s="6" r="AR379">
        <v>3147</v>
      </c>
      <c s="6" r="AS379">
        <v>0</v>
      </c>
      <c s="6" r="AT379">
        <v>0</v>
      </c>
      <c s="6" r="AU379">
        <v>0</v>
      </c>
      <c s="6" r="AV379">
        <v>0</v>
      </c>
      <c s="6" r="AW379">
        <v>0</v>
      </c>
      <c s="6" r="AX379">
        <v>0</v>
      </c>
      <c s="6" r="AY379">
        <v>0</v>
      </c>
      <c s="6" r="AZ379">
        <v>0</v>
      </c>
      <c s="6" r="BA379">
        <v>0</v>
      </c>
      <c s="6" r="BB379">
        <v>0</v>
      </c>
      <c s="6" r="BC379">
        <v>0</v>
      </c>
      <c s="6" r="BD379">
        <v>0</v>
      </c>
      <c s="6" r="BE379">
        <v>0</v>
      </c>
      <c s="6" r="BF379">
        <v>0</v>
      </c>
      <c s="6" r="BG379">
        <v>0</v>
      </c>
      <c s="6" r="BH379">
        <v>0</v>
      </c>
      <c s="6" r="BI379">
        <v>0</v>
      </c>
      <c s="6" r="BJ379">
        <v>0</v>
      </c>
      <c s="6" r="BK379">
        <v>0</v>
      </c>
      <c s="6" r="BL379">
        <v>0</v>
      </c>
      <c s="6" r="BM379">
        <v>0</v>
      </c>
      <c s="6" r="BN379">
        <v>0</v>
      </c>
      <c s="6" r="BO379">
        <v>0</v>
      </c>
      <c s="6" r="BP379">
        <v>0</v>
      </c>
      <c s="6" r="BQ379">
        <v>0</v>
      </c>
      <c t="str" s="6" r="BR379">
        <f>HYPERLINK("http://www.d20pfsrd.com/magic/all-spells/p/permanent-image","Permanent Image")</f>
        <v>Permanent Image</v>
      </c>
      <c s="6" r="BS379">
        <v>379</v>
      </c>
      <c t="s" s="6" r="BT379">
        <v>92</v>
      </c>
      <c s="6" r="BY379">
        <v>0</v>
      </c>
    </row>
    <row customHeight="1" r="380" ht="14.25">
      <c t="s" s="6" r="A380">
        <v>3148</v>
      </c>
      <c t="s" s="6" r="B380">
        <v>579</v>
      </c>
      <c t="s" s="6" r="C380">
        <v>2047</v>
      </c>
      <c t="s" s="6" r="E380">
        <v>1734</v>
      </c>
      <c t="s" s="6" r="F380">
        <v>81</v>
      </c>
      <c t="s" s="6" r="G380">
        <v>2879</v>
      </c>
      <c s="6" r="H380">
        <v>0</v>
      </c>
      <c t="s" s="6" r="I380">
        <v>83</v>
      </c>
      <c t="s" s="6" r="K380">
        <v>2880</v>
      </c>
      <c t="s" s="6" r="M380">
        <v>122</v>
      </c>
      <c s="6" r="N380">
        <v>1</v>
      </c>
      <c s="6" r="O380">
        <v>0</v>
      </c>
      <c t="s" s="6" r="P380">
        <v>2197</v>
      </c>
      <c t="s" s="6" r="Q380">
        <v>87</v>
      </c>
      <c t="s" s="6" r="R380">
        <v>3149</v>
      </c>
      <c t="s" s="6" r="S380">
        <v>3150</v>
      </c>
      <c t="s" s="6" r="T380">
        <v>90</v>
      </c>
      <c t="s" s="6" r="U380">
        <v>3151</v>
      </c>
      <c s="6" r="V380">
        <v>1</v>
      </c>
      <c s="6" r="W380">
        <v>1</v>
      </c>
      <c s="6" r="X380">
        <v>0</v>
      </c>
      <c s="6" r="Y380">
        <v>1</v>
      </c>
      <c s="6" r="Z380">
        <v>0</v>
      </c>
      <c s="6" r="AA380">
        <v>5</v>
      </c>
      <c s="6" r="AB380">
        <v>5</v>
      </c>
      <c t="s" s="6" r="AC380">
        <v>92</v>
      </c>
      <c t="s" s="6" r="AD380">
        <v>92</v>
      </c>
      <c t="s" s="6" r="AE380">
        <v>92</v>
      </c>
      <c s="6" r="AF380">
        <v>5</v>
      </c>
      <c t="s" s="6" r="AG380">
        <v>92</v>
      </c>
      <c t="s" s="6" r="AH380">
        <v>92</v>
      </c>
      <c t="s" s="6" r="AI380">
        <v>92</v>
      </c>
      <c t="s" s="6" r="AJ380">
        <v>92</v>
      </c>
      <c t="s" s="6" r="AK380">
        <v>92</v>
      </c>
      <c t="s" s="6" r="AL380">
        <v>92</v>
      </c>
      <c t="s" s="6" r="AM380">
        <v>92</v>
      </c>
      <c t="s" s="6" r="AN380">
        <v>92</v>
      </c>
      <c s="6" r="AP380">
        <v>5</v>
      </c>
      <c t="s" s="6" r="AR380">
        <v>3152</v>
      </c>
      <c s="6" r="AS380">
        <v>0</v>
      </c>
      <c s="6" r="AT380">
        <v>0</v>
      </c>
      <c s="6" r="AU380">
        <v>0</v>
      </c>
      <c s="6" r="AV380">
        <v>0</v>
      </c>
      <c s="6" r="AW380">
        <v>0</v>
      </c>
      <c s="6" r="AX380">
        <v>0</v>
      </c>
      <c s="6" r="AY380">
        <v>0</v>
      </c>
      <c s="6" r="AZ380">
        <v>0</v>
      </c>
      <c s="6" r="BA380">
        <v>0</v>
      </c>
      <c s="6" r="BB380">
        <v>0</v>
      </c>
      <c s="6" r="BC380">
        <v>0</v>
      </c>
      <c s="6" r="BD380">
        <v>0</v>
      </c>
      <c s="6" r="BE380">
        <v>0</v>
      </c>
      <c s="6" r="BF380">
        <v>0</v>
      </c>
      <c s="6" r="BG380">
        <v>0</v>
      </c>
      <c s="6" r="BH380">
        <v>0</v>
      </c>
      <c s="6" r="BI380">
        <v>0</v>
      </c>
      <c s="6" r="BJ380">
        <v>0</v>
      </c>
      <c s="6" r="BK380">
        <v>0</v>
      </c>
      <c s="6" r="BL380">
        <v>0</v>
      </c>
      <c s="6" r="BM380">
        <v>0</v>
      </c>
      <c s="6" r="BN380">
        <v>0</v>
      </c>
      <c s="6" r="BO380">
        <v>0</v>
      </c>
      <c s="6" r="BP380">
        <v>0</v>
      </c>
      <c s="6" r="BQ380">
        <v>0</v>
      </c>
      <c t="str" s="6" r="BR380">
        <f>HYPERLINK("http://www.d20pfsrd.com/magic/all-spells/p/persistent-image","Persistent Image")</f>
        <v>Persistent Image</v>
      </c>
      <c s="6" r="BS380">
        <v>380</v>
      </c>
      <c t="s" s="6" r="BT380">
        <v>92</v>
      </c>
      <c t="s" s="6" r="BU380">
        <v>3153</v>
      </c>
      <c s="6" r="BY380">
        <v>0</v>
      </c>
    </row>
    <row customHeight="1" r="381" ht="14.25">
      <c t="s" s="6" r="A381">
        <v>3154</v>
      </c>
      <c t="s" s="6" r="B381">
        <v>579</v>
      </c>
      <c t="s" s="6" r="C381">
        <v>1523</v>
      </c>
      <c t="s" s="6" r="D381">
        <v>387</v>
      </c>
      <c t="s" s="6" r="E381">
        <v>3155</v>
      </c>
      <c t="s" s="6" r="F381">
        <v>81</v>
      </c>
      <c t="s" s="6" r="G381">
        <v>106</v>
      </c>
      <c s="6" r="H381">
        <v>0</v>
      </c>
      <c t="s" s="6" r="I381">
        <v>97</v>
      </c>
      <c t="s" s="6" r="L381">
        <v>473</v>
      </c>
      <c t="s" s="6" r="M381">
        <v>109</v>
      </c>
      <c s="6" r="N381">
        <v>0</v>
      </c>
      <c s="6" r="O381">
        <v>0</v>
      </c>
      <c t="s" s="6" r="P381">
        <v>3156</v>
      </c>
      <c t="s" s="6" r="Q381">
        <v>188</v>
      </c>
      <c t="s" s="6" r="R381">
        <v>3157</v>
      </c>
      <c t="s" s="6" r="S381">
        <v>3158</v>
      </c>
      <c t="s" s="6" r="T381">
        <v>90</v>
      </c>
      <c t="s" s="6" r="U381">
        <v>3159</v>
      </c>
      <c s="6" r="V381">
        <v>1</v>
      </c>
      <c s="6" r="W381">
        <v>1</v>
      </c>
      <c s="6" r="X381">
        <v>0</v>
      </c>
      <c s="6" r="Y381">
        <v>0</v>
      </c>
      <c s="6" r="Z381">
        <v>0</v>
      </c>
      <c s="6" r="AA381">
        <v>4</v>
      </c>
      <c s="6" r="AB381">
        <v>4</v>
      </c>
      <c t="s" s="6" r="AC381">
        <v>92</v>
      </c>
      <c t="s" s="6" r="AD381">
        <v>92</v>
      </c>
      <c t="s" s="6" r="AE381">
        <v>92</v>
      </c>
      <c t="s" s="6" r="AF381">
        <v>92</v>
      </c>
      <c t="s" s="6" r="AG381">
        <v>92</v>
      </c>
      <c t="s" s="6" r="AH381">
        <v>92</v>
      </c>
      <c t="s" s="6" r="AI381">
        <v>92</v>
      </c>
      <c s="6" r="AJ381">
        <v>4</v>
      </c>
      <c t="s" s="6" r="AK381">
        <v>92</v>
      </c>
      <c t="s" s="6" r="AL381">
        <v>92</v>
      </c>
      <c t="s" s="6" r="AM381">
        <v>92</v>
      </c>
      <c s="6" r="AN381">
        <v>4</v>
      </c>
      <c s="6" r="AP381">
        <v>4</v>
      </c>
      <c t="s" s="6" r="AQ381">
        <v>3160</v>
      </c>
      <c t="s" s="6" r="AR381">
        <v>3161</v>
      </c>
      <c s="6" r="AS381">
        <v>0</v>
      </c>
      <c s="6" r="AT381">
        <v>0</v>
      </c>
      <c s="6" r="AU381">
        <v>0</v>
      </c>
      <c s="6" r="AV381">
        <v>0</v>
      </c>
      <c s="6" r="AW381">
        <v>0</v>
      </c>
      <c s="6" r="AX381">
        <v>0</v>
      </c>
      <c s="6" r="AY381">
        <v>0</v>
      </c>
      <c s="6" r="AZ381">
        <v>0</v>
      </c>
      <c s="6" r="BA381">
        <v>0</v>
      </c>
      <c s="6" r="BB381">
        <v>0</v>
      </c>
      <c s="6" r="BC381">
        <v>0</v>
      </c>
      <c s="6" r="BD381">
        <v>0</v>
      </c>
      <c s="6" r="BE381">
        <v>1</v>
      </c>
      <c s="6" r="BF381">
        <v>0</v>
      </c>
      <c s="6" r="BG381">
        <v>0</v>
      </c>
      <c s="6" r="BH381">
        <v>0</v>
      </c>
      <c s="6" r="BI381">
        <v>0</v>
      </c>
      <c s="6" r="BJ381">
        <v>0</v>
      </c>
      <c s="6" r="BK381">
        <v>0</v>
      </c>
      <c s="6" r="BL381">
        <v>1</v>
      </c>
      <c s="6" r="BM381">
        <v>0</v>
      </c>
      <c s="6" r="BN381">
        <v>0</v>
      </c>
      <c s="6" r="BO381">
        <v>0</v>
      </c>
      <c s="6" r="BP381">
        <v>0</v>
      </c>
      <c s="6" r="BQ381">
        <v>0</v>
      </c>
      <c t="str" s="6" r="BR381">
        <f>HYPERLINK("http://www.d20pfsrd.com/magic/all-spells/p/phantasmal-killer","Phantasmal Killer")</f>
        <v>Phantasmal Killer</v>
      </c>
      <c s="6" r="BS381">
        <v>381</v>
      </c>
      <c t="s" s="6" r="BT381">
        <v>92</v>
      </c>
      <c t="s" s="6" r="BW381">
        <v>3162</v>
      </c>
      <c t="s" s="6" r="BX381">
        <v>3163</v>
      </c>
      <c s="6" r="BY381">
        <v>1</v>
      </c>
    </row>
    <row customHeight="1" r="382" ht="14.25">
      <c t="s" s="6" r="A382">
        <v>3164</v>
      </c>
      <c t="s" s="6" r="B382">
        <v>78</v>
      </c>
      <c t="s" s="6" r="C382">
        <v>79</v>
      </c>
      <c t="s" s="6" r="E382">
        <v>3165</v>
      </c>
      <c t="s" s="6" r="F382">
        <v>311</v>
      </c>
      <c t="s" s="6" r="G382">
        <v>106</v>
      </c>
      <c s="6" r="H382">
        <v>0</v>
      </c>
      <c t="s" s="6" r="I382">
        <v>813</v>
      </c>
      <c t="s" s="6" r="K382">
        <v>3166</v>
      </c>
      <c t="s" s="6" r="M382">
        <v>711</v>
      </c>
      <c s="6" r="N382">
        <v>1</v>
      </c>
      <c s="6" r="O382">
        <v>0</v>
      </c>
      <c t="s" s="6" r="P382">
        <v>86</v>
      </c>
      <c t="s" s="6" r="Q382">
        <v>87</v>
      </c>
      <c t="s" s="6" r="R382">
        <v>3167</v>
      </c>
      <c t="s" s="6" r="S382">
        <v>3168</v>
      </c>
      <c t="s" s="6" r="T382">
        <v>90</v>
      </c>
      <c t="s" s="6" r="U382">
        <v>3169</v>
      </c>
      <c s="6" r="V382">
        <v>1</v>
      </c>
      <c s="6" r="W382">
        <v>1</v>
      </c>
      <c s="6" r="X382">
        <v>0</v>
      </c>
      <c s="6" r="Y382">
        <v>0</v>
      </c>
      <c s="6" r="Z382">
        <v>0</v>
      </c>
      <c s="6" r="AA382">
        <v>3</v>
      </c>
      <c s="6" r="AB382">
        <v>3</v>
      </c>
      <c t="s" s="6" r="AC382">
        <v>92</v>
      </c>
      <c t="s" s="6" r="AD382">
        <v>92</v>
      </c>
      <c t="s" s="6" r="AE382">
        <v>92</v>
      </c>
      <c s="6" r="AF382">
        <v>3</v>
      </c>
      <c t="s" s="6" r="AG382">
        <v>92</v>
      </c>
      <c t="s" s="6" r="AH382">
        <v>92</v>
      </c>
      <c s="6" r="AI382">
        <v>2</v>
      </c>
      <c t="s" s="6" r="AJ382">
        <v>92</v>
      </c>
      <c t="s" s="6" r="AK382">
        <v>92</v>
      </c>
      <c t="s" s="6" r="AL382">
        <v>92</v>
      </c>
      <c t="s" s="6" r="AM382">
        <v>92</v>
      </c>
      <c s="6" r="AN382">
        <v>3</v>
      </c>
      <c s="6" r="AP382">
        <v>3</v>
      </c>
      <c t="s" s="6" r="AR382">
        <v>3170</v>
      </c>
      <c s="6" r="AS382">
        <v>0</v>
      </c>
      <c s="6" r="AT382">
        <v>0</v>
      </c>
      <c s="6" r="AU382">
        <v>0</v>
      </c>
      <c s="6" r="AV382">
        <v>0</v>
      </c>
      <c s="6" r="AW382">
        <v>0</v>
      </c>
      <c s="6" r="AX382">
        <v>0</v>
      </c>
      <c s="6" r="AY382">
        <v>0</v>
      </c>
      <c s="6" r="AZ382">
        <v>0</v>
      </c>
      <c s="6" r="BA382">
        <v>0</v>
      </c>
      <c s="6" r="BB382">
        <v>0</v>
      </c>
      <c s="6" r="BC382">
        <v>0</v>
      </c>
      <c s="6" r="BD382">
        <v>0</v>
      </c>
      <c s="6" r="BE382">
        <v>0</v>
      </c>
      <c s="6" r="BF382">
        <v>0</v>
      </c>
      <c s="6" r="BG382">
        <v>0</v>
      </c>
      <c s="6" r="BH382">
        <v>0</v>
      </c>
      <c s="6" r="BI382">
        <v>0</v>
      </c>
      <c s="6" r="BJ382">
        <v>0</v>
      </c>
      <c s="6" r="BK382">
        <v>0</v>
      </c>
      <c s="6" r="BL382">
        <v>0</v>
      </c>
      <c s="6" r="BM382">
        <v>0</v>
      </c>
      <c s="6" r="BN382">
        <v>0</v>
      </c>
      <c s="6" r="BO382">
        <v>0</v>
      </c>
      <c s="6" r="BP382">
        <v>0</v>
      </c>
      <c s="6" r="BQ382">
        <v>0</v>
      </c>
      <c t="str" s="6" r="BR382">
        <f>HYPERLINK("http://www.d20pfsrd.com/magic/all-spells/p/phantom-steed","Phantom Steed")</f>
        <v>Phantom Steed</v>
      </c>
      <c s="6" r="BS382">
        <v>382</v>
      </c>
      <c t="s" s="6" r="BT382">
        <v>92</v>
      </c>
      <c t="s" s="6" r="BW382">
        <v>3171</v>
      </c>
      <c t="s" s="6" r="BX382">
        <v>3172</v>
      </c>
      <c s="6" r="BY382">
        <v>1</v>
      </c>
    </row>
    <row customHeight="1" r="383" ht="14.25">
      <c t="s" s="6" r="A383">
        <v>3173</v>
      </c>
      <c t="s" s="6" r="B383">
        <v>579</v>
      </c>
      <c t="s" s="6" r="C383">
        <v>580</v>
      </c>
      <c t="s" s="6" r="E383">
        <v>320</v>
      </c>
      <c t="s" s="6" r="F383">
        <v>81</v>
      </c>
      <c t="s" s="6" r="G383">
        <v>3174</v>
      </c>
      <c s="6" r="H383">
        <v>1</v>
      </c>
      <c t="s" s="6" r="I383">
        <v>120</v>
      </c>
      <c t="s" s="6" r="L383">
        <v>1137</v>
      </c>
      <c t="s" s="6" r="M383">
        <v>323</v>
      </c>
      <c s="6" r="N383">
        <v>1</v>
      </c>
      <c s="6" r="O383">
        <v>0</v>
      </c>
      <c t="s" s="6" r="P383">
        <v>86</v>
      </c>
      <c t="s" s="6" r="Q383">
        <v>87</v>
      </c>
      <c t="s" s="6" r="R383">
        <v>3175</v>
      </c>
      <c t="s" s="6" r="S383">
        <v>3176</v>
      </c>
      <c t="s" s="6" r="T383">
        <v>90</v>
      </c>
      <c t="s" s="6" r="U383">
        <v>3177</v>
      </c>
      <c s="6" r="V383">
        <v>1</v>
      </c>
      <c s="6" r="W383">
        <v>1</v>
      </c>
      <c s="6" r="X383">
        <v>1</v>
      </c>
      <c s="6" r="Y383">
        <v>0</v>
      </c>
      <c s="6" r="Z383">
        <v>0</v>
      </c>
      <c s="6" r="AA383">
        <v>2</v>
      </c>
      <c s="6" r="AB383">
        <v>2</v>
      </c>
      <c t="s" s="6" r="AC383">
        <v>92</v>
      </c>
      <c t="s" s="6" r="AD383">
        <v>92</v>
      </c>
      <c t="s" s="6" r="AE383">
        <v>92</v>
      </c>
      <c t="s" s="6" r="AF383">
        <v>92</v>
      </c>
      <c t="s" s="6" r="AG383">
        <v>92</v>
      </c>
      <c t="s" s="6" r="AH383">
        <v>92</v>
      </c>
      <c t="s" s="6" r="AI383">
        <v>92</v>
      </c>
      <c t="s" s="6" r="AJ383">
        <v>92</v>
      </c>
      <c t="s" s="6" r="AK383">
        <v>92</v>
      </c>
      <c t="s" s="6" r="AL383">
        <v>92</v>
      </c>
      <c t="s" s="6" r="AM383">
        <v>92</v>
      </c>
      <c t="s" s="6" r="AN383">
        <v>92</v>
      </c>
      <c s="6" r="AP383">
        <v>2</v>
      </c>
      <c t="s" s="6" r="AR383">
        <v>3178</v>
      </c>
      <c s="6" r="AS383">
        <v>0</v>
      </c>
      <c s="6" r="AT383">
        <v>0</v>
      </c>
      <c s="6" r="AU383">
        <v>0</v>
      </c>
      <c s="6" r="AV383">
        <v>0</v>
      </c>
      <c s="6" r="AW383">
        <v>0</v>
      </c>
      <c s="6" r="AX383">
        <v>0</v>
      </c>
      <c s="6" r="AY383">
        <v>0</v>
      </c>
      <c s="6" r="AZ383">
        <v>0</v>
      </c>
      <c s="6" r="BA383">
        <v>0</v>
      </c>
      <c s="6" r="BB383">
        <v>0</v>
      </c>
      <c s="6" r="BC383">
        <v>0</v>
      </c>
      <c s="6" r="BD383">
        <v>0</v>
      </c>
      <c s="6" r="BE383">
        <v>0</v>
      </c>
      <c s="6" r="BF383">
        <v>0</v>
      </c>
      <c s="6" r="BG383">
        <v>0</v>
      </c>
      <c s="6" r="BH383">
        <v>0</v>
      </c>
      <c s="6" r="BI383">
        <v>0</v>
      </c>
      <c s="6" r="BJ383">
        <v>0</v>
      </c>
      <c s="6" r="BK383">
        <v>0</v>
      </c>
      <c s="6" r="BL383">
        <v>0</v>
      </c>
      <c s="6" r="BM383">
        <v>0</v>
      </c>
      <c s="6" r="BN383">
        <v>0</v>
      </c>
      <c s="6" r="BO383">
        <v>0</v>
      </c>
      <c s="6" r="BP383">
        <v>0</v>
      </c>
      <c s="6" r="BQ383">
        <v>0</v>
      </c>
      <c t="str" s="6" r="BR383">
        <f>HYPERLINK("http://www.d20pfsrd.com/magic/all-spells/p/phantom-trap","Phantom Trap")</f>
        <v>Phantom Trap</v>
      </c>
      <c s="6" r="BS383">
        <v>383</v>
      </c>
      <c s="6" r="BT383">
        <v>50</v>
      </c>
      <c s="6" r="BY383">
        <v>0</v>
      </c>
    </row>
    <row customHeight="1" r="384" ht="14.25">
      <c t="s" s="6" r="A384">
        <v>3179</v>
      </c>
      <c t="s" s="6" r="B384">
        <v>78</v>
      </c>
      <c t="s" s="6" r="C384">
        <v>79</v>
      </c>
      <c t="s" s="6" r="E384">
        <v>344</v>
      </c>
      <c t="s" s="6" r="F384">
        <v>81</v>
      </c>
      <c t="s" s="6" r="G384">
        <v>251</v>
      </c>
      <c s="6" r="H384">
        <v>0</v>
      </c>
      <c t="s" s="6" r="I384">
        <v>120</v>
      </c>
      <c t="s" s="6" r="K384">
        <v>3180</v>
      </c>
      <c t="s" s="6" r="M384">
        <v>3181</v>
      </c>
      <c s="6" r="N384">
        <v>0</v>
      </c>
      <c s="6" r="O384">
        <v>0</v>
      </c>
      <c t="s" s="6" r="P384">
        <v>86</v>
      </c>
      <c t="s" s="6" r="Q384">
        <v>87</v>
      </c>
      <c t="s" s="6" r="R384">
        <v>3182</v>
      </c>
      <c t="s" s="6" r="S384">
        <v>3183</v>
      </c>
      <c t="s" s="6" r="T384">
        <v>90</v>
      </c>
      <c t="s" s="6" r="U384">
        <v>3184</v>
      </c>
      <c s="6" r="V384">
        <v>1</v>
      </c>
      <c s="6" r="W384">
        <v>0</v>
      </c>
      <c s="6" r="X384">
        <v>0</v>
      </c>
      <c s="6" r="Y384">
        <v>0</v>
      </c>
      <c s="6" r="Z384">
        <v>0</v>
      </c>
      <c s="6" r="AA384">
        <v>7</v>
      </c>
      <c s="6" r="AB384">
        <v>7</v>
      </c>
      <c t="s" s="6" r="AC384">
        <v>92</v>
      </c>
      <c t="s" s="6" r="AD384">
        <v>92</v>
      </c>
      <c t="s" s="6" r="AE384">
        <v>92</v>
      </c>
      <c t="s" s="6" r="AF384">
        <v>92</v>
      </c>
      <c t="s" s="6" r="AG384">
        <v>92</v>
      </c>
      <c t="s" s="6" r="AH384">
        <v>92</v>
      </c>
      <c t="s" s="6" r="AI384">
        <v>92</v>
      </c>
      <c s="6" r="AJ384">
        <v>7</v>
      </c>
      <c t="s" s="6" r="AK384">
        <v>92</v>
      </c>
      <c t="s" s="6" r="AL384">
        <v>92</v>
      </c>
      <c t="s" s="6" r="AM384">
        <v>92</v>
      </c>
      <c t="s" s="6" r="AN384">
        <v>92</v>
      </c>
      <c s="6" r="AP384">
        <v>7</v>
      </c>
      <c t="s" s="6" r="AQ384">
        <v>357</v>
      </c>
      <c t="s" s="6" r="AR384">
        <v>3185</v>
      </c>
      <c s="6" r="AS384">
        <v>0</v>
      </c>
      <c s="6" r="AT384">
        <v>0</v>
      </c>
      <c s="6" r="AU384">
        <v>0</v>
      </c>
      <c s="6" r="AV384">
        <v>0</v>
      </c>
      <c s="6" r="AW384">
        <v>0</v>
      </c>
      <c s="6" r="AX384">
        <v>0</v>
      </c>
      <c s="6" r="AY384">
        <v>0</v>
      </c>
      <c s="6" r="AZ384">
        <v>0</v>
      </c>
      <c s="6" r="BA384">
        <v>0</v>
      </c>
      <c s="6" r="BB384">
        <v>0</v>
      </c>
      <c s="6" r="BC384">
        <v>0</v>
      </c>
      <c s="6" r="BD384">
        <v>0</v>
      </c>
      <c s="6" r="BE384">
        <v>0</v>
      </c>
      <c s="6" r="BF384">
        <v>0</v>
      </c>
      <c s="6" r="BG384">
        <v>0</v>
      </c>
      <c s="6" r="BH384">
        <v>0</v>
      </c>
      <c s="6" r="BI384">
        <v>0</v>
      </c>
      <c s="6" r="BJ384">
        <v>0</v>
      </c>
      <c s="6" r="BK384">
        <v>0</v>
      </c>
      <c s="6" r="BL384">
        <v>0</v>
      </c>
      <c s="6" r="BM384">
        <v>0</v>
      </c>
      <c s="6" r="BN384">
        <v>0</v>
      </c>
      <c s="6" r="BO384">
        <v>0</v>
      </c>
      <c s="6" r="BP384">
        <v>0</v>
      </c>
      <c s="6" r="BQ384">
        <v>0</v>
      </c>
      <c t="str" s="6" r="BR384">
        <f>HYPERLINK("http://www.d20pfsrd.com/magic/all-spells/p/phase-door","Phase Door")</f>
        <v>Phase Door</v>
      </c>
      <c s="6" r="BS384">
        <v>384</v>
      </c>
      <c t="s" s="6" r="BT384">
        <v>92</v>
      </c>
      <c t="s" s="6" r="BU384">
        <v>3186</v>
      </c>
      <c s="6" r="BY384">
        <v>0</v>
      </c>
    </row>
    <row customHeight="1" r="385" ht="14.25">
      <c t="s" s="6" r="A385">
        <v>3187</v>
      </c>
      <c t="s" s="6" r="B385">
        <v>78</v>
      </c>
      <c t="s" s="6" r="C385">
        <v>3188</v>
      </c>
      <c t="s" s="6" r="D385">
        <v>141</v>
      </c>
      <c t="s" s="6" r="E385">
        <v>2442</v>
      </c>
      <c t="s" s="6" r="F385">
        <v>311</v>
      </c>
      <c t="s" s="6" r="G385">
        <v>3189</v>
      </c>
      <c s="6" r="H385">
        <v>1</v>
      </c>
      <c t="s" s="6" r="I385">
        <v>107</v>
      </c>
      <c t="s" s="6" r="K385">
        <v>3190</v>
      </c>
      <c t="s" s="6" r="M385">
        <v>109</v>
      </c>
      <c s="6" r="N385">
        <v>0</v>
      </c>
      <c s="6" r="O385">
        <v>0</v>
      </c>
      <c t="s" s="6" r="P385">
        <v>86</v>
      </c>
      <c t="s" s="6" r="Q385">
        <v>87</v>
      </c>
      <c t="s" s="6" r="R385">
        <v>3191</v>
      </c>
      <c t="s" s="6" r="S385">
        <v>3192</v>
      </c>
      <c t="s" s="6" r="T385">
        <v>90</v>
      </c>
      <c t="s" s="6" r="U385">
        <v>3193</v>
      </c>
      <c s="6" r="V385">
        <v>1</v>
      </c>
      <c s="6" r="W385">
        <v>1</v>
      </c>
      <c s="6" r="X385">
        <v>1</v>
      </c>
      <c s="6" r="Y385">
        <v>0</v>
      </c>
      <c s="6" r="Z385">
        <v>1</v>
      </c>
      <c t="s" s="6" r="AA385">
        <v>92</v>
      </c>
      <c t="s" s="6" r="AB385">
        <v>92</v>
      </c>
      <c s="6" r="AC385">
        <v>4</v>
      </c>
      <c t="s" s="6" r="AD385">
        <v>92</v>
      </c>
      <c t="s" s="6" r="AE385">
        <v>92</v>
      </c>
      <c t="s" s="6" r="AF385">
        <v>92</v>
      </c>
      <c t="s" s="6" r="AG385">
        <v>92</v>
      </c>
      <c t="s" s="6" r="AH385">
        <v>92</v>
      </c>
      <c t="s" s="6" r="AI385">
        <v>92</v>
      </c>
      <c t="s" s="6" r="AJ385">
        <v>92</v>
      </c>
      <c t="s" s="6" r="AK385">
        <v>92</v>
      </c>
      <c s="6" r="AL385">
        <v>4</v>
      </c>
      <c t="s" s="6" r="AM385">
        <v>92</v>
      </c>
      <c t="s" s="6" r="AN385">
        <v>92</v>
      </c>
      <c s="6" r="AP385">
        <v>4</v>
      </c>
      <c t="s" s="6" r="AR385">
        <v>3194</v>
      </c>
      <c s="6" r="AS385">
        <v>0</v>
      </c>
      <c s="6" r="AT385">
        <v>0</v>
      </c>
      <c s="6" r="AU385">
        <v>0</v>
      </c>
      <c s="6" r="AV385">
        <v>0</v>
      </c>
      <c s="6" r="AW385">
        <v>0</v>
      </c>
      <c s="6" r="AX385">
        <v>0</v>
      </c>
      <c s="6" r="AY385">
        <v>0</v>
      </c>
      <c s="6" r="AZ385">
        <v>0</v>
      </c>
      <c s="6" r="BA385">
        <v>0</v>
      </c>
      <c s="6" r="BB385">
        <v>0</v>
      </c>
      <c s="6" r="BC385">
        <v>0</v>
      </c>
      <c s="6" r="BD385">
        <v>0</v>
      </c>
      <c s="6" r="BE385">
        <v>0</v>
      </c>
      <c s="6" r="BF385">
        <v>0</v>
      </c>
      <c s="6" r="BG385">
        <v>0</v>
      </c>
      <c s="6" r="BH385">
        <v>0</v>
      </c>
      <c s="6" r="BI385">
        <v>0</v>
      </c>
      <c s="6" r="BJ385">
        <v>0</v>
      </c>
      <c s="6" r="BK385">
        <v>0</v>
      </c>
      <c s="6" r="BL385">
        <v>0</v>
      </c>
      <c s="6" r="BM385">
        <v>0</v>
      </c>
      <c s="6" r="BN385">
        <v>0</v>
      </c>
      <c s="6" r="BO385">
        <v>0</v>
      </c>
      <c s="6" r="BP385">
        <v>0</v>
      </c>
      <c s="6" r="BQ385">
        <v>0</v>
      </c>
      <c t="str" s="6" r="BR385">
        <f>HYPERLINK("http://www.d20pfsrd.com/magic/all-spells/p/planar-ally","Planar Ally, Lesser")</f>
        <v>Planar Ally, Lesser</v>
      </c>
      <c s="6" r="BS385">
        <v>385</v>
      </c>
      <c s="6" r="BT385">
        <v>500</v>
      </c>
      <c s="6" r="BY385">
        <v>0</v>
      </c>
    </row>
    <row customHeight="1" r="386" ht="14.25">
      <c t="s" s="6" r="A386">
        <v>3195</v>
      </c>
      <c t="s" s="6" r="B386">
        <v>78</v>
      </c>
      <c t="s" s="6" r="C386">
        <v>3188</v>
      </c>
      <c t="s" s="6" r="D386">
        <v>3196</v>
      </c>
      <c t="s" s="6" r="E386">
        <v>2128</v>
      </c>
      <c t="s" s="6" r="F386">
        <v>311</v>
      </c>
      <c t="s" s="6" r="G386">
        <v>3197</v>
      </c>
      <c s="6" r="H386">
        <v>1</v>
      </c>
      <c t="s" s="6" r="I386">
        <v>107</v>
      </c>
      <c t="s" s="6" r="K386">
        <v>3198</v>
      </c>
      <c t="s" s="6" r="M386">
        <v>109</v>
      </c>
      <c s="6" r="N386">
        <v>0</v>
      </c>
      <c s="6" r="O386">
        <v>0</v>
      </c>
      <c t="s" s="6" r="P386">
        <v>86</v>
      </c>
      <c t="s" s="6" r="Q386">
        <v>87</v>
      </c>
      <c t="s" s="6" r="R386">
        <v>3199</v>
      </c>
      <c t="s" s="6" r="S386">
        <v>3200</v>
      </c>
      <c t="s" s="6" r="T386">
        <v>90</v>
      </c>
      <c t="s" s="6" r="U386">
        <v>3201</v>
      </c>
      <c s="6" r="V386">
        <v>1</v>
      </c>
      <c s="6" r="W386">
        <v>1</v>
      </c>
      <c s="6" r="X386">
        <v>1</v>
      </c>
      <c s="6" r="Y386">
        <v>0</v>
      </c>
      <c s="6" r="Z386">
        <v>1</v>
      </c>
      <c t="s" s="6" r="AA386">
        <v>92</v>
      </c>
      <c t="s" s="6" r="AB386">
        <v>92</v>
      </c>
      <c s="6" r="AC386">
        <v>6</v>
      </c>
      <c t="s" s="6" r="AD386">
        <v>92</v>
      </c>
      <c t="s" s="6" r="AE386">
        <v>92</v>
      </c>
      <c t="s" s="6" r="AF386">
        <v>92</v>
      </c>
      <c t="s" s="6" r="AG386">
        <v>92</v>
      </c>
      <c t="s" s="6" r="AH386">
        <v>92</v>
      </c>
      <c t="s" s="6" r="AI386">
        <v>92</v>
      </c>
      <c t="s" s="6" r="AJ386">
        <v>92</v>
      </c>
      <c t="s" s="6" r="AK386">
        <v>92</v>
      </c>
      <c s="6" r="AL386">
        <v>6</v>
      </c>
      <c t="s" s="6" r="AM386">
        <v>92</v>
      </c>
      <c t="s" s="6" r="AN386">
        <v>92</v>
      </c>
      <c s="6" r="AP386">
        <v>6</v>
      </c>
      <c t="s" s="6" r="AQ386">
        <v>3202</v>
      </c>
      <c t="s" s="6" r="AR386">
        <v>3203</v>
      </c>
      <c s="6" r="AS386">
        <v>0</v>
      </c>
      <c s="6" r="AT386">
        <v>0</v>
      </c>
      <c s="6" r="AU386">
        <v>0</v>
      </c>
      <c s="6" r="AV386">
        <v>0</v>
      </c>
      <c s="6" r="AW386">
        <v>0</v>
      </c>
      <c s="6" r="AX386">
        <v>0</v>
      </c>
      <c s="6" r="AY386">
        <v>0</v>
      </c>
      <c s="6" r="AZ386">
        <v>0</v>
      </c>
      <c s="6" r="BA386">
        <v>0</v>
      </c>
      <c s="6" r="BB386">
        <v>0</v>
      </c>
      <c s="6" r="BC386">
        <v>0</v>
      </c>
      <c s="6" r="BD386">
        <v>0</v>
      </c>
      <c s="6" r="BE386">
        <v>0</v>
      </c>
      <c s="6" r="BF386">
        <v>0</v>
      </c>
      <c s="6" r="BG386">
        <v>0</v>
      </c>
      <c s="6" r="BH386">
        <v>0</v>
      </c>
      <c s="6" r="BI386">
        <v>0</v>
      </c>
      <c s="6" r="BJ386">
        <v>0</v>
      </c>
      <c s="6" r="BK386">
        <v>0</v>
      </c>
      <c s="6" r="BL386">
        <v>0</v>
      </c>
      <c s="6" r="BM386">
        <v>0</v>
      </c>
      <c s="6" r="BN386">
        <v>0</v>
      </c>
      <c s="6" r="BO386">
        <v>0</v>
      </c>
      <c s="6" r="BP386">
        <v>0</v>
      </c>
      <c s="6" r="BQ386">
        <v>0</v>
      </c>
      <c t="str" s="6" r="BR386">
        <f>HYPERLINK("http://www.d20pfsrd.com/magic/all-spells/p/planar-ally","Planar Ally")</f>
        <v>Planar Ally</v>
      </c>
      <c s="6" r="BS386">
        <v>386</v>
      </c>
      <c s="6" r="BT386">
        <v>1250</v>
      </c>
      <c t="s" s="6" r="BV386">
        <v>1681</v>
      </c>
      <c s="6" r="BY386">
        <v>0</v>
      </c>
    </row>
    <row customHeight="1" r="387" ht="14.25">
      <c t="s" s="6" r="A387">
        <v>3204</v>
      </c>
      <c t="s" s="6" r="B387">
        <v>78</v>
      </c>
      <c t="s" s="6" r="C387">
        <v>3188</v>
      </c>
      <c t="s" s="6" r="D387">
        <v>3196</v>
      </c>
      <c t="s" s="6" r="E387">
        <v>802</v>
      </c>
      <c t="s" s="6" r="F387">
        <v>311</v>
      </c>
      <c t="s" s="6" r="G387">
        <v>3205</v>
      </c>
      <c s="6" r="H387">
        <v>1</v>
      </c>
      <c t="s" s="6" r="I387">
        <v>107</v>
      </c>
      <c t="s" s="6" r="K387">
        <v>3206</v>
      </c>
      <c t="s" s="6" r="M387">
        <v>109</v>
      </c>
      <c s="6" r="N387">
        <v>0</v>
      </c>
      <c s="6" r="O387">
        <v>0</v>
      </c>
      <c t="s" s="6" r="P387">
        <v>86</v>
      </c>
      <c t="s" s="6" r="Q387">
        <v>87</v>
      </c>
      <c t="s" s="6" r="R387">
        <v>3207</v>
      </c>
      <c t="s" s="6" r="S387">
        <v>3208</v>
      </c>
      <c t="s" s="6" r="T387">
        <v>90</v>
      </c>
      <c t="s" s="6" r="U387">
        <v>3209</v>
      </c>
      <c s="6" r="V387">
        <v>1</v>
      </c>
      <c s="6" r="W387">
        <v>1</v>
      </c>
      <c s="6" r="X387">
        <v>1</v>
      </c>
      <c s="6" r="Y387">
        <v>0</v>
      </c>
      <c s="6" r="Z387">
        <v>1</v>
      </c>
      <c t="s" s="6" r="AA387">
        <v>92</v>
      </c>
      <c t="s" s="6" r="AB387">
        <v>92</v>
      </c>
      <c s="6" r="AC387">
        <v>8</v>
      </c>
      <c t="s" s="6" r="AD387">
        <v>92</v>
      </c>
      <c t="s" s="6" r="AE387">
        <v>92</v>
      </c>
      <c t="s" s="6" r="AF387">
        <v>92</v>
      </c>
      <c t="s" s="6" r="AG387">
        <v>92</v>
      </c>
      <c t="s" s="6" r="AH387">
        <v>92</v>
      </c>
      <c t="s" s="6" r="AI387">
        <v>92</v>
      </c>
      <c t="s" s="6" r="AJ387">
        <v>92</v>
      </c>
      <c t="s" s="6" r="AK387">
        <v>92</v>
      </c>
      <c s="6" r="AL387">
        <v>8</v>
      </c>
      <c t="s" s="6" r="AM387">
        <v>92</v>
      </c>
      <c t="s" s="6" r="AN387">
        <v>92</v>
      </c>
      <c s="6" r="AP387">
        <v>8</v>
      </c>
      <c t="s" s="6" r="AQ387">
        <v>3210</v>
      </c>
      <c t="s" s="6" r="AR387">
        <v>3211</v>
      </c>
      <c s="6" r="AS387">
        <v>0</v>
      </c>
      <c s="6" r="AT387">
        <v>0</v>
      </c>
      <c s="6" r="AU387">
        <v>0</v>
      </c>
      <c s="6" r="AV387">
        <v>0</v>
      </c>
      <c s="6" r="AW387">
        <v>0</v>
      </c>
      <c s="6" r="AX387">
        <v>0</v>
      </c>
      <c s="6" r="AY387">
        <v>0</v>
      </c>
      <c s="6" r="AZ387">
        <v>0</v>
      </c>
      <c s="6" r="BA387">
        <v>0</v>
      </c>
      <c s="6" r="BB387">
        <v>0</v>
      </c>
      <c s="6" r="BC387">
        <v>0</v>
      </c>
      <c s="6" r="BD387">
        <v>0</v>
      </c>
      <c s="6" r="BE387">
        <v>0</v>
      </c>
      <c s="6" r="BF387">
        <v>0</v>
      </c>
      <c s="6" r="BG387">
        <v>0</v>
      </c>
      <c s="6" r="BH387">
        <v>0</v>
      </c>
      <c s="6" r="BI387">
        <v>0</v>
      </c>
      <c s="6" r="BJ387">
        <v>0</v>
      </c>
      <c s="6" r="BK387">
        <v>0</v>
      </c>
      <c s="6" r="BL387">
        <v>0</v>
      </c>
      <c s="6" r="BM387">
        <v>0</v>
      </c>
      <c s="6" r="BN387">
        <v>0</v>
      </c>
      <c s="6" r="BO387">
        <v>0</v>
      </c>
      <c s="6" r="BP387">
        <v>0</v>
      </c>
      <c s="6" r="BQ387">
        <v>0</v>
      </c>
      <c t="str" s="6" r="BR387">
        <f>HYPERLINK("http://www.d20pfsrd.com/magic/all-spells/p/planar-ally","Planar Ally, Greater")</f>
        <v>Planar Ally, Greater</v>
      </c>
      <c s="6" r="BS387">
        <v>387</v>
      </c>
      <c s="6" r="BT387">
        <v>2500</v>
      </c>
      <c s="6" r="BY387">
        <v>0</v>
      </c>
    </row>
    <row customHeight="1" r="388" ht="14.25">
      <c t="s" s="6" r="A388">
        <v>3212</v>
      </c>
      <c t="s" s="6" r="B388">
        <v>78</v>
      </c>
      <c t="s" s="6" r="C388">
        <v>3188</v>
      </c>
      <c t="s" s="6" r="D388">
        <v>141</v>
      </c>
      <c t="s" s="6" r="E388">
        <v>2725</v>
      </c>
      <c t="s" s="6" r="F388">
        <v>311</v>
      </c>
      <c t="s" s="6" r="G388">
        <v>106</v>
      </c>
      <c s="6" r="H388">
        <v>0</v>
      </c>
      <c t="s" s="6" r="I388">
        <v>3213</v>
      </c>
      <c t="s" s="6" r="L388">
        <v>3214</v>
      </c>
      <c t="s" s="6" r="M388">
        <v>109</v>
      </c>
      <c s="6" r="N388">
        <v>0</v>
      </c>
      <c s="6" r="O388">
        <v>0</v>
      </c>
      <c t="s" s="6" r="P388">
        <v>221</v>
      </c>
      <c t="s" s="6" r="Q388">
        <v>3215</v>
      </c>
      <c t="s" s="6" r="R388">
        <v>3216</v>
      </c>
      <c t="s" s="6" r="S388">
        <v>3217</v>
      </c>
      <c t="s" s="6" r="T388">
        <v>90</v>
      </c>
      <c t="s" s="6" r="U388">
        <v>3218</v>
      </c>
      <c s="6" r="V388">
        <v>1</v>
      </c>
      <c s="6" r="W388">
        <v>1</v>
      </c>
      <c s="6" r="X388">
        <v>0</v>
      </c>
      <c s="6" r="Y388">
        <v>0</v>
      </c>
      <c s="6" r="Z388">
        <v>0</v>
      </c>
      <c s="6" r="AA388">
        <v>5</v>
      </c>
      <c s="6" r="AB388">
        <v>5</v>
      </c>
      <c t="s" s="6" r="AC388">
        <v>92</v>
      </c>
      <c t="s" s="6" r="AD388">
        <v>92</v>
      </c>
      <c t="s" s="6" r="AE388">
        <v>92</v>
      </c>
      <c t="s" s="6" r="AF388">
        <v>92</v>
      </c>
      <c t="s" s="6" r="AG388">
        <v>92</v>
      </c>
      <c t="s" s="6" r="AH388">
        <v>92</v>
      </c>
      <c s="6" r="AI388">
        <v>4</v>
      </c>
      <c t="s" s="6" r="AJ388">
        <v>92</v>
      </c>
      <c t="s" s="6" r="AK388">
        <v>92</v>
      </c>
      <c t="s" s="6" r="AL388">
        <v>92</v>
      </c>
      <c t="s" s="6" r="AM388">
        <v>92</v>
      </c>
      <c t="s" s="6" r="AN388">
        <v>92</v>
      </c>
      <c s="6" r="AP388">
        <v>5</v>
      </c>
      <c t="s" s="6" r="AQ388">
        <v>1664</v>
      </c>
      <c t="s" s="6" r="AR388">
        <v>3219</v>
      </c>
      <c s="6" r="AS388">
        <v>0</v>
      </c>
      <c s="6" r="AT388">
        <v>0</v>
      </c>
      <c s="6" r="AU388">
        <v>0</v>
      </c>
      <c s="6" r="AV388">
        <v>0</v>
      </c>
      <c s="6" r="AW388">
        <v>0</v>
      </c>
      <c s="6" r="AX388">
        <v>0</v>
      </c>
      <c s="6" r="AY388">
        <v>0</v>
      </c>
      <c s="6" r="AZ388">
        <v>0</v>
      </c>
      <c s="6" r="BA388">
        <v>0</v>
      </c>
      <c s="6" r="BB388">
        <v>0</v>
      </c>
      <c s="6" r="BC388">
        <v>0</v>
      </c>
      <c s="6" r="BD388">
        <v>0</v>
      </c>
      <c s="6" r="BE388">
        <v>0</v>
      </c>
      <c s="6" r="BF388">
        <v>0</v>
      </c>
      <c s="6" r="BG388">
        <v>0</v>
      </c>
      <c s="6" r="BH388">
        <v>0</v>
      </c>
      <c s="6" r="BI388">
        <v>0</v>
      </c>
      <c s="6" r="BJ388">
        <v>0</v>
      </c>
      <c s="6" r="BK388">
        <v>0</v>
      </c>
      <c s="6" r="BL388">
        <v>0</v>
      </c>
      <c s="6" r="BM388">
        <v>0</v>
      </c>
      <c s="6" r="BN388">
        <v>0</v>
      </c>
      <c s="6" r="BO388">
        <v>0</v>
      </c>
      <c s="6" r="BP388">
        <v>0</v>
      </c>
      <c s="6" r="BQ388">
        <v>0</v>
      </c>
      <c t="str" s="6" r="BR388">
        <f>HYPERLINK("http://www.d20pfsrd.com/magic/all-spells/p/planar-binding","Planar Binding, Lesser")</f>
        <v>Planar Binding, Lesser</v>
      </c>
      <c s="6" r="BS388">
        <v>388</v>
      </c>
      <c t="s" s="6" r="BT388">
        <v>92</v>
      </c>
      <c s="6" r="BY388">
        <v>0</v>
      </c>
    </row>
    <row customHeight="1" r="389" ht="14.25">
      <c t="s" s="6" r="A389">
        <v>3220</v>
      </c>
      <c t="s" s="6" r="B389">
        <v>78</v>
      </c>
      <c t="s" s="6" r="C389">
        <v>3188</v>
      </c>
      <c t="s" s="6" r="D389">
        <v>3221</v>
      </c>
      <c t="s" s="6" r="E389">
        <v>3222</v>
      </c>
      <c t="s" s="6" r="F389">
        <v>311</v>
      </c>
      <c t="s" s="6" r="G389">
        <v>106</v>
      </c>
      <c s="6" r="H389">
        <v>0</v>
      </c>
      <c t="s" s="6" r="I389">
        <v>3213</v>
      </c>
      <c t="s" s="6" r="L389">
        <v>3223</v>
      </c>
      <c t="s" s="6" r="M389">
        <v>109</v>
      </c>
      <c s="6" r="N389">
        <v>0</v>
      </c>
      <c s="6" r="O389">
        <v>0</v>
      </c>
      <c t="s" s="6" r="P389">
        <v>221</v>
      </c>
      <c t="s" s="6" r="Q389">
        <v>3215</v>
      </c>
      <c t="s" s="6" r="R389">
        <v>3224</v>
      </c>
      <c t="s" s="6" r="S389">
        <v>3225</v>
      </c>
      <c t="s" s="6" r="T389">
        <v>90</v>
      </c>
      <c t="s" s="6" r="U389">
        <v>3226</v>
      </c>
      <c s="6" r="V389">
        <v>1</v>
      </c>
      <c s="6" r="W389">
        <v>1</v>
      </c>
      <c s="6" r="X389">
        <v>0</v>
      </c>
      <c s="6" r="Y389">
        <v>0</v>
      </c>
      <c s="6" r="Z389">
        <v>0</v>
      </c>
      <c s="6" r="AA389">
        <v>6</v>
      </c>
      <c s="6" r="AB389">
        <v>6</v>
      </c>
      <c t="s" s="6" r="AC389">
        <v>92</v>
      </c>
      <c t="s" s="6" r="AD389">
        <v>92</v>
      </c>
      <c t="s" s="6" r="AE389">
        <v>92</v>
      </c>
      <c t="s" s="6" r="AF389">
        <v>92</v>
      </c>
      <c t="s" s="6" r="AG389">
        <v>92</v>
      </c>
      <c t="s" s="6" r="AH389">
        <v>92</v>
      </c>
      <c s="6" r="AI389">
        <v>5</v>
      </c>
      <c t="s" s="6" r="AJ389">
        <v>92</v>
      </c>
      <c t="s" s="6" r="AK389">
        <v>92</v>
      </c>
      <c t="s" s="6" r="AL389">
        <v>92</v>
      </c>
      <c t="s" s="6" r="AM389">
        <v>92</v>
      </c>
      <c t="s" s="6" r="AN389">
        <v>92</v>
      </c>
      <c s="6" r="AP389">
        <v>6</v>
      </c>
      <c t="s" s="6" r="AQ389">
        <v>3227</v>
      </c>
      <c t="s" s="6" r="AR389">
        <v>3228</v>
      </c>
      <c s="6" r="AS389">
        <v>0</v>
      </c>
      <c s="6" r="AT389">
        <v>0</v>
      </c>
      <c s="6" r="AU389">
        <v>0</v>
      </c>
      <c s="6" r="AV389">
        <v>0</v>
      </c>
      <c s="6" r="AW389">
        <v>0</v>
      </c>
      <c s="6" r="AX389">
        <v>0</v>
      </c>
      <c s="6" r="AY389">
        <v>0</v>
      </c>
      <c s="6" r="AZ389">
        <v>0</v>
      </c>
      <c s="6" r="BA389">
        <v>0</v>
      </c>
      <c s="6" r="BB389">
        <v>0</v>
      </c>
      <c s="6" r="BC389">
        <v>0</v>
      </c>
      <c s="6" r="BD389">
        <v>0</v>
      </c>
      <c s="6" r="BE389">
        <v>0</v>
      </c>
      <c s="6" r="BF389">
        <v>0</v>
      </c>
      <c s="6" r="BG389">
        <v>0</v>
      </c>
      <c s="6" r="BH389">
        <v>0</v>
      </c>
      <c s="6" r="BI389">
        <v>0</v>
      </c>
      <c s="6" r="BJ389">
        <v>0</v>
      </c>
      <c s="6" r="BK389">
        <v>0</v>
      </c>
      <c s="6" r="BL389">
        <v>0</v>
      </c>
      <c s="6" r="BM389">
        <v>0</v>
      </c>
      <c s="6" r="BN389">
        <v>0</v>
      </c>
      <c s="6" r="BO389">
        <v>0</v>
      </c>
      <c s="6" r="BP389">
        <v>0</v>
      </c>
      <c s="6" r="BQ389">
        <v>0</v>
      </c>
      <c t="str" s="6" r="BR389">
        <f>HYPERLINK("http://www.d20pfsrd.com/magic/all-spells/p/planar-binding","Planar Binding")</f>
        <v>Planar Binding</v>
      </c>
      <c s="6" r="BS389">
        <v>389</v>
      </c>
      <c t="s" s="6" r="BT389">
        <v>92</v>
      </c>
      <c t="s" s="6" r="BU389">
        <v>3229</v>
      </c>
      <c s="6" r="BY389">
        <v>0</v>
      </c>
    </row>
    <row customHeight="1" r="390" ht="14.25">
      <c t="s" s="6" r="A390">
        <v>3230</v>
      </c>
      <c t="s" s="6" r="B390">
        <v>78</v>
      </c>
      <c t="s" s="6" r="C390">
        <v>3188</v>
      </c>
      <c t="s" s="6" r="D390">
        <v>3221</v>
      </c>
      <c t="s" s="6" r="E390">
        <v>471</v>
      </c>
      <c t="s" s="6" r="F390">
        <v>311</v>
      </c>
      <c t="s" s="6" r="G390">
        <v>106</v>
      </c>
      <c s="6" r="H390">
        <v>0</v>
      </c>
      <c t="s" s="6" r="I390">
        <v>3213</v>
      </c>
      <c t="s" s="6" r="L390">
        <v>3231</v>
      </c>
      <c t="s" s="6" r="M390">
        <v>109</v>
      </c>
      <c s="6" r="N390">
        <v>0</v>
      </c>
      <c s="6" r="O390">
        <v>0</v>
      </c>
      <c t="s" s="6" r="P390">
        <v>221</v>
      </c>
      <c t="s" s="6" r="Q390">
        <v>3215</v>
      </c>
      <c t="s" s="6" r="R390">
        <v>3232</v>
      </c>
      <c t="s" s="6" r="S390">
        <v>3233</v>
      </c>
      <c t="s" s="6" r="T390">
        <v>90</v>
      </c>
      <c t="s" s="6" r="U390">
        <v>3234</v>
      </c>
      <c s="6" r="V390">
        <v>1</v>
      </c>
      <c s="6" r="W390">
        <v>1</v>
      </c>
      <c s="6" r="X390">
        <v>0</v>
      </c>
      <c s="6" r="Y390">
        <v>0</v>
      </c>
      <c s="6" r="Z390">
        <v>0</v>
      </c>
      <c s="6" r="AA390">
        <v>8</v>
      </c>
      <c s="6" r="AB390">
        <v>8</v>
      </c>
      <c t="s" s="6" r="AC390">
        <v>92</v>
      </c>
      <c t="s" s="6" r="AD390">
        <v>92</v>
      </c>
      <c t="s" s="6" r="AE390">
        <v>92</v>
      </c>
      <c t="s" s="6" r="AF390">
        <v>92</v>
      </c>
      <c t="s" s="6" r="AG390">
        <v>92</v>
      </c>
      <c t="s" s="6" r="AH390">
        <v>92</v>
      </c>
      <c s="6" r="AI390">
        <v>6</v>
      </c>
      <c t="s" s="6" r="AJ390">
        <v>92</v>
      </c>
      <c t="s" s="6" r="AK390">
        <v>92</v>
      </c>
      <c t="s" s="6" r="AL390">
        <v>92</v>
      </c>
      <c t="s" s="6" r="AM390">
        <v>92</v>
      </c>
      <c t="s" s="6" r="AN390">
        <v>92</v>
      </c>
      <c s="6" r="AP390">
        <v>8</v>
      </c>
      <c t="s" s="6" r="AR390">
        <v>3235</v>
      </c>
      <c s="6" r="AS390">
        <v>0</v>
      </c>
      <c s="6" r="AT390">
        <v>0</v>
      </c>
      <c s="6" r="AU390">
        <v>0</v>
      </c>
      <c s="6" r="AV390">
        <v>0</v>
      </c>
      <c s="6" r="AW390">
        <v>0</v>
      </c>
      <c s="6" r="AX390">
        <v>0</v>
      </c>
      <c s="6" r="AY390">
        <v>0</v>
      </c>
      <c s="6" r="AZ390">
        <v>0</v>
      </c>
      <c s="6" r="BA390">
        <v>0</v>
      </c>
      <c s="6" r="BB390">
        <v>0</v>
      </c>
      <c s="6" r="BC390">
        <v>0</v>
      </c>
      <c s="6" r="BD390">
        <v>0</v>
      </c>
      <c s="6" r="BE390">
        <v>0</v>
      </c>
      <c s="6" r="BF390">
        <v>0</v>
      </c>
      <c s="6" r="BG390">
        <v>0</v>
      </c>
      <c s="6" r="BH390">
        <v>0</v>
      </c>
      <c s="6" r="BI390">
        <v>0</v>
      </c>
      <c s="6" r="BJ390">
        <v>0</v>
      </c>
      <c s="6" r="BK390">
        <v>0</v>
      </c>
      <c s="6" r="BL390">
        <v>0</v>
      </c>
      <c s="6" r="BM390">
        <v>0</v>
      </c>
      <c s="6" r="BN390">
        <v>0</v>
      </c>
      <c s="6" r="BO390">
        <v>0</v>
      </c>
      <c s="6" r="BP390">
        <v>0</v>
      </c>
      <c s="6" r="BQ390">
        <v>0</v>
      </c>
      <c t="str" s="6" r="BR390">
        <f>HYPERLINK("http://www.d20pfsrd.com/magic/all-spells/p/planar-binding","Planar Binding, Greater")</f>
        <v>Planar Binding, Greater</v>
      </c>
      <c s="6" r="BS390">
        <v>390</v>
      </c>
      <c t="s" s="6" r="BT390">
        <v>92</v>
      </c>
      <c t="s" s="6" r="BU390">
        <v>2871</v>
      </c>
      <c s="6" r="BY390">
        <v>0</v>
      </c>
    </row>
    <row customHeight="1" r="391" ht="14.25">
      <c t="s" s="6" r="A391">
        <v>3236</v>
      </c>
      <c t="s" s="6" r="B391">
        <v>78</v>
      </c>
      <c t="s" s="6" r="C391">
        <v>1356</v>
      </c>
      <c t="s" s="6" r="E391">
        <v>3237</v>
      </c>
      <c t="s" s="6" r="F391">
        <v>81</v>
      </c>
      <c t="s" s="6" r="G391">
        <v>3238</v>
      </c>
      <c s="6" r="H391">
        <v>0</v>
      </c>
      <c t="s" s="6" r="I391">
        <v>120</v>
      </c>
      <c t="s" s="6" r="L391">
        <v>3239</v>
      </c>
      <c t="s" s="6" r="M391">
        <v>109</v>
      </c>
      <c s="6" r="N391">
        <v>0</v>
      </c>
      <c s="6" r="O391">
        <v>0</v>
      </c>
      <c t="s" s="6" r="P391">
        <v>221</v>
      </c>
      <c t="s" s="6" r="Q391">
        <v>188</v>
      </c>
      <c t="s" s="6" r="R391">
        <v>3240</v>
      </c>
      <c t="s" s="6" r="S391">
        <v>3241</v>
      </c>
      <c t="s" s="6" r="T391">
        <v>90</v>
      </c>
      <c t="s" s="6" r="U391">
        <v>3242</v>
      </c>
      <c s="6" r="V391">
        <v>1</v>
      </c>
      <c s="6" r="W391">
        <v>1</v>
      </c>
      <c s="6" r="X391">
        <v>0</v>
      </c>
      <c s="6" r="Y391">
        <v>0</v>
      </c>
      <c s="6" r="Z391">
        <v>0</v>
      </c>
      <c s="6" r="AA391">
        <v>7</v>
      </c>
      <c s="6" r="AB391">
        <v>7</v>
      </c>
      <c s="6" r="AC391">
        <v>5</v>
      </c>
      <c t="s" s="6" r="AD391">
        <v>92</v>
      </c>
      <c t="s" s="6" r="AE391">
        <v>92</v>
      </c>
      <c t="s" s="6" r="AF391">
        <v>92</v>
      </c>
      <c t="s" s="6" r="AG391">
        <v>92</v>
      </c>
      <c t="s" s="6" r="AH391">
        <v>92</v>
      </c>
      <c s="6" r="AI391">
        <v>5</v>
      </c>
      <c s="6" r="AJ391">
        <v>7</v>
      </c>
      <c t="s" s="6" r="AK391">
        <v>92</v>
      </c>
      <c s="6" r="AL391">
        <v>5</v>
      </c>
      <c t="s" s="6" r="AM391">
        <v>92</v>
      </c>
      <c t="s" s="6" r="AN391">
        <v>92</v>
      </c>
      <c s="6" r="AP391">
        <v>7</v>
      </c>
      <c t="s" s="6" r="AQ391">
        <v>1976</v>
      </c>
      <c t="s" s="6" r="AR391">
        <v>3243</v>
      </c>
      <c s="6" r="AS391">
        <v>0</v>
      </c>
      <c s="6" r="AT391">
        <v>0</v>
      </c>
      <c s="6" r="AU391">
        <v>0</v>
      </c>
      <c s="6" r="AV391">
        <v>0</v>
      </c>
      <c s="6" r="AW391">
        <v>0</v>
      </c>
      <c s="6" r="AX391">
        <v>0</v>
      </c>
      <c s="6" r="AY391">
        <v>0</v>
      </c>
      <c s="6" r="AZ391">
        <v>0</v>
      </c>
      <c s="6" r="BA391">
        <v>0</v>
      </c>
      <c s="6" r="BB391">
        <v>0</v>
      </c>
      <c s="6" r="BC391">
        <v>0</v>
      </c>
      <c s="6" r="BD391">
        <v>0</v>
      </c>
      <c s="6" r="BE391">
        <v>0</v>
      </c>
      <c s="6" r="BF391">
        <v>0</v>
      </c>
      <c s="6" r="BG391">
        <v>0</v>
      </c>
      <c s="6" r="BH391">
        <v>0</v>
      </c>
      <c s="6" r="BI391">
        <v>0</v>
      </c>
      <c s="6" r="BJ391">
        <v>0</v>
      </c>
      <c s="6" r="BK391">
        <v>0</v>
      </c>
      <c s="6" r="BL391">
        <v>0</v>
      </c>
      <c s="6" r="BM391">
        <v>0</v>
      </c>
      <c s="6" r="BN391">
        <v>0</v>
      </c>
      <c s="6" r="BO391">
        <v>0</v>
      </c>
      <c s="6" r="BP391">
        <v>0</v>
      </c>
      <c s="6" r="BQ391">
        <v>0</v>
      </c>
      <c t="str" s="6" r="BR391">
        <f>HYPERLINK("http://www.d20pfsrd.com/magic/all-spells/p/plane-shift","Plane Shift")</f>
        <v>Plane Shift</v>
      </c>
      <c s="6" r="BS391">
        <v>391</v>
      </c>
      <c t="s" s="6" r="BT391">
        <v>92</v>
      </c>
      <c t="s" s="6" r="BU391">
        <v>3244</v>
      </c>
      <c t="s" s="6" r="BW391">
        <v>3245</v>
      </c>
      <c t="s" s="6" r="BX391">
        <v>3246</v>
      </c>
      <c s="6" r="BY391">
        <v>1</v>
      </c>
    </row>
    <row customHeight="1" r="392" ht="14.25">
      <c t="s" s="6" r="A392">
        <v>3247</v>
      </c>
      <c t="s" s="6" r="B392">
        <v>131</v>
      </c>
      <c t="s" s="6" r="E392">
        <v>1366</v>
      </c>
      <c t="s" s="6" r="F392">
        <v>81</v>
      </c>
      <c t="s" s="6" r="G392">
        <v>119</v>
      </c>
      <c s="6" r="H392">
        <v>0</v>
      </c>
      <c t="s" s="6" r="I392">
        <v>141</v>
      </c>
      <c t="s" s="6" r="J392">
        <v>141</v>
      </c>
      <c t="s" s="6" r="L392">
        <v>141</v>
      </c>
      <c t="s" s="6" r="M392">
        <v>109</v>
      </c>
      <c s="6" r="N392">
        <v>0</v>
      </c>
      <c s="6" r="O392">
        <v>0</v>
      </c>
      <c t="s" s="6" r="P392">
        <v>86</v>
      </c>
      <c t="s" s="6" r="Q392">
        <v>87</v>
      </c>
      <c t="s" s="6" r="R392">
        <v>3248</v>
      </c>
      <c t="s" s="6" r="S392">
        <v>3249</v>
      </c>
      <c t="s" s="6" r="T392">
        <v>90</v>
      </c>
      <c t="s" s="6" r="U392">
        <v>3250</v>
      </c>
      <c s="6" r="V392">
        <v>1</v>
      </c>
      <c s="6" r="W392">
        <v>1</v>
      </c>
      <c s="6" r="X392">
        <v>0</v>
      </c>
      <c s="6" r="Y392">
        <v>0</v>
      </c>
      <c s="6" r="Z392">
        <v>1</v>
      </c>
      <c t="s" s="6" r="AA392">
        <v>92</v>
      </c>
      <c t="s" s="6" r="AB392">
        <v>92</v>
      </c>
      <c t="s" s="6" r="AC392">
        <v>92</v>
      </c>
      <c s="6" r="AD392">
        <v>3</v>
      </c>
      <c s="6" r="AE392">
        <v>3</v>
      </c>
      <c t="s" s="6" r="AF392">
        <v>92</v>
      </c>
      <c t="s" s="6" r="AG392">
        <v>92</v>
      </c>
      <c t="s" s="6" r="AH392">
        <v>92</v>
      </c>
      <c t="s" s="6" r="AI392">
        <v>92</v>
      </c>
      <c t="s" s="6" r="AJ392">
        <v>92</v>
      </c>
      <c t="s" s="6" r="AK392">
        <v>92</v>
      </c>
      <c t="s" s="6" r="AL392">
        <v>92</v>
      </c>
      <c t="s" s="6" r="AM392">
        <v>92</v>
      </c>
      <c t="s" s="6" r="AN392">
        <v>92</v>
      </c>
      <c s="6" r="AP392">
        <v>3</v>
      </c>
      <c t="s" s="6" r="AQ392">
        <v>257</v>
      </c>
      <c t="s" s="6" r="AR392">
        <v>3251</v>
      </c>
      <c s="6" r="AS392">
        <v>0</v>
      </c>
      <c s="6" r="AT392">
        <v>0</v>
      </c>
      <c s="6" r="AU392">
        <v>0</v>
      </c>
      <c s="6" r="AV392">
        <v>0</v>
      </c>
      <c s="6" r="AW392">
        <v>0</v>
      </c>
      <c s="6" r="AX392">
        <v>0</v>
      </c>
      <c s="6" r="AY392">
        <v>0</v>
      </c>
      <c s="6" r="AZ392">
        <v>0</v>
      </c>
      <c s="6" r="BA392">
        <v>0</v>
      </c>
      <c s="6" r="BB392">
        <v>0</v>
      </c>
      <c s="6" r="BC392">
        <v>0</v>
      </c>
      <c s="6" r="BD392">
        <v>0</v>
      </c>
      <c s="6" r="BE392">
        <v>0</v>
      </c>
      <c s="6" r="BF392">
        <v>0</v>
      </c>
      <c s="6" r="BG392">
        <v>0</v>
      </c>
      <c s="6" r="BH392">
        <v>0</v>
      </c>
      <c s="6" r="BI392">
        <v>0</v>
      </c>
      <c s="6" r="BJ392">
        <v>0</v>
      </c>
      <c s="6" r="BK392">
        <v>0</v>
      </c>
      <c s="6" r="BL392">
        <v>0</v>
      </c>
      <c s="6" r="BM392">
        <v>0</v>
      </c>
      <c s="6" r="BN392">
        <v>0</v>
      </c>
      <c s="6" r="BO392">
        <v>0</v>
      </c>
      <c s="6" r="BP392">
        <v>0</v>
      </c>
      <c s="6" r="BQ392">
        <v>0</v>
      </c>
      <c t="str" s="6" r="BR392">
        <f>HYPERLINK("http://www.d20pfsrd.com/magic/all-spells/p/plant-growth","Plant Growth")</f>
        <v>Plant Growth</v>
      </c>
      <c s="6" r="BS392">
        <v>392</v>
      </c>
      <c t="s" s="6" r="BT392">
        <v>92</v>
      </c>
      <c s="6" r="BY392">
        <v>0</v>
      </c>
    </row>
    <row customHeight="1" r="393" ht="14.25">
      <c t="s" s="6" r="A393">
        <v>3252</v>
      </c>
      <c t="s" s="6" r="B393">
        <v>131</v>
      </c>
      <c t="s" s="6" r="C393">
        <v>152</v>
      </c>
      <c t="s" s="6" r="E393">
        <v>3253</v>
      </c>
      <c t="s" s="6" r="F393">
        <v>81</v>
      </c>
      <c t="s" s="6" r="G393">
        <v>154</v>
      </c>
      <c s="6" r="H393">
        <v>0</v>
      </c>
      <c t="s" s="6" r="I393">
        <v>155</v>
      </c>
      <c t="s" s="6" r="L393">
        <v>156</v>
      </c>
      <c t="s" s="6" r="M393">
        <v>122</v>
      </c>
      <c s="6" r="N393">
        <v>1</v>
      </c>
      <c s="6" r="O393">
        <v>0</v>
      </c>
      <c t="s" s="6" r="R393">
        <v>3254</v>
      </c>
      <c t="s" s="6" r="S393">
        <v>3255</v>
      </c>
      <c t="s" s="6" r="T393">
        <v>90</v>
      </c>
      <c t="s" s="6" r="U393">
        <v>3256</v>
      </c>
      <c s="6" r="V393">
        <v>1</v>
      </c>
      <c s="6" r="W393">
        <v>1</v>
      </c>
      <c s="6" r="X393">
        <v>1</v>
      </c>
      <c s="6" r="Y393">
        <v>0</v>
      </c>
      <c s="6" r="Z393">
        <v>0</v>
      </c>
      <c s="6" r="AA393">
        <v>5</v>
      </c>
      <c s="6" r="AB393">
        <v>5</v>
      </c>
      <c t="s" s="6" r="AC393">
        <v>92</v>
      </c>
      <c t="s" s="6" r="AD393">
        <v>92</v>
      </c>
      <c t="s" s="6" r="AE393">
        <v>92</v>
      </c>
      <c t="s" s="6" r="AF393">
        <v>92</v>
      </c>
      <c t="s" s="6" r="AG393">
        <v>92</v>
      </c>
      <c s="6" r="AH393">
        <v>5</v>
      </c>
      <c t="s" s="6" r="AI393">
        <v>92</v>
      </c>
      <c t="s" s="6" r="AJ393">
        <v>92</v>
      </c>
      <c t="s" s="6" r="AK393">
        <v>92</v>
      </c>
      <c t="s" s="6" r="AL393">
        <v>92</v>
      </c>
      <c t="s" s="6" r="AM393">
        <v>92</v>
      </c>
      <c t="s" s="6" r="AN393">
        <v>92</v>
      </c>
      <c s="6" r="AP393">
        <v>5</v>
      </c>
      <c t="s" s="6" r="AR393">
        <v>3257</v>
      </c>
      <c s="6" r="AS393">
        <v>0</v>
      </c>
      <c s="6" r="AT393">
        <v>0</v>
      </c>
      <c s="6" r="AU393">
        <v>0</v>
      </c>
      <c s="6" r="AV393">
        <v>0</v>
      </c>
      <c s="6" r="AW393">
        <v>0</v>
      </c>
      <c s="6" r="AX393">
        <v>0</v>
      </c>
      <c s="6" r="AY393">
        <v>0</v>
      </c>
      <c s="6" r="AZ393">
        <v>0</v>
      </c>
      <c s="6" r="BA393">
        <v>0</v>
      </c>
      <c s="6" r="BB393">
        <v>0</v>
      </c>
      <c s="6" r="BC393">
        <v>0</v>
      </c>
      <c s="6" r="BD393">
        <v>0</v>
      </c>
      <c s="6" r="BE393">
        <v>0</v>
      </c>
      <c s="6" r="BF393">
        <v>0</v>
      </c>
      <c s="6" r="BG393">
        <v>0</v>
      </c>
      <c s="6" r="BH393">
        <v>0</v>
      </c>
      <c s="6" r="BI393">
        <v>0</v>
      </c>
      <c s="6" r="BJ393">
        <v>0</v>
      </c>
      <c s="6" r="BK393">
        <v>0</v>
      </c>
      <c s="6" r="BL393">
        <v>0</v>
      </c>
      <c s="6" r="BM393">
        <v>0</v>
      </c>
      <c s="6" r="BN393">
        <v>0</v>
      </c>
      <c s="6" r="BO393">
        <v>0</v>
      </c>
      <c s="6" r="BP393">
        <v>0</v>
      </c>
      <c s="6" r="BQ393">
        <v>0</v>
      </c>
      <c t="str" s="6" r="BR393">
        <f>HYPERLINK("http://www.d20pfsrd.com/magic/all-spells/p/plant-shape-i","Plant Shape I")</f>
        <v>Plant Shape I</v>
      </c>
      <c s="6" r="BS393">
        <v>393</v>
      </c>
      <c t="s" s="6" r="BT393">
        <v>92</v>
      </c>
      <c s="6" r="BY393">
        <v>0</v>
      </c>
    </row>
    <row customHeight="1" r="394" ht="14.25">
      <c t="s" s="6" r="A394">
        <v>3258</v>
      </c>
      <c t="s" s="6" r="B394">
        <v>131</v>
      </c>
      <c t="s" s="6" r="C394">
        <v>152</v>
      </c>
      <c t="s" s="6" r="E394">
        <v>3259</v>
      </c>
      <c t="s" s="6" r="F394">
        <v>81</v>
      </c>
      <c t="s" s="6" r="G394">
        <v>154</v>
      </c>
      <c s="6" r="H394">
        <v>0</v>
      </c>
      <c t="s" s="6" r="I394">
        <v>155</v>
      </c>
      <c t="s" s="6" r="L394">
        <v>156</v>
      </c>
      <c t="s" s="6" r="M394">
        <v>122</v>
      </c>
      <c s="6" r="N394">
        <v>1</v>
      </c>
      <c s="6" r="O394">
        <v>0</v>
      </c>
      <c t="s" s="6" r="R394">
        <v>3260</v>
      </c>
      <c t="s" s="6" r="S394">
        <v>3261</v>
      </c>
      <c t="s" s="6" r="T394">
        <v>90</v>
      </c>
      <c t="s" s="6" r="U394">
        <v>3262</v>
      </c>
      <c s="6" r="V394">
        <v>1</v>
      </c>
      <c s="6" r="W394">
        <v>1</v>
      </c>
      <c s="6" r="X394">
        <v>1</v>
      </c>
      <c s="6" r="Y394">
        <v>0</v>
      </c>
      <c s="6" r="Z394">
        <v>0</v>
      </c>
      <c s="6" r="AA394">
        <v>6</v>
      </c>
      <c s="6" r="AB394">
        <v>6</v>
      </c>
      <c t="s" s="6" r="AC394">
        <v>92</v>
      </c>
      <c t="s" s="6" r="AD394">
        <v>92</v>
      </c>
      <c t="s" s="6" r="AE394">
        <v>92</v>
      </c>
      <c t="s" s="6" r="AF394">
        <v>92</v>
      </c>
      <c t="s" s="6" r="AG394">
        <v>92</v>
      </c>
      <c s="6" r="AH394">
        <v>6</v>
      </c>
      <c t="s" s="6" r="AI394">
        <v>92</v>
      </c>
      <c t="s" s="6" r="AJ394">
        <v>92</v>
      </c>
      <c t="s" s="6" r="AK394">
        <v>92</v>
      </c>
      <c t="s" s="6" r="AL394">
        <v>92</v>
      </c>
      <c t="s" s="6" r="AM394">
        <v>92</v>
      </c>
      <c t="s" s="6" r="AN394">
        <v>92</v>
      </c>
      <c s="6" r="AP394">
        <v>6</v>
      </c>
      <c t="s" s="6" r="AR394">
        <v>3263</v>
      </c>
      <c s="6" r="AS394">
        <v>0</v>
      </c>
      <c s="6" r="AT394">
        <v>0</v>
      </c>
      <c s="6" r="AU394">
        <v>0</v>
      </c>
      <c s="6" r="AV394">
        <v>0</v>
      </c>
      <c s="6" r="AW394">
        <v>0</v>
      </c>
      <c s="6" r="AX394">
        <v>0</v>
      </c>
      <c s="6" r="AY394">
        <v>0</v>
      </c>
      <c s="6" r="AZ394">
        <v>0</v>
      </c>
      <c s="6" r="BA394">
        <v>0</v>
      </c>
      <c s="6" r="BB394">
        <v>0</v>
      </c>
      <c s="6" r="BC394">
        <v>0</v>
      </c>
      <c s="6" r="BD394">
        <v>0</v>
      </c>
      <c s="6" r="BE394">
        <v>0</v>
      </c>
      <c s="6" r="BF394">
        <v>0</v>
      </c>
      <c s="6" r="BG394">
        <v>0</v>
      </c>
      <c s="6" r="BH394">
        <v>0</v>
      </c>
      <c s="6" r="BI394">
        <v>0</v>
      </c>
      <c s="6" r="BJ394">
        <v>0</v>
      </c>
      <c s="6" r="BK394">
        <v>0</v>
      </c>
      <c s="6" r="BL394">
        <v>0</v>
      </c>
      <c s="6" r="BM394">
        <v>0</v>
      </c>
      <c s="6" r="BN394">
        <v>0</v>
      </c>
      <c s="6" r="BO394">
        <v>0</v>
      </c>
      <c s="6" r="BP394">
        <v>0</v>
      </c>
      <c s="6" r="BQ394">
        <v>0</v>
      </c>
      <c t="str" s="6" r="BR394">
        <f>HYPERLINK("http://www.d20pfsrd.com/magic/all-spells/p/plant-shape-i#TOC-Plant-Shape-II","Plant Shape II")</f>
        <v>Plant Shape II</v>
      </c>
      <c s="6" r="BS394">
        <v>394</v>
      </c>
      <c t="s" s="6" r="BT394">
        <v>92</v>
      </c>
      <c s="6" r="BY394">
        <v>0</v>
      </c>
    </row>
    <row customHeight="1" r="395" ht="14.25">
      <c t="s" s="6" r="A395">
        <v>3264</v>
      </c>
      <c t="s" s="6" r="B395">
        <v>131</v>
      </c>
      <c t="s" s="6" r="C395">
        <v>152</v>
      </c>
      <c t="s" s="6" r="E395">
        <v>973</v>
      </c>
      <c t="s" s="6" r="F395">
        <v>81</v>
      </c>
      <c t="s" s="6" r="G395">
        <v>154</v>
      </c>
      <c s="6" r="H395">
        <v>0</v>
      </c>
      <c t="s" s="6" r="I395">
        <v>155</v>
      </c>
      <c t="s" s="6" r="L395">
        <v>156</v>
      </c>
      <c t="s" s="6" r="M395">
        <v>122</v>
      </c>
      <c s="6" r="N395">
        <v>1</v>
      </c>
      <c s="6" r="O395">
        <v>0</v>
      </c>
      <c t="s" s="6" r="R395">
        <v>3265</v>
      </c>
      <c t="s" s="6" r="S395">
        <v>3266</v>
      </c>
      <c t="s" s="6" r="T395">
        <v>90</v>
      </c>
      <c t="s" s="6" r="U395">
        <v>3267</v>
      </c>
      <c s="6" r="V395">
        <v>1</v>
      </c>
      <c s="6" r="W395">
        <v>1</v>
      </c>
      <c s="6" r="X395">
        <v>1</v>
      </c>
      <c s="6" r="Y395">
        <v>0</v>
      </c>
      <c s="6" r="Z395">
        <v>0</v>
      </c>
      <c s="6" r="AA395">
        <v>7</v>
      </c>
      <c s="6" r="AB395">
        <v>7</v>
      </c>
      <c t="s" s="6" r="AC395">
        <v>92</v>
      </c>
      <c t="s" s="6" r="AD395">
        <v>92</v>
      </c>
      <c t="s" s="6" r="AE395">
        <v>92</v>
      </c>
      <c t="s" s="6" r="AF395">
        <v>92</v>
      </c>
      <c t="s" s="6" r="AG395">
        <v>92</v>
      </c>
      <c t="s" s="6" r="AH395">
        <v>92</v>
      </c>
      <c t="s" s="6" r="AI395">
        <v>92</v>
      </c>
      <c t="s" s="6" r="AJ395">
        <v>92</v>
      </c>
      <c t="s" s="6" r="AK395">
        <v>92</v>
      </c>
      <c t="s" s="6" r="AL395">
        <v>92</v>
      </c>
      <c t="s" s="6" r="AM395">
        <v>92</v>
      </c>
      <c t="s" s="6" r="AN395">
        <v>92</v>
      </c>
      <c s="6" r="AP395">
        <v>7</v>
      </c>
      <c t="s" s="6" r="AR395">
        <v>3268</v>
      </c>
      <c s="6" r="AS395">
        <v>0</v>
      </c>
      <c s="6" r="AT395">
        <v>0</v>
      </c>
      <c s="6" r="AU395">
        <v>0</v>
      </c>
      <c s="6" r="AV395">
        <v>0</v>
      </c>
      <c s="6" r="AW395">
        <v>0</v>
      </c>
      <c s="6" r="AX395">
        <v>0</v>
      </c>
      <c s="6" r="AY395">
        <v>0</v>
      </c>
      <c s="6" r="AZ395">
        <v>0</v>
      </c>
      <c s="6" r="BA395">
        <v>0</v>
      </c>
      <c s="6" r="BB395">
        <v>0</v>
      </c>
      <c s="6" r="BC395">
        <v>0</v>
      </c>
      <c s="6" r="BD395">
        <v>0</v>
      </c>
      <c s="6" r="BE395">
        <v>0</v>
      </c>
      <c s="6" r="BF395">
        <v>0</v>
      </c>
      <c s="6" r="BG395">
        <v>0</v>
      </c>
      <c s="6" r="BH395">
        <v>0</v>
      </c>
      <c s="6" r="BI395">
        <v>0</v>
      </c>
      <c s="6" r="BJ395">
        <v>0</v>
      </c>
      <c s="6" r="BK395">
        <v>0</v>
      </c>
      <c s="6" r="BL395">
        <v>0</v>
      </c>
      <c s="6" r="BM395">
        <v>0</v>
      </c>
      <c s="6" r="BN395">
        <v>0</v>
      </c>
      <c s="6" r="BO395">
        <v>0</v>
      </c>
      <c s="6" r="BP395">
        <v>0</v>
      </c>
      <c s="6" r="BQ395">
        <v>0</v>
      </c>
      <c t="str" s="6" r="BR395">
        <f>HYPERLINK("http://www.d20pfsrd.com/magic/all-spells/p/plant-shape-i#TOC-Plant-Shape-III","Plant Shape III")</f>
        <v>Plant Shape III</v>
      </c>
      <c s="6" r="BS395">
        <v>395</v>
      </c>
      <c t="s" s="6" r="BT395">
        <v>92</v>
      </c>
      <c t="s" s="6" r="BU395">
        <v>259</v>
      </c>
      <c s="6" r="BY395">
        <v>0</v>
      </c>
    </row>
    <row customHeight="1" r="396" ht="14.25">
      <c t="s" s="6" r="A396">
        <v>3269</v>
      </c>
      <c t="s" s="6" r="B396">
        <v>227</v>
      </c>
      <c t="s" s="6" r="D396">
        <v>65</v>
      </c>
      <c t="s" s="6" r="E396">
        <v>3270</v>
      </c>
      <c t="s" s="6" r="F396">
        <v>81</v>
      </c>
      <c t="s" s="6" r="G396">
        <v>119</v>
      </c>
      <c s="6" r="H396">
        <v>0</v>
      </c>
      <c t="s" s="6" r="I396">
        <v>120</v>
      </c>
      <c t="s" s="6" r="L396">
        <v>121</v>
      </c>
      <c t="s" s="6" r="M396">
        <v>834</v>
      </c>
      <c s="6" r="N396">
        <v>0</v>
      </c>
      <c s="6" r="O396">
        <v>0</v>
      </c>
      <c t="s" s="6" r="P396">
        <v>3271</v>
      </c>
      <c t="s" s="6" r="Q396">
        <v>188</v>
      </c>
      <c t="s" s="6" r="R396">
        <v>3272</v>
      </c>
      <c t="s" s="6" r="S396">
        <v>3273</v>
      </c>
      <c t="s" s="6" r="T396">
        <v>90</v>
      </c>
      <c t="s" s="6" r="U396">
        <v>3274</v>
      </c>
      <c s="6" r="V396">
        <v>1</v>
      </c>
      <c s="6" r="W396">
        <v>1</v>
      </c>
      <c s="6" r="X396">
        <v>0</v>
      </c>
      <c s="6" r="Y396">
        <v>0</v>
      </c>
      <c s="6" r="Z396">
        <v>1</v>
      </c>
      <c t="s" s="6" r="AA396">
        <v>92</v>
      </c>
      <c t="s" s="6" r="AB396">
        <v>92</v>
      </c>
      <c s="6" r="AC396">
        <v>4</v>
      </c>
      <c s="6" r="AD396">
        <v>3</v>
      </c>
      <c t="s" s="6" r="AE396">
        <v>92</v>
      </c>
      <c t="s" s="6" r="AF396">
        <v>92</v>
      </c>
      <c t="s" s="6" r="AG396">
        <v>92</v>
      </c>
      <c t="s" s="6" r="AH396">
        <v>92</v>
      </c>
      <c t="s" s="6" r="AI396">
        <v>92</v>
      </c>
      <c s="6" r="AJ396">
        <v>4</v>
      </c>
      <c t="s" s="6" r="AK396">
        <v>92</v>
      </c>
      <c s="6" r="AL396">
        <v>4</v>
      </c>
      <c s="6" r="AM396">
        <v>4</v>
      </c>
      <c t="s" s="6" r="AN396">
        <v>92</v>
      </c>
      <c s="6" r="AP396">
        <v>4</v>
      </c>
      <c t="s" s="6" r="AQ396">
        <v>3275</v>
      </c>
      <c t="s" s="6" r="AR396">
        <v>3276</v>
      </c>
      <c s="6" r="AS396">
        <v>0</v>
      </c>
      <c s="6" r="AT396">
        <v>0</v>
      </c>
      <c s="6" r="AU396">
        <v>0</v>
      </c>
      <c s="6" r="AV396">
        <v>0</v>
      </c>
      <c s="6" r="AW396">
        <v>0</v>
      </c>
      <c s="6" r="AX396">
        <v>0</v>
      </c>
      <c s="6" r="AY396">
        <v>0</v>
      </c>
      <c s="6" r="AZ396">
        <v>0</v>
      </c>
      <c s="6" r="BA396">
        <v>0</v>
      </c>
      <c s="6" r="BB396">
        <v>0</v>
      </c>
      <c s="6" r="BC396">
        <v>0</v>
      </c>
      <c s="6" r="BD396">
        <v>0</v>
      </c>
      <c s="6" r="BE396">
        <v>0</v>
      </c>
      <c s="6" r="BF396">
        <v>0</v>
      </c>
      <c s="6" r="BG396">
        <v>0</v>
      </c>
      <c s="6" r="BH396">
        <v>0</v>
      </c>
      <c s="6" r="BI396">
        <v>0</v>
      </c>
      <c s="6" r="BJ396">
        <v>0</v>
      </c>
      <c s="6" r="BK396">
        <v>0</v>
      </c>
      <c s="6" r="BL396">
        <v>0</v>
      </c>
      <c s="6" r="BM396">
        <v>0</v>
      </c>
      <c s="6" r="BN396">
        <v>1</v>
      </c>
      <c s="6" r="BO396">
        <v>0</v>
      </c>
      <c s="6" r="BP396">
        <v>0</v>
      </c>
      <c s="6" r="BQ396">
        <v>0</v>
      </c>
      <c t="str" s="6" r="BR396">
        <f>HYPERLINK("http://www.d20pfsrd.com/magic/all-spells/p/poison","Poison")</f>
        <v>Poison</v>
      </c>
      <c s="6" r="BS396">
        <v>396</v>
      </c>
      <c t="s" s="6" r="BT396">
        <v>92</v>
      </c>
      <c t="s" s="6" r="BU396">
        <v>2589</v>
      </c>
      <c s="6" r="BY396">
        <v>0</v>
      </c>
    </row>
    <row customHeight="1" r="397" ht="14.25">
      <c t="s" s="6" r="A397">
        <v>3277</v>
      </c>
      <c t="s" s="6" r="B397">
        <v>493</v>
      </c>
      <c t="s" s="6" r="D397">
        <v>47</v>
      </c>
      <c t="s" s="6" r="E397">
        <v>794</v>
      </c>
      <c t="s" s="6" r="F397">
        <v>81</v>
      </c>
      <c t="s" s="6" r="G397">
        <v>3278</v>
      </c>
      <c s="6" r="H397">
        <v>0</v>
      </c>
      <c t="s" s="6" r="I397">
        <v>97</v>
      </c>
      <c t="s" s="6" r="K397">
        <v>1344</v>
      </c>
      <c t="s" s="6" r="M397">
        <v>109</v>
      </c>
      <c s="6" r="N397">
        <v>0</v>
      </c>
      <c s="6" r="O397">
        <v>0</v>
      </c>
      <c t="s" s="6" r="P397">
        <v>86</v>
      </c>
      <c t="s" s="6" r="Q397">
        <v>188</v>
      </c>
      <c t="s" s="6" r="R397">
        <v>3279</v>
      </c>
      <c t="s" s="6" r="S397">
        <v>3280</v>
      </c>
      <c t="s" s="6" r="T397">
        <v>90</v>
      </c>
      <c t="s" s="6" r="U397">
        <v>3281</v>
      </c>
      <c s="6" r="V397">
        <v>1</v>
      </c>
      <c s="6" r="W397">
        <v>1</v>
      </c>
      <c s="6" r="X397">
        <v>0</v>
      </c>
      <c s="6" r="Y397">
        <v>0</v>
      </c>
      <c s="6" r="Z397">
        <v>0</v>
      </c>
      <c s="6" r="AA397">
        <v>8</v>
      </c>
      <c s="6" r="AB397">
        <v>8</v>
      </c>
      <c t="s" s="6" r="AC397">
        <v>92</v>
      </c>
      <c t="s" s="6" r="AD397">
        <v>92</v>
      </c>
      <c t="s" s="6" r="AE397">
        <v>92</v>
      </c>
      <c t="s" s="6" r="AF397">
        <v>92</v>
      </c>
      <c t="s" s="6" r="AG397">
        <v>92</v>
      </c>
      <c t="s" s="6" r="AH397">
        <v>92</v>
      </c>
      <c t="s" s="6" r="AI397">
        <v>92</v>
      </c>
      <c t="s" s="6" r="AJ397">
        <v>92</v>
      </c>
      <c t="s" s="6" r="AK397">
        <v>92</v>
      </c>
      <c t="s" s="6" r="AL397">
        <v>92</v>
      </c>
      <c t="s" s="6" r="AM397">
        <v>92</v>
      </c>
      <c t="s" s="6" r="AN397">
        <v>92</v>
      </c>
      <c s="6" r="AP397">
        <v>8</v>
      </c>
      <c t="s" s="6" r="AQ397">
        <v>1997</v>
      </c>
      <c t="s" s="6" r="AR397">
        <v>3282</v>
      </c>
      <c s="6" r="AS397">
        <v>0</v>
      </c>
      <c s="6" r="AT397">
        <v>0</v>
      </c>
      <c s="6" r="AU397">
        <v>0</v>
      </c>
      <c s="6" r="AV397">
        <v>1</v>
      </c>
      <c s="6" r="AW397">
        <v>0</v>
      </c>
      <c s="6" r="AX397">
        <v>0</v>
      </c>
      <c s="6" r="AY397">
        <v>0</v>
      </c>
      <c s="6" r="AZ397">
        <v>0</v>
      </c>
      <c s="6" r="BA397">
        <v>0</v>
      </c>
      <c s="6" r="BB397">
        <v>0</v>
      </c>
      <c s="6" r="BC397">
        <v>0</v>
      </c>
      <c s="6" r="BD397">
        <v>0</v>
      </c>
      <c s="6" r="BE397">
        <v>0</v>
      </c>
      <c s="6" r="BF397">
        <v>0</v>
      </c>
      <c s="6" r="BG397">
        <v>0</v>
      </c>
      <c s="6" r="BH397">
        <v>0</v>
      </c>
      <c s="6" r="BI397">
        <v>0</v>
      </c>
      <c s="6" r="BJ397">
        <v>0</v>
      </c>
      <c s="6" r="BK397">
        <v>0</v>
      </c>
      <c s="6" r="BL397">
        <v>0</v>
      </c>
      <c s="6" r="BM397">
        <v>0</v>
      </c>
      <c s="6" r="BN397">
        <v>0</v>
      </c>
      <c s="6" r="BO397">
        <v>0</v>
      </c>
      <c s="6" r="BP397">
        <v>0</v>
      </c>
      <c s="6" r="BQ397">
        <v>0</v>
      </c>
      <c t="str" s="6" r="BR397">
        <f>HYPERLINK("http://www.d20pfsrd.com/magic/all-spells/p/polar-ray","Polar Ray")</f>
        <v>Polar Ray</v>
      </c>
      <c s="6" r="BS397">
        <v>397</v>
      </c>
      <c t="s" s="6" r="BT397">
        <v>92</v>
      </c>
      <c t="s" s="6" r="BU397">
        <v>3283</v>
      </c>
      <c t="s" s="6" r="BV397">
        <v>903</v>
      </c>
      <c t="s" s="6" r="BW397">
        <v>3284</v>
      </c>
      <c s="6" r="BY397">
        <v>1</v>
      </c>
    </row>
    <row customHeight="1" r="398" ht="14.25">
      <c t="s" s="6" r="A398">
        <v>3285</v>
      </c>
      <c t="s" s="6" r="B398">
        <v>131</v>
      </c>
      <c t="s" s="6" r="C398">
        <v>152</v>
      </c>
      <c t="s" s="6" r="E398">
        <v>3253</v>
      </c>
      <c t="s" s="6" r="F398">
        <v>81</v>
      </c>
      <c t="s" s="6" r="G398">
        <v>3286</v>
      </c>
      <c s="6" r="H398">
        <v>0</v>
      </c>
      <c t="s" s="6" r="I398">
        <v>120</v>
      </c>
      <c t="s" s="6" r="L398">
        <v>121</v>
      </c>
      <c t="s" s="6" r="M398">
        <v>1559</v>
      </c>
      <c s="6" r="N398">
        <v>1</v>
      </c>
      <c s="6" r="O398">
        <v>0</v>
      </c>
      <c t="s" s="6" r="P398">
        <v>421</v>
      </c>
      <c t="s" s="6" r="Q398">
        <v>123</v>
      </c>
      <c t="s" s="6" r="R398">
        <v>3287</v>
      </c>
      <c t="s" s="6" r="S398">
        <v>3288</v>
      </c>
      <c t="s" s="6" r="T398">
        <v>90</v>
      </c>
      <c t="s" s="6" r="U398">
        <v>3289</v>
      </c>
      <c s="6" r="V398">
        <v>1</v>
      </c>
      <c s="6" r="W398">
        <v>1</v>
      </c>
      <c s="6" r="X398">
        <v>1</v>
      </c>
      <c s="6" r="Y398">
        <v>0</v>
      </c>
      <c s="6" r="Z398">
        <v>0</v>
      </c>
      <c s="6" r="AA398">
        <v>5</v>
      </c>
      <c s="6" r="AB398">
        <v>5</v>
      </c>
      <c t="s" s="6" r="AC398">
        <v>92</v>
      </c>
      <c t="s" s="6" r="AD398">
        <v>92</v>
      </c>
      <c t="s" s="6" r="AE398">
        <v>92</v>
      </c>
      <c t="s" s="6" r="AF398">
        <v>92</v>
      </c>
      <c t="s" s="6" r="AG398">
        <v>92</v>
      </c>
      <c s="6" r="AH398">
        <v>5</v>
      </c>
      <c t="s" s="6" r="AI398">
        <v>92</v>
      </c>
      <c t="s" s="6" r="AJ398">
        <v>92</v>
      </c>
      <c t="s" s="6" r="AK398">
        <v>92</v>
      </c>
      <c t="s" s="6" r="AL398">
        <v>92</v>
      </c>
      <c t="s" s="6" r="AM398">
        <v>92</v>
      </c>
      <c t="s" s="6" r="AN398">
        <v>92</v>
      </c>
      <c s="6" r="AP398">
        <v>5</v>
      </c>
      <c t="s" s="6" r="AR398">
        <v>3290</v>
      </c>
      <c s="6" r="AS398">
        <v>0</v>
      </c>
      <c s="6" r="AT398">
        <v>0</v>
      </c>
      <c s="6" r="AU398">
        <v>0</v>
      </c>
      <c s="6" r="AV398">
        <v>0</v>
      </c>
      <c s="6" r="AW398">
        <v>0</v>
      </c>
      <c s="6" r="AX398">
        <v>0</v>
      </c>
      <c s="6" r="AY398">
        <v>0</v>
      </c>
      <c s="6" r="AZ398">
        <v>0</v>
      </c>
      <c s="6" r="BA398">
        <v>0</v>
      </c>
      <c s="6" r="BB398">
        <v>0</v>
      </c>
      <c s="6" r="BC398">
        <v>0</v>
      </c>
      <c s="6" r="BD398">
        <v>0</v>
      </c>
      <c s="6" r="BE398">
        <v>0</v>
      </c>
      <c s="6" r="BF398">
        <v>0</v>
      </c>
      <c s="6" r="BG398">
        <v>0</v>
      </c>
      <c s="6" r="BH398">
        <v>0</v>
      </c>
      <c s="6" r="BI398">
        <v>0</v>
      </c>
      <c s="6" r="BJ398">
        <v>0</v>
      </c>
      <c s="6" r="BK398">
        <v>0</v>
      </c>
      <c s="6" r="BL398">
        <v>0</v>
      </c>
      <c s="6" r="BM398">
        <v>0</v>
      </c>
      <c s="6" r="BN398">
        <v>0</v>
      </c>
      <c s="6" r="BO398">
        <v>0</v>
      </c>
      <c s="6" r="BP398">
        <v>0</v>
      </c>
      <c s="6" r="BQ398">
        <v>0</v>
      </c>
      <c t="str" s="6" r="BR398">
        <f>HYPERLINK("http://www.d20pfsrd.com/magic/all-spells/p/polymorph","Polymorph")</f>
        <v>Polymorph</v>
      </c>
      <c s="6" r="BS398">
        <v>398</v>
      </c>
      <c t="s" s="6" r="BT398">
        <v>92</v>
      </c>
      <c t="s" s="6" r="BV398">
        <v>680</v>
      </c>
      <c s="6" r="BY398">
        <v>0</v>
      </c>
    </row>
    <row customHeight="1" r="399" ht="14.25">
      <c t="s" s="6" r="A399">
        <v>3291</v>
      </c>
      <c t="s" s="6" r="B399">
        <v>131</v>
      </c>
      <c t="s" s="6" r="C399">
        <v>152</v>
      </c>
      <c t="s" s="6" r="E399">
        <v>973</v>
      </c>
      <c t="s" s="6" r="F399">
        <v>81</v>
      </c>
      <c t="s" s="6" r="G399">
        <v>3286</v>
      </c>
      <c s="6" r="H399">
        <v>0</v>
      </c>
      <c t="s" s="6" r="I399">
        <v>120</v>
      </c>
      <c t="s" s="6" r="L399">
        <v>121</v>
      </c>
      <c t="s" s="6" r="M399">
        <v>1559</v>
      </c>
      <c s="6" r="N399">
        <v>1</v>
      </c>
      <c s="6" r="O399">
        <v>0</v>
      </c>
      <c t="s" s="6" r="P399">
        <v>421</v>
      </c>
      <c t="s" s="6" r="Q399">
        <v>123</v>
      </c>
      <c t="s" s="6" r="R399">
        <v>3292</v>
      </c>
      <c t="s" s="6" r="S399">
        <v>3293</v>
      </c>
      <c t="s" s="6" r="T399">
        <v>90</v>
      </c>
      <c t="s" s="6" r="U399">
        <v>3294</v>
      </c>
      <c s="6" r="V399">
        <v>1</v>
      </c>
      <c s="6" r="W399">
        <v>1</v>
      </c>
      <c s="6" r="X399">
        <v>1</v>
      </c>
      <c s="6" r="Y399">
        <v>0</v>
      </c>
      <c s="6" r="Z399">
        <v>0</v>
      </c>
      <c s="6" r="AA399">
        <v>7</v>
      </c>
      <c s="6" r="AB399">
        <v>7</v>
      </c>
      <c t="s" s="6" r="AC399">
        <v>92</v>
      </c>
      <c t="s" s="6" r="AD399">
        <v>92</v>
      </c>
      <c t="s" s="6" r="AE399">
        <v>92</v>
      </c>
      <c t="s" s="6" r="AF399">
        <v>92</v>
      </c>
      <c t="s" s="6" r="AG399">
        <v>92</v>
      </c>
      <c t="s" s="6" r="AH399">
        <v>92</v>
      </c>
      <c t="s" s="6" r="AI399">
        <v>92</v>
      </c>
      <c t="s" s="6" r="AJ399">
        <v>92</v>
      </c>
      <c t="s" s="6" r="AK399">
        <v>92</v>
      </c>
      <c t="s" s="6" r="AL399">
        <v>92</v>
      </c>
      <c t="s" s="6" r="AM399">
        <v>92</v>
      </c>
      <c t="s" s="6" r="AN399">
        <v>92</v>
      </c>
      <c s="6" r="AP399">
        <v>7</v>
      </c>
      <c t="s" s="6" r="AR399">
        <v>3295</v>
      </c>
      <c s="6" r="AS399">
        <v>0</v>
      </c>
      <c s="6" r="AT399">
        <v>0</v>
      </c>
      <c s="6" r="AU399">
        <v>0</v>
      </c>
      <c s="6" r="AV399">
        <v>0</v>
      </c>
      <c s="6" r="AW399">
        <v>0</v>
      </c>
      <c s="6" r="AX399">
        <v>0</v>
      </c>
      <c s="6" r="AY399">
        <v>0</v>
      </c>
      <c s="6" r="AZ399">
        <v>0</v>
      </c>
      <c s="6" r="BA399">
        <v>0</v>
      </c>
      <c s="6" r="BB399">
        <v>0</v>
      </c>
      <c s="6" r="BC399">
        <v>0</v>
      </c>
      <c s="6" r="BD399">
        <v>0</v>
      </c>
      <c s="6" r="BE399">
        <v>0</v>
      </c>
      <c s="6" r="BF399">
        <v>0</v>
      </c>
      <c s="6" r="BG399">
        <v>0</v>
      </c>
      <c s="6" r="BH399">
        <v>0</v>
      </c>
      <c s="6" r="BI399">
        <v>0</v>
      </c>
      <c s="6" r="BJ399">
        <v>0</v>
      </c>
      <c s="6" r="BK399">
        <v>0</v>
      </c>
      <c s="6" r="BL399">
        <v>0</v>
      </c>
      <c s="6" r="BM399">
        <v>0</v>
      </c>
      <c s="6" r="BN399">
        <v>0</v>
      </c>
      <c s="6" r="BO399">
        <v>0</v>
      </c>
      <c s="6" r="BP399">
        <v>0</v>
      </c>
      <c s="6" r="BQ399">
        <v>0</v>
      </c>
      <c t="str" s="6" r="BR399">
        <f>HYPERLINK("http://www.d20pfsrd.com/magic/all-spells/p/polymorph","Polymorph, Greater")</f>
        <v>Polymorph, Greater</v>
      </c>
      <c s="6" r="BS399">
        <v>399</v>
      </c>
      <c t="s" s="6" r="BT399">
        <v>92</v>
      </c>
      <c t="s" s="6" r="BU399">
        <v>737</v>
      </c>
      <c s="6" r="BY399">
        <v>0</v>
      </c>
    </row>
    <row customHeight="1" r="400" ht="14.25">
      <c t="s" s="6" r="A400">
        <v>3296</v>
      </c>
      <c t="s" s="6" r="B400">
        <v>131</v>
      </c>
      <c t="s" s="6" r="C400">
        <v>152</v>
      </c>
      <c t="s" s="6" r="E400">
        <v>794</v>
      </c>
      <c t="s" s="6" r="F400">
        <v>81</v>
      </c>
      <c t="s" s="6" r="G400">
        <v>3297</v>
      </c>
      <c s="6" r="H400">
        <v>0</v>
      </c>
      <c t="s" s="6" r="I400">
        <v>107</v>
      </c>
      <c t="s" s="6" r="L400">
        <v>3298</v>
      </c>
      <c t="s" s="6" r="M400">
        <v>141</v>
      </c>
      <c s="6" r="N400">
        <v>0</v>
      </c>
      <c s="6" r="O400">
        <v>0</v>
      </c>
      <c t="s" s="6" r="P400">
        <v>3299</v>
      </c>
      <c t="s" s="6" r="Q400">
        <v>536</v>
      </c>
      <c t="s" s="6" r="R400">
        <v>3300</v>
      </c>
      <c t="s" s="6" r="S400">
        <v>3301</v>
      </c>
      <c t="s" s="6" r="T400">
        <v>90</v>
      </c>
      <c t="s" s="6" r="U400">
        <v>3302</v>
      </c>
      <c s="6" r="V400">
        <v>1</v>
      </c>
      <c s="6" r="W400">
        <v>1</v>
      </c>
      <c s="6" r="X400">
        <v>1</v>
      </c>
      <c s="6" r="Y400">
        <v>0</v>
      </c>
      <c s="6" r="Z400">
        <v>1</v>
      </c>
      <c s="6" r="AA400">
        <v>8</v>
      </c>
      <c s="6" r="AB400">
        <v>8</v>
      </c>
      <c t="s" s="6" r="AC400">
        <v>92</v>
      </c>
      <c t="s" s="6" r="AD400">
        <v>92</v>
      </c>
      <c t="s" s="6" r="AE400">
        <v>92</v>
      </c>
      <c t="s" s="6" r="AF400">
        <v>92</v>
      </c>
      <c t="s" s="6" r="AG400">
        <v>92</v>
      </c>
      <c t="s" s="6" r="AH400">
        <v>92</v>
      </c>
      <c t="s" s="6" r="AI400">
        <v>92</v>
      </c>
      <c t="s" s="6" r="AJ400">
        <v>92</v>
      </c>
      <c t="s" s="6" r="AK400">
        <v>92</v>
      </c>
      <c t="s" s="6" r="AL400">
        <v>92</v>
      </c>
      <c t="s" s="6" r="AM400">
        <v>92</v>
      </c>
      <c t="s" s="6" r="AN400">
        <v>92</v>
      </c>
      <c s="6" r="AP400">
        <v>8</v>
      </c>
      <c t="s" s="6" r="AQ400">
        <v>2660</v>
      </c>
      <c t="s" s="6" r="AR400">
        <v>3303</v>
      </c>
      <c s="6" r="AS400">
        <v>0</v>
      </c>
      <c s="6" r="AT400">
        <v>0</v>
      </c>
      <c s="6" r="AU400">
        <v>0</v>
      </c>
      <c s="6" r="AV400">
        <v>0</v>
      </c>
      <c s="6" r="AW400">
        <v>0</v>
      </c>
      <c s="6" r="AX400">
        <v>0</v>
      </c>
      <c s="6" r="AY400">
        <v>0</v>
      </c>
      <c s="6" r="AZ400">
        <v>0</v>
      </c>
      <c s="6" r="BA400">
        <v>0</v>
      </c>
      <c s="6" r="BB400">
        <v>0</v>
      </c>
      <c s="6" r="BC400">
        <v>0</v>
      </c>
      <c s="6" r="BD400">
        <v>0</v>
      </c>
      <c s="6" r="BE400">
        <v>0</v>
      </c>
      <c s="6" r="BF400">
        <v>0</v>
      </c>
      <c s="6" r="BG400">
        <v>0</v>
      </c>
      <c s="6" r="BH400">
        <v>0</v>
      </c>
      <c s="6" r="BI400">
        <v>0</v>
      </c>
      <c s="6" r="BJ400">
        <v>0</v>
      </c>
      <c s="6" r="BK400">
        <v>0</v>
      </c>
      <c s="6" r="BL400">
        <v>0</v>
      </c>
      <c s="6" r="BM400">
        <v>0</v>
      </c>
      <c s="6" r="BN400">
        <v>0</v>
      </c>
      <c s="6" r="BO400">
        <v>0</v>
      </c>
      <c s="6" r="BP400">
        <v>0</v>
      </c>
      <c s="6" r="BQ400">
        <v>0</v>
      </c>
      <c t="str" s="6" r="BR400">
        <f>HYPERLINK("http://www.d20pfsrd.com/magic/all-spells/p/polymorph-any-object","Polymorph Any Object")</f>
        <v>Polymorph Any Object</v>
      </c>
      <c s="6" r="BS400">
        <v>400</v>
      </c>
      <c t="s" s="6" r="BT400">
        <v>92</v>
      </c>
      <c s="6" r="BY400">
        <v>0</v>
      </c>
    </row>
    <row customHeight="1" r="401" ht="14.25">
      <c t="s" s="6" r="A401">
        <v>3304</v>
      </c>
      <c t="s" s="6" r="B401">
        <v>115</v>
      </c>
      <c t="s" s="6" r="C401">
        <v>116</v>
      </c>
      <c t="s" s="6" r="D401">
        <v>117</v>
      </c>
      <c t="s" s="6" r="E401">
        <v>344</v>
      </c>
      <c t="s" s="6" r="F401">
        <v>81</v>
      </c>
      <c t="s" s="6" r="G401">
        <v>251</v>
      </c>
      <c s="6" r="H401">
        <v>0</v>
      </c>
      <c t="s" s="6" r="I401">
        <v>107</v>
      </c>
      <c t="s" s="6" r="L401">
        <v>3305</v>
      </c>
      <c t="s" s="6" r="M401">
        <v>141</v>
      </c>
      <c s="6" r="N401">
        <v>0</v>
      </c>
      <c s="6" r="O401">
        <v>0</v>
      </c>
      <c t="s" s="6" r="P401">
        <v>86</v>
      </c>
      <c t="s" s="6" r="Q401">
        <v>188</v>
      </c>
      <c t="s" s="6" r="R401">
        <v>3306</v>
      </c>
      <c t="s" s="6" r="S401">
        <v>3307</v>
      </c>
      <c t="s" s="6" r="T401">
        <v>90</v>
      </c>
      <c t="s" s="6" r="U401">
        <v>3308</v>
      </c>
      <c s="6" r="V401">
        <v>1</v>
      </c>
      <c s="6" r="W401">
        <v>0</v>
      </c>
      <c s="6" r="X401">
        <v>0</v>
      </c>
      <c s="6" r="Y401">
        <v>0</v>
      </c>
      <c s="6" r="Z401">
        <v>0</v>
      </c>
      <c s="6" r="AA401">
        <v>7</v>
      </c>
      <c s="6" r="AB401">
        <v>7</v>
      </c>
      <c t="s" s="6" r="AC401">
        <v>92</v>
      </c>
      <c t="s" s="6" r="AD401">
        <v>92</v>
      </c>
      <c t="s" s="6" r="AE401">
        <v>92</v>
      </c>
      <c t="s" s="6" r="AF401">
        <v>92</v>
      </c>
      <c t="s" s="6" r="AG401">
        <v>92</v>
      </c>
      <c t="s" s="6" r="AH401">
        <v>92</v>
      </c>
      <c t="s" s="6" r="AI401">
        <v>92</v>
      </c>
      <c s="6" r="AJ401">
        <v>7</v>
      </c>
      <c t="s" s="6" r="AK401">
        <v>92</v>
      </c>
      <c t="s" s="6" r="AL401">
        <v>92</v>
      </c>
      <c t="s" s="6" r="AM401">
        <v>92</v>
      </c>
      <c t="s" s="6" r="AN401">
        <v>92</v>
      </c>
      <c s="6" r="AP401">
        <v>7</v>
      </c>
      <c t="s" s="6" r="AQ401">
        <v>3309</v>
      </c>
      <c t="s" s="6" r="AR401">
        <v>3310</v>
      </c>
      <c s="6" r="AS401">
        <v>0</v>
      </c>
      <c s="6" r="AT401">
        <v>0</v>
      </c>
      <c s="6" r="AU401">
        <v>0</v>
      </c>
      <c s="6" r="AV401">
        <v>0</v>
      </c>
      <c s="6" r="AW401">
        <v>0</v>
      </c>
      <c s="6" r="AX401">
        <v>0</v>
      </c>
      <c s="6" r="AY401">
        <v>0</v>
      </c>
      <c s="6" r="AZ401">
        <v>0</v>
      </c>
      <c s="6" r="BA401">
        <v>0</v>
      </c>
      <c s="6" r="BB401">
        <v>0</v>
      </c>
      <c s="6" r="BC401">
        <v>0</v>
      </c>
      <c s="6" r="BD401">
        <v>0</v>
      </c>
      <c s="6" r="BE401">
        <v>0</v>
      </c>
      <c s="6" r="BF401">
        <v>0</v>
      </c>
      <c s="6" r="BG401">
        <v>0</v>
      </c>
      <c s="6" r="BH401">
        <v>0</v>
      </c>
      <c s="6" r="BI401">
        <v>0</v>
      </c>
      <c s="6" r="BJ401">
        <v>0</v>
      </c>
      <c s="6" r="BK401">
        <v>0</v>
      </c>
      <c s="6" r="BL401">
        <v>1</v>
      </c>
      <c s="6" r="BM401">
        <v>0</v>
      </c>
      <c s="6" r="BN401">
        <v>0</v>
      </c>
      <c s="6" r="BO401">
        <v>0</v>
      </c>
      <c s="6" r="BP401">
        <v>0</v>
      </c>
      <c s="6" r="BQ401">
        <v>0</v>
      </c>
      <c t="str" s="6" r="BR401">
        <f>HYPERLINK("http://www.d20pfsrd.com/magic/all-spells/p/power-word-blind","Power Word Blind")</f>
        <v>Power Word Blind</v>
      </c>
      <c s="6" r="BS401">
        <v>401</v>
      </c>
      <c t="s" s="6" r="BT401">
        <v>92</v>
      </c>
      <c t="s" s="6" r="BU401">
        <v>3311</v>
      </c>
      <c s="6" r="BY401">
        <v>0</v>
      </c>
    </row>
    <row customHeight="1" r="402" ht="14.25">
      <c t="s" s="6" r="A402">
        <v>3312</v>
      </c>
      <c t="s" s="6" r="B402">
        <v>115</v>
      </c>
      <c t="s" s="6" r="C402">
        <v>116</v>
      </c>
      <c t="s" s="6" r="D402">
        <v>3313</v>
      </c>
      <c t="s" s="6" r="E402">
        <v>2334</v>
      </c>
      <c t="s" s="6" r="F402">
        <v>81</v>
      </c>
      <c t="s" s="6" r="G402">
        <v>251</v>
      </c>
      <c s="6" r="H402">
        <v>0</v>
      </c>
      <c t="s" s="6" r="I402">
        <v>107</v>
      </c>
      <c t="s" s="6" r="L402">
        <v>3314</v>
      </c>
      <c t="s" s="6" r="M402">
        <v>109</v>
      </c>
      <c s="6" r="N402">
        <v>0</v>
      </c>
      <c s="6" r="O402">
        <v>0</v>
      </c>
      <c t="s" s="6" r="P402">
        <v>86</v>
      </c>
      <c t="s" s="6" r="Q402">
        <v>188</v>
      </c>
      <c t="s" s="6" r="R402">
        <v>3315</v>
      </c>
      <c t="s" s="6" r="S402">
        <v>3316</v>
      </c>
      <c t="s" s="6" r="T402">
        <v>90</v>
      </c>
      <c t="s" s="6" r="U402">
        <v>3317</v>
      </c>
      <c s="6" r="V402">
        <v>1</v>
      </c>
      <c s="6" r="W402">
        <v>0</v>
      </c>
      <c s="6" r="X402">
        <v>0</v>
      </c>
      <c s="6" r="Y402">
        <v>0</v>
      </c>
      <c s="6" r="Z402">
        <v>0</v>
      </c>
      <c s="6" r="AA402">
        <v>9</v>
      </c>
      <c s="6" r="AB402">
        <v>9</v>
      </c>
      <c t="s" s="6" r="AC402">
        <v>92</v>
      </c>
      <c t="s" s="6" r="AD402">
        <v>92</v>
      </c>
      <c t="s" s="6" r="AE402">
        <v>92</v>
      </c>
      <c t="s" s="6" r="AF402">
        <v>92</v>
      </c>
      <c t="s" s="6" r="AG402">
        <v>92</v>
      </c>
      <c t="s" s="6" r="AH402">
        <v>92</v>
      </c>
      <c t="s" s="6" r="AI402">
        <v>92</v>
      </c>
      <c s="6" r="AJ402">
        <v>9</v>
      </c>
      <c t="s" s="6" r="AK402">
        <v>92</v>
      </c>
      <c t="s" s="6" r="AL402">
        <v>92</v>
      </c>
      <c t="s" s="6" r="AM402">
        <v>92</v>
      </c>
      <c t="s" s="6" r="AN402">
        <v>92</v>
      </c>
      <c s="6" r="AP402">
        <v>9</v>
      </c>
      <c t="s" s="6" r="AQ402">
        <v>1494</v>
      </c>
      <c t="s" s="6" r="AR402">
        <v>3318</v>
      </c>
      <c s="6" r="AS402">
        <v>0</v>
      </c>
      <c s="6" r="AT402">
        <v>0</v>
      </c>
      <c s="6" r="AU402">
        <v>0</v>
      </c>
      <c s="6" r="AV402">
        <v>0</v>
      </c>
      <c s="6" r="AW402">
        <v>0</v>
      </c>
      <c s="6" r="AX402">
        <v>1</v>
      </c>
      <c s="6" r="AY402">
        <v>0</v>
      </c>
      <c s="6" r="AZ402">
        <v>0</v>
      </c>
      <c s="6" r="BA402">
        <v>0</v>
      </c>
      <c s="6" r="BB402">
        <v>0</v>
      </c>
      <c s="6" r="BC402">
        <v>0</v>
      </c>
      <c s="6" r="BD402">
        <v>0</v>
      </c>
      <c s="6" r="BE402">
        <v>0</v>
      </c>
      <c s="6" r="BF402">
        <v>0</v>
      </c>
      <c s="6" r="BG402">
        <v>0</v>
      </c>
      <c s="6" r="BH402">
        <v>0</v>
      </c>
      <c s="6" r="BI402">
        <v>0</v>
      </c>
      <c s="6" r="BJ402">
        <v>0</v>
      </c>
      <c s="6" r="BK402">
        <v>0</v>
      </c>
      <c s="6" r="BL402">
        <v>1</v>
      </c>
      <c s="6" r="BM402">
        <v>0</v>
      </c>
      <c s="6" r="BN402">
        <v>0</v>
      </c>
      <c s="6" r="BO402">
        <v>0</v>
      </c>
      <c s="6" r="BP402">
        <v>0</v>
      </c>
      <c s="6" r="BQ402">
        <v>0</v>
      </c>
      <c t="str" s="6" r="BR402">
        <f>HYPERLINK("http://www.d20pfsrd.com/magic/all-spells/p/power-word-kill","Power Word Kill")</f>
        <v>Power Word Kill</v>
      </c>
      <c s="6" r="BS402">
        <v>402</v>
      </c>
      <c t="s" s="6" r="BT402">
        <v>92</v>
      </c>
      <c t="s" s="6" r="BU402">
        <v>744</v>
      </c>
      <c t="s" s="6" r="BV402">
        <v>783</v>
      </c>
      <c t="s" s="6" r="BW402">
        <v>3319</v>
      </c>
      <c t="s" s="6" r="BX402">
        <v>3320</v>
      </c>
      <c s="6" r="BY402">
        <v>1</v>
      </c>
    </row>
    <row customHeight="1" r="403" ht="14.25">
      <c t="s" s="6" r="A403">
        <v>3321</v>
      </c>
      <c t="s" s="6" r="B403">
        <v>115</v>
      </c>
      <c t="s" s="6" r="C403">
        <v>116</v>
      </c>
      <c t="s" s="6" r="D403">
        <v>117</v>
      </c>
      <c t="s" s="6" r="E403">
        <v>811</v>
      </c>
      <c t="s" s="6" r="F403">
        <v>81</v>
      </c>
      <c t="s" s="6" r="G403">
        <v>251</v>
      </c>
      <c s="6" r="H403">
        <v>0</v>
      </c>
      <c t="s" s="6" r="I403">
        <v>107</v>
      </c>
      <c t="s" s="6" r="L403">
        <v>3322</v>
      </c>
      <c t="s" s="6" r="M403">
        <v>3323</v>
      </c>
      <c s="6" r="N403">
        <v>0</v>
      </c>
      <c s="6" r="O403">
        <v>0</v>
      </c>
      <c t="s" s="6" r="P403">
        <v>86</v>
      </c>
      <c t="s" s="6" r="Q403">
        <v>188</v>
      </c>
      <c t="s" s="6" r="R403">
        <v>3324</v>
      </c>
      <c t="s" s="6" r="S403">
        <v>3325</v>
      </c>
      <c t="s" s="6" r="T403">
        <v>90</v>
      </c>
      <c t="s" s="6" r="U403">
        <v>3326</v>
      </c>
      <c s="6" r="V403">
        <v>1</v>
      </c>
      <c s="6" r="W403">
        <v>0</v>
      </c>
      <c s="6" r="X403">
        <v>0</v>
      </c>
      <c s="6" r="Y403">
        <v>0</v>
      </c>
      <c s="6" r="Z403">
        <v>0</v>
      </c>
      <c s="6" r="AA403">
        <v>8</v>
      </c>
      <c s="6" r="AB403">
        <v>8</v>
      </c>
      <c t="s" s="6" r="AC403">
        <v>92</v>
      </c>
      <c t="s" s="6" r="AD403">
        <v>92</v>
      </c>
      <c t="s" s="6" r="AE403">
        <v>92</v>
      </c>
      <c t="s" s="6" r="AF403">
        <v>92</v>
      </c>
      <c t="s" s="6" r="AG403">
        <v>92</v>
      </c>
      <c t="s" s="6" r="AH403">
        <v>92</v>
      </c>
      <c t="s" s="6" r="AI403">
        <v>92</v>
      </c>
      <c s="6" r="AJ403">
        <v>8</v>
      </c>
      <c t="s" s="6" r="AK403">
        <v>92</v>
      </c>
      <c t="s" s="6" r="AL403">
        <v>92</v>
      </c>
      <c t="s" s="6" r="AM403">
        <v>92</v>
      </c>
      <c t="s" s="6" r="AN403">
        <v>92</v>
      </c>
      <c s="6" r="AP403">
        <v>8</v>
      </c>
      <c t="s" s="6" r="AQ403">
        <v>1494</v>
      </c>
      <c t="s" s="6" r="AR403">
        <v>3327</v>
      </c>
      <c s="6" r="AS403">
        <v>0</v>
      </c>
      <c s="6" r="AT403">
        <v>0</v>
      </c>
      <c s="6" r="AU403">
        <v>0</v>
      </c>
      <c s="6" r="AV403">
        <v>0</v>
      </c>
      <c s="6" r="AW403">
        <v>0</v>
      </c>
      <c s="6" r="AX403">
        <v>0</v>
      </c>
      <c s="6" r="AY403">
        <v>0</v>
      </c>
      <c s="6" r="AZ403">
        <v>0</v>
      </c>
      <c s="6" r="BA403">
        <v>0</v>
      </c>
      <c s="6" r="BB403">
        <v>0</v>
      </c>
      <c s="6" r="BC403">
        <v>0</v>
      </c>
      <c s="6" r="BD403">
        <v>0</v>
      </c>
      <c s="6" r="BE403">
        <v>0</v>
      </c>
      <c s="6" r="BF403">
        <v>0</v>
      </c>
      <c s="6" r="BG403">
        <v>0</v>
      </c>
      <c s="6" r="BH403">
        <v>0</v>
      </c>
      <c s="6" r="BI403">
        <v>0</v>
      </c>
      <c s="6" r="BJ403">
        <v>0</v>
      </c>
      <c s="6" r="BK403">
        <v>0</v>
      </c>
      <c s="6" r="BL403">
        <v>1</v>
      </c>
      <c s="6" r="BM403">
        <v>0</v>
      </c>
      <c s="6" r="BN403">
        <v>0</v>
      </c>
      <c s="6" r="BO403">
        <v>0</v>
      </c>
      <c s="6" r="BP403">
        <v>0</v>
      </c>
      <c s="6" r="BQ403">
        <v>0</v>
      </c>
      <c t="str" s="6" r="BR403">
        <f>HYPERLINK("http://www.d20pfsrd.com/magic/all-spells/p/power-word-stun","Power Word Stun")</f>
        <v>Power Word Stun</v>
      </c>
      <c s="6" r="BS403">
        <v>403</v>
      </c>
      <c t="s" s="6" r="BT403">
        <v>92</v>
      </c>
      <c t="s" s="6" r="BU403">
        <v>3328</v>
      </c>
      <c s="6" r="BY403">
        <v>0</v>
      </c>
    </row>
    <row customHeight="1" r="404" ht="14.25">
      <c t="s" s="6" r="A404">
        <v>3329</v>
      </c>
      <c t="s" s="6" r="B404">
        <v>115</v>
      </c>
      <c t="s" s="6" r="C404">
        <v>116</v>
      </c>
      <c t="s" s="6" r="D404">
        <v>117</v>
      </c>
      <c t="s" s="6" r="E404">
        <v>3330</v>
      </c>
      <c t="s" s="6" r="F404">
        <v>81</v>
      </c>
      <c t="s" s="6" r="G404">
        <v>119</v>
      </c>
      <c s="6" r="H404">
        <v>0</v>
      </c>
      <c t="s" s="6" r="I404">
        <v>508</v>
      </c>
      <c t="s" s="6" r="J404">
        <v>3331</v>
      </c>
      <c t="s" s="6" r="M404">
        <v>99</v>
      </c>
      <c s="6" r="N404">
        <v>0</v>
      </c>
      <c s="6" r="O404">
        <v>0</v>
      </c>
      <c t="s" s="6" r="P404">
        <v>86</v>
      </c>
      <c t="s" s="6" r="Q404">
        <v>188</v>
      </c>
      <c t="s" s="6" r="R404">
        <v>3332</v>
      </c>
      <c t="s" s="6" r="S404">
        <v>3333</v>
      </c>
      <c t="s" s="6" r="T404">
        <v>90</v>
      </c>
      <c t="s" s="6" r="U404">
        <v>3334</v>
      </c>
      <c s="6" r="V404">
        <v>1</v>
      </c>
      <c s="6" r="W404">
        <v>1</v>
      </c>
      <c s="6" r="X404">
        <v>0</v>
      </c>
      <c s="6" r="Y404">
        <v>0</v>
      </c>
      <c s="6" r="Z404">
        <v>1</v>
      </c>
      <c t="s" s="6" r="AA404">
        <v>92</v>
      </c>
      <c t="s" s="6" r="AB404">
        <v>92</v>
      </c>
      <c s="6" r="AC404">
        <v>3</v>
      </c>
      <c t="s" s="6" r="AD404">
        <v>92</v>
      </c>
      <c t="s" s="6" r="AE404">
        <v>92</v>
      </c>
      <c t="s" s="6" r="AF404">
        <v>92</v>
      </c>
      <c s="6" r="AG404">
        <v>3</v>
      </c>
      <c t="s" s="6" r="AH404">
        <v>92</v>
      </c>
      <c t="s" s="6" r="AI404">
        <v>92</v>
      </c>
      <c t="s" s="6" r="AJ404">
        <v>92</v>
      </c>
      <c s="6" r="AK404">
        <v>3</v>
      </c>
      <c s="6" r="AL404">
        <v>3</v>
      </c>
      <c t="s" s="6" r="AM404">
        <v>92</v>
      </c>
      <c t="s" s="6" r="AN404">
        <v>92</v>
      </c>
      <c s="6" r="AP404">
        <v>3</v>
      </c>
      <c t="s" s="6" r="AQ404">
        <v>3335</v>
      </c>
      <c t="s" s="6" r="AR404">
        <v>3336</v>
      </c>
      <c s="6" r="AS404">
        <v>0</v>
      </c>
      <c s="6" r="AT404">
        <v>0</v>
      </c>
      <c s="6" r="AU404">
        <v>0</v>
      </c>
      <c s="6" r="AV404">
        <v>0</v>
      </c>
      <c s="6" r="AW404">
        <v>0</v>
      </c>
      <c s="6" r="AX404">
        <v>0</v>
      </c>
      <c s="6" r="AY404">
        <v>0</v>
      </c>
      <c s="6" r="AZ404">
        <v>0</v>
      </c>
      <c s="6" r="BA404">
        <v>0</v>
      </c>
      <c s="6" r="BB404">
        <v>0</v>
      </c>
      <c s="6" r="BC404">
        <v>0</v>
      </c>
      <c s="6" r="BD404">
        <v>0</v>
      </c>
      <c s="6" r="BE404">
        <v>0</v>
      </c>
      <c s="6" r="BF404">
        <v>0</v>
      </c>
      <c s="6" r="BG404">
        <v>0</v>
      </c>
      <c s="6" r="BH404">
        <v>0</v>
      </c>
      <c s="6" r="BI404">
        <v>0</v>
      </c>
      <c s="6" r="BJ404">
        <v>0</v>
      </c>
      <c s="6" r="BK404">
        <v>0</v>
      </c>
      <c s="6" r="BL404">
        <v>1</v>
      </c>
      <c s="6" r="BM404">
        <v>0</v>
      </c>
      <c s="6" r="BN404">
        <v>0</v>
      </c>
      <c s="6" r="BO404">
        <v>0</v>
      </c>
      <c s="6" r="BP404">
        <v>0</v>
      </c>
      <c s="6" r="BQ404">
        <v>0</v>
      </c>
      <c t="str" s="6" r="BR404">
        <f>HYPERLINK("http://www.d20pfsrd.com/magic/all-spells/p/prayer","Prayer")</f>
        <v>Prayer</v>
      </c>
      <c s="6" r="BS404">
        <v>404</v>
      </c>
      <c t="s" s="6" r="BT404">
        <v>92</v>
      </c>
      <c t="s" s="6" r="BV404">
        <v>129</v>
      </c>
      <c t="s" s="6" r="BW404">
        <v>3337</v>
      </c>
      <c s="6" r="BY404">
        <v>1</v>
      </c>
    </row>
    <row customHeight="1" r="405" ht="14.25">
      <c t="s" s="6" r="A405">
        <v>3338</v>
      </c>
      <c t="s" s="6" r="B405">
        <v>330</v>
      </c>
      <c t="s" s="6" r="E405">
        <v>3339</v>
      </c>
      <c t="s" s="6" r="F405">
        <v>81</v>
      </c>
      <c t="s" s="6" r="G405">
        <v>106</v>
      </c>
      <c s="6" r="H405">
        <v>0</v>
      </c>
      <c t="s" s="6" r="I405">
        <v>273</v>
      </c>
      <c t="s" s="6" r="J405">
        <v>141</v>
      </c>
      <c t="s" s="6" r="K405">
        <v>141</v>
      </c>
      <c t="s" s="6" r="L405">
        <v>141</v>
      </c>
      <c t="s" s="6" r="M405">
        <v>293</v>
      </c>
      <c s="6" r="N405">
        <v>0</v>
      </c>
      <c s="6" r="O405">
        <v>0</v>
      </c>
      <c t="s" s="6" r="P405">
        <v>141</v>
      </c>
      <c t="s" s="6" r="Q405">
        <v>87</v>
      </c>
      <c t="s" s="6" r="R405">
        <v>3340</v>
      </c>
      <c t="s" s="6" r="S405">
        <v>3341</v>
      </c>
      <c t="s" s="6" r="T405">
        <v>90</v>
      </c>
      <c t="s" s="6" r="U405">
        <v>3342</v>
      </c>
      <c s="6" r="V405">
        <v>1</v>
      </c>
      <c s="6" r="W405">
        <v>1</v>
      </c>
      <c s="6" r="X405">
        <v>0</v>
      </c>
      <c s="6" r="Y405">
        <v>0</v>
      </c>
      <c s="6" r="Z405">
        <v>0</v>
      </c>
      <c s="6" r="AA405">
        <v>0</v>
      </c>
      <c s="6" r="AB405">
        <v>0</v>
      </c>
      <c t="s" s="6" r="AC405">
        <v>92</v>
      </c>
      <c t="s" s="6" r="AD405">
        <v>92</v>
      </c>
      <c t="s" s="6" r="AE405">
        <v>92</v>
      </c>
      <c s="6" r="AF405">
        <v>0</v>
      </c>
      <c t="s" s="6" r="AG405">
        <v>92</v>
      </c>
      <c t="s" s="6" r="AH405">
        <v>92</v>
      </c>
      <c t="s" s="6" r="AI405">
        <v>92</v>
      </c>
      <c t="s" s="6" r="AJ405">
        <v>92</v>
      </c>
      <c t="s" s="6" r="AK405">
        <v>92</v>
      </c>
      <c t="s" s="6" r="AL405">
        <v>92</v>
      </c>
      <c t="s" s="6" r="AM405">
        <v>92</v>
      </c>
      <c t="s" s="6" r="AN405">
        <v>92</v>
      </c>
      <c s="6" r="AP405">
        <v>0</v>
      </c>
      <c t="s" s="6" r="AR405">
        <v>3343</v>
      </c>
      <c s="6" r="AS405">
        <v>0</v>
      </c>
      <c s="6" r="AT405">
        <v>0</v>
      </c>
      <c s="6" r="AU405">
        <v>0</v>
      </c>
      <c s="6" r="AV405">
        <v>0</v>
      </c>
      <c s="6" r="AW405">
        <v>0</v>
      </c>
      <c s="6" r="AX405">
        <v>0</v>
      </c>
      <c s="6" r="AY405">
        <v>0</v>
      </c>
      <c s="6" r="AZ405">
        <v>0</v>
      </c>
      <c s="6" r="BA405">
        <v>0</v>
      </c>
      <c s="6" r="BB405">
        <v>0</v>
      </c>
      <c s="6" r="BC405">
        <v>0</v>
      </c>
      <c s="6" r="BD405">
        <v>0</v>
      </c>
      <c s="6" r="BE405">
        <v>0</v>
      </c>
      <c s="6" r="BF405">
        <v>0</v>
      </c>
      <c s="6" r="BG405">
        <v>0</v>
      </c>
      <c s="6" r="BH405">
        <v>0</v>
      </c>
      <c s="6" r="BI405">
        <v>0</v>
      </c>
      <c s="6" r="BJ405">
        <v>0</v>
      </c>
      <c s="6" r="BK405">
        <v>0</v>
      </c>
      <c s="6" r="BL405">
        <v>0</v>
      </c>
      <c s="6" r="BM405">
        <v>0</v>
      </c>
      <c s="6" r="BN405">
        <v>0</v>
      </c>
      <c s="6" r="BO405">
        <v>0</v>
      </c>
      <c s="6" r="BP405">
        <v>0</v>
      </c>
      <c s="6" r="BQ405">
        <v>0</v>
      </c>
      <c t="str" s="6" r="BR405">
        <f>HYPERLINK("http://www.d20pfsrd.com/magic/all-spells/p/prestidigitation","Prestidigitation")</f>
        <v>Prestidigitation</v>
      </c>
      <c s="6" r="BS405">
        <v>405</v>
      </c>
      <c t="s" s="6" r="BT405">
        <v>92</v>
      </c>
      <c s="6" r="BY405">
        <v>0</v>
      </c>
    </row>
    <row customHeight="1" r="406" ht="14.25">
      <c t="s" s="6" r="A406">
        <v>3344</v>
      </c>
      <c t="s" s="6" r="B406">
        <v>162</v>
      </c>
      <c t="s" s="6" r="E406">
        <v>1058</v>
      </c>
      <c t="s" s="6" r="F406">
        <v>81</v>
      </c>
      <c t="s" s="6" r="G406">
        <v>251</v>
      </c>
      <c s="6" r="H406">
        <v>0</v>
      </c>
      <c t="s" s="6" r="I406">
        <v>273</v>
      </c>
      <c t="s" s="6" r="K406">
        <v>3345</v>
      </c>
      <c t="s" s="6" r="M406">
        <v>283</v>
      </c>
      <c s="6" r="N406">
        <v>1</v>
      </c>
      <c s="6" r="O406">
        <v>0</v>
      </c>
      <c t="s" s="6" r="P406">
        <v>141</v>
      </c>
      <c t="s" s="6" r="Q406">
        <v>141</v>
      </c>
      <c t="s" s="6" r="R406">
        <v>3346</v>
      </c>
      <c t="s" s="6" r="S406">
        <v>3347</v>
      </c>
      <c t="s" s="6" r="T406">
        <v>90</v>
      </c>
      <c t="s" s="6" r="U406">
        <v>3348</v>
      </c>
      <c s="6" r="V406">
        <v>1</v>
      </c>
      <c s="6" r="W406">
        <v>0</v>
      </c>
      <c s="6" r="X406">
        <v>0</v>
      </c>
      <c s="6" r="Y406">
        <v>0</v>
      </c>
      <c s="6" r="Z406">
        <v>0</v>
      </c>
      <c s="6" r="AA406">
        <v>9</v>
      </c>
      <c s="6" r="AB406">
        <v>9</v>
      </c>
      <c t="s" s="6" r="AC406">
        <v>92</v>
      </c>
      <c t="s" s="6" r="AD406">
        <v>92</v>
      </c>
      <c t="s" s="6" r="AE406">
        <v>92</v>
      </c>
      <c t="s" s="6" r="AF406">
        <v>92</v>
      </c>
      <c t="s" s="6" r="AG406">
        <v>92</v>
      </c>
      <c t="s" s="6" r="AH406">
        <v>92</v>
      </c>
      <c t="s" s="6" r="AI406">
        <v>92</v>
      </c>
      <c t="s" s="6" r="AJ406">
        <v>92</v>
      </c>
      <c t="s" s="6" r="AK406">
        <v>92</v>
      </c>
      <c t="s" s="6" r="AL406">
        <v>92</v>
      </c>
      <c t="s" s="6" r="AM406">
        <v>92</v>
      </c>
      <c t="s" s="6" r="AN406">
        <v>92</v>
      </c>
      <c s="6" r="AP406">
        <v>9</v>
      </c>
      <c t="s" s="6" r="AQ406">
        <v>3349</v>
      </c>
      <c t="s" s="6" r="AR406">
        <v>3350</v>
      </c>
      <c s="6" r="AS406">
        <v>0</v>
      </c>
      <c s="6" r="AT406">
        <v>0</v>
      </c>
      <c s="6" r="AU406">
        <v>0</v>
      </c>
      <c s="6" r="AV406">
        <v>0</v>
      </c>
      <c s="6" r="AW406">
        <v>0</v>
      </c>
      <c s="6" r="AX406">
        <v>0</v>
      </c>
      <c s="6" r="AY406">
        <v>0</v>
      </c>
      <c s="6" r="AZ406">
        <v>0</v>
      </c>
      <c s="6" r="BA406">
        <v>0</v>
      </c>
      <c s="6" r="BB406">
        <v>0</v>
      </c>
      <c s="6" r="BC406">
        <v>0</v>
      </c>
      <c s="6" r="BD406">
        <v>0</v>
      </c>
      <c s="6" r="BE406">
        <v>0</v>
      </c>
      <c s="6" r="BF406">
        <v>0</v>
      </c>
      <c s="6" r="BG406">
        <v>0</v>
      </c>
      <c s="6" r="BH406">
        <v>0</v>
      </c>
      <c s="6" r="BI406">
        <v>0</v>
      </c>
      <c s="6" r="BJ406">
        <v>0</v>
      </c>
      <c s="6" r="BK406">
        <v>0</v>
      </c>
      <c s="6" r="BL406">
        <v>0</v>
      </c>
      <c s="6" r="BM406">
        <v>0</v>
      </c>
      <c s="6" r="BN406">
        <v>0</v>
      </c>
      <c s="6" r="BO406">
        <v>0</v>
      </c>
      <c s="6" r="BP406">
        <v>0</v>
      </c>
      <c s="6" r="BQ406">
        <v>0</v>
      </c>
      <c t="str" s="6" r="BR406">
        <f>HYPERLINK("http://www.d20pfsrd.com/magic/all-spells/p/prismatic-sphere","Prismatic Sphere")</f>
        <v>Prismatic Sphere</v>
      </c>
      <c s="6" r="BS406">
        <v>406</v>
      </c>
      <c t="s" s="6" r="BT406">
        <v>92</v>
      </c>
      <c t="s" s="6" r="BW406">
        <v>3351</v>
      </c>
      <c s="6" r="BY406">
        <v>1</v>
      </c>
    </row>
    <row customHeight="1" r="407" ht="14.25">
      <c t="s" s="6" r="A407">
        <v>3352</v>
      </c>
      <c t="s" s="6" r="B407">
        <v>493</v>
      </c>
      <c t="s" s="6" r="E407">
        <v>973</v>
      </c>
      <c t="s" s="6" r="F407">
        <v>81</v>
      </c>
      <c t="s" s="6" r="G407">
        <v>106</v>
      </c>
      <c s="6" r="H407">
        <v>0</v>
      </c>
      <c t="s" s="6" r="I407">
        <v>897</v>
      </c>
      <c t="s" s="6" r="J407">
        <v>630</v>
      </c>
      <c t="s" s="6" r="M407">
        <v>109</v>
      </c>
      <c s="6" r="N407">
        <v>0</v>
      </c>
      <c s="6" r="O407">
        <v>0</v>
      </c>
      <c t="s" s="6" r="P407">
        <v>141</v>
      </c>
      <c t="s" s="6" r="Q407">
        <v>188</v>
      </c>
      <c t="s" s="6" r="R407">
        <v>3353</v>
      </c>
      <c t="s" s="6" r="S407">
        <v>3354</v>
      </c>
      <c t="s" s="6" r="T407">
        <v>90</v>
      </c>
      <c t="s" s="6" r="U407">
        <v>3355</v>
      </c>
      <c s="6" r="V407">
        <v>1</v>
      </c>
      <c s="6" r="W407">
        <v>1</v>
      </c>
      <c s="6" r="X407">
        <v>0</v>
      </c>
      <c s="6" r="Y407">
        <v>0</v>
      </c>
      <c s="6" r="Z407">
        <v>0</v>
      </c>
      <c s="6" r="AA407">
        <v>7</v>
      </c>
      <c s="6" r="AB407">
        <v>7</v>
      </c>
      <c t="s" s="6" r="AC407">
        <v>92</v>
      </c>
      <c t="s" s="6" r="AD407">
        <v>92</v>
      </c>
      <c t="s" s="6" r="AE407">
        <v>92</v>
      </c>
      <c t="s" s="6" r="AF407">
        <v>92</v>
      </c>
      <c t="s" s="6" r="AG407">
        <v>92</v>
      </c>
      <c t="s" s="6" r="AH407">
        <v>92</v>
      </c>
      <c t="s" s="6" r="AI407">
        <v>92</v>
      </c>
      <c t="s" s="6" r="AJ407">
        <v>92</v>
      </c>
      <c t="s" s="6" r="AK407">
        <v>92</v>
      </c>
      <c t="s" s="6" r="AL407">
        <v>92</v>
      </c>
      <c t="s" s="6" r="AM407">
        <v>92</v>
      </c>
      <c t="s" s="6" r="AN407">
        <v>92</v>
      </c>
      <c s="6" r="AP407">
        <v>7</v>
      </c>
      <c t="s" s="6" r="AR407">
        <v>3356</v>
      </c>
      <c s="6" r="AS407">
        <v>0</v>
      </c>
      <c s="6" r="AT407">
        <v>0</v>
      </c>
      <c s="6" r="AU407">
        <v>0</v>
      </c>
      <c s="6" r="AV407">
        <v>0</v>
      </c>
      <c s="6" r="AW407">
        <v>0</v>
      </c>
      <c s="6" r="AX407">
        <v>0</v>
      </c>
      <c s="6" r="AY407">
        <v>0</v>
      </c>
      <c s="6" r="AZ407">
        <v>0</v>
      </c>
      <c s="6" r="BA407">
        <v>0</v>
      </c>
      <c s="6" r="BB407">
        <v>0</v>
      </c>
      <c s="6" r="BC407">
        <v>0</v>
      </c>
      <c s="6" r="BD407">
        <v>0</v>
      </c>
      <c s="6" r="BE407">
        <v>0</v>
      </c>
      <c s="6" r="BF407">
        <v>0</v>
      </c>
      <c s="6" r="BG407">
        <v>0</v>
      </c>
      <c s="6" r="BH407">
        <v>0</v>
      </c>
      <c s="6" r="BI407">
        <v>0</v>
      </c>
      <c s="6" r="BJ407">
        <v>0</v>
      </c>
      <c s="6" r="BK407">
        <v>0</v>
      </c>
      <c s="6" r="BL407">
        <v>0</v>
      </c>
      <c s="6" r="BM407">
        <v>0</v>
      </c>
      <c s="6" r="BN407">
        <v>0</v>
      </c>
      <c s="6" r="BO407">
        <v>0</v>
      </c>
      <c s="6" r="BP407">
        <v>0</v>
      </c>
      <c s="6" r="BQ407">
        <v>0</v>
      </c>
      <c t="str" s="6" r="BR407">
        <f>HYPERLINK("http://www.d20pfsrd.com/magic/all-spells/p/prismatic-spray","Prismatic Spray")</f>
        <v>Prismatic Spray</v>
      </c>
      <c s="6" r="BS407">
        <v>407</v>
      </c>
      <c t="s" s="6" r="BT407">
        <v>92</v>
      </c>
      <c t="s" s="6" r="BW407">
        <v>3357</v>
      </c>
      <c t="s" s="6" r="BX407">
        <v>3358</v>
      </c>
      <c s="6" r="BY407">
        <v>1</v>
      </c>
    </row>
    <row customHeight="1" r="408" ht="14.25">
      <c t="s" s="6" r="A408">
        <v>3359</v>
      </c>
      <c t="s" s="6" r="B408">
        <v>162</v>
      </c>
      <c t="s" s="6" r="E408">
        <v>794</v>
      </c>
      <c t="s" s="6" r="F408">
        <v>81</v>
      </c>
      <c t="s" s="6" r="G408">
        <v>106</v>
      </c>
      <c s="6" r="H408">
        <v>0</v>
      </c>
      <c t="s" s="6" r="I408">
        <v>107</v>
      </c>
      <c t="s" s="6" r="K408">
        <v>3360</v>
      </c>
      <c t="s" s="6" r="M408">
        <v>134</v>
      </c>
      <c s="6" r="N408">
        <v>1</v>
      </c>
      <c s="6" r="O408">
        <v>0</v>
      </c>
      <c t="s" s="6" r="P408">
        <v>141</v>
      </c>
      <c t="s" s="6" r="Q408">
        <v>141</v>
      </c>
      <c t="s" s="6" r="R408">
        <v>3361</v>
      </c>
      <c t="s" s="6" r="S408">
        <v>3362</v>
      </c>
      <c t="s" s="6" r="T408">
        <v>90</v>
      </c>
      <c t="s" s="6" r="U408">
        <v>3363</v>
      </c>
      <c s="6" r="V408">
        <v>1</v>
      </c>
      <c s="6" r="W408">
        <v>1</v>
      </c>
      <c s="6" r="X408">
        <v>0</v>
      </c>
      <c s="6" r="Y408">
        <v>0</v>
      </c>
      <c s="6" r="Z408">
        <v>0</v>
      </c>
      <c s="6" r="AA408">
        <v>8</v>
      </c>
      <c s="6" r="AB408">
        <v>8</v>
      </c>
      <c t="s" s="6" r="AC408">
        <v>92</v>
      </c>
      <c t="s" s="6" r="AD408">
        <v>92</v>
      </c>
      <c t="s" s="6" r="AE408">
        <v>92</v>
      </c>
      <c t="s" s="6" r="AF408">
        <v>92</v>
      </c>
      <c t="s" s="6" r="AG408">
        <v>92</v>
      </c>
      <c t="s" s="6" r="AH408">
        <v>92</v>
      </c>
      <c t="s" s="6" r="AI408">
        <v>92</v>
      </c>
      <c t="s" s="6" r="AJ408">
        <v>92</v>
      </c>
      <c t="s" s="6" r="AK408">
        <v>92</v>
      </c>
      <c t="s" s="6" r="AL408">
        <v>92</v>
      </c>
      <c t="s" s="6" r="AM408">
        <v>92</v>
      </c>
      <c t="s" s="6" r="AN408">
        <v>92</v>
      </c>
      <c s="6" r="AP408">
        <v>8</v>
      </c>
      <c t="s" s="6" r="AR408">
        <v>3364</v>
      </c>
      <c s="6" r="AS408">
        <v>0</v>
      </c>
      <c s="6" r="AT408">
        <v>0</v>
      </c>
      <c s="6" r="AU408">
        <v>0</v>
      </c>
      <c s="6" r="AV408">
        <v>0</v>
      </c>
      <c s="6" r="AW408">
        <v>0</v>
      </c>
      <c s="6" r="AX408">
        <v>0</v>
      </c>
      <c s="6" r="AY408">
        <v>0</v>
      </c>
      <c s="6" r="AZ408">
        <v>0</v>
      </c>
      <c s="6" r="BA408">
        <v>0</v>
      </c>
      <c s="6" r="BB408">
        <v>0</v>
      </c>
      <c s="6" r="BC408">
        <v>0</v>
      </c>
      <c s="6" r="BD408">
        <v>0</v>
      </c>
      <c s="6" r="BE408">
        <v>0</v>
      </c>
      <c s="6" r="BF408">
        <v>0</v>
      </c>
      <c s="6" r="BG408">
        <v>0</v>
      </c>
      <c s="6" r="BH408">
        <v>0</v>
      </c>
      <c s="6" r="BI408">
        <v>0</v>
      </c>
      <c s="6" r="BJ408">
        <v>0</v>
      </c>
      <c s="6" r="BK408">
        <v>0</v>
      </c>
      <c s="6" r="BL408">
        <v>0</v>
      </c>
      <c s="6" r="BM408">
        <v>0</v>
      </c>
      <c s="6" r="BN408">
        <v>0</v>
      </c>
      <c s="6" r="BO408">
        <v>0</v>
      </c>
      <c s="6" r="BP408">
        <v>0</v>
      </c>
      <c s="6" r="BQ408">
        <v>0</v>
      </c>
      <c t="str" s="6" r="BR408">
        <f>HYPERLINK("http://www.d20pfsrd.com/magic/all-spells/p/prismatic-wall","Prismatic Wall")</f>
        <v>Prismatic Wall</v>
      </c>
      <c s="6" r="BS408">
        <v>408</v>
      </c>
      <c t="s" s="6" r="BT408">
        <v>92</v>
      </c>
      <c s="6" r="BY408">
        <v>0</v>
      </c>
    </row>
    <row customHeight="1" r="409" ht="14.25">
      <c t="s" s="6" r="A409">
        <v>3365</v>
      </c>
      <c t="s" s="6" r="B409">
        <v>174</v>
      </c>
      <c t="s" s="6" r="E409">
        <v>811</v>
      </c>
      <c t="s" s="6" r="F409">
        <v>197</v>
      </c>
      <c t="s" s="6" r="G409">
        <v>3366</v>
      </c>
      <c s="6" r="H409">
        <v>0</v>
      </c>
      <c t="s" s="6" r="I409">
        <v>3367</v>
      </c>
      <c t="s" s="6" r="K409">
        <v>3368</v>
      </c>
      <c t="s" s="6" r="M409">
        <v>3369</v>
      </c>
      <c s="6" r="N409">
        <v>1</v>
      </c>
      <c s="6" r="O409">
        <v>0</v>
      </c>
      <c t="s" s="6" r="P409">
        <v>86</v>
      </c>
      <c t="s" s="6" r="Q409">
        <v>87</v>
      </c>
      <c t="s" s="6" r="R409">
        <v>3370</v>
      </c>
      <c t="s" s="6" r="S409">
        <v>3371</v>
      </c>
      <c t="s" s="6" r="T409">
        <v>90</v>
      </c>
      <c t="s" s="6" r="U409">
        <v>3372</v>
      </c>
      <c s="6" r="V409">
        <v>1</v>
      </c>
      <c s="6" r="W409">
        <v>1</v>
      </c>
      <c s="6" r="X409">
        <v>1</v>
      </c>
      <c s="6" r="Y409">
        <v>0</v>
      </c>
      <c s="6" r="Z409">
        <v>0</v>
      </c>
      <c s="6" r="AA409">
        <v>8</v>
      </c>
      <c s="6" r="AB409">
        <v>8</v>
      </c>
      <c t="s" s="6" r="AC409">
        <v>92</v>
      </c>
      <c t="s" s="6" r="AD409">
        <v>92</v>
      </c>
      <c t="s" s="6" r="AE409">
        <v>92</v>
      </c>
      <c t="s" s="6" r="AF409">
        <v>92</v>
      </c>
      <c t="s" s="6" r="AG409">
        <v>92</v>
      </c>
      <c t="s" s="6" r="AH409">
        <v>92</v>
      </c>
      <c t="s" s="6" r="AI409">
        <v>92</v>
      </c>
      <c s="6" r="AJ409">
        <v>8</v>
      </c>
      <c t="s" s="6" r="AK409">
        <v>92</v>
      </c>
      <c t="s" s="6" r="AL409">
        <v>92</v>
      </c>
      <c t="s" s="6" r="AM409">
        <v>92</v>
      </c>
      <c t="s" s="6" r="AN409">
        <v>92</v>
      </c>
      <c s="6" r="AP409">
        <v>8</v>
      </c>
      <c t="s" s="6" r="AR409">
        <v>3373</v>
      </c>
      <c s="6" r="AS409">
        <v>0</v>
      </c>
      <c s="6" r="AT409">
        <v>0</v>
      </c>
      <c s="6" r="AU409">
        <v>0</v>
      </c>
      <c s="6" r="AV409">
        <v>0</v>
      </c>
      <c s="6" r="AW409">
        <v>0</v>
      </c>
      <c s="6" r="AX409">
        <v>0</v>
      </c>
      <c s="6" r="AY409">
        <v>0</v>
      </c>
      <c s="6" r="AZ409">
        <v>0</v>
      </c>
      <c s="6" r="BA409">
        <v>0</v>
      </c>
      <c s="6" r="BB409">
        <v>0</v>
      </c>
      <c s="6" r="BC409">
        <v>0</v>
      </c>
      <c s="6" r="BD409">
        <v>0</v>
      </c>
      <c s="6" r="BE409">
        <v>0</v>
      </c>
      <c s="6" r="BF409">
        <v>0</v>
      </c>
      <c s="6" r="BG409">
        <v>0</v>
      </c>
      <c s="6" r="BH409">
        <v>0</v>
      </c>
      <c s="6" r="BI409">
        <v>0</v>
      </c>
      <c s="6" r="BJ409">
        <v>0</v>
      </c>
      <c s="6" r="BK409">
        <v>0</v>
      </c>
      <c s="6" r="BL409">
        <v>0</v>
      </c>
      <c s="6" r="BM409">
        <v>0</v>
      </c>
      <c s="6" r="BN409">
        <v>0</v>
      </c>
      <c s="6" r="BO409">
        <v>0</v>
      </c>
      <c s="6" r="BP409">
        <v>0</v>
      </c>
      <c s="6" r="BQ409">
        <v>0</v>
      </c>
      <c t="str" s="6" r="BR409">
        <f>HYPERLINK("http://www.d20pfsrd.com/magic/all-spells/p/prying-eyes","Prying Eyes, Greater")</f>
        <v>Prying Eyes, Greater</v>
      </c>
      <c s="6" r="BS409">
        <v>409</v>
      </c>
      <c t="s" s="6" r="BT409">
        <v>92</v>
      </c>
      <c t="s" s="6" r="BU409">
        <v>574</v>
      </c>
      <c s="6" r="BY409">
        <v>0</v>
      </c>
    </row>
    <row customHeight="1" r="410" ht="14.25">
      <c t="s" s="6" r="A410">
        <v>3374</v>
      </c>
      <c t="s" s="6" r="B410">
        <v>493</v>
      </c>
      <c t="s" s="6" r="D410">
        <v>57</v>
      </c>
      <c t="s" s="6" r="E410">
        <v>1717</v>
      </c>
      <c t="s" s="6" r="F410">
        <v>81</v>
      </c>
      <c t="s" s="6" r="G410">
        <v>106</v>
      </c>
      <c s="6" r="H410">
        <v>0</v>
      </c>
      <c t="s" s="6" r="I410">
        <v>813</v>
      </c>
      <c t="s" s="6" r="K410">
        <v>3375</v>
      </c>
      <c t="s" s="6" r="M410">
        <v>122</v>
      </c>
      <c s="6" r="N410">
        <v>1</v>
      </c>
      <c s="6" r="O410">
        <v>0</v>
      </c>
      <c t="s" s="6" r="P410">
        <v>86</v>
      </c>
      <c t="s" s="6" r="Q410">
        <v>188</v>
      </c>
      <c t="s" s="6" r="R410">
        <v>3376</v>
      </c>
      <c t="s" s="6" r="S410">
        <v>3377</v>
      </c>
      <c t="s" s="6" r="T410">
        <v>90</v>
      </c>
      <c t="s" s="6" r="U410">
        <v>3378</v>
      </c>
      <c s="6" r="V410">
        <v>1</v>
      </c>
      <c s="6" r="W410">
        <v>1</v>
      </c>
      <c s="6" r="X410">
        <v>0</v>
      </c>
      <c s="6" r="Y410">
        <v>0</v>
      </c>
      <c s="6" r="Z410">
        <v>0</v>
      </c>
      <c t="s" s="6" r="AA410">
        <v>92</v>
      </c>
      <c t="s" s="6" r="AB410">
        <v>92</v>
      </c>
      <c t="s" s="6" r="AC410">
        <v>92</v>
      </c>
      <c s="6" r="AD410">
        <v>1</v>
      </c>
      <c t="s" s="6" r="AE410">
        <v>92</v>
      </c>
      <c t="s" s="6" r="AF410">
        <v>92</v>
      </c>
      <c t="s" s="6" r="AG410">
        <v>92</v>
      </c>
      <c t="s" s="6" r="AH410">
        <v>92</v>
      </c>
      <c t="s" s="6" r="AI410">
        <v>92</v>
      </c>
      <c t="s" s="6" r="AJ410">
        <v>92</v>
      </c>
      <c t="s" s="6" r="AK410">
        <v>92</v>
      </c>
      <c t="s" s="6" r="AL410">
        <v>92</v>
      </c>
      <c t="s" s="6" r="AM410">
        <v>92</v>
      </c>
      <c t="s" s="6" r="AN410">
        <v>92</v>
      </c>
      <c s="6" r="AP410">
        <v>1</v>
      </c>
      <c t="s" s="6" r="AQ410">
        <v>635</v>
      </c>
      <c t="s" s="6" r="AR410">
        <v>3379</v>
      </c>
      <c s="6" r="AS410">
        <v>0</v>
      </c>
      <c s="6" r="AT410">
        <v>0</v>
      </c>
      <c s="6" r="AU410">
        <v>0</v>
      </c>
      <c s="6" r="AV410">
        <v>0</v>
      </c>
      <c s="6" r="AW410">
        <v>0</v>
      </c>
      <c s="6" r="AX410">
        <v>0</v>
      </c>
      <c s="6" r="AY410">
        <v>0</v>
      </c>
      <c s="6" r="AZ410">
        <v>0</v>
      </c>
      <c s="6" r="BA410">
        <v>0</v>
      </c>
      <c s="6" r="BB410">
        <v>0</v>
      </c>
      <c s="6" r="BC410">
        <v>0</v>
      </c>
      <c s="6" r="BD410">
        <v>0</v>
      </c>
      <c s="6" r="BE410">
        <v>0</v>
      </c>
      <c s="6" r="BF410">
        <v>1</v>
      </c>
      <c s="6" r="BG410">
        <v>0</v>
      </c>
      <c s="6" r="BH410">
        <v>0</v>
      </c>
      <c s="6" r="BI410">
        <v>0</v>
      </c>
      <c s="6" r="BJ410">
        <v>0</v>
      </c>
      <c s="6" r="BK410">
        <v>0</v>
      </c>
      <c s="6" r="BL410">
        <v>0</v>
      </c>
      <c s="6" r="BM410">
        <v>0</v>
      </c>
      <c s="6" r="BN410">
        <v>0</v>
      </c>
      <c s="6" r="BO410">
        <v>0</v>
      </c>
      <c s="6" r="BP410">
        <v>0</v>
      </c>
      <c s="6" r="BQ410">
        <v>0</v>
      </c>
      <c t="str" s="6" r="BR410">
        <f>HYPERLINK("http://www.d20pfsrd.com/magic/all-spells/p/produce-flame","Produce Flame")</f>
        <v>Produce Flame</v>
      </c>
      <c s="6" r="BS410">
        <v>410</v>
      </c>
      <c t="s" s="6" r="BT410">
        <v>92</v>
      </c>
      <c s="6" r="BY410">
        <v>0</v>
      </c>
    </row>
    <row customHeight="1" r="411" ht="14.25">
      <c t="s" s="6" r="A411">
        <v>3380</v>
      </c>
      <c t="s" s="6" r="B411">
        <v>579</v>
      </c>
      <c t="s" s="6" r="C411">
        <v>2047</v>
      </c>
      <c t="s" s="6" r="E411">
        <v>3142</v>
      </c>
      <c t="s" s="6" r="F411">
        <v>81</v>
      </c>
      <c t="s" s="6" r="G411">
        <v>3381</v>
      </c>
      <c s="6" r="H411">
        <v>1</v>
      </c>
      <c t="s" s="6" r="I411">
        <v>83</v>
      </c>
      <c t="s" s="6" r="K411">
        <v>3382</v>
      </c>
      <c t="s" s="6" r="M411">
        <v>3383</v>
      </c>
      <c s="6" r="N411">
        <v>0</v>
      </c>
      <c s="6" r="O411">
        <v>0</v>
      </c>
      <c t="s" s="6" r="P411">
        <v>2197</v>
      </c>
      <c t="s" s="6" r="Q411">
        <v>87</v>
      </c>
      <c t="s" s="6" r="R411">
        <v>3384</v>
      </c>
      <c t="s" s="6" r="S411">
        <v>3385</v>
      </c>
      <c t="s" s="6" r="T411">
        <v>90</v>
      </c>
      <c t="s" s="6" r="U411">
        <v>3386</v>
      </c>
      <c s="6" r="V411">
        <v>1</v>
      </c>
      <c s="6" r="W411">
        <v>1</v>
      </c>
      <c s="6" r="X411">
        <v>1</v>
      </c>
      <c s="6" r="Y411">
        <v>0</v>
      </c>
      <c s="6" r="Z411">
        <v>0</v>
      </c>
      <c s="6" r="AA411">
        <v>6</v>
      </c>
      <c s="6" r="AB411">
        <v>6</v>
      </c>
      <c t="s" s="6" r="AC411">
        <v>92</v>
      </c>
      <c t="s" s="6" r="AD411">
        <v>92</v>
      </c>
      <c t="s" s="6" r="AE411">
        <v>92</v>
      </c>
      <c s="6" r="AF411">
        <v>6</v>
      </c>
      <c t="s" s="6" r="AG411">
        <v>92</v>
      </c>
      <c t="s" s="6" r="AH411">
        <v>92</v>
      </c>
      <c t="s" s="6" r="AI411">
        <v>92</v>
      </c>
      <c t="s" s="6" r="AJ411">
        <v>92</v>
      </c>
      <c t="s" s="6" r="AK411">
        <v>92</v>
      </c>
      <c t="s" s="6" r="AL411">
        <v>92</v>
      </c>
      <c t="s" s="6" r="AM411">
        <v>92</v>
      </c>
      <c t="s" s="6" r="AN411">
        <v>92</v>
      </c>
      <c s="6" r="AP411">
        <v>6</v>
      </c>
      <c t="s" s="6" r="AR411">
        <v>3387</v>
      </c>
      <c s="6" r="AS411">
        <v>0</v>
      </c>
      <c s="6" r="AT411">
        <v>0</v>
      </c>
      <c s="6" r="AU411">
        <v>0</v>
      </c>
      <c s="6" r="AV411">
        <v>0</v>
      </c>
      <c s="6" r="AW411">
        <v>0</v>
      </c>
      <c s="6" r="AX411">
        <v>0</v>
      </c>
      <c s="6" r="AY411">
        <v>0</v>
      </c>
      <c s="6" r="AZ411">
        <v>0</v>
      </c>
      <c s="6" r="BA411">
        <v>0</v>
      </c>
      <c s="6" r="BB411">
        <v>0</v>
      </c>
      <c s="6" r="BC411">
        <v>0</v>
      </c>
      <c s="6" r="BD411">
        <v>0</v>
      </c>
      <c s="6" r="BE411">
        <v>0</v>
      </c>
      <c s="6" r="BF411">
        <v>0</v>
      </c>
      <c s="6" r="BG411">
        <v>0</v>
      </c>
      <c s="6" r="BH411">
        <v>0</v>
      </c>
      <c s="6" r="BI411">
        <v>0</v>
      </c>
      <c s="6" r="BJ411">
        <v>0</v>
      </c>
      <c s="6" r="BK411">
        <v>0</v>
      </c>
      <c s="6" r="BL411">
        <v>0</v>
      </c>
      <c s="6" r="BM411">
        <v>0</v>
      </c>
      <c s="6" r="BN411">
        <v>0</v>
      </c>
      <c s="6" r="BO411">
        <v>0</v>
      </c>
      <c s="6" r="BP411">
        <v>0</v>
      </c>
      <c s="6" r="BQ411">
        <v>0</v>
      </c>
      <c t="str" s="6" r="BR411">
        <f>HYPERLINK("http://www.d20pfsrd.com/magic/all-spells/p/programmed-image","Programmed Image")</f>
        <v>Programmed Image</v>
      </c>
      <c s="6" r="BS411">
        <v>411</v>
      </c>
      <c s="6" r="BT411">
        <v>25</v>
      </c>
      <c t="s" s="6" r="BV411">
        <v>575</v>
      </c>
      <c s="6" r="BY411">
        <v>0</v>
      </c>
    </row>
    <row customHeight="1" r="412" ht="14.25">
      <c t="s" s="6" r="A412">
        <v>3388</v>
      </c>
      <c t="s" s="6" r="B412">
        <v>579</v>
      </c>
      <c t="s" s="6" r="C412">
        <v>66</v>
      </c>
      <c t="s" s="6" r="D412">
        <v>66</v>
      </c>
      <c t="s" s="6" r="E412">
        <v>3389</v>
      </c>
      <c t="s" s="6" r="F412">
        <v>81</v>
      </c>
      <c t="s" s="6" r="G412">
        <v>3390</v>
      </c>
      <c s="6" r="H412">
        <v>1</v>
      </c>
      <c t="s" s="6" r="I412">
        <v>97</v>
      </c>
      <c t="s" s="6" r="K412">
        <v>3391</v>
      </c>
      <c t="s" s="6" r="M412">
        <v>99</v>
      </c>
      <c s="6" r="N412">
        <v>1</v>
      </c>
      <c s="6" r="O412">
        <v>0</v>
      </c>
      <c t="s" s="6" r="P412">
        <v>2197</v>
      </c>
      <c t="s" s="6" r="Q412">
        <v>87</v>
      </c>
      <c t="s" s="6" r="R412">
        <v>3392</v>
      </c>
      <c t="s" s="6" r="S412">
        <v>3393</v>
      </c>
      <c t="s" s="6" r="T412">
        <v>90</v>
      </c>
      <c t="s" s="6" r="U412">
        <v>3394</v>
      </c>
      <c s="6" r="V412">
        <v>1</v>
      </c>
      <c s="6" r="W412">
        <v>1</v>
      </c>
      <c s="6" r="X412">
        <v>1</v>
      </c>
      <c s="6" r="Y412">
        <v>0</v>
      </c>
      <c s="6" r="Z412">
        <v>0</v>
      </c>
      <c s="6" r="AA412">
        <v>7</v>
      </c>
      <c s="6" r="AB412">
        <v>7</v>
      </c>
      <c t="s" s="6" r="AC412">
        <v>92</v>
      </c>
      <c t="s" s="6" r="AD412">
        <v>92</v>
      </c>
      <c t="s" s="6" r="AE412">
        <v>92</v>
      </c>
      <c s="6" r="AF412">
        <v>6</v>
      </c>
      <c t="s" s="6" r="AG412">
        <v>92</v>
      </c>
      <c t="s" s="6" r="AH412">
        <v>92</v>
      </c>
      <c t="s" s="6" r="AI412">
        <v>92</v>
      </c>
      <c t="s" s="6" r="AJ412">
        <v>92</v>
      </c>
      <c t="s" s="6" r="AK412">
        <v>92</v>
      </c>
      <c t="s" s="6" r="AL412">
        <v>92</v>
      </c>
      <c t="s" s="6" r="AM412">
        <v>92</v>
      </c>
      <c t="s" s="6" r="AN412">
        <v>92</v>
      </c>
      <c s="6" r="AP412">
        <v>7</v>
      </c>
      <c t="s" s="6" r="AQ412">
        <v>575</v>
      </c>
      <c t="s" s="6" r="AR412">
        <v>3395</v>
      </c>
      <c s="6" r="AS412">
        <v>0</v>
      </c>
      <c s="6" r="AT412">
        <v>0</v>
      </c>
      <c s="6" r="AU412">
        <v>0</v>
      </c>
      <c s="6" r="AV412">
        <v>0</v>
      </c>
      <c s="6" r="AW412">
        <v>0</v>
      </c>
      <c s="6" r="AX412">
        <v>0</v>
      </c>
      <c s="6" r="AY412">
        <v>0</v>
      </c>
      <c s="6" r="AZ412">
        <v>0</v>
      </c>
      <c s="6" r="BA412">
        <v>0</v>
      </c>
      <c s="6" r="BB412">
        <v>0</v>
      </c>
      <c s="6" r="BC412">
        <v>0</v>
      </c>
      <c s="6" r="BD412">
        <v>0</v>
      </c>
      <c s="6" r="BE412">
        <v>0</v>
      </c>
      <c s="6" r="BF412">
        <v>0</v>
      </c>
      <c s="6" r="BG412">
        <v>0</v>
      </c>
      <c s="6" r="BH412">
        <v>0</v>
      </c>
      <c s="6" r="BI412">
        <v>0</v>
      </c>
      <c s="6" r="BJ412">
        <v>0</v>
      </c>
      <c s="6" r="BK412">
        <v>0</v>
      </c>
      <c s="6" r="BL412">
        <v>0</v>
      </c>
      <c s="6" r="BM412">
        <v>0</v>
      </c>
      <c s="6" r="BN412">
        <v>0</v>
      </c>
      <c s="6" r="BO412">
        <v>1</v>
      </c>
      <c s="6" r="BP412">
        <v>0</v>
      </c>
      <c s="6" r="BQ412">
        <v>0</v>
      </c>
      <c t="str" s="6" r="BR412">
        <f>HYPERLINK("http://www.d20pfsrd.com/magic/all-spells/p/project-image","Project Image")</f>
        <v>Project Image</v>
      </c>
      <c s="6" r="BS412">
        <v>412</v>
      </c>
      <c s="6" r="BT412">
        <v>5</v>
      </c>
      <c s="6" r="BY412">
        <v>0</v>
      </c>
    </row>
    <row customHeight="1" r="413" ht="14.25">
      <c t="s" s="6" r="A413">
        <v>3396</v>
      </c>
      <c t="s" s="6" r="B413">
        <v>162</v>
      </c>
      <c t="s" s="6" r="E413">
        <v>3397</v>
      </c>
      <c t="s" s="6" r="F413">
        <v>81</v>
      </c>
      <c t="s" s="6" r="G413">
        <v>3398</v>
      </c>
      <c s="6" r="H413">
        <v>0</v>
      </c>
      <c t="s" s="6" r="I413">
        <v>120</v>
      </c>
      <c t="s" s="6" r="L413">
        <v>420</v>
      </c>
      <c t="s" s="6" r="M413">
        <v>3018</v>
      </c>
      <c s="6" r="N413">
        <v>0</v>
      </c>
      <c s="6" r="O413">
        <v>0</v>
      </c>
      <c t="s" s="6" r="P413">
        <v>421</v>
      </c>
      <c t="s" s="6" r="Q413">
        <v>123</v>
      </c>
      <c t="s" s="6" r="R413">
        <v>3399</v>
      </c>
      <c t="s" s="6" r="S413">
        <v>3400</v>
      </c>
      <c t="s" s="6" r="T413">
        <v>90</v>
      </c>
      <c t="s" s="6" r="U413">
        <v>3401</v>
      </c>
      <c s="6" r="V413">
        <v>1</v>
      </c>
      <c s="6" r="W413">
        <v>1</v>
      </c>
      <c s="6" r="X413">
        <v>0</v>
      </c>
      <c s="6" r="Y413">
        <v>0</v>
      </c>
      <c s="6" r="Z413">
        <v>0</v>
      </c>
      <c s="6" r="AA413">
        <v>2</v>
      </c>
      <c s="6" r="AB413">
        <v>2</v>
      </c>
      <c t="s" s="6" r="AC413">
        <v>92</v>
      </c>
      <c t="s" s="6" r="AD413">
        <v>92</v>
      </c>
      <c t="s" s="6" r="AE413">
        <v>92</v>
      </c>
      <c t="s" s="6" r="AF413">
        <v>92</v>
      </c>
      <c t="s" s="6" r="AG413">
        <v>92</v>
      </c>
      <c s="6" r="AH413">
        <v>2</v>
      </c>
      <c s="6" r="AI413">
        <v>2</v>
      </c>
      <c t="s" s="6" r="AJ413">
        <v>92</v>
      </c>
      <c t="s" s="6" r="AK413">
        <v>92</v>
      </c>
      <c t="s" s="6" r="AL413">
        <v>92</v>
      </c>
      <c t="s" s="6" r="AM413">
        <v>92</v>
      </c>
      <c t="s" s="6" r="AN413">
        <v>92</v>
      </c>
      <c s="6" r="AP413">
        <v>2</v>
      </c>
      <c t="s" s="6" r="AR413">
        <v>3402</v>
      </c>
      <c s="6" r="AS413">
        <v>0</v>
      </c>
      <c s="6" r="AT413">
        <v>0</v>
      </c>
      <c s="6" r="AU413">
        <v>0</v>
      </c>
      <c s="6" r="AV413">
        <v>0</v>
      </c>
      <c s="6" r="AW413">
        <v>0</v>
      </c>
      <c s="6" r="AX413">
        <v>0</v>
      </c>
      <c s="6" r="AY413">
        <v>0</v>
      </c>
      <c s="6" r="AZ413">
        <v>0</v>
      </c>
      <c s="6" r="BA413">
        <v>0</v>
      </c>
      <c s="6" r="BB413">
        <v>0</v>
      </c>
      <c s="6" r="BC413">
        <v>0</v>
      </c>
      <c s="6" r="BD413">
        <v>0</v>
      </c>
      <c s="6" r="BE413">
        <v>0</v>
      </c>
      <c s="6" r="BF413">
        <v>0</v>
      </c>
      <c s="6" r="BG413">
        <v>0</v>
      </c>
      <c s="6" r="BH413">
        <v>0</v>
      </c>
      <c s="6" r="BI413">
        <v>0</v>
      </c>
      <c s="6" r="BJ413">
        <v>0</v>
      </c>
      <c s="6" r="BK413">
        <v>0</v>
      </c>
      <c s="6" r="BL413">
        <v>0</v>
      </c>
      <c s="6" r="BM413">
        <v>0</v>
      </c>
      <c s="6" r="BN413">
        <v>0</v>
      </c>
      <c s="6" r="BO413">
        <v>0</v>
      </c>
      <c s="6" r="BP413">
        <v>0</v>
      </c>
      <c s="6" r="BQ413">
        <v>0</v>
      </c>
      <c t="str" s="6" r="BR413">
        <f>HYPERLINK("http://www.d20pfsrd.com/magic/all-spells/p/protection-from-arrows","Protection from Arrows")</f>
        <v>Protection from Arrows</v>
      </c>
      <c s="6" r="BS413">
        <v>413</v>
      </c>
      <c t="s" s="6" r="BT413">
        <v>92</v>
      </c>
      <c t="s" s="6" r="BW413">
        <v>3403</v>
      </c>
      <c s="6" r="BY413">
        <v>1</v>
      </c>
    </row>
    <row customHeight="1" r="414" ht="14.25">
      <c t="s" s="6" r="A414">
        <v>3404</v>
      </c>
      <c t="s" s="6" r="B414">
        <v>162</v>
      </c>
      <c t="s" s="6" r="D414">
        <v>61</v>
      </c>
      <c t="s" s="6" r="E414">
        <v>3405</v>
      </c>
      <c t="s" s="6" r="F414">
        <v>81</v>
      </c>
      <c t="s" s="6" r="G414">
        <v>3406</v>
      </c>
      <c s="6" r="H414">
        <v>0</v>
      </c>
      <c t="s" s="6" r="I414">
        <v>120</v>
      </c>
      <c t="s" s="6" r="L414">
        <v>420</v>
      </c>
      <c t="s" s="6" r="M414">
        <v>496</v>
      </c>
      <c s="6" r="N414">
        <v>1</v>
      </c>
      <c s="6" r="O414">
        <v>0</v>
      </c>
      <c t="s" s="6" r="P414">
        <v>421</v>
      </c>
      <c t="s" s="6" r="Q414">
        <v>2771</v>
      </c>
      <c t="s" s="6" r="R414">
        <v>3407</v>
      </c>
      <c t="s" s="6" r="S414">
        <v>3408</v>
      </c>
      <c t="s" s="6" r="T414">
        <v>90</v>
      </c>
      <c t="s" s="6" r="U414">
        <v>3409</v>
      </c>
      <c s="6" r="V414">
        <v>1</v>
      </c>
      <c s="6" r="W414">
        <v>1</v>
      </c>
      <c s="6" r="X414">
        <v>1</v>
      </c>
      <c s="6" r="Y414">
        <v>0</v>
      </c>
      <c s="6" r="Z414">
        <v>1</v>
      </c>
      <c s="6" r="AA414">
        <v>1</v>
      </c>
      <c s="6" r="AB414">
        <v>1</v>
      </c>
      <c s="6" r="AC414">
        <v>1</v>
      </c>
      <c t="s" s="6" r="AD414">
        <v>92</v>
      </c>
      <c t="s" s="6" r="AE414">
        <v>92</v>
      </c>
      <c t="s" s="6" r="AF414">
        <v>92</v>
      </c>
      <c s="6" r="AG414">
        <v>1</v>
      </c>
      <c t="s" s="6" r="AH414">
        <v>92</v>
      </c>
      <c s="6" r="AI414">
        <v>1</v>
      </c>
      <c t="s" s="6" r="AJ414">
        <v>92</v>
      </c>
      <c s="6" r="AK414">
        <v>1</v>
      </c>
      <c s="6" r="AL414">
        <v>1</v>
      </c>
      <c t="s" s="6" r="AM414">
        <v>92</v>
      </c>
      <c t="s" s="6" r="AN414">
        <v>92</v>
      </c>
      <c s="6" r="AP414">
        <v>1</v>
      </c>
      <c t="s" s="6" r="AQ414">
        <v>3410</v>
      </c>
      <c t="s" s="6" r="AR414">
        <v>3411</v>
      </c>
      <c s="6" r="AS414">
        <v>0</v>
      </c>
      <c s="6" r="AT414">
        <v>0</v>
      </c>
      <c s="6" r="AU414">
        <v>0</v>
      </c>
      <c s="6" r="AV414">
        <v>0</v>
      </c>
      <c s="6" r="AW414">
        <v>0</v>
      </c>
      <c s="6" r="AX414">
        <v>0</v>
      </c>
      <c s="6" r="AY414">
        <v>0</v>
      </c>
      <c s="6" r="AZ414">
        <v>0</v>
      </c>
      <c s="6" r="BA414">
        <v>0</v>
      </c>
      <c s="6" r="BB414">
        <v>0</v>
      </c>
      <c s="6" r="BC414">
        <v>0</v>
      </c>
      <c s="6" r="BD414">
        <v>0</v>
      </c>
      <c s="6" r="BE414">
        <v>0</v>
      </c>
      <c s="6" r="BF414">
        <v>0</v>
      </c>
      <c s="6" r="BG414">
        <v>0</v>
      </c>
      <c s="6" r="BH414">
        <v>0</v>
      </c>
      <c s="6" r="BI414">
        <v>0</v>
      </c>
      <c s="6" r="BJ414">
        <v>1</v>
      </c>
      <c s="6" r="BK414">
        <v>0</v>
      </c>
      <c s="6" r="BL414">
        <v>0</v>
      </c>
      <c s="6" r="BM414">
        <v>0</v>
      </c>
      <c s="6" r="BN414">
        <v>0</v>
      </c>
      <c s="6" r="BO414">
        <v>0</v>
      </c>
      <c s="6" r="BP414">
        <v>0</v>
      </c>
      <c s="6" r="BQ414">
        <v>0</v>
      </c>
      <c t="str" s="6" r="BR414">
        <f>HYPERLINK("http://www.d20pfsrd.com/magic/all-spells/p/protection-from-chaos","Protection from Chaos")</f>
        <v>Protection from Chaos</v>
      </c>
      <c s="6" r="BS414">
        <v>414</v>
      </c>
      <c t="s" s="6" r="BT414">
        <v>92</v>
      </c>
      <c t="s" s="6" r="BW414">
        <v>3412</v>
      </c>
      <c s="6" r="BY414">
        <v>1</v>
      </c>
    </row>
    <row customHeight="1" r="415" ht="14.25">
      <c t="s" s="6" r="A415">
        <v>3413</v>
      </c>
      <c t="s" s="6" r="B415">
        <v>162</v>
      </c>
      <c t="s" s="6" r="D415">
        <v>59</v>
      </c>
      <c t="s" s="6" r="E415">
        <v>3414</v>
      </c>
      <c t="s" s="6" r="F415">
        <v>81</v>
      </c>
      <c t="s" s="6" r="G415">
        <v>3406</v>
      </c>
      <c s="6" r="H415">
        <v>0</v>
      </c>
      <c t="s" s="6" r="I415">
        <v>120</v>
      </c>
      <c t="s" s="6" r="L415">
        <v>420</v>
      </c>
      <c t="s" s="6" r="M415">
        <v>496</v>
      </c>
      <c s="6" r="N415">
        <v>1</v>
      </c>
      <c s="6" r="O415">
        <v>0</v>
      </c>
      <c t="s" s="6" r="P415">
        <v>421</v>
      </c>
      <c t="s" s="6" r="Q415">
        <v>2771</v>
      </c>
      <c t="s" s="6" r="R415">
        <v>3415</v>
      </c>
      <c t="s" s="6" r="S415">
        <v>3416</v>
      </c>
      <c t="s" s="6" r="T415">
        <v>90</v>
      </c>
      <c t="s" s="6" r="U415">
        <v>3417</v>
      </c>
      <c s="6" r="V415">
        <v>1</v>
      </c>
      <c s="6" r="W415">
        <v>1</v>
      </c>
      <c s="6" r="X415">
        <v>1</v>
      </c>
      <c s="6" r="Y415">
        <v>0</v>
      </c>
      <c s="6" r="Z415">
        <v>1</v>
      </c>
      <c s="6" r="AA415">
        <v>1</v>
      </c>
      <c s="6" r="AB415">
        <v>1</v>
      </c>
      <c s="6" r="AC415">
        <v>1</v>
      </c>
      <c t="s" s="6" r="AD415">
        <v>92</v>
      </c>
      <c t="s" s="6" r="AE415">
        <v>92</v>
      </c>
      <c t="s" s="6" r="AF415">
        <v>92</v>
      </c>
      <c s="6" r="AG415">
        <v>1</v>
      </c>
      <c t="s" s="6" r="AH415">
        <v>92</v>
      </c>
      <c s="6" r="AI415">
        <v>1</v>
      </c>
      <c t="s" s="6" r="AJ415">
        <v>92</v>
      </c>
      <c s="6" r="AK415">
        <v>1</v>
      </c>
      <c s="6" r="AL415">
        <v>1</v>
      </c>
      <c t="s" s="6" r="AM415">
        <v>92</v>
      </c>
      <c t="s" s="6" r="AN415">
        <v>92</v>
      </c>
      <c s="6" r="AP415">
        <v>1</v>
      </c>
      <c t="s" s="6" r="AQ415">
        <v>3418</v>
      </c>
      <c t="s" s="6" r="AR415">
        <v>3411</v>
      </c>
      <c s="6" r="AS415">
        <v>0</v>
      </c>
      <c s="6" r="AT415">
        <v>0</v>
      </c>
      <c s="6" r="AU415">
        <v>0</v>
      </c>
      <c s="6" r="AV415">
        <v>0</v>
      </c>
      <c s="6" r="AW415">
        <v>0</v>
      </c>
      <c s="6" r="AX415">
        <v>0</v>
      </c>
      <c s="6" r="AY415">
        <v>0</v>
      </c>
      <c s="6" r="AZ415">
        <v>0</v>
      </c>
      <c s="6" r="BA415">
        <v>0</v>
      </c>
      <c s="6" r="BB415">
        <v>0</v>
      </c>
      <c s="6" r="BC415">
        <v>0</v>
      </c>
      <c s="6" r="BD415">
        <v>0</v>
      </c>
      <c s="6" r="BE415">
        <v>0</v>
      </c>
      <c s="6" r="BF415">
        <v>0</v>
      </c>
      <c s="6" r="BG415">
        <v>0</v>
      </c>
      <c s="6" r="BH415">
        <v>1</v>
      </c>
      <c s="6" r="BI415">
        <v>0</v>
      </c>
      <c s="6" r="BJ415">
        <v>0</v>
      </c>
      <c s="6" r="BK415">
        <v>0</v>
      </c>
      <c s="6" r="BL415">
        <v>0</v>
      </c>
      <c s="6" r="BM415">
        <v>0</v>
      </c>
      <c s="6" r="BN415">
        <v>0</v>
      </c>
      <c s="6" r="BO415">
        <v>0</v>
      </c>
      <c s="6" r="BP415">
        <v>0</v>
      </c>
      <c s="6" r="BQ415">
        <v>0</v>
      </c>
      <c t="str" s="6" r="BR415">
        <f>HYPERLINK("http://www.d20pfsrd.com/magic/all-spells/p/protection-from-evil","Protection from Evil")</f>
        <v>Protection from Evil</v>
      </c>
      <c s="6" r="BS415">
        <v>416</v>
      </c>
      <c t="s" s="6" r="BT415">
        <v>92</v>
      </c>
      <c t="s" s="6" r="BV415">
        <v>407</v>
      </c>
      <c t="s" s="6" r="BW415">
        <v>3419</v>
      </c>
      <c s="6" r="BY415">
        <v>1</v>
      </c>
    </row>
    <row customHeight="1" r="416" ht="14.25">
      <c t="s" s="6" r="A416">
        <v>3420</v>
      </c>
      <c t="s" s="6" r="B416">
        <v>162</v>
      </c>
      <c t="s" s="6" r="D416">
        <v>55</v>
      </c>
      <c t="s" s="6" r="E416">
        <v>3421</v>
      </c>
      <c t="s" s="6" r="F416">
        <v>81</v>
      </c>
      <c t="s" s="6" r="G416">
        <v>3406</v>
      </c>
      <c s="6" r="H416">
        <v>0</v>
      </c>
      <c t="s" s="6" r="I416">
        <v>120</v>
      </c>
      <c t="s" s="6" r="L416">
        <v>420</v>
      </c>
      <c t="s" s="6" r="M416">
        <v>496</v>
      </c>
      <c s="6" r="N416">
        <v>1</v>
      </c>
      <c s="6" r="O416">
        <v>0</v>
      </c>
      <c t="s" s="6" r="P416">
        <v>421</v>
      </c>
      <c t="s" s="6" r="Q416">
        <v>2771</v>
      </c>
      <c t="s" s="6" r="R416">
        <v>3422</v>
      </c>
      <c t="s" s="6" r="S416">
        <v>3423</v>
      </c>
      <c t="s" s="6" r="T416">
        <v>90</v>
      </c>
      <c t="s" s="6" r="U416">
        <v>3424</v>
      </c>
      <c s="6" r="V416">
        <v>1</v>
      </c>
      <c s="6" r="W416">
        <v>1</v>
      </c>
      <c s="6" r="X416">
        <v>1</v>
      </c>
      <c s="6" r="Y416">
        <v>0</v>
      </c>
      <c s="6" r="Z416">
        <v>1</v>
      </c>
      <c s="6" r="AA416">
        <v>1</v>
      </c>
      <c s="6" r="AB416">
        <v>1</v>
      </c>
      <c s="6" r="AC416">
        <v>1</v>
      </c>
      <c t="s" s="6" r="AD416">
        <v>92</v>
      </c>
      <c t="s" s="6" r="AE416">
        <v>92</v>
      </c>
      <c t="s" s="6" r="AF416">
        <v>92</v>
      </c>
      <c t="s" s="6" r="AG416">
        <v>92</v>
      </c>
      <c t="s" s="6" r="AH416">
        <v>92</v>
      </c>
      <c s="6" r="AI416">
        <v>1</v>
      </c>
      <c t="s" s="6" r="AJ416">
        <v>92</v>
      </c>
      <c s="6" r="AK416">
        <v>1</v>
      </c>
      <c s="6" r="AL416">
        <v>1</v>
      </c>
      <c s="6" r="AM416">
        <v>1</v>
      </c>
      <c t="s" s="6" r="AN416">
        <v>92</v>
      </c>
      <c s="6" r="AP416">
        <v>1</v>
      </c>
      <c t="s" s="6" r="AQ416">
        <v>3425</v>
      </c>
      <c t="s" s="6" r="AR416">
        <v>3411</v>
      </c>
      <c s="6" r="AS416">
        <v>0</v>
      </c>
      <c s="6" r="AT416">
        <v>0</v>
      </c>
      <c s="6" r="AU416">
        <v>0</v>
      </c>
      <c s="6" r="AV416">
        <v>0</v>
      </c>
      <c s="6" r="AW416">
        <v>0</v>
      </c>
      <c s="6" r="AX416">
        <v>0</v>
      </c>
      <c s="6" r="AY416">
        <v>0</v>
      </c>
      <c s="6" r="AZ416">
        <v>0</v>
      </c>
      <c s="6" r="BA416">
        <v>0</v>
      </c>
      <c s="6" r="BB416">
        <v>0</v>
      </c>
      <c s="6" r="BC416">
        <v>0</v>
      </c>
      <c s="6" r="BD416">
        <v>1</v>
      </c>
      <c s="6" r="BE416">
        <v>0</v>
      </c>
      <c s="6" r="BF416">
        <v>0</v>
      </c>
      <c s="6" r="BG416">
        <v>0</v>
      </c>
      <c s="6" r="BH416">
        <v>0</v>
      </c>
      <c s="6" r="BI416">
        <v>0</v>
      </c>
      <c s="6" r="BJ416">
        <v>0</v>
      </c>
      <c s="6" r="BK416">
        <v>0</v>
      </c>
      <c s="6" r="BL416">
        <v>0</v>
      </c>
      <c s="6" r="BM416">
        <v>0</v>
      </c>
      <c s="6" r="BN416">
        <v>0</v>
      </c>
      <c s="6" r="BO416">
        <v>0</v>
      </c>
      <c s="6" r="BP416">
        <v>0</v>
      </c>
      <c s="6" r="BQ416">
        <v>0</v>
      </c>
      <c t="str" s="6" r="BR416">
        <f>HYPERLINK("http://www.d20pfsrd.com/magic/all-spells/p/protection-from-good","Protection from Good")</f>
        <v>Protection from Good</v>
      </c>
      <c s="6" r="BS416">
        <v>417</v>
      </c>
      <c t="s" s="6" r="BT416">
        <v>92</v>
      </c>
      <c t="s" s="6" r="BU416">
        <v>3426</v>
      </c>
      <c t="s" s="6" r="BW416">
        <v>3427</v>
      </c>
      <c s="6" r="BY416">
        <v>1</v>
      </c>
    </row>
    <row customHeight="1" r="417" ht="14.25">
      <c t="s" s="6" r="A417">
        <v>3428</v>
      </c>
      <c t="s" s="6" r="B417">
        <v>162</v>
      </c>
      <c t="s" s="6" r="D417">
        <v>46</v>
      </c>
      <c t="s" s="6" r="E417">
        <v>3421</v>
      </c>
      <c t="s" s="6" r="F417">
        <v>81</v>
      </c>
      <c t="s" s="6" r="G417">
        <v>3406</v>
      </c>
      <c s="6" r="H417">
        <v>0</v>
      </c>
      <c t="s" s="6" r="I417">
        <v>120</v>
      </c>
      <c t="s" s="6" r="L417">
        <v>420</v>
      </c>
      <c t="s" s="6" r="M417">
        <v>496</v>
      </c>
      <c s="6" r="N417">
        <v>1</v>
      </c>
      <c s="6" r="O417">
        <v>0</v>
      </c>
      <c t="s" s="6" r="P417">
        <v>421</v>
      </c>
      <c t="s" s="6" r="Q417">
        <v>2771</v>
      </c>
      <c t="s" s="6" r="R417">
        <v>3429</v>
      </c>
      <c t="s" s="6" r="S417">
        <v>3430</v>
      </c>
      <c t="s" s="6" r="T417">
        <v>90</v>
      </c>
      <c t="s" s="6" r="U417">
        <v>3431</v>
      </c>
      <c s="6" r="V417">
        <v>1</v>
      </c>
      <c s="6" r="W417">
        <v>1</v>
      </c>
      <c s="6" r="X417">
        <v>1</v>
      </c>
      <c s="6" r="Y417">
        <v>0</v>
      </c>
      <c s="6" r="Z417">
        <v>1</v>
      </c>
      <c s="6" r="AA417">
        <v>1</v>
      </c>
      <c s="6" r="AB417">
        <v>1</v>
      </c>
      <c s="6" r="AC417">
        <v>1</v>
      </c>
      <c t="s" s="6" r="AD417">
        <v>92</v>
      </c>
      <c t="s" s="6" r="AE417">
        <v>92</v>
      </c>
      <c t="s" s="6" r="AF417">
        <v>92</v>
      </c>
      <c t="s" s="6" r="AG417">
        <v>92</v>
      </c>
      <c t="s" s="6" r="AH417">
        <v>92</v>
      </c>
      <c s="6" r="AI417">
        <v>1</v>
      </c>
      <c t="s" s="6" r="AJ417">
        <v>92</v>
      </c>
      <c s="6" r="AK417">
        <v>1</v>
      </c>
      <c s="6" r="AL417">
        <v>1</v>
      </c>
      <c s="6" r="AM417">
        <v>1</v>
      </c>
      <c t="s" s="6" r="AN417">
        <v>92</v>
      </c>
      <c s="6" r="AP417">
        <v>1</v>
      </c>
      <c t="s" s="6" r="AQ417">
        <v>3432</v>
      </c>
      <c t="s" s="6" r="AR417">
        <v>3411</v>
      </c>
      <c s="6" r="AS417">
        <v>0</v>
      </c>
      <c s="6" r="AT417">
        <v>0</v>
      </c>
      <c s="6" r="AU417">
        <v>1</v>
      </c>
      <c s="6" r="AV417">
        <v>0</v>
      </c>
      <c s="6" r="AW417">
        <v>0</v>
      </c>
      <c s="6" r="AX417">
        <v>0</v>
      </c>
      <c s="6" r="AY417">
        <v>0</v>
      </c>
      <c s="6" r="AZ417">
        <v>0</v>
      </c>
      <c s="6" r="BA417">
        <v>0</v>
      </c>
      <c s="6" r="BB417">
        <v>0</v>
      </c>
      <c s="6" r="BC417">
        <v>0</v>
      </c>
      <c s="6" r="BD417">
        <v>0</v>
      </c>
      <c s="6" r="BE417">
        <v>0</v>
      </c>
      <c s="6" r="BF417">
        <v>0</v>
      </c>
      <c s="6" r="BG417">
        <v>0</v>
      </c>
      <c s="6" r="BH417">
        <v>0</v>
      </c>
      <c s="6" r="BI417">
        <v>0</v>
      </c>
      <c s="6" r="BJ417">
        <v>0</v>
      </c>
      <c s="6" r="BK417">
        <v>0</v>
      </c>
      <c s="6" r="BL417">
        <v>0</v>
      </c>
      <c s="6" r="BM417">
        <v>0</v>
      </c>
      <c s="6" r="BN417">
        <v>0</v>
      </c>
      <c s="6" r="BO417">
        <v>0</v>
      </c>
      <c s="6" r="BP417">
        <v>0</v>
      </c>
      <c s="6" r="BQ417">
        <v>0</v>
      </c>
      <c t="str" s="6" r="BR417">
        <f>HYPERLINK("http://www.d20pfsrd.com/magic/all-spells/p/protection-from-law","Protection from Law")</f>
        <v>Protection from Law</v>
      </c>
      <c s="6" r="BS417">
        <v>418</v>
      </c>
      <c t="s" s="6" r="BT417">
        <v>92</v>
      </c>
      <c t="s" s="6" r="BW417">
        <v>3433</v>
      </c>
      <c s="6" r="BY417">
        <v>1</v>
      </c>
    </row>
    <row customHeight="1" r="418" ht="14.25">
      <c t="s" s="6" r="A418">
        <v>3434</v>
      </c>
      <c t="s" s="6" r="B418">
        <v>162</v>
      </c>
      <c t="s" s="6" r="E418">
        <v>471</v>
      </c>
      <c t="s" s="6" r="F418">
        <v>81</v>
      </c>
      <c t="s" s="6" r="G418">
        <v>3435</v>
      </c>
      <c s="6" r="H418">
        <v>1</v>
      </c>
      <c t="s" s="6" r="I418">
        <v>120</v>
      </c>
      <c t="s" s="6" r="L418">
        <v>3436</v>
      </c>
      <c t="s" s="6" r="M418">
        <v>134</v>
      </c>
      <c s="6" r="N418">
        <v>0</v>
      </c>
      <c s="6" r="O418">
        <v>0</v>
      </c>
      <c t="s" s="6" r="P418">
        <v>421</v>
      </c>
      <c t="s" s="6" r="Q418">
        <v>123</v>
      </c>
      <c t="s" s="6" r="R418">
        <v>3437</v>
      </c>
      <c t="s" s="6" r="S418">
        <v>3438</v>
      </c>
      <c t="s" s="6" r="T418">
        <v>90</v>
      </c>
      <c t="s" s="6" r="U418">
        <v>3439</v>
      </c>
      <c s="6" r="V418">
        <v>1</v>
      </c>
      <c s="6" r="W418">
        <v>1</v>
      </c>
      <c s="6" r="X418">
        <v>1</v>
      </c>
      <c s="6" r="Y418">
        <v>1</v>
      </c>
      <c s="6" r="Z418">
        <v>0</v>
      </c>
      <c s="6" r="AA418">
        <v>8</v>
      </c>
      <c s="6" r="AB418">
        <v>8</v>
      </c>
      <c t="s" s="6" r="AC418">
        <v>92</v>
      </c>
      <c t="s" s="6" r="AD418">
        <v>92</v>
      </c>
      <c t="s" s="6" r="AE418">
        <v>92</v>
      </c>
      <c t="s" s="6" r="AF418">
        <v>92</v>
      </c>
      <c t="s" s="6" r="AG418">
        <v>92</v>
      </c>
      <c t="s" s="6" r="AH418">
        <v>92</v>
      </c>
      <c s="6" r="AI418">
        <v>6</v>
      </c>
      <c t="s" s="6" r="AJ418">
        <v>92</v>
      </c>
      <c t="s" s="6" r="AK418">
        <v>92</v>
      </c>
      <c t="s" s="6" r="AL418">
        <v>92</v>
      </c>
      <c t="s" s="6" r="AM418">
        <v>92</v>
      </c>
      <c t="s" s="6" r="AN418">
        <v>92</v>
      </c>
      <c s="6" r="AP418">
        <v>8</v>
      </c>
      <c t="s" s="6" r="AQ418">
        <v>1443</v>
      </c>
      <c t="s" s="6" r="AR418">
        <v>3440</v>
      </c>
      <c s="6" r="AS418">
        <v>0</v>
      </c>
      <c s="6" r="AT418">
        <v>0</v>
      </c>
      <c s="6" r="AU418">
        <v>0</v>
      </c>
      <c s="6" r="AV418">
        <v>0</v>
      </c>
      <c s="6" r="AW418">
        <v>0</v>
      </c>
      <c s="6" r="AX418">
        <v>0</v>
      </c>
      <c s="6" r="AY418">
        <v>0</v>
      </c>
      <c s="6" r="AZ418">
        <v>0</v>
      </c>
      <c s="6" r="BA418">
        <v>0</v>
      </c>
      <c s="6" r="BB418">
        <v>0</v>
      </c>
      <c s="6" r="BC418">
        <v>0</v>
      </c>
      <c s="6" r="BD418">
        <v>0</v>
      </c>
      <c s="6" r="BE418">
        <v>0</v>
      </c>
      <c s="6" r="BF418">
        <v>0</v>
      </c>
      <c s="6" r="BG418">
        <v>0</v>
      </c>
      <c s="6" r="BH418">
        <v>0</v>
      </c>
      <c s="6" r="BI418">
        <v>0</v>
      </c>
      <c s="6" r="BJ418">
        <v>0</v>
      </c>
      <c s="6" r="BK418">
        <v>0</v>
      </c>
      <c s="6" r="BL418">
        <v>0</v>
      </c>
      <c s="6" r="BM418">
        <v>0</v>
      </c>
      <c s="6" r="BN418">
        <v>0</v>
      </c>
      <c s="6" r="BO418">
        <v>0</v>
      </c>
      <c s="6" r="BP418">
        <v>0</v>
      </c>
      <c s="6" r="BQ418">
        <v>0</v>
      </c>
      <c t="str" s="6" r="BR418">
        <f>HYPERLINK("http://www.d20pfsrd.com/magic/all-spells/p/protection-from-spells","Protection from Spells")</f>
        <v>Protection from Spells</v>
      </c>
      <c s="6" r="BS418">
        <v>419</v>
      </c>
      <c s="6" r="BT418">
        <v>500</v>
      </c>
      <c t="s" s="6" r="BV418">
        <v>2109</v>
      </c>
      <c s="6" r="BY418">
        <v>0</v>
      </c>
    </row>
    <row customHeight="1" r="419" ht="14.25">
      <c t="s" s="6" r="A419">
        <v>3441</v>
      </c>
      <c t="s" s="6" r="B419">
        <v>131</v>
      </c>
      <c t="s" s="6" r="E419">
        <v>3442</v>
      </c>
      <c t="s" s="6" r="F419">
        <v>81</v>
      </c>
      <c t="s" s="6" r="G419">
        <v>106</v>
      </c>
      <c s="6" r="H419">
        <v>0</v>
      </c>
      <c t="s" s="6" r="I419">
        <v>273</v>
      </c>
      <c t="s" s="6" r="L419">
        <v>3443</v>
      </c>
      <c t="s" s="6" r="M419">
        <v>109</v>
      </c>
      <c s="6" r="N419">
        <v>0</v>
      </c>
      <c s="6" r="O419">
        <v>0</v>
      </c>
      <c t="s" s="6" r="P419">
        <v>535</v>
      </c>
      <c t="s" s="6" r="Q419">
        <v>536</v>
      </c>
      <c t="s" s="6" r="R419">
        <v>3444</v>
      </c>
      <c t="s" s="6" r="S419">
        <v>3445</v>
      </c>
      <c t="s" s="6" r="T419">
        <v>90</v>
      </c>
      <c t="s" s="6" r="U419">
        <v>3446</v>
      </c>
      <c s="6" r="V419">
        <v>1</v>
      </c>
      <c s="6" r="W419">
        <v>1</v>
      </c>
      <c s="6" r="X419">
        <v>0</v>
      </c>
      <c s="6" r="Y419">
        <v>0</v>
      </c>
      <c s="6" r="Z419">
        <v>0</v>
      </c>
      <c t="s" s="6" r="AA419">
        <v>92</v>
      </c>
      <c t="s" s="6" r="AB419">
        <v>92</v>
      </c>
      <c s="6" r="AC419">
        <v>0</v>
      </c>
      <c s="6" r="AD419">
        <v>0</v>
      </c>
      <c t="s" s="6" r="AE419">
        <v>92</v>
      </c>
      <c t="s" s="6" r="AF419">
        <v>92</v>
      </c>
      <c t="s" s="6" r="AG419">
        <v>92</v>
      </c>
      <c t="s" s="6" r="AH419">
        <v>92</v>
      </c>
      <c t="s" s="6" r="AI419">
        <v>92</v>
      </c>
      <c t="s" s="6" r="AJ419">
        <v>92</v>
      </c>
      <c t="s" s="6" r="AK419">
        <v>92</v>
      </c>
      <c s="6" r="AL419">
        <v>0</v>
      </c>
      <c t="s" s="6" r="AM419">
        <v>92</v>
      </c>
      <c t="s" s="6" r="AN419">
        <v>92</v>
      </c>
      <c s="6" r="AP419">
        <v>0</v>
      </c>
      <c t="s" s="6" r="AR419">
        <v>3447</v>
      </c>
      <c s="6" r="AS419">
        <v>0</v>
      </c>
      <c s="6" r="AT419">
        <v>0</v>
      </c>
      <c s="6" r="AU419">
        <v>0</v>
      </c>
      <c s="6" r="AV419">
        <v>0</v>
      </c>
      <c s="6" r="AW419">
        <v>0</v>
      </c>
      <c s="6" r="AX419">
        <v>0</v>
      </c>
      <c s="6" r="AY419">
        <v>0</v>
      </c>
      <c s="6" r="AZ419">
        <v>0</v>
      </c>
      <c s="6" r="BA419">
        <v>0</v>
      </c>
      <c s="6" r="BB419">
        <v>0</v>
      </c>
      <c s="6" r="BC419">
        <v>0</v>
      </c>
      <c s="6" r="BD419">
        <v>0</v>
      </c>
      <c s="6" r="BE419">
        <v>0</v>
      </c>
      <c s="6" r="BF419">
        <v>0</v>
      </c>
      <c s="6" r="BG419">
        <v>0</v>
      </c>
      <c s="6" r="BH419">
        <v>0</v>
      </c>
      <c s="6" r="BI419">
        <v>0</v>
      </c>
      <c s="6" r="BJ419">
        <v>0</v>
      </c>
      <c s="6" r="BK419">
        <v>0</v>
      </c>
      <c s="6" r="BL419">
        <v>0</v>
      </c>
      <c s="6" r="BM419">
        <v>0</v>
      </c>
      <c s="6" r="BN419">
        <v>0</v>
      </c>
      <c s="6" r="BO419">
        <v>0</v>
      </c>
      <c s="6" r="BP419">
        <v>0</v>
      </c>
      <c s="6" r="BQ419">
        <v>0</v>
      </c>
      <c t="str" s="6" r="BR419">
        <f>HYPERLINK("http://www.d20pfsrd.com/magic/all-spells/p/purify-food-and-drink","Purify Food and Drink")</f>
        <v>Purify Food and Drink</v>
      </c>
      <c s="6" r="BS419">
        <v>420</v>
      </c>
      <c t="s" s="6" r="BT419">
        <v>92</v>
      </c>
      <c s="6" r="BY419">
        <v>0</v>
      </c>
    </row>
    <row customHeight="1" r="420" ht="14.25">
      <c t="s" s="6" r="A420">
        <v>3448</v>
      </c>
      <c t="s" s="6" r="B420">
        <v>131</v>
      </c>
      <c t="s" s="6" r="E420">
        <v>2956</v>
      </c>
      <c t="s" s="6" r="F420">
        <v>81</v>
      </c>
      <c t="s" s="6" r="G420">
        <v>3449</v>
      </c>
      <c s="6" r="H420">
        <v>0</v>
      </c>
      <c t="s" s="6" r="I420">
        <v>83</v>
      </c>
      <c t="s" s="6" r="L420">
        <v>3450</v>
      </c>
      <c t="s" s="6" r="M420">
        <v>3451</v>
      </c>
      <c s="6" r="N420">
        <v>0</v>
      </c>
      <c s="6" r="O420">
        <v>0</v>
      </c>
      <c t="s" s="6" r="P420">
        <v>3452</v>
      </c>
      <c t="s" s="6" r="Q420">
        <v>3453</v>
      </c>
      <c t="s" s="6" r="R420">
        <v>3454</v>
      </c>
      <c t="s" s="6" r="S420">
        <v>3455</v>
      </c>
      <c t="s" s="6" r="T420">
        <v>90</v>
      </c>
      <c t="s" s="6" r="U420">
        <v>3456</v>
      </c>
      <c s="6" r="V420">
        <v>1</v>
      </c>
      <c s="6" r="W420">
        <v>1</v>
      </c>
      <c s="6" r="X420">
        <v>1</v>
      </c>
      <c s="6" r="Y420">
        <v>0</v>
      </c>
      <c s="6" r="Z420">
        <v>0</v>
      </c>
      <c s="6" r="AA420">
        <v>2</v>
      </c>
      <c s="6" r="AB420">
        <v>2</v>
      </c>
      <c t="s" s="6" r="AC420">
        <v>92</v>
      </c>
      <c t="s" s="6" r="AD420">
        <v>92</v>
      </c>
      <c t="s" s="6" r="AE420">
        <v>92</v>
      </c>
      <c s="6" r="AF420">
        <v>2</v>
      </c>
      <c t="s" s="6" r="AG420">
        <v>92</v>
      </c>
      <c t="s" s="6" r="AH420">
        <v>92</v>
      </c>
      <c t="s" s="6" r="AI420">
        <v>92</v>
      </c>
      <c t="s" s="6" r="AJ420">
        <v>92</v>
      </c>
      <c t="s" s="6" r="AK420">
        <v>92</v>
      </c>
      <c t="s" s="6" r="AL420">
        <v>92</v>
      </c>
      <c t="s" s="6" r="AM420">
        <v>92</v>
      </c>
      <c s="6" r="AN420">
        <v>2</v>
      </c>
      <c s="6" r="AP420">
        <v>2</v>
      </c>
      <c t="s" s="6" r="AQ420">
        <v>3457</v>
      </c>
      <c t="s" s="6" r="AR420">
        <v>3458</v>
      </c>
      <c s="6" r="AS420">
        <v>0</v>
      </c>
      <c s="6" r="AT420">
        <v>0</v>
      </c>
      <c s="6" r="AU420">
        <v>0</v>
      </c>
      <c s="6" r="AV420">
        <v>0</v>
      </c>
      <c s="6" r="AW420">
        <v>0</v>
      </c>
      <c s="6" r="AX420">
        <v>0</v>
      </c>
      <c s="6" r="AY420">
        <v>0</v>
      </c>
      <c s="6" r="AZ420">
        <v>0</v>
      </c>
      <c s="6" r="BA420">
        <v>0</v>
      </c>
      <c s="6" r="BB420">
        <v>0</v>
      </c>
      <c s="6" r="BC420">
        <v>0</v>
      </c>
      <c s="6" r="BD420">
        <v>0</v>
      </c>
      <c s="6" r="BE420">
        <v>0</v>
      </c>
      <c s="6" r="BF420">
        <v>0</v>
      </c>
      <c s="6" r="BG420">
        <v>0</v>
      </c>
      <c s="6" r="BH420">
        <v>0</v>
      </c>
      <c s="6" r="BI420">
        <v>0</v>
      </c>
      <c s="6" r="BJ420">
        <v>0</v>
      </c>
      <c s="6" r="BK420">
        <v>0</v>
      </c>
      <c s="6" r="BL420">
        <v>0</v>
      </c>
      <c s="6" r="BM420">
        <v>0</v>
      </c>
      <c s="6" r="BN420">
        <v>0</v>
      </c>
      <c s="6" r="BO420">
        <v>0</v>
      </c>
      <c s="6" r="BP420">
        <v>0</v>
      </c>
      <c s="6" r="BQ420">
        <v>0</v>
      </c>
      <c t="str" s="6" r="BR420">
        <f>HYPERLINK("http://www.d20pfsrd.com/magic/all-spells/p/pyrotechnics","Pyrotechnics")</f>
        <v>Pyrotechnics</v>
      </c>
      <c s="6" r="BS420">
        <v>421</v>
      </c>
      <c t="s" s="6" r="BT420">
        <v>92</v>
      </c>
      <c s="6" r="BY420">
        <v>0</v>
      </c>
    </row>
    <row customHeight="1" r="421" ht="14.25">
      <c t="s" s="6" r="A421">
        <v>3459</v>
      </c>
      <c t="s" s="6" r="B421">
        <v>131</v>
      </c>
      <c t="s" s="6" r="E421">
        <v>641</v>
      </c>
      <c t="s" s="6" r="F421">
        <v>81</v>
      </c>
      <c t="s" s="6" r="G421">
        <v>119</v>
      </c>
      <c s="6" r="H421">
        <v>0</v>
      </c>
      <c t="s" s="6" r="I421">
        <v>97</v>
      </c>
      <c t="s" s="6" r="J421">
        <v>3460</v>
      </c>
      <c t="s" s="6" r="L421">
        <v>3461</v>
      </c>
      <c t="s" s="6" r="M421">
        <v>109</v>
      </c>
      <c s="6" r="N421">
        <v>0</v>
      </c>
      <c s="6" r="O421">
        <v>1</v>
      </c>
      <c t="s" s="6" r="P421">
        <v>3462</v>
      </c>
      <c t="s" s="6" r="Q421">
        <v>3463</v>
      </c>
      <c t="s" s="6" r="R421">
        <v>3464</v>
      </c>
      <c t="s" s="6" r="S421">
        <v>3465</v>
      </c>
      <c t="s" s="6" r="T421">
        <v>90</v>
      </c>
      <c t="s" s="6" r="U421">
        <v>3466</v>
      </c>
      <c s="6" r="V421">
        <v>1</v>
      </c>
      <c s="6" r="W421">
        <v>1</v>
      </c>
      <c s="6" r="X421">
        <v>0</v>
      </c>
      <c s="6" r="Y421">
        <v>0</v>
      </c>
      <c s="6" r="Z421">
        <v>1</v>
      </c>
      <c t="s" s="6" r="AA421">
        <v>92</v>
      </c>
      <c t="s" s="6" r="AB421">
        <v>92</v>
      </c>
      <c t="s" s="6" r="AC421">
        <v>92</v>
      </c>
      <c s="6" r="AD421">
        <v>3</v>
      </c>
      <c t="s" s="6" r="AE421">
        <v>92</v>
      </c>
      <c t="s" s="6" r="AF421">
        <v>92</v>
      </c>
      <c t="s" s="6" r="AG421">
        <v>92</v>
      </c>
      <c t="s" s="6" r="AH421">
        <v>92</v>
      </c>
      <c t="s" s="6" r="AI421">
        <v>92</v>
      </c>
      <c t="s" s="6" r="AJ421">
        <v>92</v>
      </c>
      <c t="s" s="6" r="AK421">
        <v>92</v>
      </c>
      <c t="s" s="6" r="AL421">
        <v>92</v>
      </c>
      <c t="s" s="6" r="AM421">
        <v>92</v>
      </c>
      <c t="s" s="6" r="AN421">
        <v>92</v>
      </c>
      <c s="6" r="AP421">
        <v>3</v>
      </c>
      <c t="s" s="6" r="AR421">
        <v>3467</v>
      </c>
      <c s="6" r="AS421">
        <v>0</v>
      </c>
      <c s="6" r="AT421">
        <v>0</v>
      </c>
      <c s="6" r="AU421">
        <v>0</v>
      </c>
      <c s="6" r="AV421">
        <v>0</v>
      </c>
      <c s="6" r="AW421">
        <v>0</v>
      </c>
      <c s="6" r="AX421">
        <v>0</v>
      </c>
      <c s="6" r="AY421">
        <v>0</v>
      </c>
      <c s="6" r="AZ421">
        <v>0</v>
      </c>
      <c s="6" r="BA421">
        <v>0</v>
      </c>
      <c s="6" r="BB421">
        <v>0</v>
      </c>
      <c s="6" r="BC421">
        <v>0</v>
      </c>
      <c s="6" r="BD421">
        <v>0</v>
      </c>
      <c s="6" r="BE421">
        <v>0</v>
      </c>
      <c s="6" r="BF421">
        <v>0</v>
      </c>
      <c s="6" r="BG421">
        <v>0</v>
      </c>
      <c s="6" r="BH421">
        <v>0</v>
      </c>
      <c s="6" r="BI421">
        <v>0</v>
      </c>
      <c s="6" r="BJ421">
        <v>0</v>
      </c>
      <c s="6" r="BK421">
        <v>0</v>
      </c>
      <c s="6" r="BL421">
        <v>0</v>
      </c>
      <c s="6" r="BM421">
        <v>0</v>
      </c>
      <c s="6" r="BN421">
        <v>0</v>
      </c>
      <c s="6" r="BO421">
        <v>0</v>
      </c>
      <c s="6" r="BP421">
        <v>0</v>
      </c>
      <c s="6" r="BQ421">
        <v>0</v>
      </c>
      <c t="str" s="6" r="BR421">
        <f>HYPERLINK("http://www.d20pfsrd.com/magic/all-spells/q/quench","Quench")</f>
        <v>Quench</v>
      </c>
      <c s="6" r="BS421">
        <v>422</v>
      </c>
      <c t="s" s="6" r="BT421">
        <v>92</v>
      </c>
      <c s="6" r="BY421">
        <v>0</v>
      </c>
    </row>
    <row customHeight="1" r="422" ht="14.25">
      <c t="s" s="6" r="A422">
        <v>3468</v>
      </c>
      <c t="s" s="6" r="B422">
        <v>115</v>
      </c>
      <c t="s" s="6" r="C422">
        <v>116</v>
      </c>
      <c t="s" s="6" r="D422">
        <v>291</v>
      </c>
      <c t="s" s="6" r="E422">
        <v>3469</v>
      </c>
      <c t="s" s="6" r="F422">
        <v>81</v>
      </c>
      <c t="s" s="6" r="G422">
        <v>106</v>
      </c>
      <c s="6" r="H422">
        <v>0</v>
      </c>
      <c t="s" s="6" r="I422">
        <v>97</v>
      </c>
      <c t="s" s="6" r="L422">
        <v>3470</v>
      </c>
      <c t="s" s="6" r="M422">
        <v>2696</v>
      </c>
      <c s="6" r="N422">
        <v>1</v>
      </c>
      <c s="6" r="O422">
        <v>0</v>
      </c>
      <c t="s" s="6" r="P422">
        <v>86</v>
      </c>
      <c t="s" s="6" r="Q422">
        <v>188</v>
      </c>
      <c t="s" s="6" r="R422">
        <v>3471</v>
      </c>
      <c t="s" s="6" r="S422">
        <v>3472</v>
      </c>
      <c t="s" s="6" r="T422">
        <v>90</v>
      </c>
      <c t="s" s="6" r="U422">
        <v>3473</v>
      </c>
      <c s="6" r="V422">
        <v>1</v>
      </c>
      <c s="6" r="W422">
        <v>1</v>
      </c>
      <c s="6" r="X422">
        <v>0</v>
      </c>
      <c s="6" r="Y422">
        <v>0</v>
      </c>
      <c s="6" r="Z422">
        <v>0</v>
      </c>
      <c s="6" r="AA422">
        <v>3</v>
      </c>
      <c s="6" r="AB422">
        <v>3</v>
      </c>
      <c t="s" s="6" r="AC422">
        <v>92</v>
      </c>
      <c t="s" s="6" r="AD422">
        <v>92</v>
      </c>
      <c t="s" s="6" r="AE422">
        <v>92</v>
      </c>
      <c s="6" r="AF422">
        <v>2</v>
      </c>
      <c t="s" s="6" r="AG422">
        <v>92</v>
      </c>
      <c s="6" r="AH422">
        <v>3</v>
      </c>
      <c s="6" r="AI422">
        <v>3</v>
      </c>
      <c s="6" r="AJ422">
        <v>3</v>
      </c>
      <c t="s" s="6" r="AK422">
        <v>92</v>
      </c>
      <c t="s" s="6" r="AL422">
        <v>92</v>
      </c>
      <c t="s" s="6" r="AM422">
        <v>92</v>
      </c>
      <c t="s" s="6" r="AN422">
        <v>92</v>
      </c>
      <c s="6" r="AP422">
        <v>3</v>
      </c>
      <c t="s" s="6" r="AQ422">
        <v>3474</v>
      </c>
      <c t="s" s="6" r="AR422">
        <v>3475</v>
      </c>
      <c s="6" r="AS422">
        <v>0</v>
      </c>
      <c s="6" r="AT422">
        <v>0</v>
      </c>
      <c s="6" r="AU422">
        <v>0</v>
      </c>
      <c s="6" r="AV422">
        <v>0</v>
      </c>
      <c s="6" r="AW422">
        <v>0</v>
      </c>
      <c s="6" r="AX422">
        <v>0</v>
      </c>
      <c s="6" r="AY422">
        <v>0</v>
      </c>
      <c s="6" r="AZ422">
        <v>0</v>
      </c>
      <c s="6" r="BA422">
        <v>0</v>
      </c>
      <c s="6" r="BB422">
        <v>0</v>
      </c>
      <c s="6" r="BC422">
        <v>1</v>
      </c>
      <c s="6" r="BD422">
        <v>0</v>
      </c>
      <c s="6" r="BE422">
        <v>0</v>
      </c>
      <c s="6" r="BF422">
        <v>0</v>
      </c>
      <c s="6" r="BG422">
        <v>0</v>
      </c>
      <c s="6" r="BH422">
        <v>0</v>
      </c>
      <c s="6" r="BI422">
        <v>0</v>
      </c>
      <c s="6" r="BJ422">
        <v>0</v>
      </c>
      <c s="6" r="BK422">
        <v>0</v>
      </c>
      <c s="6" r="BL422">
        <v>1</v>
      </c>
      <c s="6" r="BM422">
        <v>0</v>
      </c>
      <c s="6" r="BN422">
        <v>0</v>
      </c>
      <c s="6" r="BO422">
        <v>0</v>
      </c>
      <c s="6" r="BP422">
        <v>0</v>
      </c>
      <c s="6" r="BQ422">
        <v>0</v>
      </c>
      <c t="str" s="6" r="BR422">
        <f>HYPERLINK("http://www.d20pfsrd.com/magic/all-spells/r/rage","Rage")</f>
        <v>Rage</v>
      </c>
      <c s="6" r="BS422">
        <v>423</v>
      </c>
      <c t="s" s="6" r="BT422">
        <v>92</v>
      </c>
      <c t="s" s="6" r="BU422">
        <v>3476</v>
      </c>
      <c s="6" r="BY422">
        <v>0</v>
      </c>
    </row>
    <row customHeight="1" r="423" ht="14.25">
      <c t="s" s="6" r="A423">
        <v>3477</v>
      </c>
      <c t="s" s="6" r="B423">
        <v>579</v>
      </c>
      <c t="s" s="6" r="C423">
        <v>831</v>
      </c>
      <c t="s" s="6" r="D423">
        <v>117</v>
      </c>
      <c t="s" s="6" r="E423">
        <v>2194</v>
      </c>
      <c t="s" s="6" r="F423">
        <v>81</v>
      </c>
      <c t="s" s="6" r="G423">
        <v>3478</v>
      </c>
      <c s="6" r="H423">
        <v>0</v>
      </c>
      <c t="s" s="6" r="I423">
        <v>97</v>
      </c>
      <c t="s" s="6" r="K423">
        <v>3479</v>
      </c>
      <c t="s" s="6" r="M423">
        <v>3480</v>
      </c>
      <c s="6" r="N423">
        <v>1</v>
      </c>
      <c s="6" r="O423">
        <v>0</v>
      </c>
      <c t="s" s="6" r="P423">
        <v>221</v>
      </c>
      <c t="s" s="6" r="Q423">
        <v>188</v>
      </c>
      <c t="s" s="6" r="R423">
        <v>3481</v>
      </c>
      <c t="s" s="6" r="S423">
        <v>3482</v>
      </c>
      <c t="s" s="6" r="T423">
        <v>90</v>
      </c>
      <c t="s" s="6" r="U423">
        <v>3483</v>
      </c>
      <c s="6" r="V423">
        <v>1</v>
      </c>
      <c s="6" r="W423">
        <v>1</v>
      </c>
      <c s="6" r="X423">
        <v>1</v>
      </c>
      <c s="6" r="Y423">
        <v>1</v>
      </c>
      <c s="6" r="Z423">
        <v>0</v>
      </c>
      <c s="6" r="AA423">
        <v>4</v>
      </c>
      <c s="6" r="AB423">
        <v>4</v>
      </c>
      <c t="s" s="6" r="AC423">
        <v>92</v>
      </c>
      <c t="s" s="6" r="AD423">
        <v>92</v>
      </c>
      <c t="s" s="6" r="AE423">
        <v>92</v>
      </c>
      <c s="6" r="AF423">
        <v>4</v>
      </c>
      <c t="s" s="6" r="AG423">
        <v>92</v>
      </c>
      <c t="s" s="6" r="AH423">
        <v>92</v>
      </c>
      <c t="s" s="6" r="AI423">
        <v>92</v>
      </c>
      <c t="s" s="6" r="AJ423">
        <v>92</v>
      </c>
      <c t="s" s="6" r="AK423">
        <v>92</v>
      </c>
      <c t="s" s="6" r="AL423">
        <v>92</v>
      </c>
      <c t="s" s="6" r="AM423">
        <v>92</v>
      </c>
      <c t="s" s="6" r="AN423">
        <v>92</v>
      </c>
      <c s="6" r="AP423">
        <v>4</v>
      </c>
      <c t="s" s="6" r="AR423">
        <v>3484</v>
      </c>
      <c s="6" r="AS423">
        <v>0</v>
      </c>
      <c s="6" r="AT423">
        <v>0</v>
      </c>
      <c s="6" r="AU423">
        <v>0</v>
      </c>
      <c s="6" r="AV423">
        <v>0</v>
      </c>
      <c s="6" r="AW423">
        <v>0</v>
      </c>
      <c s="6" r="AX423">
        <v>0</v>
      </c>
      <c s="6" r="AY423">
        <v>0</v>
      </c>
      <c s="6" r="AZ423">
        <v>0</v>
      </c>
      <c s="6" r="BA423">
        <v>0</v>
      </c>
      <c s="6" r="BB423">
        <v>0</v>
      </c>
      <c s="6" r="BC423">
        <v>0</v>
      </c>
      <c s="6" r="BD423">
        <v>0</v>
      </c>
      <c s="6" r="BE423">
        <v>0</v>
      </c>
      <c s="6" r="BF423">
        <v>0</v>
      </c>
      <c s="6" r="BG423">
        <v>0</v>
      </c>
      <c s="6" r="BH423">
        <v>0</v>
      </c>
      <c s="6" r="BI423">
        <v>0</v>
      </c>
      <c s="6" r="BJ423">
        <v>0</v>
      </c>
      <c s="6" r="BK423">
        <v>0</v>
      </c>
      <c s="6" r="BL423">
        <v>1</v>
      </c>
      <c s="6" r="BM423">
        <v>0</v>
      </c>
      <c s="6" r="BN423">
        <v>0</v>
      </c>
      <c s="6" r="BO423">
        <v>0</v>
      </c>
      <c s="6" r="BP423">
        <v>0</v>
      </c>
      <c s="6" r="BQ423">
        <v>0</v>
      </c>
      <c t="str" s="6" r="BR423">
        <f>HYPERLINK("http://www.d20pfsrd.com/magic/all-spells/r/rainbow-pattern","Rainbow Pattern")</f>
        <v>Rainbow Pattern</v>
      </c>
      <c s="6" r="BS423">
        <v>424</v>
      </c>
      <c t="s" s="6" r="BT423">
        <v>92</v>
      </c>
      <c t="s" s="6" r="BV423">
        <v>966</v>
      </c>
      <c s="6" r="BY423">
        <v>0</v>
      </c>
    </row>
    <row customHeight="1" r="424" ht="14.25">
      <c t="s" s="6" r="A424">
        <v>3485</v>
      </c>
      <c t="s" s="6" r="B424">
        <v>78</v>
      </c>
      <c t="s" s="6" r="C424">
        <v>598</v>
      </c>
      <c t="s" s="6" r="E424">
        <v>3486</v>
      </c>
      <c t="s" s="6" r="F424">
        <v>197</v>
      </c>
      <c t="s" s="6" r="G424">
        <v>3487</v>
      </c>
      <c s="6" r="H424">
        <v>1</v>
      </c>
      <c t="s" s="6" r="I424">
        <v>120</v>
      </c>
      <c t="s" s="6" r="L424">
        <v>3488</v>
      </c>
      <c t="s" s="6" r="M424">
        <v>109</v>
      </c>
      <c s="6" r="N424">
        <v>0</v>
      </c>
      <c s="6" r="O424">
        <v>0</v>
      </c>
      <c t="s" s="6" r="P424">
        <v>201</v>
      </c>
      <c t="s" s="6" r="Q424">
        <v>123</v>
      </c>
      <c t="s" s="6" r="R424">
        <v>3489</v>
      </c>
      <c t="s" s="6" r="S424">
        <v>3490</v>
      </c>
      <c t="s" s="6" r="T424">
        <v>90</v>
      </c>
      <c t="s" s="6" r="U424">
        <v>3491</v>
      </c>
      <c s="6" r="V424">
        <v>1</v>
      </c>
      <c s="6" r="W424">
        <v>1</v>
      </c>
      <c s="6" r="X424">
        <v>1</v>
      </c>
      <c s="6" r="Y424">
        <v>0</v>
      </c>
      <c s="6" r="Z424">
        <v>1</v>
      </c>
      <c t="s" s="6" r="AA424">
        <v>92</v>
      </c>
      <c t="s" s="6" r="AB424">
        <v>92</v>
      </c>
      <c s="6" r="AC424">
        <v>5</v>
      </c>
      <c t="s" s="6" r="AD424">
        <v>92</v>
      </c>
      <c t="s" s="6" r="AE424">
        <v>92</v>
      </c>
      <c t="s" s="6" r="AF424">
        <v>92</v>
      </c>
      <c t="s" s="6" r="AG424">
        <v>92</v>
      </c>
      <c t="s" s="6" r="AH424">
        <v>92</v>
      </c>
      <c t="s" s="6" r="AI424">
        <v>92</v>
      </c>
      <c s="6" r="AJ424">
        <v>6</v>
      </c>
      <c t="s" s="6" r="AK424">
        <v>92</v>
      </c>
      <c s="6" r="AL424">
        <v>5</v>
      </c>
      <c t="s" s="6" r="AM424">
        <v>92</v>
      </c>
      <c t="s" s="6" r="AN424">
        <v>92</v>
      </c>
      <c s="6" r="AP424">
        <v>5</v>
      </c>
      <c t="s" s="6" r="AQ424">
        <v>3492</v>
      </c>
      <c t="s" s="6" r="AR424">
        <v>3493</v>
      </c>
      <c s="6" r="AS424">
        <v>0</v>
      </c>
      <c s="6" r="AT424">
        <v>0</v>
      </c>
      <c s="6" r="AU424">
        <v>0</v>
      </c>
      <c s="6" r="AV424">
        <v>0</v>
      </c>
      <c s="6" r="AW424">
        <v>0</v>
      </c>
      <c s="6" r="AX424">
        <v>0</v>
      </c>
      <c s="6" r="AY424">
        <v>0</v>
      </c>
      <c s="6" r="AZ424">
        <v>0</v>
      </c>
      <c s="6" r="BA424">
        <v>0</v>
      </c>
      <c s="6" r="BB424">
        <v>0</v>
      </c>
      <c s="6" r="BC424">
        <v>0</v>
      </c>
      <c s="6" r="BD424">
        <v>0</v>
      </c>
      <c s="6" r="BE424">
        <v>0</v>
      </c>
      <c s="6" r="BF424">
        <v>0</v>
      </c>
      <c s="6" r="BG424">
        <v>0</v>
      </c>
      <c s="6" r="BH424">
        <v>0</v>
      </c>
      <c s="6" r="BI424">
        <v>0</v>
      </c>
      <c s="6" r="BJ424">
        <v>0</v>
      </c>
      <c s="6" r="BK424">
        <v>0</v>
      </c>
      <c s="6" r="BL424">
        <v>0</v>
      </c>
      <c s="6" r="BM424">
        <v>0</v>
      </c>
      <c s="6" r="BN424">
        <v>0</v>
      </c>
      <c s="6" r="BO424">
        <v>0</v>
      </c>
      <c s="6" r="BP424">
        <v>0</v>
      </c>
      <c s="6" r="BQ424">
        <v>0</v>
      </c>
      <c t="str" s="6" r="BR424">
        <f>HYPERLINK("http://www.d20pfsrd.com/magic/all-spells/r/raise-dead","Raise Dead")</f>
        <v>Raise Dead</v>
      </c>
      <c s="6" r="BS424">
        <v>425</v>
      </c>
      <c s="6" r="BT424">
        <v>5000</v>
      </c>
      <c s="6" r="BY424">
        <v>0</v>
      </c>
    </row>
    <row customHeight="1" r="425" ht="14.25">
      <c t="s" s="6" r="A425">
        <v>3494</v>
      </c>
      <c t="s" s="6" r="B425">
        <v>227</v>
      </c>
      <c t="s" s="6" r="E425">
        <v>628</v>
      </c>
      <c t="s" s="6" r="F425">
        <v>81</v>
      </c>
      <c t="s" s="6" r="G425">
        <v>106</v>
      </c>
      <c s="6" r="H425">
        <v>0</v>
      </c>
      <c t="s" s="6" r="I425">
        <v>107</v>
      </c>
      <c t="s" s="6" r="K425">
        <v>1344</v>
      </c>
      <c t="s" s="6" r="M425">
        <v>99</v>
      </c>
      <c s="6" r="N425">
        <v>0</v>
      </c>
      <c s="6" r="O425">
        <v>0</v>
      </c>
      <c t="s" s="6" r="P425">
        <v>2384</v>
      </c>
      <c t="s" s="6" r="Q425">
        <v>188</v>
      </c>
      <c t="s" s="6" r="R425">
        <v>3495</v>
      </c>
      <c t="s" s="6" r="S425">
        <v>3496</v>
      </c>
      <c t="s" s="6" r="T425">
        <v>90</v>
      </c>
      <c t="s" s="6" r="U425">
        <v>3497</v>
      </c>
      <c s="6" r="V425">
        <v>1</v>
      </c>
      <c s="6" r="W425">
        <v>1</v>
      </c>
      <c s="6" r="X425">
        <v>0</v>
      </c>
      <c s="6" r="Y425">
        <v>0</v>
      </c>
      <c s="6" r="Z425">
        <v>0</v>
      </c>
      <c s="6" r="AA425">
        <v>1</v>
      </c>
      <c s="6" r="AB425">
        <v>1</v>
      </c>
      <c t="s" s="6" r="AC425">
        <v>92</v>
      </c>
      <c t="s" s="6" r="AD425">
        <v>92</v>
      </c>
      <c t="s" s="6" r="AE425">
        <v>92</v>
      </c>
      <c t="s" s="6" r="AF425">
        <v>92</v>
      </c>
      <c t="s" s="6" r="AG425">
        <v>92</v>
      </c>
      <c t="s" s="6" r="AH425">
        <v>92</v>
      </c>
      <c t="s" s="6" r="AI425">
        <v>92</v>
      </c>
      <c s="6" r="AJ425">
        <v>1</v>
      </c>
      <c t="s" s="6" r="AK425">
        <v>92</v>
      </c>
      <c t="s" s="6" r="AL425">
        <v>92</v>
      </c>
      <c t="s" s="6" r="AM425">
        <v>92</v>
      </c>
      <c s="6" r="AN425">
        <v>1</v>
      </c>
      <c s="6" r="AP425">
        <v>1</v>
      </c>
      <c t="s" s="6" r="AR425">
        <v>3498</v>
      </c>
      <c s="6" r="AS425">
        <v>0</v>
      </c>
      <c s="6" r="AT425">
        <v>0</v>
      </c>
      <c s="6" r="AU425">
        <v>0</v>
      </c>
      <c s="6" r="AV425">
        <v>0</v>
      </c>
      <c s="6" r="AW425">
        <v>0</v>
      </c>
      <c s="6" r="AX425">
        <v>0</v>
      </c>
      <c s="6" r="AY425">
        <v>0</v>
      </c>
      <c s="6" r="AZ425">
        <v>0</v>
      </c>
      <c s="6" r="BA425">
        <v>0</v>
      </c>
      <c s="6" r="BB425">
        <v>0</v>
      </c>
      <c s="6" r="BC425">
        <v>0</v>
      </c>
      <c s="6" r="BD425">
        <v>0</v>
      </c>
      <c s="6" r="BE425">
        <v>0</v>
      </c>
      <c s="6" r="BF425">
        <v>0</v>
      </c>
      <c s="6" r="BG425">
        <v>0</v>
      </c>
      <c s="6" r="BH425">
        <v>0</v>
      </c>
      <c s="6" r="BI425">
        <v>0</v>
      </c>
      <c s="6" r="BJ425">
        <v>0</v>
      </c>
      <c s="6" r="BK425">
        <v>0</v>
      </c>
      <c s="6" r="BL425">
        <v>0</v>
      </c>
      <c s="6" r="BM425">
        <v>0</v>
      </c>
      <c s="6" r="BN425">
        <v>0</v>
      </c>
      <c s="6" r="BO425">
        <v>0</v>
      </c>
      <c s="6" r="BP425">
        <v>0</v>
      </c>
      <c s="6" r="BQ425">
        <v>0</v>
      </c>
      <c t="str" s="6" r="BR425">
        <f>HYPERLINK("http://www.d20pfsrd.com/magic/all-spells/r/ray-of-enfeeblement","Ray of Enfeeblement")</f>
        <v>Ray of Enfeeblement</v>
      </c>
      <c s="6" r="BS425">
        <v>426</v>
      </c>
      <c t="s" s="6" r="BT425">
        <v>92</v>
      </c>
      <c t="s" s="6" r="BU425">
        <v>3499</v>
      </c>
      <c t="s" s="6" r="BW425">
        <v>3500</v>
      </c>
      <c s="6" r="BY425">
        <v>1</v>
      </c>
    </row>
    <row customHeight="1" r="426" ht="14.25">
      <c t="s" s="6" r="A426">
        <v>3501</v>
      </c>
      <c t="s" s="6" r="B426">
        <v>227</v>
      </c>
      <c t="s" s="6" r="E426">
        <v>2642</v>
      </c>
      <c t="s" s="6" r="F426">
        <v>81</v>
      </c>
      <c t="s" s="6" r="G426">
        <v>3502</v>
      </c>
      <c s="6" r="H426">
        <v>0</v>
      </c>
      <c t="s" s="6" r="I426">
        <v>107</v>
      </c>
      <c t="s" s="6" r="K426">
        <v>1344</v>
      </c>
      <c t="s" s="6" r="M426">
        <v>122</v>
      </c>
      <c s="6" r="N426">
        <v>0</v>
      </c>
      <c s="6" r="O426">
        <v>0</v>
      </c>
      <c t="s" s="6" r="P426">
        <v>822</v>
      </c>
      <c t="s" s="6" r="Q426">
        <v>188</v>
      </c>
      <c t="s" s="6" r="R426">
        <v>3503</v>
      </c>
      <c t="s" s="6" r="S426">
        <v>3504</v>
      </c>
      <c t="s" s="6" r="T426">
        <v>90</v>
      </c>
      <c t="s" s="6" r="U426">
        <v>3505</v>
      </c>
      <c s="6" r="V426">
        <v>1</v>
      </c>
      <c s="6" r="W426">
        <v>1</v>
      </c>
      <c s="6" r="X426">
        <v>1</v>
      </c>
      <c s="6" r="Y426">
        <v>0</v>
      </c>
      <c s="6" r="Z426">
        <v>0</v>
      </c>
      <c s="6" r="AA426">
        <v>3</v>
      </c>
      <c s="6" r="AB426">
        <v>3</v>
      </c>
      <c t="s" s="6" r="AC426">
        <v>92</v>
      </c>
      <c t="s" s="6" r="AD426">
        <v>92</v>
      </c>
      <c t="s" s="6" r="AE426">
        <v>92</v>
      </c>
      <c t="s" s="6" r="AF426">
        <v>92</v>
      </c>
      <c t="s" s="6" r="AG426">
        <v>92</v>
      </c>
      <c t="s" s="6" r="AH426">
        <v>92</v>
      </c>
      <c t="s" s="6" r="AI426">
        <v>92</v>
      </c>
      <c s="6" r="AJ426">
        <v>3</v>
      </c>
      <c t="s" s="6" r="AK426">
        <v>92</v>
      </c>
      <c t="s" s="6" r="AL426">
        <v>92</v>
      </c>
      <c t="s" s="6" r="AM426">
        <v>92</v>
      </c>
      <c s="6" r="AN426">
        <v>3</v>
      </c>
      <c s="6" r="AP426">
        <v>3</v>
      </c>
      <c t="s" s="6" r="AR426">
        <v>3506</v>
      </c>
      <c s="6" r="AS426">
        <v>0</v>
      </c>
      <c s="6" r="AT426">
        <v>0</v>
      </c>
      <c s="6" r="AU426">
        <v>0</v>
      </c>
      <c s="6" r="AV426">
        <v>0</v>
      </c>
      <c s="6" r="AW426">
        <v>0</v>
      </c>
      <c s="6" r="AX426">
        <v>0</v>
      </c>
      <c s="6" r="AY426">
        <v>0</v>
      </c>
      <c s="6" r="AZ426">
        <v>0</v>
      </c>
      <c s="6" r="BA426">
        <v>0</v>
      </c>
      <c s="6" r="BB426">
        <v>0</v>
      </c>
      <c s="6" r="BC426">
        <v>0</v>
      </c>
      <c s="6" r="BD426">
        <v>0</v>
      </c>
      <c s="6" r="BE426">
        <v>0</v>
      </c>
      <c s="6" r="BF426">
        <v>0</v>
      </c>
      <c s="6" r="BG426">
        <v>0</v>
      </c>
      <c s="6" r="BH426">
        <v>0</v>
      </c>
      <c s="6" r="BI426">
        <v>0</v>
      </c>
      <c s="6" r="BJ426">
        <v>0</v>
      </c>
      <c s="6" r="BK426">
        <v>0</v>
      </c>
      <c s="6" r="BL426">
        <v>0</v>
      </c>
      <c s="6" r="BM426">
        <v>0</v>
      </c>
      <c s="6" r="BN426">
        <v>0</v>
      </c>
      <c s="6" r="BO426">
        <v>0</v>
      </c>
      <c s="6" r="BP426">
        <v>0</v>
      </c>
      <c s="6" r="BQ426">
        <v>0</v>
      </c>
      <c t="str" s="6" r="BR426">
        <f>HYPERLINK("http://www.d20pfsrd.com/magic/all-spells/r/ray-of-exhaustion","Ray of Exhaustion")</f>
        <v>Ray of Exhaustion</v>
      </c>
      <c s="6" r="BS426">
        <v>427</v>
      </c>
      <c t="s" s="6" r="BT426">
        <v>92</v>
      </c>
      <c t="s" s="6" r="BU426">
        <v>469</v>
      </c>
      <c s="6" r="BY426">
        <v>0</v>
      </c>
    </row>
    <row customHeight="1" r="427" ht="14.25">
      <c t="s" s="6" r="A427">
        <v>3507</v>
      </c>
      <c t="s" s="6" r="B427">
        <v>493</v>
      </c>
      <c t="s" s="6" r="D427">
        <v>47</v>
      </c>
      <c t="s" s="6" r="E427">
        <v>3508</v>
      </c>
      <c t="s" s="6" r="F427">
        <v>81</v>
      </c>
      <c t="s" s="6" r="G427">
        <v>106</v>
      </c>
      <c s="6" r="H427">
        <v>0</v>
      </c>
      <c t="s" s="6" r="I427">
        <v>107</v>
      </c>
      <c t="s" s="6" r="K427">
        <v>1344</v>
      </c>
      <c t="s" s="6" r="M427">
        <v>109</v>
      </c>
      <c s="6" r="N427">
        <v>0</v>
      </c>
      <c s="6" r="O427">
        <v>0</v>
      </c>
      <c t="s" s="6" r="P427">
        <v>86</v>
      </c>
      <c t="s" s="6" r="Q427">
        <v>188</v>
      </c>
      <c t="s" s="6" r="R427">
        <v>3509</v>
      </c>
      <c t="s" s="6" r="S427">
        <v>3510</v>
      </c>
      <c t="s" s="6" r="T427">
        <v>90</v>
      </c>
      <c t="s" s="6" r="U427">
        <v>3511</v>
      </c>
      <c s="6" r="V427">
        <v>1</v>
      </c>
      <c s="6" r="W427">
        <v>1</v>
      </c>
      <c s="6" r="X427">
        <v>0</v>
      </c>
      <c s="6" r="Y427">
        <v>0</v>
      </c>
      <c s="6" r="Z427">
        <v>0</v>
      </c>
      <c s="6" r="AA427">
        <v>0</v>
      </c>
      <c s="6" r="AB427">
        <v>0</v>
      </c>
      <c t="s" s="6" r="AC427">
        <v>92</v>
      </c>
      <c t="s" s="6" r="AD427">
        <v>92</v>
      </c>
      <c t="s" s="6" r="AE427">
        <v>92</v>
      </c>
      <c t="s" s="6" r="AF427">
        <v>92</v>
      </c>
      <c t="s" s="6" r="AG427">
        <v>92</v>
      </c>
      <c t="s" s="6" r="AH427">
        <v>92</v>
      </c>
      <c t="s" s="6" r="AI427">
        <v>92</v>
      </c>
      <c t="s" s="6" r="AJ427">
        <v>92</v>
      </c>
      <c t="s" s="6" r="AK427">
        <v>92</v>
      </c>
      <c t="s" s="6" r="AL427">
        <v>92</v>
      </c>
      <c t="s" s="6" r="AM427">
        <v>92</v>
      </c>
      <c s="6" r="AN427">
        <v>0</v>
      </c>
      <c s="6" r="AP427">
        <v>0</v>
      </c>
      <c t="s" s="6" r="AR427">
        <v>3512</v>
      </c>
      <c s="6" r="AS427">
        <v>0</v>
      </c>
      <c s="6" r="AT427">
        <v>0</v>
      </c>
      <c s="6" r="AU427">
        <v>0</v>
      </c>
      <c s="6" r="AV427">
        <v>1</v>
      </c>
      <c s="6" r="AW427">
        <v>0</v>
      </c>
      <c s="6" r="AX427">
        <v>0</v>
      </c>
      <c s="6" r="AY427">
        <v>0</v>
      </c>
      <c s="6" r="AZ427">
        <v>0</v>
      </c>
      <c s="6" r="BA427">
        <v>0</v>
      </c>
      <c s="6" r="BB427">
        <v>0</v>
      </c>
      <c s="6" r="BC427">
        <v>0</v>
      </c>
      <c s="6" r="BD427">
        <v>0</v>
      </c>
      <c s="6" r="BE427">
        <v>0</v>
      </c>
      <c s="6" r="BF427">
        <v>0</v>
      </c>
      <c s="6" r="BG427">
        <v>0</v>
      </c>
      <c s="6" r="BH427">
        <v>0</v>
      </c>
      <c s="6" r="BI427">
        <v>0</v>
      </c>
      <c s="6" r="BJ427">
        <v>0</v>
      </c>
      <c s="6" r="BK427">
        <v>0</v>
      </c>
      <c s="6" r="BL427">
        <v>0</v>
      </c>
      <c s="6" r="BM427">
        <v>0</v>
      </c>
      <c s="6" r="BN427">
        <v>0</v>
      </c>
      <c s="6" r="BO427">
        <v>0</v>
      </c>
      <c s="6" r="BP427">
        <v>0</v>
      </c>
      <c s="6" r="BQ427">
        <v>0</v>
      </c>
      <c t="str" s="6" r="BR427">
        <f>HYPERLINK("http://www.d20pfsrd.com/magic/all-spells/r/ray-of-frost","Ray of Frost")</f>
        <v>Ray of Frost</v>
      </c>
      <c s="6" r="BS427">
        <v>428</v>
      </c>
      <c t="s" s="6" r="BT427">
        <v>92</v>
      </c>
      <c s="6" r="BY427">
        <v>0</v>
      </c>
    </row>
    <row customHeight="1" r="428" ht="14.25">
      <c t="s" s="6" r="A428">
        <v>3513</v>
      </c>
      <c t="s" s="6" r="B428">
        <v>174</v>
      </c>
      <c t="s" s="6" r="E428">
        <v>3514</v>
      </c>
      <c t="s" s="6" r="F428">
        <v>81</v>
      </c>
      <c t="s" s="6" r="G428">
        <v>3515</v>
      </c>
      <c s="6" r="H428">
        <v>0</v>
      </c>
      <c t="s" s="6" r="I428">
        <v>155</v>
      </c>
      <c t="s" s="6" r="L428">
        <v>156</v>
      </c>
      <c t="s" s="6" r="M428">
        <v>134</v>
      </c>
      <c s="6" r="N428">
        <v>0</v>
      </c>
      <c s="6" r="O428">
        <v>0</v>
      </c>
      <c t="s" s="6" r="R428">
        <v>3516</v>
      </c>
      <c t="s" s="6" r="S428">
        <v>3517</v>
      </c>
      <c t="s" s="6" r="T428">
        <v>90</v>
      </c>
      <c t="s" s="6" r="U428">
        <v>3518</v>
      </c>
      <c s="6" r="V428">
        <v>1</v>
      </c>
      <c s="6" r="W428">
        <v>1</v>
      </c>
      <c s="6" r="X428">
        <v>1</v>
      </c>
      <c s="6" r="Y428">
        <v>1</v>
      </c>
      <c s="6" r="Z428">
        <v>0</v>
      </c>
      <c s="6" r="AA428">
        <v>0</v>
      </c>
      <c s="6" r="AB428">
        <v>0</v>
      </c>
      <c s="6" r="AC428">
        <v>0</v>
      </c>
      <c s="6" r="AD428">
        <v>0</v>
      </c>
      <c s="6" r="AE428">
        <v>1</v>
      </c>
      <c s="6" r="AF428">
        <v>0</v>
      </c>
      <c s="6" r="AG428">
        <v>1</v>
      </c>
      <c t="s" s="6" r="AH428">
        <v>92</v>
      </c>
      <c s="6" r="AI428">
        <v>0</v>
      </c>
      <c s="6" r="AJ428">
        <v>0</v>
      </c>
      <c s="6" r="AK428">
        <v>0</v>
      </c>
      <c s="6" r="AL428">
        <v>0</v>
      </c>
      <c s="6" r="AM428">
        <v>1</v>
      </c>
      <c s="6" r="AN428">
        <v>0</v>
      </c>
      <c s="6" r="AP428">
        <v>0</v>
      </c>
      <c t="s" s="6" r="AR428">
        <v>3519</v>
      </c>
      <c s="6" r="AS428">
        <v>0</v>
      </c>
      <c s="6" r="AT428">
        <v>0</v>
      </c>
      <c s="6" r="AU428">
        <v>0</v>
      </c>
      <c s="6" r="AV428">
        <v>0</v>
      </c>
      <c s="6" r="AW428">
        <v>0</v>
      </c>
      <c s="6" r="AX428">
        <v>0</v>
      </c>
      <c s="6" r="AY428">
        <v>0</v>
      </c>
      <c s="6" r="AZ428">
        <v>0</v>
      </c>
      <c s="6" r="BA428">
        <v>0</v>
      </c>
      <c s="6" r="BB428">
        <v>0</v>
      </c>
      <c s="6" r="BC428">
        <v>0</v>
      </c>
      <c s="6" r="BD428">
        <v>0</v>
      </c>
      <c s="6" r="BE428">
        <v>0</v>
      </c>
      <c s="6" r="BF428">
        <v>0</v>
      </c>
      <c s="6" r="BG428">
        <v>0</v>
      </c>
      <c s="6" r="BH428">
        <v>0</v>
      </c>
      <c s="6" r="BI428">
        <v>0</v>
      </c>
      <c s="6" r="BJ428">
        <v>0</v>
      </c>
      <c s="6" r="BK428">
        <v>0</v>
      </c>
      <c s="6" r="BL428">
        <v>0</v>
      </c>
      <c s="6" r="BM428">
        <v>0</v>
      </c>
      <c s="6" r="BN428">
        <v>0</v>
      </c>
      <c s="6" r="BO428">
        <v>0</v>
      </c>
      <c s="6" r="BP428">
        <v>0</v>
      </c>
      <c s="6" r="BQ428">
        <v>0</v>
      </c>
      <c t="str" s="6" r="BR428">
        <f>HYPERLINK("http://www.d20pfsrd.com/magic/all-spells/r/read-magic","Read Magic")</f>
        <v>Read Magic</v>
      </c>
      <c s="6" r="BS428">
        <v>429</v>
      </c>
      <c t="s" s="6" r="BT428">
        <v>92</v>
      </c>
      <c s="6" r="BY428">
        <v>0</v>
      </c>
    </row>
    <row customHeight="1" r="429" ht="14.25">
      <c t="s" s="6" r="A429">
        <v>3520</v>
      </c>
      <c t="s" s="6" r="B429">
        <v>131</v>
      </c>
      <c t="s" s="6" r="E429">
        <v>1617</v>
      </c>
      <c t="s" s="6" r="F429">
        <v>272</v>
      </c>
      <c t="s" s="6" r="G429">
        <v>3521</v>
      </c>
      <c s="6" r="H429">
        <v>0</v>
      </c>
      <c t="s" s="6" r="I429">
        <v>107</v>
      </c>
      <c t="s" s="6" r="L429">
        <v>731</v>
      </c>
      <c t="s" s="6" r="M429">
        <v>496</v>
      </c>
      <c s="6" r="N429">
        <v>1</v>
      </c>
      <c s="6" r="O429">
        <v>0</v>
      </c>
      <c t="s" s="6" r="P429">
        <v>187</v>
      </c>
      <c t="s" s="6" r="Q429">
        <v>188</v>
      </c>
      <c t="s" s="6" r="R429">
        <v>3522</v>
      </c>
      <c t="s" s="6" r="S429">
        <v>3523</v>
      </c>
      <c t="s" s="6" r="T429">
        <v>90</v>
      </c>
      <c t="s" s="6" r="U429">
        <v>3524</v>
      </c>
      <c s="6" r="V429">
        <v>1</v>
      </c>
      <c s="6" r="W429">
        <v>1</v>
      </c>
      <c s="6" r="X429">
        <v>1</v>
      </c>
      <c s="6" r="Y429">
        <v>0</v>
      </c>
      <c s="6" r="Z429">
        <v>0</v>
      </c>
      <c s="6" r="AA429">
        <v>1</v>
      </c>
      <c s="6" r="AB429">
        <v>1</v>
      </c>
      <c t="s" s="6" r="AC429">
        <v>92</v>
      </c>
      <c t="s" s="6" r="AD429">
        <v>92</v>
      </c>
      <c t="s" s="6" r="AE429">
        <v>92</v>
      </c>
      <c t="s" s="6" r="AF429">
        <v>92</v>
      </c>
      <c t="s" s="6" r="AG429">
        <v>92</v>
      </c>
      <c s="6" r="AH429">
        <v>1</v>
      </c>
      <c s="6" r="AI429">
        <v>1</v>
      </c>
      <c s="6" r="AJ429">
        <v>1</v>
      </c>
      <c t="s" s="6" r="AK429">
        <v>92</v>
      </c>
      <c t="s" s="6" r="AL429">
        <v>92</v>
      </c>
      <c t="s" s="6" r="AM429">
        <v>92</v>
      </c>
      <c s="6" r="AN429">
        <v>1</v>
      </c>
      <c s="6" r="AP429">
        <v>1</v>
      </c>
      <c t="s" s="6" r="AR429">
        <v>3525</v>
      </c>
      <c s="6" r="AS429">
        <v>0</v>
      </c>
      <c s="6" r="AT429">
        <v>0</v>
      </c>
      <c s="6" r="AU429">
        <v>0</v>
      </c>
      <c s="6" r="AV429">
        <v>0</v>
      </c>
      <c s="6" r="AW429">
        <v>0</v>
      </c>
      <c s="6" r="AX429">
        <v>0</v>
      </c>
      <c s="6" r="AY429">
        <v>0</v>
      </c>
      <c s="6" r="AZ429">
        <v>0</v>
      </c>
      <c s="6" r="BA429">
        <v>0</v>
      </c>
      <c s="6" r="BB429">
        <v>0</v>
      </c>
      <c s="6" r="BC429">
        <v>0</v>
      </c>
      <c s="6" r="BD429">
        <v>0</v>
      </c>
      <c s="6" r="BE429">
        <v>0</v>
      </c>
      <c s="6" r="BF429">
        <v>0</v>
      </c>
      <c s="6" r="BG429">
        <v>0</v>
      </c>
      <c s="6" r="BH429">
        <v>0</v>
      </c>
      <c s="6" r="BI429">
        <v>0</v>
      </c>
      <c s="6" r="BJ429">
        <v>0</v>
      </c>
      <c s="6" r="BK429">
        <v>0</v>
      </c>
      <c s="6" r="BL429">
        <v>0</v>
      </c>
      <c s="6" r="BM429">
        <v>0</v>
      </c>
      <c s="6" r="BN429">
        <v>0</v>
      </c>
      <c s="6" r="BO429">
        <v>0</v>
      </c>
      <c s="6" r="BP429">
        <v>0</v>
      </c>
      <c s="6" r="BQ429">
        <v>0</v>
      </c>
      <c t="str" s="6" r="BR429">
        <f>HYPERLINK("http://www.d20pfsrd.com/magic/all-spells/r/reduce-person","Reduce Person")</f>
        <v>Reduce Person</v>
      </c>
      <c s="6" r="BS429">
        <v>430</v>
      </c>
      <c t="s" s="6" r="BT429">
        <v>92</v>
      </c>
      <c t="s" s="6" r="BW429">
        <v>3526</v>
      </c>
      <c s="6" r="BY429">
        <v>1</v>
      </c>
    </row>
    <row customHeight="1" r="430" ht="14.25">
      <c t="s" s="6" r="A430">
        <v>3527</v>
      </c>
      <c t="s" s="6" r="B430">
        <v>131</v>
      </c>
      <c t="s" s="6" r="E430">
        <v>3528</v>
      </c>
      <c t="s" s="6" r="F430">
        <v>81</v>
      </c>
      <c t="s" s="6" r="G430">
        <v>106</v>
      </c>
      <c s="6" r="H430">
        <v>0</v>
      </c>
      <c t="s" s="6" r="I430">
        <v>120</v>
      </c>
      <c t="s" s="6" r="L430">
        <v>3529</v>
      </c>
      <c t="s" s="6" r="M430">
        <v>209</v>
      </c>
      <c s="6" r="N430">
        <v>1</v>
      </c>
      <c s="6" r="O430">
        <v>0</v>
      </c>
      <c t="s" s="6" r="P430">
        <v>86</v>
      </c>
      <c t="s" s="6" r="Q430">
        <v>87</v>
      </c>
      <c t="s" s="6" r="R430">
        <v>3530</v>
      </c>
      <c t="s" s="6" r="S430">
        <v>3531</v>
      </c>
      <c t="s" s="6" r="T430">
        <v>90</v>
      </c>
      <c t="s" s="6" r="U430">
        <v>3532</v>
      </c>
      <c s="6" r="V430">
        <v>1</v>
      </c>
      <c s="6" r="W430">
        <v>1</v>
      </c>
      <c s="6" r="X430">
        <v>0</v>
      </c>
      <c s="6" r="Y430">
        <v>0</v>
      </c>
      <c s="6" r="Z430">
        <v>0</v>
      </c>
      <c t="s" s="6" r="AA430">
        <v>92</v>
      </c>
      <c t="s" s="6" r="AB430">
        <v>92</v>
      </c>
      <c t="s" s="6" r="AC430">
        <v>92</v>
      </c>
      <c s="6" r="AD430">
        <v>2</v>
      </c>
      <c s="6" r="AE430">
        <v>3</v>
      </c>
      <c t="s" s="6" r="AF430">
        <v>92</v>
      </c>
      <c t="s" s="6" r="AG430">
        <v>92</v>
      </c>
      <c t="s" s="6" r="AH430">
        <v>92</v>
      </c>
      <c t="s" s="6" r="AI430">
        <v>92</v>
      </c>
      <c t="s" s="6" r="AJ430">
        <v>92</v>
      </c>
      <c t="s" s="6" r="AK430">
        <v>92</v>
      </c>
      <c t="s" s="6" r="AL430">
        <v>92</v>
      </c>
      <c t="s" s="6" r="AM430">
        <v>92</v>
      </c>
      <c t="s" s="6" r="AN430">
        <v>92</v>
      </c>
      <c s="6" r="AP430">
        <v>2</v>
      </c>
      <c t="s" s="6" r="AR430">
        <v>3533</v>
      </c>
      <c s="6" r="AS430">
        <v>0</v>
      </c>
      <c s="6" r="AT430">
        <v>0</v>
      </c>
      <c s="6" r="AU430">
        <v>0</v>
      </c>
      <c s="6" r="AV430">
        <v>0</v>
      </c>
      <c s="6" r="AW430">
        <v>0</v>
      </c>
      <c s="6" r="AX430">
        <v>0</v>
      </c>
      <c s="6" r="AY430">
        <v>0</v>
      </c>
      <c s="6" r="AZ430">
        <v>0</v>
      </c>
      <c s="6" r="BA430">
        <v>0</v>
      </c>
      <c s="6" r="BB430">
        <v>0</v>
      </c>
      <c s="6" r="BC430">
        <v>0</v>
      </c>
      <c s="6" r="BD430">
        <v>0</v>
      </c>
      <c s="6" r="BE430">
        <v>0</v>
      </c>
      <c s="6" r="BF430">
        <v>0</v>
      </c>
      <c s="6" r="BG430">
        <v>0</v>
      </c>
      <c s="6" r="BH430">
        <v>0</v>
      </c>
      <c s="6" r="BI430">
        <v>0</v>
      </c>
      <c s="6" r="BJ430">
        <v>0</v>
      </c>
      <c s="6" r="BK430">
        <v>0</v>
      </c>
      <c s="6" r="BL430">
        <v>0</v>
      </c>
      <c s="6" r="BM430">
        <v>0</v>
      </c>
      <c s="6" r="BN430">
        <v>0</v>
      </c>
      <c s="6" r="BO430">
        <v>0</v>
      </c>
      <c s="6" r="BP430">
        <v>0</v>
      </c>
      <c s="6" r="BQ430">
        <v>0</v>
      </c>
      <c t="str" s="6" r="BR430">
        <f>HYPERLINK("http://www.d20pfsrd.com/magic/all-spells/r/reduce-animal","Reduce Animal")</f>
        <v>Reduce Animal</v>
      </c>
      <c s="6" r="BS430">
        <v>431</v>
      </c>
      <c t="s" s="6" r="BT430">
        <v>92</v>
      </c>
      <c s="6" r="BY430">
        <v>0</v>
      </c>
    </row>
    <row customHeight="1" r="431" ht="14.25">
      <c t="s" s="6" r="A431">
        <v>3534</v>
      </c>
      <c t="s" s="6" r="B431">
        <v>131</v>
      </c>
      <c t="s" s="6" r="E431">
        <v>1627</v>
      </c>
      <c t="s" s="6" r="F431">
        <v>272</v>
      </c>
      <c t="s" s="6" r="G431">
        <v>3521</v>
      </c>
      <c s="6" r="H431">
        <v>0</v>
      </c>
      <c t="s" s="6" r="I431">
        <v>107</v>
      </c>
      <c t="s" s="6" r="L431">
        <v>3535</v>
      </c>
      <c t="s" s="6" r="M431">
        <v>122</v>
      </c>
      <c s="6" r="N431">
        <v>1</v>
      </c>
      <c s="6" r="O431">
        <v>0</v>
      </c>
      <c t="s" s="6" r="P431">
        <v>187</v>
      </c>
      <c t="s" s="6" r="Q431">
        <v>188</v>
      </c>
      <c t="s" s="6" r="R431">
        <v>3536</v>
      </c>
      <c t="s" s="6" r="S431">
        <v>3537</v>
      </c>
      <c t="s" s="6" r="T431">
        <v>90</v>
      </c>
      <c t="s" s="6" r="U431">
        <v>3538</v>
      </c>
      <c s="6" r="V431">
        <v>1</v>
      </c>
      <c s="6" r="W431">
        <v>1</v>
      </c>
      <c s="6" r="X431">
        <v>1</v>
      </c>
      <c s="6" r="Y431">
        <v>0</v>
      </c>
      <c s="6" r="Z431">
        <v>0</v>
      </c>
      <c s="6" r="AA431">
        <v>4</v>
      </c>
      <c s="6" r="AB431">
        <v>4</v>
      </c>
      <c t="s" s="6" r="AC431">
        <v>92</v>
      </c>
      <c t="s" s="6" r="AD431">
        <v>92</v>
      </c>
      <c t="s" s="6" r="AE431">
        <v>92</v>
      </c>
      <c t="s" s="6" r="AF431">
        <v>92</v>
      </c>
      <c t="s" s="6" r="AG431">
        <v>92</v>
      </c>
      <c t="s" s="6" r="AH431">
        <v>92</v>
      </c>
      <c s="6" r="AI431">
        <v>3</v>
      </c>
      <c t="s" s="6" r="AJ431">
        <v>92</v>
      </c>
      <c t="s" s="6" r="AK431">
        <v>92</v>
      </c>
      <c t="s" s="6" r="AL431">
        <v>92</v>
      </c>
      <c t="s" s="6" r="AM431">
        <v>92</v>
      </c>
      <c t="s" s="6" r="AN431">
        <v>92</v>
      </c>
      <c s="6" r="AP431">
        <v>4</v>
      </c>
      <c t="s" s="6" r="AR431">
        <v>3539</v>
      </c>
      <c s="6" r="AS431">
        <v>0</v>
      </c>
      <c s="6" r="AT431">
        <v>0</v>
      </c>
      <c s="6" r="AU431">
        <v>0</v>
      </c>
      <c s="6" r="AV431">
        <v>0</v>
      </c>
      <c s="6" r="AW431">
        <v>0</v>
      </c>
      <c s="6" r="AX431">
        <v>0</v>
      </c>
      <c s="6" r="AY431">
        <v>0</v>
      </c>
      <c s="6" r="AZ431">
        <v>0</v>
      </c>
      <c s="6" r="BA431">
        <v>0</v>
      </c>
      <c s="6" r="BB431">
        <v>0</v>
      </c>
      <c s="6" r="BC431">
        <v>0</v>
      </c>
      <c s="6" r="BD431">
        <v>0</v>
      </c>
      <c s="6" r="BE431">
        <v>0</v>
      </c>
      <c s="6" r="BF431">
        <v>0</v>
      </c>
      <c s="6" r="BG431">
        <v>0</v>
      </c>
      <c s="6" r="BH431">
        <v>0</v>
      </c>
      <c s="6" r="BI431">
        <v>0</v>
      </c>
      <c s="6" r="BJ431">
        <v>0</v>
      </c>
      <c s="6" r="BK431">
        <v>0</v>
      </c>
      <c s="6" r="BL431">
        <v>0</v>
      </c>
      <c s="6" r="BM431">
        <v>0</v>
      </c>
      <c s="6" r="BN431">
        <v>0</v>
      </c>
      <c s="6" r="BO431">
        <v>0</v>
      </c>
      <c s="6" r="BP431">
        <v>0</v>
      </c>
      <c s="6" r="BQ431">
        <v>0</v>
      </c>
      <c t="str" s="6" r="BR431">
        <f>HYPERLINK("http://www.d20pfsrd.com/magic/all-spells/r/reduce-person","Reduce Person, Mass")</f>
        <v>Reduce Person, Mass</v>
      </c>
      <c s="6" r="BS431">
        <v>432</v>
      </c>
      <c t="s" s="6" r="BT431">
        <v>92</v>
      </c>
      <c s="6" r="BY431">
        <v>0</v>
      </c>
    </row>
    <row customHeight="1" r="432" ht="14.25">
      <c t="s" s="6" r="A432">
        <v>3540</v>
      </c>
      <c t="s" s="6" r="B432">
        <v>78</v>
      </c>
      <c t="s" s="6" r="C432">
        <v>1356</v>
      </c>
      <c t="s" s="6" r="E432">
        <v>3541</v>
      </c>
      <c t="s" s="6" r="F432">
        <v>81</v>
      </c>
      <c t="s" s="6" r="G432">
        <v>3542</v>
      </c>
      <c s="6" r="H432">
        <v>1</v>
      </c>
      <c t="s" s="6" r="I432">
        <v>120</v>
      </c>
      <c t="s" s="6" r="L432">
        <v>1137</v>
      </c>
      <c t="s" s="6" r="M432">
        <v>1693</v>
      </c>
      <c s="6" r="N432">
        <v>0</v>
      </c>
      <c s="6" r="O432">
        <v>0</v>
      </c>
      <c t="s" s="6" r="P432">
        <v>86</v>
      </c>
      <c t="s" s="6" r="Q432">
        <v>87</v>
      </c>
      <c t="s" s="6" r="R432">
        <v>3543</v>
      </c>
      <c t="s" s="6" r="S432">
        <v>3544</v>
      </c>
      <c t="s" s="6" r="T432">
        <v>90</v>
      </c>
      <c t="s" s="6" r="U432">
        <v>3545</v>
      </c>
      <c s="6" r="V432">
        <v>1</v>
      </c>
      <c s="6" r="W432">
        <v>1</v>
      </c>
      <c s="6" r="X432">
        <v>1</v>
      </c>
      <c s="6" r="Y432">
        <v>0</v>
      </c>
      <c s="6" r="Z432">
        <v>0</v>
      </c>
      <c s="6" r="AA432">
        <v>9</v>
      </c>
      <c s="6" r="AB432">
        <v>9</v>
      </c>
      <c s="6" r="AC432">
        <v>7</v>
      </c>
      <c t="s" s="6" r="AD432">
        <v>92</v>
      </c>
      <c t="s" s="6" r="AE432">
        <v>92</v>
      </c>
      <c t="s" s="6" r="AF432">
        <v>92</v>
      </c>
      <c t="s" s="6" r="AG432">
        <v>92</v>
      </c>
      <c t="s" s="6" r="AH432">
        <v>92</v>
      </c>
      <c t="s" s="6" r="AI432">
        <v>92</v>
      </c>
      <c s="6" r="AJ432">
        <v>9</v>
      </c>
      <c t="s" s="6" r="AK432">
        <v>92</v>
      </c>
      <c s="6" r="AL432">
        <v>7</v>
      </c>
      <c t="s" s="6" r="AM432">
        <v>92</v>
      </c>
      <c t="s" s="6" r="AN432">
        <v>92</v>
      </c>
      <c s="6" r="AP432">
        <v>9</v>
      </c>
      <c t="s" s="6" r="AQ432">
        <v>3546</v>
      </c>
      <c t="s" s="6" r="AR432">
        <v>3547</v>
      </c>
      <c s="6" r="AS432">
        <v>0</v>
      </c>
      <c s="6" r="AT432">
        <v>0</v>
      </c>
      <c s="6" r="AU432">
        <v>0</v>
      </c>
      <c s="6" r="AV432">
        <v>0</v>
      </c>
      <c s="6" r="AW432">
        <v>0</v>
      </c>
      <c s="6" r="AX432">
        <v>0</v>
      </c>
      <c s="6" r="AY432">
        <v>0</v>
      </c>
      <c s="6" r="AZ432">
        <v>0</v>
      </c>
      <c s="6" r="BA432">
        <v>0</v>
      </c>
      <c s="6" r="BB432">
        <v>0</v>
      </c>
      <c s="6" r="BC432">
        <v>0</v>
      </c>
      <c s="6" r="BD432">
        <v>0</v>
      </c>
      <c s="6" r="BE432">
        <v>0</v>
      </c>
      <c s="6" r="BF432">
        <v>0</v>
      </c>
      <c s="6" r="BG432">
        <v>0</v>
      </c>
      <c s="6" r="BH432">
        <v>0</v>
      </c>
      <c s="6" r="BI432">
        <v>0</v>
      </c>
      <c s="6" r="BJ432">
        <v>0</v>
      </c>
      <c s="6" r="BK432">
        <v>0</v>
      </c>
      <c s="6" r="BL432">
        <v>0</v>
      </c>
      <c s="6" r="BM432">
        <v>0</v>
      </c>
      <c s="6" r="BN432">
        <v>0</v>
      </c>
      <c s="6" r="BO432">
        <v>0</v>
      </c>
      <c s="6" r="BP432">
        <v>0</v>
      </c>
      <c s="6" r="BQ432">
        <v>0</v>
      </c>
      <c t="str" s="6" r="BR432">
        <f>HYPERLINK("http://www.d20pfsrd.com/magic/all-spells/r/refuge","Refuge")</f>
        <v>Refuge</v>
      </c>
      <c s="6" r="BS432">
        <v>433</v>
      </c>
      <c s="6" r="BT432">
        <v>1500</v>
      </c>
      <c t="s" s="6" r="BV432">
        <v>129</v>
      </c>
      <c s="6" r="BY432">
        <v>0</v>
      </c>
    </row>
    <row customHeight="1" r="433" ht="14.25">
      <c t="s" s="6" r="A433">
        <v>3548</v>
      </c>
      <c t="s" s="6" r="B433">
        <v>78</v>
      </c>
      <c t="s" s="6" r="C433">
        <v>598</v>
      </c>
      <c t="s" s="6" r="E433">
        <v>3549</v>
      </c>
      <c t="s" s="6" r="F433">
        <v>3550</v>
      </c>
      <c t="s" s="6" r="G433">
        <v>119</v>
      </c>
      <c s="6" r="H433">
        <v>0</v>
      </c>
      <c t="s" s="6" r="I433">
        <v>120</v>
      </c>
      <c t="s" s="6" r="L433">
        <v>121</v>
      </c>
      <c t="s" s="6" r="M433">
        <v>109</v>
      </c>
      <c s="6" r="N433">
        <v>0</v>
      </c>
      <c s="6" r="O433">
        <v>0</v>
      </c>
      <c t="s" s="6" r="P433">
        <v>1227</v>
      </c>
      <c t="s" s="6" r="Q433">
        <v>123</v>
      </c>
      <c t="s" s="6" r="R433">
        <v>3551</v>
      </c>
      <c t="s" s="6" r="S433">
        <v>3552</v>
      </c>
      <c t="s" s="6" r="T433">
        <v>90</v>
      </c>
      <c t="s" s="6" r="U433">
        <v>3553</v>
      </c>
      <c s="6" r="V433">
        <v>1</v>
      </c>
      <c s="6" r="W433">
        <v>1</v>
      </c>
      <c s="6" r="X433">
        <v>0</v>
      </c>
      <c s="6" r="Y433">
        <v>0</v>
      </c>
      <c s="6" r="Z433">
        <v>1</v>
      </c>
      <c t="s" s="6" r="AA433">
        <v>92</v>
      </c>
      <c t="s" s="6" r="AB433">
        <v>92</v>
      </c>
      <c s="6" r="AC433">
        <v>7</v>
      </c>
      <c s="6" r="AD433">
        <v>9</v>
      </c>
      <c t="s" s="6" r="AE433">
        <v>92</v>
      </c>
      <c t="s" s="6" r="AF433">
        <v>92</v>
      </c>
      <c t="s" s="6" r="AG433">
        <v>92</v>
      </c>
      <c t="s" s="6" r="AH433">
        <v>92</v>
      </c>
      <c t="s" s="6" r="AI433">
        <v>92</v>
      </c>
      <c s="6" r="AJ433">
        <v>7</v>
      </c>
      <c t="s" s="6" r="AK433">
        <v>92</v>
      </c>
      <c s="6" r="AL433">
        <v>7</v>
      </c>
      <c t="s" s="6" r="AM433">
        <v>92</v>
      </c>
      <c t="s" s="6" r="AN433">
        <v>92</v>
      </c>
      <c s="6" r="AP433">
        <v>7</v>
      </c>
      <c t="s" s="6" r="AQ433">
        <v>605</v>
      </c>
      <c t="s" s="6" r="AR433">
        <v>3554</v>
      </c>
      <c s="6" r="AS433">
        <v>0</v>
      </c>
      <c s="6" r="AT433">
        <v>0</v>
      </c>
      <c s="6" r="AU433">
        <v>0</v>
      </c>
      <c s="6" r="AV433">
        <v>0</v>
      </c>
      <c s="6" r="AW433">
        <v>0</v>
      </c>
      <c s="6" r="AX433">
        <v>0</v>
      </c>
      <c s="6" r="AY433">
        <v>0</v>
      </c>
      <c s="6" r="AZ433">
        <v>0</v>
      </c>
      <c s="6" r="BA433">
        <v>0</v>
      </c>
      <c s="6" r="BB433">
        <v>0</v>
      </c>
      <c s="6" r="BC433">
        <v>0</v>
      </c>
      <c s="6" r="BD433">
        <v>0</v>
      </c>
      <c s="6" r="BE433">
        <v>0</v>
      </c>
      <c s="6" r="BF433">
        <v>0</v>
      </c>
      <c s="6" r="BG433">
        <v>0</v>
      </c>
      <c s="6" r="BH433">
        <v>0</v>
      </c>
      <c s="6" r="BI433">
        <v>0</v>
      </c>
      <c s="6" r="BJ433">
        <v>0</v>
      </c>
      <c s="6" r="BK433">
        <v>0</v>
      </c>
      <c s="6" r="BL433">
        <v>0</v>
      </c>
      <c s="6" r="BM433">
        <v>0</v>
      </c>
      <c s="6" r="BN433">
        <v>0</v>
      </c>
      <c s="6" r="BO433">
        <v>0</v>
      </c>
      <c s="6" r="BP433">
        <v>0</v>
      </c>
      <c s="6" r="BQ433">
        <v>0</v>
      </c>
      <c t="str" s="6" r="BR433">
        <f>HYPERLINK("http://www.d20pfsrd.com/magic/all-spells/r/regenerate","Regenerate")</f>
        <v>Regenerate</v>
      </c>
      <c s="6" r="BS433">
        <v>434</v>
      </c>
      <c t="s" s="6" r="BT433">
        <v>92</v>
      </c>
      <c t="s" s="6" r="BW433">
        <v>3555</v>
      </c>
      <c s="6" r="BY433">
        <v>1</v>
      </c>
    </row>
    <row customHeight="1" r="434" ht="14.25">
      <c t="s" s="6" r="A434">
        <v>3556</v>
      </c>
      <c t="s" s="6" r="B434">
        <v>131</v>
      </c>
      <c t="s" s="6" r="E434">
        <v>3557</v>
      </c>
      <c t="s" s="6" r="F434">
        <v>311</v>
      </c>
      <c t="s" s="6" r="G434">
        <v>3558</v>
      </c>
      <c s="6" r="H434">
        <v>1</v>
      </c>
      <c t="s" s="6" r="I434">
        <v>120</v>
      </c>
      <c t="s" s="6" r="L434">
        <v>3488</v>
      </c>
      <c t="s" s="6" r="M434">
        <v>109</v>
      </c>
      <c s="6" r="N434">
        <v>0</v>
      </c>
      <c s="6" r="O434">
        <v>0</v>
      </c>
      <c t="s" s="6" r="P434">
        <v>201</v>
      </c>
      <c t="s" s="6" r="Q434">
        <v>123</v>
      </c>
      <c t="s" s="6" r="R434">
        <v>3559</v>
      </c>
      <c t="s" s="6" r="S434">
        <v>3560</v>
      </c>
      <c t="s" s="6" r="T434">
        <v>90</v>
      </c>
      <c t="s" s="6" r="U434">
        <v>3561</v>
      </c>
      <c s="6" r="V434">
        <v>1</v>
      </c>
      <c s="6" r="W434">
        <v>1</v>
      </c>
      <c s="6" r="X434">
        <v>1</v>
      </c>
      <c s="6" r="Y434">
        <v>0</v>
      </c>
      <c s="6" r="Z434">
        <v>1</v>
      </c>
      <c t="s" s="6" r="AA434">
        <v>92</v>
      </c>
      <c t="s" s="6" r="AB434">
        <v>92</v>
      </c>
      <c t="s" s="6" r="AC434">
        <v>92</v>
      </c>
      <c s="6" r="AD434">
        <v>4</v>
      </c>
      <c t="s" s="6" r="AE434">
        <v>92</v>
      </c>
      <c t="s" s="6" r="AF434">
        <v>92</v>
      </c>
      <c t="s" s="6" r="AG434">
        <v>92</v>
      </c>
      <c t="s" s="6" r="AH434">
        <v>92</v>
      </c>
      <c t="s" s="6" r="AI434">
        <v>92</v>
      </c>
      <c s="6" r="AJ434">
        <v>5</v>
      </c>
      <c t="s" s="6" r="AK434">
        <v>92</v>
      </c>
      <c t="s" s="6" r="AL434">
        <v>92</v>
      </c>
      <c t="s" s="6" r="AM434">
        <v>92</v>
      </c>
      <c t="s" s="6" r="AN434">
        <v>92</v>
      </c>
      <c s="6" r="AP434">
        <v>4</v>
      </c>
      <c t="s" s="6" r="AR434">
        <v>3562</v>
      </c>
      <c s="6" r="AS434">
        <v>0</v>
      </c>
      <c s="6" r="AT434">
        <v>0</v>
      </c>
      <c s="6" r="AU434">
        <v>0</v>
      </c>
      <c s="6" r="AV434">
        <v>0</v>
      </c>
      <c s="6" r="AW434">
        <v>0</v>
      </c>
      <c s="6" r="AX434">
        <v>0</v>
      </c>
      <c s="6" r="AY434">
        <v>0</v>
      </c>
      <c s="6" r="AZ434">
        <v>0</v>
      </c>
      <c s="6" r="BA434">
        <v>0</v>
      </c>
      <c s="6" r="BB434">
        <v>0</v>
      </c>
      <c s="6" r="BC434">
        <v>0</v>
      </c>
      <c s="6" r="BD434">
        <v>0</v>
      </c>
      <c s="6" r="BE434">
        <v>0</v>
      </c>
      <c s="6" r="BF434">
        <v>0</v>
      </c>
      <c s="6" r="BG434">
        <v>0</v>
      </c>
      <c s="6" r="BH434">
        <v>0</v>
      </c>
      <c s="6" r="BI434">
        <v>0</v>
      </c>
      <c s="6" r="BJ434">
        <v>0</v>
      </c>
      <c s="6" r="BK434">
        <v>0</v>
      </c>
      <c s="6" r="BL434">
        <v>0</v>
      </c>
      <c s="6" r="BM434">
        <v>0</v>
      </c>
      <c s="6" r="BN434">
        <v>0</v>
      </c>
      <c s="6" r="BO434">
        <v>0</v>
      </c>
      <c s="6" r="BP434">
        <v>0</v>
      </c>
      <c s="6" r="BQ434">
        <v>0</v>
      </c>
      <c t="str" s="6" r="BR434">
        <f>HYPERLINK("http://www.d20pfsrd.com/magic/all-spells/r/reincarnate","Reincarnate")</f>
        <v>Reincarnate</v>
      </c>
      <c s="6" r="BS434">
        <v>435</v>
      </c>
      <c s="6" r="BT434">
        <v>1000</v>
      </c>
      <c s="6" r="BY434">
        <v>0</v>
      </c>
    </row>
    <row customHeight="1" r="435" ht="14.25">
      <c t="s" s="6" r="A435">
        <v>3563</v>
      </c>
      <c t="s" s="6" r="B435">
        <v>78</v>
      </c>
      <c t="s" s="6" r="C435">
        <v>598</v>
      </c>
      <c t="s" s="6" r="E435">
        <v>3564</v>
      </c>
      <c t="s" s="6" r="F435">
        <v>81</v>
      </c>
      <c t="s" s="6" r="G435">
        <v>106</v>
      </c>
      <c s="6" r="H435">
        <v>0</v>
      </c>
      <c t="s" s="6" r="I435">
        <v>120</v>
      </c>
      <c t="s" s="6" r="L435">
        <v>420</v>
      </c>
      <c t="s" s="6" r="M435">
        <v>109</v>
      </c>
      <c s="6" r="N435">
        <v>0</v>
      </c>
      <c s="6" r="O435">
        <v>0</v>
      </c>
      <c t="s" s="6" r="P435">
        <v>1227</v>
      </c>
      <c t="s" s="6" r="Q435">
        <v>123</v>
      </c>
      <c t="s" s="6" r="R435">
        <v>3565</v>
      </c>
      <c t="s" s="6" r="S435">
        <v>3566</v>
      </c>
      <c t="s" s="6" r="T435">
        <v>90</v>
      </c>
      <c t="s" s="6" r="U435">
        <v>3567</v>
      </c>
      <c s="6" r="V435">
        <v>1</v>
      </c>
      <c s="6" r="W435">
        <v>1</v>
      </c>
      <c s="6" r="X435">
        <v>0</v>
      </c>
      <c s="6" r="Y435">
        <v>0</v>
      </c>
      <c s="6" r="Z435">
        <v>0</v>
      </c>
      <c t="s" s="6" r="AA435">
        <v>92</v>
      </c>
      <c t="s" s="6" r="AB435">
        <v>92</v>
      </c>
      <c s="6" r="AC435">
        <v>3</v>
      </c>
      <c t="s" s="6" r="AD435">
        <v>92</v>
      </c>
      <c t="s" s="6" r="AE435">
        <v>92</v>
      </c>
      <c t="s" s="6" r="AF435">
        <v>92</v>
      </c>
      <c s="6" r="AG435">
        <v>3</v>
      </c>
      <c s="6" r="AH435">
        <v>3</v>
      </c>
      <c t="s" s="6" r="AI435">
        <v>92</v>
      </c>
      <c s="6" r="AJ435">
        <v>3</v>
      </c>
      <c t="s" s="6" r="AK435">
        <v>92</v>
      </c>
      <c s="6" r="AL435">
        <v>3</v>
      </c>
      <c t="s" s="6" r="AM435">
        <v>92</v>
      </c>
      <c t="s" s="6" r="AN435">
        <v>92</v>
      </c>
      <c s="6" r="AP435">
        <v>3</v>
      </c>
      <c t="s" s="6" r="AQ435">
        <v>367</v>
      </c>
      <c t="s" s="6" r="AR435">
        <v>3568</v>
      </c>
      <c s="6" r="AS435">
        <v>0</v>
      </c>
      <c s="6" r="AT435">
        <v>0</v>
      </c>
      <c s="6" r="AU435">
        <v>0</v>
      </c>
      <c s="6" r="AV435">
        <v>0</v>
      </c>
      <c s="6" r="AW435">
        <v>0</v>
      </c>
      <c s="6" r="AX435">
        <v>0</v>
      </c>
      <c s="6" r="AY435">
        <v>0</v>
      </c>
      <c s="6" r="AZ435">
        <v>0</v>
      </c>
      <c s="6" r="BA435">
        <v>0</v>
      </c>
      <c s="6" r="BB435">
        <v>0</v>
      </c>
      <c s="6" r="BC435">
        <v>0</v>
      </c>
      <c s="6" r="BD435">
        <v>0</v>
      </c>
      <c s="6" r="BE435">
        <v>0</v>
      </c>
      <c s="6" r="BF435">
        <v>0</v>
      </c>
      <c s="6" r="BG435">
        <v>0</v>
      </c>
      <c s="6" r="BH435">
        <v>0</v>
      </c>
      <c s="6" r="BI435">
        <v>0</v>
      </c>
      <c s="6" r="BJ435">
        <v>0</v>
      </c>
      <c s="6" r="BK435">
        <v>0</v>
      </c>
      <c s="6" r="BL435">
        <v>0</v>
      </c>
      <c s="6" r="BM435">
        <v>0</v>
      </c>
      <c s="6" r="BN435">
        <v>0</v>
      </c>
      <c s="6" r="BO435">
        <v>0</v>
      </c>
      <c s="6" r="BP435">
        <v>0</v>
      </c>
      <c s="6" r="BQ435">
        <v>0</v>
      </c>
      <c t="str" s="6" r="BR435">
        <f>HYPERLINK("http://www.d20pfsrd.com/magic/all-spells/r/remove-blindness-deafness","Remove Blindness/Deafness")</f>
        <v>Remove Blindness/Deafness</v>
      </c>
      <c s="6" r="BS435">
        <v>436</v>
      </c>
      <c t="s" s="6" r="BT435">
        <v>92</v>
      </c>
      <c s="6" r="BY435">
        <v>0</v>
      </c>
    </row>
    <row customHeight="1" r="436" ht="14.25">
      <c t="s" s="6" r="A436">
        <v>3569</v>
      </c>
      <c t="s" s="6" r="B436">
        <v>162</v>
      </c>
      <c t="s" s="6" r="E436">
        <v>3570</v>
      </c>
      <c t="s" s="6" r="F436">
        <v>81</v>
      </c>
      <c t="s" s="6" r="G436">
        <v>106</v>
      </c>
      <c s="6" r="H436">
        <v>0</v>
      </c>
      <c t="s" s="6" r="I436">
        <v>120</v>
      </c>
      <c t="s" s="6" r="L436">
        <v>3064</v>
      </c>
      <c t="s" s="6" r="M436">
        <v>109</v>
      </c>
      <c s="6" r="N436">
        <v>0</v>
      </c>
      <c s="6" r="O436">
        <v>0</v>
      </c>
      <c t="s" s="6" r="P436">
        <v>421</v>
      </c>
      <c t="s" s="6" r="Q436">
        <v>123</v>
      </c>
      <c t="s" s="6" r="R436">
        <v>3571</v>
      </c>
      <c t="s" s="6" r="S436">
        <v>3572</v>
      </c>
      <c t="s" s="6" r="T436">
        <v>90</v>
      </c>
      <c t="s" s="6" r="U436">
        <v>3573</v>
      </c>
      <c s="6" r="V436">
        <v>1</v>
      </c>
      <c s="6" r="W436">
        <v>1</v>
      </c>
      <c s="6" r="X436">
        <v>0</v>
      </c>
      <c s="6" r="Y436">
        <v>0</v>
      </c>
      <c s="6" r="Z436">
        <v>0</v>
      </c>
      <c s="6" r="AA436">
        <v>4</v>
      </c>
      <c s="6" r="AB436">
        <v>4</v>
      </c>
      <c s="6" r="AC436">
        <v>3</v>
      </c>
      <c t="s" s="6" r="AD436">
        <v>92</v>
      </c>
      <c t="s" s="6" r="AE436">
        <v>92</v>
      </c>
      <c s="6" r="AF436">
        <v>3</v>
      </c>
      <c s="6" r="AG436">
        <v>3</v>
      </c>
      <c s="6" r="AH436">
        <v>3</v>
      </c>
      <c t="s" s="6" r="AI436">
        <v>92</v>
      </c>
      <c s="6" r="AJ436">
        <v>3</v>
      </c>
      <c s="6" r="AK436">
        <v>3</v>
      </c>
      <c s="6" r="AL436">
        <v>3</v>
      </c>
      <c t="s" s="6" r="AM436">
        <v>92</v>
      </c>
      <c t="s" s="6" r="AN436">
        <v>92</v>
      </c>
      <c s="6" r="AP436">
        <v>4</v>
      </c>
      <c t="s" s="6" r="AQ436">
        <v>1451</v>
      </c>
      <c t="s" s="6" r="AR436">
        <v>3574</v>
      </c>
      <c s="6" r="AS436">
        <v>0</v>
      </c>
      <c s="6" r="AT436">
        <v>0</v>
      </c>
      <c s="6" r="AU436">
        <v>0</v>
      </c>
      <c s="6" r="AV436">
        <v>0</v>
      </c>
      <c s="6" r="AW436">
        <v>0</v>
      </c>
      <c s="6" r="AX436">
        <v>0</v>
      </c>
      <c s="6" r="AY436">
        <v>0</v>
      </c>
      <c s="6" r="AZ436">
        <v>0</v>
      </c>
      <c s="6" r="BA436">
        <v>0</v>
      </c>
      <c s="6" r="BB436">
        <v>0</v>
      </c>
      <c s="6" r="BC436">
        <v>0</v>
      </c>
      <c s="6" r="BD436">
        <v>0</v>
      </c>
      <c s="6" r="BE436">
        <v>0</v>
      </c>
      <c s="6" r="BF436">
        <v>0</v>
      </c>
      <c s="6" r="BG436">
        <v>0</v>
      </c>
      <c s="6" r="BH436">
        <v>0</v>
      </c>
      <c s="6" r="BI436">
        <v>0</v>
      </c>
      <c s="6" r="BJ436">
        <v>0</v>
      </c>
      <c s="6" r="BK436">
        <v>0</v>
      </c>
      <c s="6" r="BL436">
        <v>0</v>
      </c>
      <c s="6" r="BM436">
        <v>0</v>
      </c>
      <c s="6" r="BN436">
        <v>0</v>
      </c>
      <c s="6" r="BO436">
        <v>0</v>
      </c>
      <c s="6" r="BP436">
        <v>0</v>
      </c>
      <c s="6" r="BQ436">
        <v>0</v>
      </c>
      <c t="str" s="6" r="BR436">
        <f>HYPERLINK("http://www.d20pfsrd.com/magic/all-spells/r/remove-curse","Remove Curse")</f>
        <v>Remove Curse</v>
      </c>
      <c s="6" r="BS436">
        <v>437</v>
      </c>
      <c t="s" s="6" r="BT436">
        <v>92</v>
      </c>
      <c t="s" s="6" r="BU436">
        <v>406</v>
      </c>
      <c s="6" r="BY436">
        <v>0</v>
      </c>
    </row>
    <row customHeight="1" r="437" ht="14.25">
      <c t="s" s="6" r="A437">
        <v>3575</v>
      </c>
      <c t="s" s="6" r="B437">
        <v>78</v>
      </c>
      <c t="s" s="6" r="C437">
        <v>598</v>
      </c>
      <c t="s" s="6" r="E437">
        <v>3576</v>
      </c>
      <c t="s" s="6" r="F437">
        <v>81</v>
      </c>
      <c t="s" s="6" r="G437">
        <v>106</v>
      </c>
      <c s="6" r="H437">
        <v>0</v>
      </c>
      <c t="s" s="6" r="I437">
        <v>120</v>
      </c>
      <c t="s" s="6" r="L437">
        <v>420</v>
      </c>
      <c t="s" s="6" r="M437">
        <v>109</v>
      </c>
      <c s="6" r="N437">
        <v>0</v>
      </c>
      <c s="6" r="O437">
        <v>0</v>
      </c>
      <c t="s" s="6" r="P437">
        <v>1227</v>
      </c>
      <c t="s" s="6" r="Q437">
        <v>123</v>
      </c>
      <c t="s" s="6" r="R437">
        <v>3577</v>
      </c>
      <c t="s" s="6" r="S437">
        <v>3578</v>
      </c>
      <c t="s" s="6" r="T437">
        <v>90</v>
      </c>
      <c t="s" s="6" r="U437">
        <v>3579</v>
      </c>
      <c s="6" r="V437">
        <v>1</v>
      </c>
      <c s="6" r="W437">
        <v>1</v>
      </c>
      <c s="6" r="X437">
        <v>0</v>
      </c>
      <c s="6" r="Y437">
        <v>0</v>
      </c>
      <c s="6" r="Z437">
        <v>0</v>
      </c>
      <c t="s" s="6" r="AA437">
        <v>92</v>
      </c>
      <c t="s" s="6" r="AB437">
        <v>92</v>
      </c>
      <c s="6" r="AC437">
        <v>3</v>
      </c>
      <c s="6" r="AD437">
        <v>3</v>
      </c>
      <c s="6" r="AE437">
        <v>3</v>
      </c>
      <c t="s" s="6" r="AF437">
        <v>92</v>
      </c>
      <c t="s" s="6" r="AG437">
        <v>92</v>
      </c>
      <c s="6" r="AH437">
        <v>3</v>
      </c>
      <c t="s" s="6" r="AI437">
        <v>92</v>
      </c>
      <c s="6" r="AJ437">
        <v>3</v>
      </c>
      <c s="6" r="AK437">
        <v>3</v>
      </c>
      <c s="6" r="AL437">
        <v>3</v>
      </c>
      <c t="s" s="6" r="AM437">
        <v>92</v>
      </c>
      <c t="s" s="6" r="AN437">
        <v>92</v>
      </c>
      <c s="6" r="AP437">
        <v>3</v>
      </c>
      <c t="s" s="6" r="AQ437">
        <v>3050</v>
      </c>
      <c t="s" s="6" r="AR437">
        <v>3580</v>
      </c>
      <c s="6" r="AS437">
        <v>0</v>
      </c>
      <c s="6" r="AT437">
        <v>0</v>
      </c>
      <c s="6" r="AU437">
        <v>0</v>
      </c>
      <c s="6" r="AV437">
        <v>0</v>
      </c>
      <c s="6" r="AW437">
        <v>0</v>
      </c>
      <c s="6" r="AX437">
        <v>0</v>
      </c>
      <c s="6" r="AY437">
        <v>0</v>
      </c>
      <c s="6" r="AZ437">
        <v>0</v>
      </c>
      <c s="6" r="BA437">
        <v>0</v>
      </c>
      <c s="6" r="BB437">
        <v>0</v>
      </c>
      <c s="6" r="BC437">
        <v>0</v>
      </c>
      <c s="6" r="BD437">
        <v>0</v>
      </c>
      <c s="6" r="BE437">
        <v>0</v>
      </c>
      <c s="6" r="BF437">
        <v>0</v>
      </c>
      <c s="6" r="BG437">
        <v>0</v>
      </c>
      <c s="6" r="BH437">
        <v>0</v>
      </c>
      <c s="6" r="BI437">
        <v>0</v>
      </c>
      <c s="6" r="BJ437">
        <v>0</v>
      </c>
      <c s="6" r="BK437">
        <v>0</v>
      </c>
      <c s="6" r="BL437">
        <v>0</v>
      </c>
      <c s="6" r="BM437">
        <v>0</v>
      </c>
      <c s="6" r="BN437">
        <v>0</v>
      </c>
      <c s="6" r="BO437">
        <v>0</v>
      </c>
      <c s="6" r="BP437">
        <v>0</v>
      </c>
      <c s="6" r="BQ437">
        <v>0</v>
      </c>
      <c t="str" s="6" r="BR437">
        <f>HYPERLINK("http://www.d20pfsrd.com/magic/all-spells/r/remove-disease","Remove Disease")</f>
        <v>Remove Disease</v>
      </c>
      <c s="6" r="BS437">
        <v>438</v>
      </c>
      <c t="s" s="6" r="BT437">
        <v>92</v>
      </c>
      <c t="s" s="6" r="BV437">
        <v>605</v>
      </c>
      <c s="6" r="BY437">
        <v>0</v>
      </c>
    </row>
    <row customHeight="1" r="438" ht="14.25">
      <c t="s" s="6" r="A438">
        <v>3581</v>
      </c>
      <c t="s" s="6" r="B438">
        <v>162</v>
      </c>
      <c t="s" s="6" r="E438">
        <v>3582</v>
      </c>
      <c t="s" s="6" r="F438">
        <v>81</v>
      </c>
      <c t="s" s="6" r="G438">
        <v>106</v>
      </c>
      <c s="6" r="H438">
        <v>0</v>
      </c>
      <c t="s" s="6" r="I438">
        <v>107</v>
      </c>
      <c t="s" s="6" r="L438">
        <v>3583</v>
      </c>
      <c t="s" s="6" r="M438">
        <v>991</v>
      </c>
      <c s="6" r="N438">
        <v>0</v>
      </c>
      <c s="6" r="O438">
        <v>0</v>
      </c>
      <c t="s" s="6" r="P438">
        <v>421</v>
      </c>
      <c t="s" s="6" r="Q438">
        <v>123</v>
      </c>
      <c t="s" s="6" r="R438">
        <v>3584</v>
      </c>
      <c t="s" s="6" r="S438">
        <v>3585</v>
      </c>
      <c t="s" s="6" r="T438">
        <v>90</v>
      </c>
      <c t="s" s="6" r="U438">
        <v>3586</v>
      </c>
      <c s="6" r="V438">
        <v>1</v>
      </c>
      <c s="6" r="W438">
        <v>1</v>
      </c>
      <c s="6" r="X438">
        <v>0</v>
      </c>
      <c s="6" r="Y438">
        <v>0</v>
      </c>
      <c s="6" r="Z438">
        <v>0</v>
      </c>
      <c t="s" s="6" r="AA438">
        <v>92</v>
      </c>
      <c t="s" s="6" r="AB438">
        <v>92</v>
      </c>
      <c s="6" r="AC438">
        <v>1</v>
      </c>
      <c t="s" s="6" r="AD438">
        <v>92</v>
      </c>
      <c t="s" s="6" r="AE438">
        <v>92</v>
      </c>
      <c s="6" r="AF438">
        <v>1</v>
      </c>
      <c t="s" s="6" r="AG438">
        <v>92</v>
      </c>
      <c t="s" s="6" r="AH438">
        <v>92</v>
      </c>
      <c t="s" s="6" r="AI438">
        <v>92</v>
      </c>
      <c t="s" s="6" r="AJ438">
        <v>92</v>
      </c>
      <c s="6" r="AK438">
        <v>1</v>
      </c>
      <c s="6" r="AL438">
        <v>1</v>
      </c>
      <c t="s" s="6" r="AM438">
        <v>92</v>
      </c>
      <c t="s" s="6" r="AN438">
        <v>92</v>
      </c>
      <c s="6" r="AP438">
        <v>1</v>
      </c>
      <c t="s" s="6" r="AQ438">
        <v>1451</v>
      </c>
      <c t="s" s="6" r="AR438">
        <v>3587</v>
      </c>
      <c s="6" r="AS438">
        <v>0</v>
      </c>
      <c s="6" r="AT438">
        <v>0</v>
      </c>
      <c s="6" r="AU438">
        <v>0</v>
      </c>
      <c s="6" r="AV438">
        <v>0</v>
      </c>
      <c s="6" r="AW438">
        <v>0</v>
      </c>
      <c s="6" r="AX438">
        <v>0</v>
      </c>
      <c s="6" r="AY438">
        <v>0</v>
      </c>
      <c s="6" r="AZ438">
        <v>0</v>
      </c>
      <c s="6" r="BA438">
        <v>0</v>
      </c>
      <c s="6" r="BB438">
        <v>0</v>
      </c>
      <c s="6" r="BC438">
        <v>0</v>
      </c>
      <c s="6" r="BD438">
        <v>0</v>
      </c>
      <c s="6" r="BE438">
        <v>0</v>
      </c>
      <c s="6" r="BF438">
        <v>0</v>
      </c>
      <c s="6" r="BG438">
        <v>0</v>
      </c>
      <c s="6" r="BH438">
        <v>0</v>
      </c>
      <c s="6" r="BI438">
        <v>0</v>
      </c>
      <c s="6" r="BJ438">
        <v>0</v>
      </c>
      <c s="6" r="BK438">
        <v>0</v>
      </c>
      <c s="6" r="BL438">
        <v>0</v>
      </c>
      <c s="6" r="BM438">
        <v>0</v>
      </c>
      <c s="6" r="BN438">
        <v>0</v>
      </c>
      <c s="6" r="BO438">
        <v>0</v>
      </c>
      <c s="6" r="BP438">
        <v>0</v>
      </c>
      <c s="6" r="BQ438">
        <v>0</v>
      </c>
      <c t="str" s="6" r="BR438">
        <f>HYPERLINK("http://www.d20pfsrd.com/magic/all-spells/r/remove-fear","Remove Fear")</f>
        <v>Remove Fear</v>
      </c>
      <c s="6" r="BS438">
        <v>439</v>
      </c>
      <c t="s" s="6" r="BT438">
        <v>92</v>
      </c>
      <c t="s" s="6" r="BV438">
        <v>605</v>
      </c>
      <c s="6" r="BY438">
        <v>0</v>
      </c>
    </row>
    <row customHeight="1" r="439" ht="14.25">
      <c t="s" s="6" r="A439">
        <v>3588</v>
      </c>
      <c t="s" s="6" r="B439">
        <v>78</v>
      </c>
      <c t="s" s="6" r="C439">
        <v>598</v>
      </c>
      <c t="s" s="6" r="E439">
        <v>3589</v>
      </c>
      <c t="s" s="6" r="F439">
        <v>81</v>
      </c>
      <c t="s" s="6" r="G439">
        <v>106</v>
      </c>
      <c s="6" r="H439">
        <v>0</v>
      </c>
      <c t="s" s="6" r="I439">
        <v>107</v>
      </c>
      <c t="s" s="6" r="L439">
        <v>3590</v>
      </c>
      <c t="s" s="6" r="M439">
        <v>109</v>
      </c>
      <c s="6" r="N439">
        <v>0</v>
      </c>
      <c s="6" r="O439">
        <v>0</v>
      </c>
      <c t="s" s="6" r="P439">
        <v>421</v>
      </c>
      <c t="s" s="6" r="Q439">
        <v>123</v>
      </c>
      <c t="s" s="6" r="R439">
        <v>3591</v>
      </c>
      <c t="s" s="6" r="S439">
        <v>3592</v>
      </c>
      <c t="s" s="6" r="T439">
        <v>90</v>
      </c>
      <c t="s" s="6" r="U439">
        <v>3593</v>
      </c>
      <c s="6" r="V439">
        <v>1</v>
      </c>
      <c s="6" r="W439">
        <v>1</v>
      </c>
      <c s="6" r="X439">
        <v>0</v>
      </c>
      <c s="6" r="Y439">
        <v>0</v>
      </c>
      <c s="6" r="Z439">
        <v>0</v>
      </c>
      <c t="s" s="6" r="AA439">
        <v>92</v>
      </c>
      <c t="s" s="6" r="AB439">
        <v>92</v>
      </c>
      <c s="6" r="AC439">
        <v>2</v>
      </c>
      <c t="s" s="6" r="AD439">
        <v>92</v>
      </c>
      <c t="s" s="6" r="AE439">
        <v>92</v>
      </c>
      <c t="s" s="6" r="AF439">
        <v>92</v>
      </c>
      <c s="6" r="AG439">
        <v>2</v>
      </c>
      <c t="s" s="6" r="AH439">
        <v>92</v>
      </c>
      <c t="s" s="6" r="AI439">
        <v>92</v>
      </c>
      <c t="s" s="6" r="AJ439">
        <v>92</v>
      </c>
      <c s="6" r="AK439">
        <v>2</v>
      </c>
      <c s="6" r="AL439">
        <v>2</v>
      </c>
      <c t="s" s="6" r="AM439">
        <v>92</v>
      </c>
      <c t="s" s="6" r="AN439">
        <v>92</v>
      </c>
      <c s="6" r="AP439">
        <v>2</v>
      </c>
      <c t="s" s="6" r="AQ439">
        <v>1451</v>
      </c>
      <c t="s" s="6" r="AR439">
        <v>3594</v>
      </c>
      <c s="6" r="AS439">
        <v>0</v>
      </c>
      <c s="6" r="AT439">
        <v>0</v>
      </c>
      <c s="6" r="AU439">
        <v>0</v>
      </c>
      <c s="6" r="AV439">
        <v>0</v>
      </c>
      <c s="6" r="AW439">
        <v>0</v>
      </c>
      <c s="6" r="AX439">
        <v>0</v>
      </c>
      <c s="6" r="AY439">
        <v>0</v>
      </c>
      <c s="6" r="AZ439">
        <v>0</v>
      </c>
      <c s="6" r="BA439">
        <v>0</v>
      </c>
      <c s="6" r="BB439">
        <v>0</v>
      </c>
      <c s="6" r="BC439">
        <v>0</v>
      </c>
      <c s="6" r="BD439">
        <v>0</v>
      </c>
      <c s="6" r="BE439">
        <v>0</v>
      </c>
      <c s="6" r="BF439">
        <v>0</v>
      </c>
      <c s="6" r="BG439">
        <v>0</v>
      </c>
      <c s="6" r="BH439">
        <v>0</v>
      </c>
      <c s="6" r="BI439">
        <v>0</v>
      </c>
      <c s="6" r="BJ439">
        <v>0</v>
      </c>
      <c s="6" r="BK439">
        <v>0</v>
      </c>
      <c s="6" r="BL439">
        <v>0</v>
      </c>
      <c s="6" r="BM439">
        <v>0</v>
      </c>
      <c s="6" r="BN439">
        <v>0</v>
      </c>
      <c s="6" r="BO439">
        <v>0</v>
      </c>
      <c s="6" r="BP439">
        <v>0</v>
      </c>
      <c s="6" r="BQ439">
        <v>0</v>
      </c>
      <c t="str" s="6" r="BR439">
        <f>HYPERLINK("http://www.d20pfsrd.com/magic/all-spells/r/remove-paralysis","Remove Paralysis")</f>
        <v>Remove Paralysis</v>
      </c>
      <c s="6" r="BS439">
        <v>440</v>
      </c>
      <c t="s" s="6" r="BT439">
        <v>92</v>
      </c>
      <c s="6" r="BY439">
        <v>0</v>
      </c>
    </row>
    <row customHeight="1" r="440" ht="14.25">
      <c t="s" s="6" r="A440">
        <v>3595</v>
      </c>
      <c t="s" s="6" r="B440">
        <v>162</v>
      </c>
      <c t="s" s="6" r="D440">
        <v>52</v>
      </c>
      <c t="s" s="6" r="E440">
        <v>207</v>
      </c>
      <c t="s" s="6" r="F440">
        <v>81</v>
      </c>
      <c t="s" s="6" r="G440">
        <v>106</v>
      </c>
      <c s="6" r="H440">
        <v>0</v>
      </c>
      <c t="s" s="6" r="I440">
        <v>897</v>
      </c>
      <c t="s" s="6" r="J440">
        <v>3596</v>
      </c>
      <c t="s" s="6" r="M440">
        <v>99</v>
      </c>
      <c s="6" r="N440">
        <v>1</v>
      </c>
      <c s="6" r="O440">
        <v>0</v>
      </c>
      <c t="s" s="6" r="P440">
        <v>86</v>
      </c>
      <c t="s" s="6" r="Q440">
        <v>87</v>
      </c>
      <c t="s" s="6" r="R440">
        <v>3597</v>
      </c>
      <c t="s" s="6" r="S440">
        <v>3598</v>
      </c>
      <c t="s" s="6" r="T440">
        <v>90</v>
      </c>
      <c t="s" s="6" r="U440">
        <v>3599</v>
      </c>
      <c s="6" r="V440">
        <v>1</v>
      </c>
      <c s="6" r="W440">
        <v>1</v>
      </c>
      <c s="6" r="X440">
        <v>0</v>
      </c>
      <c s="6" r="Y440">
        <v>0</v>
      </c>
      <c s="6" r="Z440">
        <v>0</v>
      </c>
      <c t="s" s="6" r="AA440">
        <v>92</v>
      </c>
      <c t="s" s="6" r="AB440">
        <v>92</v>
      </c>
      <c t="s" s="6" r="AC440">
        <v>92</v>
      </c>
      <c s="6" r="AD440">
        <v>8</v>
      </c>
      <c t="s" s="6" r="AE440">
        <v>92</v>
      </c>
      <c t="s" s="6" r="AF440">
        <v>92</v>
      </c>
      <c t="s" s="6" r="AG440">
        <v>92</v>
      </c>
      <c t="s" s="6" r="AH440">
        <v>92</v>
      </c>
      <c t="s" s="6" r="AI440">
        <v>92</v>
      </c>
      <c t="s" s="6" r="AJ440">
        <v>92</v>
      </c>
      <c t="s" s="6" r="AK440">
        <v>92</v>
      </c>
      <c t="s" s="6" r="AL440">
        <v>92</v>
      </c>
      <c t="s" s="6" r="AM440">
        <v>92</v>
      </c>
      <c t="s" s="6" r="AN440">
        <v>92</v>
      </c>
      <c s="6" r="AP440">
        <v>8</v>
      </c>
      <c t="s" s="6" r="AR440">
        <v>3600</v>
      </c>
      <c s="6" r="AS440">
        <v>0</v>
      </c>
      <c s="6" r="AT440">
        <v>0</v>
      </c>
      <c s="6" r="AU440">
        <v>0</v>
      </c>
      <c s="6" r="AV440">
        <v>0</v>
      </c>
      <c s="6" r="AW440">
        <v>0</v>
      </c>
      <c s="6" r="AX440">
        <v>0</v>
      </c>
      <c s="6" r="AY440">
        <v>0</v>
      </c>
      <c s="6" r="AZ440">
        <v>0</v>
      </c>
      <c s="6" r="BA440">
        <v>1</v>
      </c>
      <c s="6" r="BB440">
        <v>0</v>
      </c>
      <c s="6" r="BC440">
        <v>0</v>
      </c>
      <c s="6" r="BD440">
        <v>0</v>
      </c>
      <c s="6" r="BE440">
        <v>0</v>
      </c>
      <c s="6" r="BF440">
        <v>0</v>
      </c>
      <c s="6" r="BG440">
        <v>0</v>
      </c>
      <c s="6" r="BH440">
        <v>0</v>
      </c>
      <c s="6" r="BI440">
        <v>0</v>
      </c>
      <c s="6" r="BJ440">
        <v>0</v>
      </c>
      <c s="6" r="BK440">
        <v>0</v>
      </c>
      <c s="6" r="BL440">
        <v>0</v>
      </c>
      <c s="6" r="BM440">
        <v>0</v>
      </c>
      <c s="6" r="BN440">
        <v>0</v>
      </c>
      <c s="6" r="BO440">
        <v>0</v>
      </c>
      <c s="6" r="BP440">
        <v>0</v>
      </c>
      <c s="6" r="BQ440">
        <v>0</v>
      </c>
      <c t="str" s="6" r="BR440">
        <f>HYPERLINK("http://www.d20pfsrd.com/magic/all-spells/r/repel-metal-or-stone","Repel Metal or Stone")</f>
        <v>Repel Metal or Stone</v>
      </c>
      <c s="6" r="BS440">
        <v>441</v>
      </c>
      <c t="s" s="6" r="BT440">
        <v>92</v>
      </c>
      <c t="s" s="6" r="BU440">
        <v>1554</v>
      </c>
      <c s="6" r="BY440">
        <v>0</v>
      </c>
    </row>
    <row customHeight="1" r="441" ht="14.25">
      <c t="s" s="6" r="A441">
        <v>3601</v>
      </c>
      <c t="s" s="6" r="B441">
        <v>162</v>
      </c>
      <c t="s" s="6" r="D441">
        <v>64</v>
      </c>
      <c t="s" s="6" r="E441">
        <v>3602</v>
      </c>
      <c t="s" s="6" r="F441">
        <v>81</v>
      </c>
      <c t="s" s="6" r="G441">
        <v>119</v>
      </c>
      <c s="6" r="H441">
        <v>0</v>
      </c>
      <c t="s" s="6" r="I441">
        <v>273</v>
      </c>
      <c t="s" s="6" r="J441">
        <v>3603</v>
      </c>
      <c t="s" s="6" r="M441">
        <v>134</v>
      </c>
      <c s="6" r="N441">
        <v>1</v>
      </c>
      <c s="6" r="O441">
        <v>0</v>
      </c>
      <c t="s" s="6" r="P441">
        <v>178</v>
      </c>
      <c t="s" s="6" r="Q441">
        <v>188</v>
      </c>
      <c t="s" s="6" r="R441">
        <v>3604</v>
      </c>
      <c t="s" s="6" r="S441">
        <v>3605</v>
      </c>
      <c t="s" s="6" r="T441">
        <v>90</v>
      </c>
      <c t="s" s="6" r="U441">
        <v>3606</v>
      </c>
      <c s="6" r="V441">
        <v>1</v>
      </c>
      <c s="6" r="W441">
        <v>1</v>
      </c>
      <c s="6" r="X441">
        <v>0</v>
      </c>
      <c s="6" r="Y441">
        <v>0</v>
      </c>
      <c s="6" r="Z441">
        <v>1</v>
      </c>
      <c t="s" s="6" r="AA441">
        <v>92</v>
      </c>
      <c t="s" s="6" r="AB441">
        <v>92</v>
      </c>
      <c s="6" r="AC441">
        <v>4</v>
      </c>
      <c s="6" r="AD441">
        <v>4</v>
      </c>
      <c s="6" r="AE441">
        <v>3</v>
      </c>
      <c s="6" r="AF441">
        <v>4</v>
      </c>
      <c t="s" s="6" r="AG441">
        <v>92</v>
      </c>
      <c t="s" s="6" r="AH441">
        <v>92</v>
      </c>
      <c t="s" s="6" r="AI441">
        <v>92</v>
      </c>
      <c t="s" s="6" r="AJ441">
        <v>92</v>
      </c>
      <c t="s" s="6" r="AK441">
        <v>92</v>
      </c>
      <c s="6" r="AL441">
        <v>4</v>
      </c>
      <c t="s" s="6" r="AM441">
        <v>92</v>
      </c>
      <c t="s" s="6" r="AN441">
        <v>92</v>
      </c>
      <c s="6" r="AP441">
        <v>4</v>
      </c>
      <c t="s" s="6" r="AR441">
        <v>3607</v>
      </c>
      <c s="6" r="AS441">
        <v>0</v>
      </c>
      <c s="6" r="AT441">
        <v>0</v>
      </c>
      <c s="6" r="AU441">
        <v>0</v>
      </c>
      <c s="6" r="AV441">
        <v>0</v>
      </c>
      <c s="6" r="AW441">
        <v>0</v>
      </c>
      <c s="6" r="AX441">
        <v>0</v>
      </c>
      <c s="6" r="AY441">
        <v>0</v>
      </c>
      <c s="6" r="AZ441">
        <v>0</v>
      </c>
      <c s="6" r="BA441">
        <v>0</v>
      </c>
      <c s="6" r="BB441">
        <v>0</v>
      </c>
      <c s="6" r="BC441">
        <v>0</v>
      </c>
      <c s="6" r="BD441">
        <v>0</v>
      </c>
      <c s="6" r="BE441">
        <v>0</v>
      </c>
      <c s="6" r="BF441">
        <v>0</v>
      </c>
      <c s="6" r="BG441">
        <v>0</v>
      </c>
      <c s="6" r="BH441">
        <v>0</v>
      </c>
      <c s="6" r="BI441">
        <v>0</v>
      </c>
      <c s="6" r="BJ441">
        <v>0</v>
      </c>
      <c s="6" r="BK441">
        <v>0</v>
      </c>
      <c s="6" r="BL441">
        <v>0</v>
      </c>
      <c s="6" r="BM441">
        <v>1</v>
      </c>
      <c s="6" r="BN441">
        <v>0</v>
      </c>
      <c s="6" r="BO441">
        <v>0</v>
      </c>
      <c s="6" r="BP441">
        <v>0</v>
      </c>
      <c s="6" r="BQ441">
        <v>0</v>
      </c>
      <c t="str" s="6" r="BR441">
        <f>HYPERLINK("http://www.d20pfsrd.com/magic/all-spells/r/repel-vermin","Repel Vermin")</f>
        <v>Repel Vermin</v>
      </c>
      <c s="6" r="BS441">
        <v>442</v>
      </c>
      <c t="s" s="6" r="BT441">
        <v>92</v>
      </c>
      <c t="s" s="6" r="BU441">
        <v>744</v>
      </c>
      <c s="6" r="BY441">
        <v>0</v>
      </c>
    </row>
    <row customHeight="1" r="442" ht="14.25">
      <c t="s" s="6" r="A442">
        <v>3608</v>
      </c>
      <c t="s" s="6" r="B442">
        <v>131</v>
      </c>
      <c t="s" s="6" r="E442">
        <v>1799</v>
      </c>
      <c t="s" s="6" r="F442">
        <v>81</v>
      </c>
      <c t="s" s="6" r="G442">
        <v>106</v>
      </c>
      <c s="6" r="H442">
        <v>0</v>
      </c>
      <c t="s" s="6" r="I442">
        <v>897</v>
      </c>
      <c t="s" s="6" r="J442">
        <v>3609</v>
      </c>
      <c t="s" s="6" r="M442">
        <v>496</v>
      </c>
      <c s="6" r="N442">
        <v>1</v>
      </c>
      <c s="6" r="O442">
        <v>0</v>
      </c>
      <c t="s" s="6" r="P442">
        <v>86</v>
      </c>
      <c t="s" s="6" r="Q442">
        <v>87</v>
      </c>
      <c t="s" s="6" r="R442">
        <v>3610</v>
      </c>
      <c t="s" s="6" r="S442">
        <v>3611</v>
      </c>
      <c t="s" s="6" r="T442">
        <v>90</v>
      </c>
      <c t="s" s="6" r="U442">
        <v>3612</v>
      </c>
      <c s="6" r="V442">
        <v>1</v>
      </c>
      <c s="6" r="W442">
        <v>1</v>
      </c>
      <c s="6" r="X442">
        <v>0</v>
      </c>
      <c s="6" r="Y442">
        <v>0</v>
      </c>
      <c s="6" r="Z442">
        <v>0</v>
      </c>
      <c t="s" s="6" r="AA442">
        <v>92</v>
      </c>
      <c t="s" s="6" r="AB442">
        <v>92</v>
      </c>
      <c t="s" s="6" r="AC442">
        <v>92</v>
      </c>
      <c s="6" r="AD442">
        <v>6</v>
      </c>
      <c t="s" s="6" r="AE442">
        <v>92</v>
      </c>
      <c t="s" s="6" r="AF442">
        <v>92</v>
      </c>
      <c t="s" s="6" r="AG442">
        <v>92</v>
      </c>
      <c t="s" s="6" r="AH442">
        <v>92</v>
      </c>
      <c t="s" s="6" r="AI442">
        <v>92</v>
      </c>
      <c t="s" s="6" r="AJ442">
        <v>92</v>
      </c>
      <c t="s" s="6" r="AK442">
        <v>92</v>
      </c>
      <c t="s" s="6" r="AL442">
        <v>92</v>
      </c>
      <c t="s" s="6" r="AM442">
        <v>92</v>
      </c>
      <c t="s" s="6" r="AN442">
        <v>92</v>
      </c>
      <c s="6" r="AP442">
        <v>6</v>
      </c>
      <c t="s" s="6" r="AQ442">
        <v>257</v>
      </c>
      <c t="s" s="6" r="AR442">
        <v>3613</v>
      </c>
      <c s="6" r="AS442">
        <v>0</v>
      </c>
      <c s="6" r="AT442">
        <v>0</v>
      </c>
      <c s="6" r="AU442">
        <v>0</v>
      </c>
      <c s="6" r="AV442">
        <v>0</v>
      </c>
      <c s="6" r="AW442">
        <v>0</v>
      </c>
      <c s="6" r="AX442">
        <v>0</v>
      </c>
      <c s="6" r="AY442">
        <v>0</v>
      </c>
      <c s="6" r="AZ442">
        <v>0</v>
      </c>
      <c s="6" r="BA442">
        <v>0</v>
      </c>
      <c s="6" r="BB442">
        <v>0</v>
      </c>
      <c s="6" r="BC442">
        <v>0</v>
      </c>
      <c s="6" r="BD442">
        <v>0</v>
      </c>
      <c s="6" r="BE442">
        <v>0</v>
      </c>
      <c s="6" r="BF442">
        <v>0</v>
      </c>
      <c s="6" r="BG442">
        <v>0</v>
      </c>
      <c s="6" r="BH442">
        <v>0</v>
      </c>
      <c s="6" r="BI442">
        <v>0</v>
      </c>
      <c s="6" r="BJ442">
        <v>0</v>
      </c>
      <c s="6" r="BK442">
        <v>0</v>
      </c>
      <c s="6" r="BL442">
        <v>0</v>
      </c>
      <c s="6" r="BM442">
        <v>0</v>
      </c>
      <c s="6" r="BN442">
        <v>0</v>
      </c>
      <c s="6" r="BO442">
        <v>0</v>
      </c>
      <c s="6" r="BP442">
        <v>0</v>
      </c>
      <c s="6" r="BQ442">
        <v>0</v>
      </c>
      <c t="str" s="6" r="BR442">
        <f>HYPERLINK("http://www.d20pfsrd.com/magic/all-spells/r/repel-wood","Repel Wood")</f>
        <v>Repel Wood</v>
      </c>
      <c s="6" r="BS442">
        <v>443</v>
      </c>
      <c t="s" s="6" r="BT442">
        <v>92</v>
      </c>
      <c t="s" s="6" r="BW442">
        <v>3614</v>
      </c>
      <c t="s" s="6" r="BX442">
        <v>3615</v>
      </c>
      <c s="6" r="BY442">
        <v>1</v>
      </c>
    </row>
    <row customHeight="1" r="443" ht="14.25">
      <c t="s" s="6" r="A443">
        <v>3616</v>
      </c>
      <c t="s" s="6" r="B443">
        <v>162</v>
      </c>
      <c t="s" s="6" r="E443">
        <v>3617</v>
      </c>
      <c t="s" s="6" r="F443">
        <v>81</v>
      </c>
      <c t="s" s="6" r="G443">
        <v>3618</v>
      </c>
      <c s="6" r="H443">
        <v>1</v>
      </c>
      <c t="s" s="6" r="I443">
        <v>3619</v>
      </c>
      <c t="s" s="6" r="J443">
        <v>3620</v>
      </c>
      <c t="s" s="6" r="M443">
        <v>99</v>
      </c>
      <c s="6" r="N443">
        <v>1</v>
      </c>
      <c s="6" r="O443">
        <v>0</v>
      </c>
      <c t="s" s="6" r="P443">
        <v>221</v>
      </c>
      <c t="s" s="6" r="Q443">
        <v>188</v>
      </c>
      <c t="s" s="6" r="R443">
        <v>3621</v>
      </c>
      <c t="s" s="6" r="S443">
        <v>3622</v>
      </c>
      <c t="s" s="6" r="T443">
        <v>90</v>
      </c>
      <c t="s" s="6" r="U443">
        <v>3623</v>
      </c>
      <c s="6" r="V443">
        <v>1</v>
      </c>
      <c s="6" r="W443">
        <v>1</v>
      </c>
      <c s="6" r="X443">
        <v>0</v>
      </c>
      <c s="6" r="Y443">
        <v>1</v>
      </c>
      <c s="6" r="Z443">
        <v>1</v>
      </c>
      <c s="6" r="AA443">
        <v>6</v>
      </c>
      <c s="6" r="AB443">
        <v>6</v>
      </c>
      <c s="6" r="AC443">
        <v>7</v>
      </c>
      <c t="s" s="6" r="AD443">
        <v>92</v>
      </c>
      <c t="s" s="6" r="AE443">
        <v>92</v>
      </c>
      <c t="s" s="6" r="AF443">
        <v>92</v>
      </c>
      <c t="s" s="6" r="AG443">
        <v>92</v>
      </c>
      <c t="s" s="6" r="AH443">
        <v>92</v>
      </c>
      <c s="6" r="AI443">
        <v>5</v>
      </c>
      <c t="s" s="6" r="AJ443">
        <v>92</v>
      </c>
      <c s="6" r="AK443">
        <v>6</v>
      </c>
      <c s="6" r="AL443">
        <v>7</v>
      </c>
      <c t="s" s="6" r="AM443">
        <v>92</v>
      </c>
      <c t="s" s="6" r="AN443">
        <v>92</v>
      </c>
      <c s="6" r="AP443">
        <v>6</v>
      </c>
      <c t="s" s="6" r="AQ443">
        <v>3624</v>
      </c>
      <c t="s" s="6" r="AR443">
        <v>3625</v>
      </c>
      <c s="6" r="AS443">
        <v>0</v>
      </c>
      <c s="6" r="AT443">
        <v>0</v>
      </c>
      <c s="6" r="AU443">
        <v>0</v>
      </c>
      <c s="6" r="AV443">
        <v>0</v>
      </c>
      <c s="6" r="AW443">
        <v>0</v>
      </c>
      <c s="6" r="AX443">
        <v>0</v>
      </c>
      <c s="6" r="AY443">
        <v>0</v>
      </c>
      <c s="6" r="AZ443">
        <v>0</v>
      </c>
      <c s="6" r="BA443">
        <v>0</v>
      </c>
      <c s="6" r="BB443">
        <v>0</v>
      </c>
      <c s="6" r="BC443">
        <v>0</v>
      </c>
      <c s="6" r="BD443">
        <v>0</v>
      </c>
      <c s="6" r="BE443">
        <v>0</v>
      </c>
      <c s="6" r="BF443">
        <v>0</v>
      </c>
      <c s="6" r="BG443">
        <v>0</v>
      </c>
      <c s="6" r="BH443">
        <v>0</v>
      </c>
      <c s="6" r="BI443">
        <v>0</v>
      </c>
      <c s="6" r="BJ443">
        <v>0</v>
      </c>
      <c s="6" r="BK443">
        <v>0</v>
      </c>
      <c s="6" r="BL443">
        <v>0</v>
      </c>
      <c s="6" r="BM443">
        <v>0</v>
      </c>
      <c s="6" r="BN443">
        <v>0</v>
      </c>
      <c s="6" r="BO443">
        <v>0</v>
      </c>
      <c s="6" r="BP443">
        <v>0</v>
      </c>
      <c s="6" r="BQ443">
        <v>0</v>
      </c>
      <c t="str" s="6" r="BR443">
        <f>HYPERLINK("http://www.d20pfsrd.com/magic/all-spells/r/repulsion","Repulsion")</f>
        <v>Repulsion</v>
      </c>
      <c s="6" r="BS443">
        <v>444</v>
      </c>
      <c s="6" r="BT443">
        <v>50</v>
      </c>
      <c t="s" s="6" r="BU443">
        <v>3626</v>
      </c>
      <c s="6" r="BY443">
        <v>0</v>
      </c>
    </row>
    <row customHeight="1" r="444" ht="14.25">
      <c t="s" s="6" r="A444">
        <v>3627</v>
      </c>
      <c t="s" s="6" r="B444">
        <v>493</v>
      </c>
      <c t="s" s="6" r="D444">
        <v>58</v>
      </c>
      <c t="s" s="6" r="E444">
        <v>2102</v>
      </c>
      <c t="s" s="6" r="F444">
        <v>81</v>
      </c>
      <c t="s" s="6" r="G444">
        <v>3628</v>
      </c>
      <c s="6" r="H444">
        <v>0</v>
      </c>
      <c t="s" s="6" r="I444">
        <v>107</v>
      </c>
      <c t="s" s="6" r="K444">
        <v>3629</v>
      </c>
      <c t="s" s="6" r="M444">
        <v>122</v>
      </c>
      <c s="6" r="N444">
        <v>1</v>
      </c>
      <c s="6" r="O444">
        <v>0</v>
      </c>
      <c t="s" s="6" r="P444">
        <v>1865</v>
      </c>
      <c t="s" s="6" r="Q444">
        <v>188</v>
      </c>
      <c t="s" s="6" r="R444">
        <v>3630</v>
      </c>
      <c t="s" s="6" r="S444">
        <v>3631</v>
      </c>
      <c t="s" s="6" r="T444">
        <v>90</v>
      </c>
      <c t="s" s="6" r="U444">
        <v>3632</v>
      </c>
      <c s="6" r="V444">
        <v>1</v>
      </c>
      <c s="6" r="W444">
        <v>1</v>
      </c>
      <c s="6" r="X444">
        <v>0</v>
      </c>
      <c s="6" r="Y444">
        <v>1</v>
      </c>
      <c s="6" r="Z444">
        <v>0</v>
      </c>
      <c s="6" r="AA444">
        <v>4</v>
      </c>
      <c s="6" r="AB444">
        <v>4</v>
      </c>
      <c t="s" s="6" r="AC444">
        <v>92</v>
      </c>
      <c t="s" s="6" r="AD444">
        <v>92</v>
      </c>
      <c t="s" s="6" r="AE444">
        <v>92</v>
      </c>
      <c t="s" s="6" r="AF444">
        <v>92</v>
      </c>
      <c t="s" s="6" r="AG444">
        <v>92</v>
      </c>
      <c t="s" s="6" r="AH444">
        <v>92</v>
      </c>
      <c t="s" s="6" r="AI444">
        <v>92</v>
      </c>
      <c t="s" s="6" r="AJ444">
        <v>92</v>
      </c>
      <c t="s" s="6" r="AK444">
        <v>92</v>
      </c>
      <c t="s" s="6" r="AL444">
        <v>92</v>
      </c>
      <c t="s" s="6" r="AM444">
        <v>92</v>
      </c>
      <c t="s" s="6" r="AN444">
        <v>92</v>
      </c>
      <c s="6" r="AP444">
        <v>4</v>
      </c>
      <c t="s" s="6" r="AR444">
        <v>3633</v>
      </c>
      <c s="6" r="AS444">
        <v>0</v>
      </c>
      <c s="6" r="AT444">
        <v>0</v>
      </c>
      <c s="6" r="AU444">
        <v>0</v>
      </c>
      <c s="6" r="AV444">
        <v>0</v>
      </c>
      <c s="6" r="AW444">
        <v>0</v>
      </c>
      <c s="6" r="AX444">
        <v>0</v>
      </c>
      <c s="6" r="AY444">
        <v>0</v>
      </c>
      <c s="6" r="AZ444">
        <v>0</v>
      </c>
      <c s="6" r="BA444">
        <v>0</v>
      </c>
      <c s="6" r="BB444">
        <v>0</v>
      </c>
      <c s="6" r="BC444">
        <v>0</v>
      </c>
      <c s="6" r="BD444">
        <v>0</v>
      </c>
      <c s="6" r="BE444">
        <v>0</v>
      </c>
      <c s="6" r="BF444">
        <v>0</v>
      </c>
      <c s="6" r="BG444">
        <v>1</v>
      </c>
      <c s="6" r="BH444">
        <v>0</v>
      </c>
      <c s="6" r="BI444">
        <v>0</v>
      </c>
      <c s="6" r="BJ444">
        <v>0</v>
      </c>
      <c s="6" r="BK444">
        <v>0</v>
      </c>
      <c s="6" r="BL444">
        <v>0</v>
      </c>
      <c s="6" r="BM444">
        <v>0</v>
      </c>
      <c s="6" r="BN444">
        <v>0</v>
      </c>
      <c s="6" r="BO444">
        <v>0</v>
      </c>
      <c s="6" r="BP444">
        <v>0</v>
      </c>
      <c s="6" r="BQ444">
        <v>0</v>
      </c>
      <c t="str" s="6" r="BR444">
        <f>HYPERLINK("http://www.d20pfsrd.com/magic/all-spells/r/resilient-sphere","Resilient Sphere")</f>
        <v>Resilient Sphere</v>
      </c>
      <c s="6" r="BS444">
        <v>445</v>
      </c>
      <c t="s" s="6" r="BT444">
        <v>92</v>
      </c>
      <c s="6" r="BY444">
        <v>0</v>
      </c>
    </row>
    <row customHeight="1" r="445" ht="14.25">
      <c t="s" s="6" r="A445">
        <v>3634</v>
      </c>
      <c t="s" s="6" r="B445">
        <v>162</v>
      </c>
      <c t="s" s="6" r="E445">
        <v>3635</v>
      </c>
      <c t="s" s="6" r="F445">
        <v>81</v>
      </c>
      <c t="s" s="6" r="G445">
        <v>3636</v>
      </c>
      <c s="6" r="H445">
        <v>0</v>
      </c>
      <c t="s" s="6" r="I445">
        <v>120</v>
      </c>
      <c t="s" s="6" r="L445">
        <v>420</v>
      </c>
      <c t="s" s="6" r="M445">
        <v>197</v>
      </c>
      <c s="6" r="N445">
        <v>0</v>
      </c>
      <c s="6" r="O445">
        <v>0</v>
      </c>
      <c t="s" s="6" r="P445">
        <v>421</v>
      </c>
      <c t="s" s="6" r="Q445">
        <v>123</v>
      </c>
      <c t="s" s="6" r="R445">
        <v>3637</v>
      </c>
      <c t="s" s="6" r="S445">
        <v>3638</v>
      </c>
      <c t="s" s="6" r="T445">
        <v>90</v>
      </c>
      <c t="s" s="6" r="U445">
        <v>3639</v>
      </c>
      <c s="6" r="V445">
        <v>1</v>
      </c>
      <c s="6" r="W445">
        <v>1</v>
      </c>
      <c s="6" r="X445">
        <v>1</v>
      </c>
      <c s="6" r="Y445">
        <v>0</v>
      </c>
      <c s="6" r="Z445">
        <v>1</v>
      </c>
      <c s="6" r="AA445">
        <v>0</v>
      </c>
      <c s="6" r="AB445">
        <v>0</v>
      </c>
      <c s="6" r="AC445">
        <v>0</v>
      </c>
      <c s="6" r="AD445">
        <v>0</v>
      </c>
      <c t="s" s="6" r="AE445">
        <v>92</v>
      </c>
      <c s="6" r="AF445">
        <v>0</v>
      </c>
      <c s="6" r="AG445">
        <v>1</v>
      </c>
      <c t="s" s="6" r="AH445">
        <v>92</v>
      </c>
      <c s="6" r="AI445">
        <v>0</v>
      </c>
      <c s="6" r="AJ445">
        <v>0</v>
      </c>
      <c s="6" r="AK445">
        <v>0</v>
      </c>
      <c s="6" r="AL445">
        <v>0</v>
      </c>
      <c t="s" s="6" r="AM445">
        <v>92</v>
      </c>
      <c t="s" s="6" r="AN445">
        <v>92</v>
      </c>
      <c s="6" r="AP445">
        <v>0</v>
      </c>
      <c t="s" s="6" r="AR445">
        <v>3640</v>
      </c>
      <c s="6" r="AS445">
        <v>0</v>
      </c>
      <c s="6" r="AT445">
        <v>0</v>
      </c>
      <c s="6" r="AU445">
        <v>0</v>
      </c>
      <c s="6" r="AV445">
        <v>0</v>
      </c>
      <c s="6" r="AW445">
        <v>0</v>
      </c>
      <c s="6" r="AX445">
        <v>0</v>
      </c>
      <c s="6" r="AY445">
        <v>0</v>
      </c>
      <c s="6" r="AZ445">
        <v>0</v>
      </c>
      <c s="6" r="BA445">
        <v>0</v>
      </c>
      <c s="6" r="BB445">
        <v>0</v>
      </c>
      <c s="6" r="BC445">
        <v>0</v>
      </c>
      <c s="6" r="BD445">
        <v>0</v>
      </c>
      <c s="6" r="BE445">
        <v>0</v>
      </c>
      <c s="6" r="BF445">
        <v>0</v>
      </c>
      <c s="6" r="BG445">
        <v>0</v>
      </c>
      <c s="6" r="BH445">
        <v>0</v>
      </c>
      <c s="6" r="BI445">
        <v>0</v>
      </c>
      <c s="6" r="BJ445">
        <v>0</v>
      </c>
      <c s="6" r="BK445">
        <v>0</v>
      </c>
      <c s="6" r="BL445">
        <v>0</v>
      </c>
      <c s="6" r="BM445">
        <v>0</v>
      </c>
      <c s="6" r="BN445">
        <v>0</v>
      </c>
      <c s="6" r="BO445">
        <v>0</v>
      </c>
      <c s="6" r="BP445">
        <v>0</v>
      </c>
      <c s="6" r="BQ445">
        <v>0</v>
      </c>
      <c t="str" s="6" r="BR445">
        <f>HYPERLINK("http://www.d20pfsrd.com/magic/all-spells/r/resistance","Resistance")</f>
        <v>Resistance</v>
      </c>
      <c s="6" r="BS445">
        <v>446</v>
      </c>
      <c t="s" s="6" r="BT445">
        <v>92</v>
      </c>
      <c s="6" r="BY445">
        <v>0</v>
      </c>
    </row>
    <row customHeight="1" r="446" ht="14.25">
      <c t="s" s="6" r="A446">
        <v>3641</v>
      </c>
      <c t="s" s="6" r="B446">
        <v>162</v>
      </c>
      <c t="s" s="6" r="E446">
        <v>3642</v>
      </c>
      <c t="s" s="6" r="F446">
        <v>81</v>
      </c>
      <c t="s" s="6" r="G446">
        <v>119</v>
      </c>
      <c s="6" r="H446">
        <v>0</v>
      </c>
      <c t="s" s="6" r="I446">
        <v>120</v>
      </c>
      <c t="s" s="6" r="L446">
        <v>420</v>
      </c>
      <c t="s" s="6" r="M446">
        <v>134</v>
      </c>
      <c s="6" r="N446">
        <v>0</v>
      </c>
      <c s="6" r="O446">
        <v>0</v>
      </c>
      <c t="s" s="6" r="P446">
        <v>1227</v>
      </c>
      <c t="s" s="6" r="Q446">
        <v>123</v>
      </c>
      <c t="s" s="6" r="R446">
        <v>3643</v>
      </c>
      <c t="s" s="6" r="S446">
        <v>3644</v>
      </c>
      <c t="s" s="6" r="T446">
        <v>90</v>
      </c>
      <c t="s" s="6" r="U446">
        <v>3645</v>
      </c>
      <c s="6" r="V446">
        <v>1</v>
      </c>
      <c s="6" r="W446">
        <v>1</v>
      </c>
      <c s="6" r="X446">
        <v>0</v>
      </c>
      <c s="6" r="Y446">
        <v>0</v>
      </c>
      <c s="6" r="Z446">
        <v>1</v>
      </c>
      <c s="6" r="AA446">
        <v>2</v>
      </c>
      <c s="6" r="AB446">
        <v>2</v>
      </c>
      <c s="6" r="AC446">
        <v>2</v>
      </c>
      <c s="6" r="AD446">
        <v>2</v>
      </c>
      <c s="6" r="AE446">
        <v>1</v>
      </c>
      <c t="s" s="6" r="AF446">
        <v>92</v>
      </c>
      <c s="6" r="AG446">
        <v>2</v>
      </c>
      <c s="6" r="AH446">
        <v>2</v>
      </c>
      <c s="6" r="AI446">
        <v>2</v>
      </c>
      <c t="s" s="6" r="AJ446">
        <v>92</v>
      </c>
      <c s="6" r="AK446">
        <v>2</v>
      </c>
      <c s="6" r="AL446">
        <v>2</v>
      </c>
      <c t="s" s="6" r="AM446">
        <v>92</v>
      </c>
      <c t="s" s="6" r="AN446">
        <v>92</v>
      </c>
      <c s="6" r="AP446">
        <v>2</v>
      </c>
      <c t="s" s="6" r="AR446">
        <v>3646</v>
      </c>
      <c s="6" r="AS446">
        <v>0</v>
      </c>
      <c s="6" r="AT446">
        <v>0</v>
      </c>
      <c s="6" r="AU446">
        <v>0</v>
      </c>
      <c s="6" r="AV446">
        <v>0</v>
      </c>
      <c s="6" r="AW446">
        <v>0</v>
      </c>
      <c s="6" r="AX446">
        <v>0</v>
      </c>
      <c s="6" r="AY446">
        <v>0</v>
      </c>
      <c s="6" r="AZ446">
        <v>0</v>
      </c>
      <c s="6" r="BA446">
        <v>0</v>
      </c>
      <c s="6" r="BB446">
        <v>0</v>
      </c>
      <c s="6" r="BC446">
        <v>0</v>
      </c>
      <c s="6" r="BD446">
        <v>0</v>
      </c>
      <c s="6" r="BE446">
        <v>0</v>
      </c>
      <c s="6" r="BF446">
        <v>0</v>
      </c>
      <c s="6" r="BG446">
        <v>0</v>
      </c>
      <c s="6" r="BH446">
        <v>0</v>
      </c>
      <c s="6" r="BI446">
        <v>0</v>
      </c>
      <c s="6" r="BJ446">
        <v>0</v>
      </c>
      <c s="6" r="BK446">
        <v>0</v>
      </c>
      <c s="6" r="BL446">
        <v>0</v>
      </c>
      <c s="6" r="BM446">
        <v>0</v>
      </c>
      <c s="6" r="BN446">
        <v>0</v>
      </c>
      <c s="6" r="BO446">
        <v>0</v>
      </c>
      <c s="6" r="BP446">
        <v>0</v>
      </c>
      <c s="6" r="BQ446">
        <v>0</v>
      </c>
      <c t="str" s="6" r="BR446">
        <f>HYPERLINK("http://www.d20pfsrd.com/magic/all-spells/r/resist-energy","Resist Energy")</f>
        <v>Resist Energy</v>
      </c>
      <c s="6" r="BS446">
        <v>447</v>
      </c>
      <c t="s" s="6" r="BT446">
        <v>92</v>
      </c>
      <c t="s" s="6" r="BU446">
        <v>3647</v>
      </c>
      <c t="s" s="6" r="BV446">
        <v>903</v>
      </c>
      <c t="s" s="6" r="BW446">
        <v>3648</v>
      </c>
      <c s="6" r="BY446">
        <v>1</v>
      </c>
    </row>
    <row customHeight="1" r="447" ht="14.25">
      <c t="s" s="6" r="A447">
        <v>3050</v>
      </c>
      <c t="s" s="6" r="B447">
        <v>78</v>
      </c>
      <c t="s" s="6" r="C447">
        <v>598</v>
      </c>
      <c t="s" s="6" r="E447">
        <v>3649</v>
      </c>
      <c t="s" s="6" r="F447">
        <v>1764</v>
      </c>
      <c t="s" s="6" r="G447">
        <v>3650</v>
      </c>
      <c s="6" r="H447">
        <v>1</v>
      </c>
      <c t="s" s="6" r="I447">
        <v>120</v>
      </c>
      <c t="s" s="6" r="L447">
        <v>420</v>
      </c>
      <c t="s" s="6" r="M447">
        <v>109</v>
      </c>
      <c s="6" r="N447">
        <v>0</v>
      </c>
      <c s="6" r="O447">
        <v>0</v>
      </c>
      <c t="s" s="6" r="P447">
        <v>421</v>
      </c>
      <c t="s" s="6" r="Q447">
        <v>123</v>
      </c>
      <c t="s" s="6" r="R447">
        <v>3651</v>
      </c>
      <c t="s" s="6" r="S447">
        <v>3652</v>
      </c>
      <c t="s" s="6" r="T447">
        <v>90</v>
      </c>
      <c t="s" s="6" r="U447">
        <v>3653</v>
      </c>
      <c s="6" r="V447">
        <v>1</v>
      </c>
      <c s="6" r="W447">
        <v>1</v>
      </c>
      <c s="6" r="X447">
        <v>1</v>
      </c>
      <c s="6" r="Y447">
        <v>0</v>
      </c>
      <c s="6" r="Z447">
        <v>0</v>
      </c>
      <c t="s" s="6" r="AA447">
        <v>92</v>
      </c>
      <c t="s" s="6" r="AB447">
        <v>92</v>
      </c>
      <c s="6" r="AC447">
        <v>4</v>
      </c>
      <c t="s" s="6" r="AD447">
        <v>92</v>
      </c>
      <c t="s" s="6" r="AE447">
        <v>92</v>
      </c>
      <c t="s" s="6" r="AF447">
        <v>92</v>
      </c>
      <c s="6" r="AG447">
        <v>4</v>
      </c>
      <c t="s" s="6" r="AH447">
        <v>92</v>
      </c>
      <c t="s" s="6" r="AI447">
        <v>92</v>
      </c>
      <c t="s" s="6" r="AJ447">
        <v>92</v>
      </c>
      <c t="s" s="6" r="AK447">
        <v>92</v>
      </c>
      <c s="6" r="AL447">
        <v>4</v>
      </c>
      <c t="s" s="6" r="AM447">
        <v>92</v>
      </c>
      <c t="s" s="6" r="AN447">
        <v>92</v>
      </c>
      <c s="6" r="AP447">
        <v>4</v>
      </c>
      <c t="s" s="6" r="AR447">
        <v>3654</v>
      </c>
      <c s="6" r="AS447">
        <v>0</v>
      </c>
      <c s="6" r="AT447">
        <v>0</v>
      </c>
      <c s="6" r="AU447">
        <v>0</v>
      </c>
      <c s="6" r="AV447">
        <v>0</v>
      </c>
      <c s="6" r="AW447">
        <v>0</v>
      </c>
      <c s="6" r="AX447">
        <v>0</v>
      </c>
      <c s="6" r="AY447">
        <v>0</v>
      </c>
      <c s="6" r="AZ447">
        <v>0</v>
      </c>
      <c s="6" r="BA447">
        <v>0</v>
      </c>
      <c s="6" r="BB447">
        <v>0</v>
      </c>
      <c s="6" r="BC447">
        <v>0</v>
      </c>
      <c s="6" r="BD447">
        <v>0</v>
      </c>
      <c s="6" r="BE447">
        <v>0</v>
      </c>
      <c s="6" r="BF447">
        <v>0</v>
      </c>
      <c s="6" r="BG447">
        <v>0</v>
      </c>
      <c s="6" r="BH447">
        <v>0</v>
      </c>
      <c s="6" r="BI447">
        <v>0</v>
      </c>
      <c s="6" r="BJ447">
        <v>0</v>
      </c>
      <c s="6" r="BK447">
        <v>0</v>
      </c>
      <c s="6" r="BL447">
        <v>0</v>
      </c>
      <c s="6" r="BM447">
        <v>0</v>
      </c>
      <c s="6" r="BN447">
        <v>0</v>
      </c>
      <c s="6" r="BO447">
        <v>0</v>
      </c>
      <c s="6" r="BP447">
        <v>0</v>
      </c>
      <c s="6" r="BQ447">
        <v>0</v>
      </c>
      <c t="str" s="6" r="BR447">
        <f>HYPERLINK("http://www.d20pfsrd.com/magic/all-spells/r/restoration","Restoration")</f>
        <v>Restoration</v>
      </c>
      <c s="6" r="BS447">
        <v>448</v>
      </c>
      <c s="6" r="BT447">
        <v>100</v>
      </c>
      <c t="s" s="6" r="BV447">
        <v>605</v>
      </c>
      <c s="6" r="BY447">
        <v>0</v>
      </c>
    </row>
    <row customHeight="1" r="448" ht="14.25">
      <c t="s" s="6" r="A448">
        <v>3655</v>
      </c>
      <c t="s" s="6" r="B448">
        <v>78</v>
      </c>
      <c t="s" s="6" r="C448">
        <v>598</v>
      </c>
      <c t="s" s="6" r="E448">
        <v>3656</v>
      </c>
      <c t="s" s="6" r="F448">
        <v>197</v>
      </c>
      <c t="s" s="6" r="G448">
        <v>3657</v>
      </c>
      <c s="6" r="H448">
        <v>1</v>
      </c>
      <c t="s" s="6" r="I448">
        <v>120</v>
      </c>
      <c t="s" s="6" r="L448">
        <v>420</v>
      </c>
      <c t="s" s="6" r="M448">
        <v>109</v>
      </c>
      <c s="6" r="N448">
        <v>0</v>
      </c>
      <c s="6" r="O448">
        <v>0</v>
      </c>
      <c t="s" s="6" r="P448">
        <v>421</v>
      </c>
      <c t="s" s="6" r="Q448">
        <v>123</v>
      </c>
      <c t="s" s="6" r="R448">
        <v>3658</v>
      </c>
      <c t="s" s="6" r="S448">
        <v>3659</v>
      </c>
      <c t="s" s="6" r="T448">
        <v>90</v>
      </c>
      <c t="s" s="6" r="U448">
        <v>3660</v>
      </c>
      <c s="6" r="V448">
        <v>1</v>
      </c>
      <c s="6" r="W448">
        <v>1</v>
      </c>
      <c s="6" r="X448">
        <v>1</v>
      </c>
      <c s="6" r="Y448">
        <v>0</v>
      </c>
      <c s="6" r="Z448">
        <v>0</v>
      </c>
      <c t="s" s="6" r="AA448">
        <v>92</v>
      </c>
      <c t="s" s="6" r="AB448">
        <v>92</v>
      </c>
      <c s="6" r="AC448">
        <v>7</v>
      </c>
      <c t="s" s="6" r="AD448">
        <v>92</v>
      </c>
      <c t="s" s="6" r="AE448">
        <v>92</v>
      </c>
      <c t="s" s="6" r="AF448">
        <v>92</v>
      </c>
      <c t="s" s="6" r="AG448">
        <v>92</v>
      </c>
      <c t="s" s="6" r="AH448">
        <v>92</v>
      </c>
      <c t="s" s="6" r="AI448">
        <v>92</v>
      </c>
      <c t="s" s="6" r="AJ448">
        <v>92</v>
      </c>
      <c t="s" s="6" r="AK448">
        <v>92</v>
      </c>
      <c s="6" r="AL448">
        <v>7</v>
      </c>
      <c t="s" s="6" r="AM448">
        <v>92</v>
      </c>
      <c t="s" s="6" r="AN448">
        <v>92</v>
      </c>
      <c s="6" r="AP448">
        <v>7</v>
      </c>
      <c t="s" s="6" r="AR448">
        <v>3661</v>
      </c>
      <c s="6" r="AS448">
        <v>0</v>
      </c>
      <c s="6" r="AT448">
        <v>0</v>
      </c>
      <c s="6" r="AU448">
        <v>0</v>
      </c>
      <c s="6" r="AV448">
        <v>0</v>
      </c>
      <c s="6" r="AW448">
        <v>0</v>
      </c>
      <c s="6" r="AX448">
        <v>0</v>
      </c>
      <c s="6" r="AY448">
        <v>0</v>
      </c>
      <c s="6" r="AZ448">
        <v>0</v>
      </c>
      <c s="6" r="BA448">
        <v>0</v>
      </c>
      <c s="6" r="BB448">
        <v>0</v>
      </c>
      <c s="6" r="BC448">
        <v>0</v>
      </c>
      <c s="6" r="BD448">
        <v>0</v>
      </c>
      <c s="6" r="BE448">
        <v>0</v>
      </c>
      <c s="6" r="BF448">
        <v>0</v>
      </c>
      <c s="6" r="BG448">
        <v>0</v>
      </c>
      <c s="6" r="BH448">
        <v>0</v>
      </c>
      <c s="6" r="BI448">
        <v>0</v>
      </c>
      <c s="6" r="BJ448">
        <v>0</v>
      </c>
      <c s="6" r="BK448">
        <v>0</v>
      </c>
      <c s="6" r="BL448">
        <v>0</v>
      </c>
      <c s="6" r="BM448">
        <v>0</v>
      </c>
      <c s="6" r="BN448">
        <v>0</v>
      </c>
      <c s="6" r="BO448">
        <v>0</v>
      </c>
      <c s="6" r="BP448">
        <v>0</v>
      </c>
      <c s="6" r="BQ448">
        <v>0</v>
      </c>
      <c t="str" s="6" r="BR448">
        <f>HYPERLINK("http://www.d20pfsrd.com/magic/all-spells/r/restoration#TOC-Restoration-Greater","Restoration, Greater")</f>
        <v>Restoration, Greater</v>
      </c>
      <c s="6" r="BS448">
        <v>449</v>
      </c>
      <c s="6" r="BT448">
        <v>5000</v>
      </c>
      <c t="s" s="6" r="BV448">
        <v>3662</v>
      </c>
      <c s="6" r="BY448">
        <v>0</v>
      </c>
    </row>
    <row customHeight="1" r="449" ht="14.25">
      <c t="s" s="6" r="A449">
        <v>3663</v>
      </c>
      <c t="s" s="6" r="B449">
        <v>78</v>
      </c>
      <c t="s" s="6" r="C449">
        <v>598</v>
      </c>
      <c t="s" s="6" r="E449">
        <v>3664</v>
      </c>
      <c t="s" s="6" r="F449">
        <v>1764</v>
      </c>
      <c t="s" s="6" r="G449">
        <v>106</v>
      </c>
      <c s="6" r="H449">
        <v>0</v>
      </c>
      <c t="s" s="6" r="I449">
        <v>120</v>
      </c>
      <c t="s" s="6" r="L449">
        <v>420</v>
      </c>
      <c t="s" s="6" r="M449">
        <v>109</v>
      </c>
      <c s="6" r="N449">
        <v>0</v>
      </c>
      <c s="6" r="O449">
        <v>0</v>
      </c>
      <c t="s" s="6" r="P449">
        <v>421</v>
      </c>
      <c t="s" s="6" r="Q449">
        <v>123</v>
      </c>
      <c t="s" s="6" r="R449">
        <v>3665</v>
      </c>
      <c t="s" s="6" r="S449">
        <v>3666</v>
      </c>
      <c t="s" s="6" r="T449">
        <v>90</v>
      </c>
      <c t="s" s="6" r="U449">
        <v>3667</v>
      </c>
      <c s="6" r="V449">
        <v>1</v>
      </c>
      <c s="6" r="W449">
        <v>1</v>
      </c>
      <c s="6" r="X449">
        <v>0</v>
      </c>
      <c s="6" r="Y449">
        <v>0</v>
      </c>
      <c s="6" r="Z449">
        <v>0</v>
      </c>
      <c t="s" s="6" r="AA449">
        <v>92</v>
      </c>
      <c t="s" s="6" r="AB449">
        <v>92</v>
      </c>
      <c s="6" r="AC449">
        <v>2</v>
      </c>
      <c s="6" r="AD449">
        <v>2</v>
      </c>
      <c t="s" s="6" r="AE449">
        <v>92</v>
      </c>
      <c t="s" s="6" r="AF449">
        <v>92</v>
      </c>
      <c s="6" r="AG449">
        <v>1</v>
      </c>
      <c s="6" r="AH449">
        <v>2</v>
      </c>
      <c t="s" s="6" r="AI449">
        <v>92</v>
      </c>
      <c t="s" s="6" r="AJ449">
        <v>92</v>
      </c>
      <c s="6" r="AK449">
        <v>2</v>
      </c>
      <c s="6" r="AL449">
        <v>2</v>
      </c>
      <c t="s" s="6" r="AM449">
        <v>92</v>
      </c>
      <c t="s" s="6" r="AN449">
        <v>92</v>
      </c>
      <c s="6" r="AP449">
        <v>2</v>
      </c>
      <c t="s" s="6" r="AR449">
        <v>3668</v>
      </c>
      <c s="6" r="AS449">
        <v>0</v>
      </c>
      <c s="6" r="AT449">
        <v>0</v>
      </c>
      <c s="6" r="AU449">
        <v>0</v>
      </c>
      <c s="6" r="AV449">
        <v>0</v>
      </c>
      <c s="6" r="AW449">
        <v>0</v>
      </c>
      <c s="6" r="AX449">
        <v>0</v>
      </c>
      <c s="6" r="AY449">
        <v>0</v>
      </c>
      <c s="6" r="AZ449">
        <v>0</v>
      </c>
      <c s="6" r="BA449">
        <v>0</v>
      </c>
      <c s="6" r="BB449">
        <v>0</v>
      </c>
      <c s="6" r="BC449">
        <v>0</v>
      </c>
      <c s="6" r="BD449">
        <v>0</v>
      </c>
      <c s="6" r="BE449">
        <v>0</v>
      </c>
      <c s="6" r="BF449">
        <v>0</v>
      </c>
      <c s="6" r="BG449">
        <v>0</v>
      </c>
      <c s="6" r="BH449">
        <v>0</v>
      </c>
      <c s="6" r="BI449">
        <v>0</v>
      </c>
      <c s="6" r="BJ449">
        <v>0</v>
      </c>
      <c s="6" r="BK449">
        <v>0</v>
      </c>
      <c s="6" r="BL449">
        <v>0</v>
      </c>
      <c s="6" r="BM449">
        <v>0</v>
      </c>
      <c s="6" r="BN449">
        <v>0</v>
      </c>
      <c s="6" r="BO449">
        <v>0</v>
      </c>
      <c s="6" r="BP449">
        <v>0</v>
      </c>
      <c s="6" r="BQ449">
        <v>0</v>
      </c>
      <c t="str" s="6" r="BR449">
        <f>HYPERLINK("http://www.d20pfsrd.com/magic/all-spells/r/restoration#TOC-Restoration-Lesser","Restoration, Lesser")</f>
        <v>Restoration, Lesser</v>
      </c>
      <c s="6" r="BS449">
        <v>450</v>
      </c>
      <c t="s" s="6" r="BT449">
        <v>92</v>
      </c>
      <c t="s" s="6" r="BV449">
        <v>605</v>
      </c>
      <c s="6" r="BY449">
        <v>0</v>
      </c>
    </row>
    <row customHeight="1" r="450" ht="14.25">
      <c t="s" s="6" r="A450">
        <v>3492</v>
      </c>
      <c t="s" s="6" r="B450">
        <v>78</v>
      </c>
      <c t="s" s="6" r="C450">
        <v>598</v>
      </c>
      <c t="s" s="6" r="E450">
        <v>1252</v>
      </c>
      <c t="s" s="6" r="F450">
        <v>197</v>
      </c>
      <c t="s" s="6" r="G450">
        <v>3669</v>
      </c>
      <c s="6" r="H450">
        <v>1</v>
      </c>
      <c t="s" s="6" r="I450">
        <v>120</v>
      </c>
      <c t="s" s="6" r="L450">
        <v>3488</v>
      </c>
      <c t="s" s="6" r="M450">
        <v>109</v>
      </c>
      <c s="6" r="N450">
        <v>0</v>
      </c>
      <c s="6" r="O450">
        <v>0</v>
      </c>
      <c t="s" s="6" r="P450">
        <v>201</v>
      </c>
      <c t="s" s="6" r="Q450">
        <v>123</v>
      </c>
      <c t="s" s="6" r="R450">
        <v>3670</v>
      </c>
      <c t="s" s="6" r="S450">
        <v>3671</v>
      </c>
      <c t="s" s="6" r="T450">
        <v>90</v>
      </c>
      <c t="s" s="6" r="U450">
        <v>3672</v>
      </c>
      <c s="6" r="V450">
        <v>1</v>
      </c>
      <c s="6" r="W450">
        <v>1</v>
      </c>
      <c s="6" r="X450">
        <v>1</v>
      </c>
      <c s="6" r="Y450">
        <v>0</v>
      </c>
      <c s="6" r="Z450">
        <v>1</v>
      </c>
      <c t="s" s="6" r="AA450">
        <v>92</v>
      </c>
      <c t="s" s="6" r="AB450">
        <v>92</v>
      </c>
      <c s="6" r="AC450">
        <v>7</v>
      </c>
      <c t="s" s="6" r="AD450">
        <v>92</v>
      </c>
      <c t="s" s="6" r="AE450">
        <v>92</v>
      </c>
      <c t="s" s="6" r="AF450">
        <v>92</v>
      </c>
      <c t="s" s="6" r="AG450">
        <v>92</v>
      </c>
      <c t="s" s="6" r="AH450">
        <v>92</v>
      </c>
      <c t="s" s="6" r="AI450">
        <v>92</v>
      </c>
      <c s="6" r="AJ450">
        <v>8</v>
      </c>
      <c t="s" s="6" r="AK450">
        <v>92</v>
      </c>
      <c s="6" r="AL450">
        <v>7</v>
      </c>
      <c t="s" s="6" r="AM450">
        <v>92</v>
      </c>
      <c t="s" s="6" r="AN450">
        <v>92</v>
      </c>
      <c s="6" r="AP450">
        <v>7</v>
      </c>
      <c t="s" s="6" r="AQ450">
        <v>3673</v>
      </c>
      <c t="s" s="6" r="AR450">
        <v>3674</v>
      </c>
      <c s="6" r="AS450">
        <v>0</v>
      </c>
      <c s="6" r="AT450">
        <v>0</v>
      </c>
      <c s="6" r="AU450">
        <v>0</v>
      </c>
      <c s="6" r="AV450">
        <v>0</v>
      </c>
      <c s="6" r="AW450">
        <v>0</v>
      </c>
      <c s="6" r="AX450">
        <v>0</v>
      </c>
      <c s="6" r="AY450">
        <v>0</v>
      </c>
      <c s="6" r="AZ450">
        <v>0</v>
      </c>
      <c s="6" r="BA450">
        <v>0</v>
      </c>
      <c s="6" r="BB450">
        <v>0</v>
      </c>
      <c s="6" r="BC450">
        <v>0</v>
      </c>
      <c s="6" r="BD450">
        <v>0</v>
      </c>
      <c s="6" r="BE450">
        <v>0</v>
      </c>
      <c s="6" r="BF450">
        <v>0</v>
      </c>
      <c s="6" r="BG450">
        <v>0</v>
      </c>
      <c s="6" r="BH450">
        <v>0</v>
      </c>
      <c s="6" r="BI450">
        <v>0</v>
      </c>
      <c s="6" r="BJ450">
        <v>0</v>
      </c>
      <c s="6" r="BK450">
        <v>0</v>
      </c>
      <c s="6" r="BL450">
        <v>0</v>
      </c>
      <c s="6" r="BM450">
        <v>0</v>
      </c>
      <c s="6" r="BN450">
        <v>0</v>
      </c>
      <c s="6" r="BO450">
        <v>0</v>
      </c>
      <c s="6" r="BP450">
        <v>0</v>
      </c>
      <c s="6" r="BQ450">
        <v>0</v>
      </c>
      <c t="str" s="6" r="BR450">
        <f>HYPERLINK("http://www.d20pfsrd.com/magic/all-spells/r/resurrection","Resurrection")</f>
        <v>Resurrection</v>
      </c>
      <c s="6" r="BS450">
        <v>451</v>
      </c>
      <c s="6" r="BT450">
        <v>10000</v>
      </c>
      <c s="6" r="BY450">
        <v>0</v>
      </c>
    </row>
    <row customHeight="1" r="451" ht="14.25">
      <c t="s" s="6" r="A451">
        <v>3675</v>
      </c>
      <c t="s" s="6" r="B451">
        <v>131</v>
      </c>
      <c t="s" s="6" r="E451">
        <v>1782</v>
      </c>
      <c t="s" s="6" r="F451">
        <v>81</v>
      </c>
      <c t="s" s="6" r="G451">
        <v>3676</v>
      </c>
      <c s="6" r="H451">
        <v>0</v>
      </c>
      <c t="s" s="6" r="I451">
        <v>97</v>
      </c>
      <c t="s" s="6" r="J451">
        <v>3677</v>
      </c>
      <c t="s" s="6" r="M451">
        <v>483</v>
      </c>
      <c s="6" r="N451">
        <v>1</v>
      </c>
      <c s="6" r="O451">
        <v>1</v>
      </c>
      <c t="s" s="6" r="P451">
        <v>201</v>
      </c>
      <c t="s" s="6" r="Q451">
        <v>87</v>
      </c>
      <c t="s" s="6" r="R451">
        <v>3678</v>
      </c>
      <c t="s" s="6" r="S451">
        <v>3679</v>
      </c>
      <c t="s" s="6" r="T451">
        <v>90</v>
      </c>
      <c t="s" s="6" r="U451">
        <v>3680</v>
      </c>
      <c s="6" r="V451">
        <v>1</v>
      </c>
      <c s="6" r="W451">
        <v>1</v>
      </c>
      <c s="6" r="X451">
        <v>1</v>
      </c>
      <c s="6" r="Y451">
        <v>0</v>
      </c>
      <c s="6" r="Z451">
        <v>1</v>
      </c>
      <c s="6" r="AA451">
        <v>7</v>
      </c>
      <c s="6" r="AB451">
        <v>7</v>
      </c>
      <c t="s" s="6" r="AC451">
        <v>92</v>
      </c>
      <c s="6" r="AD451">
        <v>8</v>
      </c>
      <c t="s" s="6" r="AE451">
        <v>92</v>
      </c>
      <c t="s" s="6" r="AF451">
        <v>92</v>
      </c>
      <c t="s" s="6" r="AG451">
        <v>92</v>
      </c>
      <c t="s" s="6" r="AH451">
        <v>92</v>
      </c>
      <c t="s" s="6" r="AI451">
        <v>92</v>
      </c>
      <c t="s" s="6" r="AJ451">
        <v>92</v>
      </c>
      <c t="s" s="6" r="AK451">
        <v>92</v>
      </c>
      <c t="s" s="6" r="AL451">
        <v>92</v>
      </c>
      <c t="s" s="6" r="AM451">
        <v>92</v>
      </c>
      <c t="s" s="6" r="AN451">
        <v>92</v>
      </c>
      <c s="6" r="AP451">
        <v>7</v>
      </c>
      <c t="s" s="6" r="AR451">
        <v>3681</v>
      </c>
      <c s="6" r="AS451">
        <v>0</v>
      </c>
      <c s="6" r="AT451">
        <v>0</v>
      </c>
      <c s="6" r="AU451">
        <v>0</v>
      </c>
      <c s="6" r="AV451">
        <v>0</v>
      </c>
      <c s="6" r="AW451">
        <v>0</v>
      </c>
      <c s="6" r="AX451">
        <v>0</v>
      </c>
      <c s="6" r="AY451">
        <v>0</v>
      </c>
      <c s="6" r="AZ451">
        <v>0</v>
      </c>
      <c s="6" r="BA451">
        <v>0</v>
      </c>
      <c s="6" r="BB451">
        <v>0</v>
      </c>
      <c s="6" r="BC451">
        <v>0</v>
      </c>
      <c s="6" r="BD451">
        <v>0</v>
      </c>
      <c s="6" r="BE451">
        <v>0</v>
      </c>
      <c s="6" r="BF451">
        <v>0</v>
      </c>
      <c s="6" r="BG451">
        <v>0</v>
      </c>
      <c s="6" r="BH451">
        <v>0</v>
      </c>
      <c s="6" r="BI451">
        <v>0</v>
      </c>
      <c s="6" r="BJ451">
        <v>0</v>
      </c>
      <c s="6" r="BK451">
        <v>0</v>
      </c>
      <c s="6" r="BL451">
        <v>0</v>
      </c>
      <c s="6" r="BM451">
        <v>0</v>
      </c>
      <c s="6" r="BN451">
        <v>0</v>
      </c>
      <c s="6" r="BO451">
        <v>0</v>
      </c>
      <c s="6" r="BP451">
        <v>0</v>
      </c>
      <c s="6" r="BQ451">
        <v>0</v>
      </c>
      <c t="str" s="6" r="BR451">
        <f>HYPERLINK("http://www.d20pfsrd.com/magic/all-spells/r/reverse-gravity","Reverse Gravity")</f>
        <v>Reverse Gravity</v>
      </c>
      <c s="6" r="BS451">
        <v>452</v>
      </c>
      <c t="s" s="6" r="BT451">
        <v>92</v>
      </c>
      <c t="s" s="6" r="BU451">
        <v>574</v>
      </c>
      <c t="s" s="6" r="BV451">
        <v>269</v>
      </c>
      <c t="s" s="6" r="BW451">
        <v>3682</v>
      </c>
      <c t="s" s="6" r="BX451">
        <v>3683</v>
      </c>
      <c s="6" r="BY451">
        <v>1</v>
      </c>
    </row>
    <row customHeight="1" r="452" ht="14.25">
      <c t="s" s="6" r="A452">
        <v>3684</v>
      </c>
      <c t="s" s="6" r="B452">
        <v>131</v>
      </c>
      <c t="s" s="6" r="E452">
        <v>851</v>
      </c>
      <c t="s" s="6" r="F452">
        <v>81</v>
      </c>
      <c t="s" s="6" r="G452">
        <v>119</v>
      </c>
      <c s="6" r="H452">
        <v>0</v>
      </c>
      <c t="s" s="6" r="I452">
        <v>155</v>
      </c>
      <c t="s" s="6" r="L452">
        <v>156</v>
      </c>
      <c t="s" s="6" r="M452">
        <v>99</v>
      </c>
      <c s="6" r="N452">
        <v>1</v>
      </c>
      <c s="6" r="O452">
        <v>0</v>
      </c>
      <c t="s" s="6" r="R452">
        <v>3685</v>
      </c>
      <c t="s" s="6" r="S452">
        <v>3686</v>
      </c>
      <c t="s" s="6" r="T452">
        <v>90</v>
      </c>
      <c t="s" s="6" r="U452">
        <v>3687</v>
      </c>
      <c s="6" r="V452">
        <v>1</v>
      </c>
      <c s="6" r="W452">
        <v>1</v>
      </c>
      <c s="6" r="X452">
        <v>0</v>
      </c>
      <c s="6" r="Y452">
        <v>0</v>
      </c>
      <c s="6" r="Z452">
        <v>1</v>
      </c>
      <c t="s" s="6" r="AA452">
        <v>92</v>
      </c>
      <c t="s" s="6" r="AB452">
        <v>92</v>
      </c>
      <c s="6" r="AC452">
        <v>5</v>
      </c>
      <c t="s" s="6" r="AD452">
        <v>92</v>
      </c>
      <c t="s" s="6" r="AE452">
        <v>92</v>
      </c>
      <c t="s" s="6" r="AF452">
        <v>92</v>
      </c>
      <c t="s" s="6" r="AG452">
        <v>92</v>
      </c>
      <c t="s" s="6" r="AH452">
        <v>92</v>
      </c>
      <c t="s" s="6" r="AI452">
        <v>92</v>
      </c>
      <c t="s" s="6" r="AJ452">
        <v>92</v>
      </c>
      <c s="6" r="AK452">
        <v>5</v>
      </c>
      <c s="6" r="AL452">
        <v>5</v>
      </c>
      <c t="s" s="6" r="AM452">
        <v>92</v>
      </c>
      <c t="s" s="6" r="AN452">
        <v>92</v>
      </c>
      <c s="6" r="AP452">
        <v>5</v>
      </c>
      <c t="s" s="6" r="AQ452">
        <v>3688</v>
      </c>
      <c t="s" s="6" r="AR452">
        <v>3689</v>
      </c>
      <c s="6" r="AS452">
        <v>0</v>
      </c>
      <c s="6" r="AT452">
        <v>0</v>
      </c>
      <c s="6" r="AU452">
        <v>0</v>
      </c>
      <c s="6" r="AV452">
        <v>0</v>
      </c>
      <c s="6" r="AW452">
        <v>0</v>
      </c>
      <c s="6" r="AX452">
        <v>0</v>
      </c>
      <c s="6" r="AY452">
        <v>0</v>
      </c>
      <c s="6" r="AZ452">
        <v>0</v>
      </c>
      <c s="6" r="BA452">
        <v>0</v>
      </c>
      <c s="6" r="BB452">
        <v>0</v>
      </c>
      <c s="6" r="BC452">
        <v>0</v>
      </c>
      <c s="6" r="BD452">
        <v>0</v>
      </c>
      <c s="6" r="BE452">
        <v>0</v>
      </c>
      <c s="6" r="BF452">
        <v>0</v>
      </c>
      <c s="6" r="BG452">
        <v>0</v>
      </c>
      <c s="6" r="BH452">
        <v>0</v>
      </c>
      <c s="6" r="BI452">
        <v>0</v>
      </c>
      <c s="6" r="BJ452">
        <v>0</v>
      </c>
      <c s="6" r="BK452">
        <v>0</v>
      </c>
      <c s="6" r="BL452">
        <v>0</v>
      </c>
      <c s="6" r="BM452">
        <v>0</v>
      </c>
      <c s="6" r="BN452">
        <v>0</v>
      </c>
      <c s="6" r="BO452">
        <v>0</v>
      </c>
      <c s="6" r="BP452">
        <v>0</v>
      </c>
      <c s="6" r="BQ452">
        <v>0</v>
      </c>
      <c t="str" s="6" r="BR452">
        <f>HYPERLINK("http://www.d20pfsrd.com/magic/all-spells/r/righteous-might","Righteous Might")</f>
        <v>Righteous Might</v>
      </c>
      <c s="6" r="BS452">
        <v>453</v>
      </c>
      <c t="s" s="6" r="BT452">
        <v>92</v>
      </c>
      <c t="s" s="6" r="BV452">
        <v>618</v>
      </c>
      <c s="6" r="BY452">
        <v>0</v>
      </c>
    </row>
    <row customHeight="1" r="453" ht="14.25">
      <c t="s" s="6" r="A453">
        <v>3690</v>
      </c>
      <c t="s" s="6" r="B453">
        <v>131</v>
      </c>
      <c t="s" s="6" r="E453">
        <v>320</v>
      </c>
      <c t="s" s="6" r="F453">
        <v>81</v>
      </c>
      <c t="s" s="6" r="G453">
        <v>3691</v>
      </c>
      <c s="6" r="H453">
        <v>0</v>
      </c>
      <c t="s" s="6" r="I453">
        <v>120</v>
      </c>
      <c t="s" s="6" r="L453">
        <v>3692</v>
      </c>
      <c t="s" s="6" r="M453">
        <v>209</v>
      </c>
      <c s="6" r="N453">
        <v>1</v>
      </c>
      <c s="6" r="O453">
        <v>0</v>
      </c>
      <c t="s" s="6" r="P453">
        <v>86</v>
      </c>
      <c t="s" s="6" r="Q453">
        <v>87</v>
      </c>
      <c t="s" s="6" r="R453">
        <v>3693</v>
      </c>
      <c t="s" s="6" r="S453">
        <v>3694</v>
      </c>
      <c t="s" s="6" r="T453">
        <v>90</v>
      </c>
      <c t="s" s="6" r="U453">
        <v>3695</v>
      </c>
      <c s="6" r="V453">
        <v>1</v>
      </c>
      <c s="6" r="W453">
        <v>1</v>
      </c>
      <c s="6" r="X453">
        <v>1</v>
      </c>
      <c s="6" r="Y453">
        <v>0</v>
      </c>
      <c s="6" r="Z453">
        <v>0</v>
      </c>
      <c s="6" r="AA453">
        <v>2</v>
      </c>
      <c s="6" r="AB453">
        <v>2</v>
      </c>
      <c t="s" s="6" r="AC453">
        <v>92</v>
      </c>
      <c t="s" s="6" r="AD453">
        <v>92</v>
      </c>
      <c t="s" s="6" r="AE453">
        <v>92</v>
      </c>
      <c t="s" s="6" r="AF453">
        <v>92</v>
      </c>
      <c t="s" s="6" r="AG453">
        <v>92</v>
      </c>
      <c t="s" s="6" r="AH453">
        <v>92</v>
      </c>
      <c t="s" s="6" r="AI453">
        <v>92</v>
      </c>
      <c t="s" s="6" r="AJ453">
        <v>92</v>
      </c>
      <c t="s" s="6" r="AK453">
        <v>92</v>
      </c>
      <c t="s" s="6" r="AL453">
        <v>92</v>
      </c>
      <c t="s" s="6" r="AM453">
        <v>92</v>
      </c>
      <c t="s" s="6" r="AN453">
        <v>92</v>
      </c>
      <c s="6" r="AP453">
        <v>2</v>
      </c>
      <c t="s" s="6" r="AR453">
        <v>3696</v>
      </c>
      <c s="6" r="AS453">
        <v>0</v>
      </c>
      <c s="6" r="AT453">
        <v>0</v>
      </c>
      <c s="6" r="AU453">
        <v>0</v>
      </c>
      <c s="6" r="AV453">
        <v>0</v>
      </c>
      <c s="6" r="AW453">
        <v>0</v>
      </c>
      <c s="6" r="AX453">
        <v>0</v>
      </c>
      <c s="6" r="AY453">
        <v>0</v>
      </c>
      <c s="6" r="AZ453">
        <v>0</v>
      </c>
      <c s="6" r="BA453">
        <v>0</v>
      </c>
      <c s="6" r="BB453">
        <v>0</v>
      </c>
      <c s="6" r="BC453">
        <v>0</v>
      </c>
      <c s="6" r="BD453">
        <v>0</v>
      </c>
      <c s="6" r="BE453">
        <v>0</v>
      </c>
      <c s="6" r="BF453">
        <v>0</v>
      </c>
      <c s="6" r="BG453">
        <v>0</v>
      </c>
      <c s="6" r="BH453">
        <v>0</v>
      </c>
      <c s="6" r="BI453">
        <v>0</v>
      </c>
      <c s="6" r="BJ453">
        <v>0</v>
      </c>
      <c s="6" r="BK453">
        <v>0</v>
      </c>
      <c s="6" r="BL453">
        <v>0</v>
      </c>
      <c s="6" r="BM453">
        <v>0</v>
      </c>
      <c s="6" r="BN453">
        <v>0</v>
      </c>
      <c s="6" r="BO453">
        <v>0</v>
      </c>
      <c s="6" r="BP453">
        <v>0</v>
      </c>
      <c s="6" r="BQ453">
        <v>0</v>
      </c>
      <c t="str" s="6" r="BR453">
        <f>HYPERLINK("http://www.d20pfsrd.com/magic/all-spells/r/rope-trick","Rope Trick")</f>
        <v>Rope Trick</v>
      </c>
      <c s="6" r="BS453">
        <v>454</v>
      </c>
      <c t="s" s="6" r="BT453">
        <v>92</v>
      </c>
      <c s="6" r="BY453">
        <v>0</v>
      </c>
    </row>
    <row customHeight="1" r="454" ht="14.25">
      <c t="s" s="6" r="A454">
        <v>3697</v>
      </c>
      <c t="s" s="6" r="B454">
        <v>131</v>
      </c>
      <c t="s" s="6" r="E454">
        <v>303</v>
      </c>
      <c t="s" s="6" r="F454">
        <v>81</v>
      </c>
      <c t="s" s="6" r="G454">
        <v>119</v>
      </c>
      <c s="6" r="H454">
        <v>0</v>
      </c>
      <c t="s" s="6" r="I454">
        <v>120</v>
      </c>
      <c t="s" s="6" r="L454">
        <v>3698</v>
      </c>
      <c t="s" s="6" r="M454">
        <v>141</v>
      </c>
      <c s="6" r="N454">
        <v>0</v>
      </c>
      <c s="6" r="O454">
        <v>0</v>
      </c>
      <c t="s" s="6" r="P454">
        <v>86</v>
      </c>
      <c t="s" s="6" r="Q454">
        <v>87</v>
      </c>
      <c t="s" s="6" r="R454">
        <v>3699</v>
      </c>
      <c t="s" s="6" r="S454">
        <v>3700</v>
      </c>
      <c t="s" s="6" r="T454">
        <v>90</v>
      </c>
      <c t="s" s="6" r="U454">
        <v>3701</v>
      </c>
      <c s="6" r="V454">
        <v>1</v>
      </c>
      <c s="6" r="W454">
        <v>1</v>
      </c>
      <c s="6" r="X454">
        <v>0</v>
      </c>
      <c s="6" r="Y454">
        <v>0</v>
      </c>
      <c s="6" r="Z454">
        <v>1</v>
      </c>
      <c t="s" s="6" r="AA454">
        <v>92</v>
      </c>
      <c t="s" s="6" r="AB454">
        <v>92</v>
      </c>
      <c t="s" s="6" r="AC454">
        <v>92</v>
      </c>
      <c s="6" r="AD454">
        <v>4</v>
      </c>
      <c t="s" s="6" r="AE454">
        <v>92</v>
      </c>
      <c t="s" s="6" r="AF454">
        <v>92</v>
      </c>
      <c t="s" s="6" r="AG454">
        <v>92</v>
      </c>
      <c t="s" s="6" r="AH454">
        <v>92</v>
      </c>
      <c t="s" s="6" r="AI454">
        <v>92</v>
      </c>
      <c t="s" s="6" r="AJ454">
        <v>92</v>
      </c>
      <c t="s" s="6" r="AK454">
        <v>92</v>
      </c>
      <c t="s" s="6" r="AL454">
        <v>92</v>
      </c>
      <c t="s" s="6" r="AM454">
        <v>92</v>
      </c>
      <c t="s" s="6" r="AN454">
        <v>92</v>
      </c>
      <c s="6" r="AP454">
        <v>4</v>
      </c>
      <c t="s" s="6" r="AR454">
        <v>3702</v>
      </c>
      <c s="6" r="AS454">
        <v>0</v>
      </c>
      <c s="6" r="AT454">
        <v>0</v>
      </c>
      <c s="6" r="AU454">
        <v>0</v>
      </c>
      <c s="6" r="AV454">
        <v>0</v>
      </c>
      <c s="6" r="AW454">
        <v>0</v>
      </c>
      <c s="6" r="AX454">
        <v>0</v>
      </c>
      <c s="6" r="AY454">
        <v>0</v>
      </c>
      <c s="6" r="AZ454">
        <v>0</v>
      </c>
      <c s="6" r="BA454">
        <v>0</v>
      </c>
      <c s="6" r="BB454">
        <v>0</v>
      </c>
      <c s="6" r="BC454">
        <v>0</v>
      </c>
      <c s="6" r="BD454">
        <v>0</v>
      </c>
      <c s="6" r="BE454">
        <v>0</v>
      </c>
      <c s="6" r="BF454">
        <v>0</v>
      </c>
      <c s="6" r="BG454">
        <v>0</v>
      </c>
      <c s="6" r="BH454">
        <v>0</v>
      </c>
      <c s="6" r="BI454">
        <v>0</v>
      </c>
      <c s="6" r="BJ454">
        <v>0</v>
      </c>
      <c s="6" r="BK454">
        <v>0</v>
      </c>
      <c s="6" r="BL454">
        <v>0</v>
      </c>
      <c s="6" r="BM454">
        <v>0</v>
      </c>
      <c s="6" r="BN454">
        <v>0</v>
      </c>
      <c s="6" r="BO454">
        <v>0</v>
      </c>
      <c s="6" r="BP454">
        <v>0</v>
      </c>
      <c s="6" r="BQ454">
        <v>0</v>
      </c>
      <c t="str" s="6" r="BR454">
        <f>HYPERLINK("http://www.d20pfsrd.com/magic/all-spells/r/rusting-grasp","Rusting Grasp")</f>
        <v>Rusting Grasp</v>
      </c>
      <c s="6" r="BS454">
        <v>455</v>
      </c>
      <c t="s" s="6" r="BT454">
        <v>92</v>
      </c>
      <c s="6" r="BY454">
        <v>0</v>
      </c>
    </row>
    <row customHeight="1" r="455" ht="14.25">
      <c t="s" s="6" r="A455">
        <v>3703</v>
      </c>
      <c t="s" s="6" r="B455">
        <v>162</v>
      </c>
      <c t="s" s="6" r="E455">
        <v>3704</v>
      </c>
      <c t="s" s="6" r="F455">
        <v>81</v>
      </c>
      <c t="s" s="6" r="G455">
        <v>119</v>
      </c>
      <c s="6" r="H455">
        <v>0</v>
      </c>
      <c t="s" s="6" r="I455">
        <v>120</v>
      </c>
      <c t="s" s="6" r="L455">
        <v>420</v>
      </c>
      <c t="s" s="6" r="M455">
        <v>99</v>
      </c>
      <c s="6" r="N455">
        <v>0</v>
      </c>
      <c s="6" r="O455">
        <v>0</v>
      </c>
      <c t="s" s="6" r="P455">
        <v>221</v>
      </c>
      <c t="s" s="6" r="Q455">
        <v>87</v>
      </c>
      <c t="s" s="6" r="R455">
        <v>3705</v>
      </c>
      <c t="s" s="6" r="S455">
        <v>3706</v>
      </c>
      <c t="s" s="6" r="T455">
        <v>90</v>
      </c>
      <c t="s" s="6" r="U455">
        <v>3707</v>
      </c>
      <c s="6" r="V455">
        <v>1</v>
      </c>
      <c s="6" r="W455">
        <v>1</v>
      </c>
      <c s="6" r="X455">
        <v>0</v>
      </c>
      <c s="6" r="Y455">
        <v>0</v>
      </c>
      <c s="6" r="Z455">
        <v>1</v>
      </c>
      <c t="s" s="6" r="AA455">
        <v>92</v>
      </c>
      <c t="s" s="6" r="AB455">
        <v>92</v>
      </c>
      <c s="6" r="AC455">
        <v>1</v>
      </c>
      <c t="s" s="6" r="AD455">
        <v>92</v>
      </c>
      <c t="s" s="6" r="AE455">
        <v>92</v>
      </c>
      <c t="s" s="6" r="AF455">
        <v>92</v>
      </c>
      <c t="s" s="6" r="AG455">
        <v>92</v>
      </c>
      <c t="s" s="6" r="AH455">
        <v>92</v>
      </c>
      <c t="s" s="6" r="AI455">
        <v>92</v>
      </c>
      <c t="s" s="6" r="AJ455">
        <v>92</v>
      </c>
      <c s="6" r="AK455">
        <v>1</v>
      </c>
      <c s="6" r="AL455">
        <v>1</v>
      </c>
      <c t="s" s="6" r="AM455">
        <v>92</v>
      </c>
      <c t="s" s="6" r="AN455">
        <v>92</v>
      </c>
      <c s="6" r="AP455">
        <v>1</v>
      </c>
      <c t="s" s="6" r="AQ455">
        <v>3708</v>
      </c>
      <c t="s" s="6" r="AR455">
        <v>3709</v>
      </c>
      <c s="6" r="AS455">
        <v>0</v>
      </c>
      <c s="6" r="AT455">
        <v>0</v>
      </c>
      <c s="6" r="AU455">
        <v>0</v>
      </c>
      <c s="6" r="AV455">
        <v>0</v>
      </c>
      <c s="6" r="AW455">
        <v>0</v>
      </c>
      <c s="6" r="AX455">
        <v>0</v>
      </c>
      <c s="6" r="AY455">
        <v>0</v>
      </c>
      <c s="6" r="AZ455">
        <v>0</v>
      </c>
      <c s="6" r="BA455">
        <v>0</v>
      </c>
      <c s="6" r="BB455">
        <v>0</v>
      </c>
      <c s="6" r="BC455">
        <v>0</v>
      </c>
      <c s="6" r="BD455">
        <v>0</v>
      </c>
      <c s="6" r="BE455">
        <v>0</v>
      </c>
      <c s="6" r="BF455">
        <v>0</v>
      </c>
      <c s="6" r="BG455">
        <v>0</v>
      </c>
      <c s="6" r="BH455">
        <v>0</v>
      </c>
      <c s="6" r="BI455">
        <v>0</v>
      </c>
      <c s="6" r="BJ455">
        <v>0</v>
      </c>
      <c s="6" r="BK455">
        <v>0</v>
      </c>
      <c s="6" r="BL455">
        <v>0</v>
      </c>
      <c s="6" r="BM455">
        <v>0</v>
      </c>
      <c s="6" r="BN455">
        <v>0</v>
      </c>
      <c s="6" r="BO455">
        <v>0</v>
      </c>
      <c s="6" r="BP455">
        <v>0</v>
      </c>
      <c s="6" r="BQ455">
        <v>0</v>
      </c>
      <c t="str" s="6" r="BR455">
        <f>HYPERLINK("http://www.d20pfsrd.com/magic/all-spells/s/sanctuary","Sanctuary")</f>
        <v>Sanctuary</v>
      </c>
      <c s="6" r="BS455">
        <v>456</v>
      </c>
      <c t="s" s="6" r="BT455">
        <v>92</v>
      </c>
      <c t="s" s="6" r="BV455">
        <v>301</v>
      </c>
      <c t="s" s="6" r="BW455">
        <v>3710</v>
      </c>
      <c t="s" s="6" r="BX455">
        <v>3711</v>
      </c>
      <c s="6" r="BY455">
        <v>1</v>
      </c>
    </row>
    <row customHeight="1" r="456" ht="14.25">
      <c t="s" s="6" r="A456">
        <v>3712</v>
      </c>
      <c t="s" s="6" r="B456">
        <v>227</v>
      </c>
      <c t="s" s="6" r="D456">
        <v>3713</v>
      </c>
      <c t="s" s="6" r="E456">
        <v>3714</v>
      </c>
      <c t="s" s="6" r="F456">
        <v>81</v>
      </c>
      <c t="s" s="6" r="G456">
        <v>3715</v>
      </c>
      <c s="6" r="H456">
        <v>0</v>
      </c>
      <c t="s" s="6" r="I456">
        <v>97</v>
      </c>
      <c t="s" s="6" r="L456">
        <v>3716</v>
      </c>
      <c t="s" s="6" r="M456">
        <v>3717</v>
      </c>
      <c s="6" r="N456">
        <v>0</v>
      </c>
      <c s="6" r="O456">
        <v>0</v>
      </c>
      <c t="s" s="6" r="P456">
        <v>296</v>
      </c>
      <c t="s" s="6" r="Q456">
        <v>188</v>
      </c>
      <c t="s" s="6" r="R456">
        <v>3718</v>
      </c>
      <c t="s" s="6" r="S456">
        <v>3719</v>
      </c>
      <c t="s" s="6" r="T456">
        <v>90</v>
      </c>
      <c t="s" s="6" r="U456">
        <v>3720</v>
      </c>
      <c s="6" r="V456">
        <v>1</v>
      </c>
      <c s="6" r="W456">
        <v>1</v>
      </c>
      <c s="6" r="X456">
        <v>1</v>
      </c>
      <c s="6" r="Y456">
        <v>0</v>
      </c>
      <c s="6" r="Z456">
        <v>0</v>
      </c>
      <c s="6" r="AA456">
        <v>2</v>
      </c>
      <c s="6" r="AB456">
        <v>2</v>
      </c>
      <c t="s" s="6" r="AC456">
        <v>92</v>
      </c>
      <c t="s" s="6" r="AD456">
        <v>92</v>
      </c>
      <c t="s" s="6" r="AE456">
        <v>92</v>
      </c>
      <c s="6" r="AF456">
        <v>2</v>
      </c>
      <c t="s" s="6" r="AG456">
        <v>92</v>
      </c>
      <c t="s" s="6" r="AH456">
        <v>92</v>
      </c>
      <c t="s" s="6" r="AI456">
        <v>92</v>
      </c>
      <c s="6" r="AJ456">
        <v>2</v>
      </c>
      <c t="s" s="6" r="AK456">
        <v>92</v>
      </c>
      <c t="s" s="6" r="AL456">
        <v>92</v>
      </c>
      <c s="6" r="AM456">
        <v>2</v>
      </c>
      <c t="s" s="6" r="AN456">
        <v>92</v>
      </c>
      <c s="6" r="AP456">
        <v>2</v>
      </c>
      <c t="s" s="6" r="AR456">
        <v>3721</v>
      </c>
      <c s="6" r="AS456">
        <v>0</v>
      </c>
      <c s="6" r="AT456">
        <v>0</v>
      </c>
      <c s="6" r="AU456">
        <v>0</v>
      </c>
      <c s="6" r="AV456">
        <v>0</v>
      </c>
      <c s="6" r="AW456">
        <v>0</v>
      </c>
      <c s="6" r="AX456">
        <v>0</v>
      </c>
      <c s="6" r="AY456">
        <v>0</v>
      </c>
      <c s="6" r="AZ456">
        <v>0</v>
      </c>
      <c s="6" r="BA456">
        <v>0</v>
      </c>
      <c s="6" r="BB456">
        <v>0</v>
      </c>
      <c s="6" r="BC456">
        <v>1</v>
      </c>
      <c s="6" r="BD456">
        <v>0</v>
      </c>
      <c s="6" r="BE456">
        <v>1</v>
      </c>
      <c s="6" r="BF456">
        <v>0</v>
      </c>
      <c s="6" r="BG456">
        <v>0</v>
      </c>
      <c s="6" r="BH456">
        <v>0</v>
      </c>
      <c s="6" r="BI456">
        <v>0</v>
      </c>
      <c s="6" r="BJ456">
        <v>0</v>
      </c>
      <c s="6" r="BK456">
        <v>0</v>
      </c>
      <c s="6" r="BL456">
        <v>1</v>
      </c>
      <c s="6" r="BM456">
        <v>0</v>
      </c>
      <c s="6" r="BN456">
        <v>0</v>
      </c>
      <c s="6" r="BO456">
        <v>0</v>
      </c>
      <c s="6" r="BP456">
        <v>0</v>
      </c>
      <c s="6" r="BQ456">
        <v>0</v>
      </c>
      <c t="str" s="6" r="BR456">
        <f>HYPERLINK("http://www.d20pfsrd.com/magic/all-spells/s/scare","Scare")</f>
        <v>Scare</v>
      </c>
      <c s="6" r="BS456">
        <v>457</v>
      </c>
      <c t="s" s="6" r="BT456">
        <v>92</v>
      </c>
      <c s="6" r="BY456">
        <v>0</v>
      </c>
    </row>
    <row customHeight="1" r="457" ht="14.25">
      <c t="s" s="6" r="A457">
        <v>3722</v>
      </c>
      <c t="s" s="6" r="B457">
        <v>579</v>
      </c>
      <c t="s" s="6" r="C457">
        <v>831</v>
      </c>
      <c t="s" s="6" r="D457">
        <v>117</v>
      </c>
      <c t="s" s="6" r="E457">
        <v>794</v>
      </c>
      <c t="s" s="6" r="F457">
        <v>81</v>
      </c>
      <c t="s" s="6" r="G457">
        <v>3723</v>
      </c>
      <c s="6" r="H457">
        <v>0</v>
      </c>
      <c t="s" s="6" r="I457">
        <v>107</v>
      </c>
      <c t="s" s="6" r="K457">
        <v>3724</v>
      </c>
      <c t="s" s="6" r="M457">
        <v>2957</v>
      </c>
      <c s="6" r="N457">
        <v>0</v>
      </c>
      <c s="6" r="O457">
        <v>0</v>
      </c>
      <c t="s" s="6" r="P457">
        <v>86</v>
      </c>
      <c t="s" s="6" r="Q457">
        <v>188</v>
      </c>
      <c t="s" s="6" r="R457">
        <v>3725</v>
      </c>
      <c t="s" s="6" r="S457">
        <v>3726</v>
      </c>
      <c t="s" s="6" r="T457">
        <v>90</v>
      </c>
      <c t="s" s="6" r="U457">
        <v>3727</v>
      </c>
      <c s="6" r="V457">
        <v>1</v>
      </c>
      <c s="6" r="W457">
        <v>1</v>
      </c>
      <c s="6" r="X457">
        <v>1</v>
      </c>
      <c s="6" r="Y457">
        <v>0</v>
      </c>
      <c s="6" r="Z457">
        <v>0</v>
      </c>
      <c s="6" r="AA457">
        <v>8</v>
      </c>
      <c s="6" r="AB457">
        <v>8</v>
      </c>
      <c t="s" s="6" r="AC457">
        <v>92</v>
      </c>
      <c t="s" s="6" r="AD457">
        <v>92</v>
      </c>
      <c t="s" s="6" r="AE457">
        <v>92</v>
      </c>
      <c t="s" s="6" r="AF457">
        <v>92</v>
      </c>
      <c t="s" s="6" r="AG457">
        <v>92</v>
      </c>
      <c t="s" s="6" r="AH457">
        <v>92</v>
      </c>
      <c t="s" s="6" r="AI457">
        <v>92</v>
      </c>
      <c t="s" s="6" r="AJ457">
        <v>92</v>
      </c>
      <c t="s" s="6" r="AK457">
        <v>92</v>
      </c>
      <c t="s" s="6" r="AL457">
        <v>92</v>
      </c>
      <c t="s" s="6" r="AM457">
        <v>92</v>
      </c>
      <c t="s" s="6" r="AN457">
        <v>92</v>
      </c>
      <c s="6" r="AP457">
        <v>8</v>
      </c>
      <c t="s" s="6" r="AQ457">
        <v>3728</v>
      </c>
      <c t="s" s="6" r="AR457">
        <v>3729</v>
      </c>
      <c s="6" r="AS457">
        <v>0</v>
      </c>
      <c s="6" r="AT457">
        <v>0</v>
      </c>
      <c s="6" r="AU457">
        <v>0</v>
      </c>
      <c s="6" r="AV457">
        <v>0</v>
      </c>
      <c s="6" r="AW457">
        <v>0</v>
      </c>
      <c s="6" r="AX457">
        <v>0</v>
      </c>
      <c s="6" r="AY457">
        <v>0</v>
      </c>
      <c s="6" r="AZ457">
        <v>0</v>
      </c>
      <c s="6" r="BA457">
        <v>0</v>
      </c>
      <c s="6" r="BB457">
        <v>0</v>
      </c>
      <c s="6" r="BC457">
        <v>0</v>
      </c>
      <c s="6" r="BD457">
        <v>0</v>
      </c>
      <c s="6" r="BE457">
        <v>0</v>
      </c>
      <c s="6" r="BF457">
        <v>0</v>
      </c>
      <c s="6" r="BG457">
        <v>0</v>
      </c>
      <c s="6" r="BH457">
        <v>0</v>
      </c>
      <c s="6" r="BI457">
        <v>0</v>
      </c>
      <c s="6" r="BJ457">
        <v>0</v>
      </c>
      <c s="6" r="BK457">
        <v>0</v>
      </c>
      <c s="6" r="BL457">
        <v>1</v>
      </c>
      <c s="6" r="BM457">
        <v>0</v>
      </c>
      <c s="6" r="BN457">
        <v>0</v>
      </c>
      <c s="6" r="BO457">
        <v>0</v>
      </c>
      <c s="6" r="BP457">
        <v>0</v>
      </c>
      <c s="6" r="BQ457">
        <v>0</v>
      </c>
      <c t="str" s="6" r="BR457">
        <f>HYPERLINK("http://www.d20pfsrd.com/magic/all-spells/s/scintillating-pattern","Scintillating Pattern")</f>
        <v>Scintillating Pattern</v>
      </c>
      <c s="6" r="BS457">
        <v>458</v>
      </c>
      <c t="s" s="6" r="BT457">
        <v>92</v>
      </c>
      <c t="s" s="6" r="BV457">
        <v>575</v>
      </c>
      <c s="6" r="BY457">
        <v>0</v>
      </c>
    </row>
    <row customHeight="1" r="458" ht="14.25">
      <c t="s" s="6" r="A458">
        <v>3730</v>
      </c>
      <c t="s" s="6" r="B458">
        <v>493</v>
      </c>
      <c t="s" s="6" r="D458">
        <v>57</v>
      </c>
      <c t="s" s="6" r="E458">
        <v>80</v>
      </c>
      <c t="s" s="6" r="F458">
        <v>81</v>
      </c>
      <c t="s" s="6" r="G458">
        <v>106</v>
      </c>
      <c s="6" r="H458">
        <v>0</v>
      </c>
      <c t="s" s="6" r="I458">
        <v>107</v>
      </c>
      <c t="s" s="6" r="K458">
        <v>3731</v>
      </c>
      <c t="s" s="6" r="M458">
        <v>109</v>
      </c>
      <c s="6" r="N458">
        <v>0</v>
      </c>
      <c s="6" r="O458">
        <v>0</v>
      </c>
      <c t="s" s="6" r="P458">
        <v>86</v>
      </c>
      <c t="s" s="6" r="Q458">
        <v>188</v>
      </c>
      <c t="s" s="6" r="R458">
        <v>3732</v>
      </c>
      <c t="s" s="6" r="S458">
        <v>3733</v>
      </c>
      <c t="s" s="6" r="T458">
        <v>90</v>
      </c>
      <c t="s" s="6" r="U458">
        <v>3734</v>
      </c>
      <c s="6" r="V458">
        <v>1</v>
      </c>
      <c s="6" r="W458">
        <v>1</v>
      </c>
      <c s="6" r="X458">
        <v>0</v>
      </c>
      <c s="6" r="Y458">
        <v>0</v>
      </c>
      <c s="6" r="Z458">
        <v>0</v>
      </c>
      <c s="6" r="AA458">
        <v>2</v>
      </c>
      <c s="6" r="AB458">
        <v>2</v>
      </c>
      <c t="s" s="6" r="AC458">
        <v>92</v>
      </c>
      <c t="s" s="6" r="AD458">
        <v>92</v>
      </c>
      <c t="s" s="6" r="AE458">
        <v>92</v>
      </c>
      <c t="s" s="6" r="AF458">
        <v>92</v>
      </c>
      <c t="s" s="6" r="AG458">
        <v>92</v>
      </c>
      <c t="s" s="6" r="AH458">
        <v>92</v>
      </c>
      <c t="s" s="6" r="AI458">
        <v>92</v>
      </c>
      <c t="s" s="6" r="AJ458">
        <v>92</v>
      </c>
      <c t="s" s="6" r="AK458">
        <v>92</v>
      </c>
      <c t="s" s="6" r="AL458">
        <v>92</v>
      </c>
      <c t="s" s="6" r="AM458">
        <v>92</v>
      </c>
      <c s="6" r="AN458">
        <v>2</v>
      </c>
      <c s="6" r="AP458">
        <v>2</v>
      </c>
      <c t="s" s="6" r="AR458">
        <v>3735</v>
      </c>
      <c s="6" r="AS458">
        <v>0</v>
      </c>
      <c s="6" r="AT458">
        <v>0</v>
      </c>
      <c s="6" r="AU458">
        <v>0</v>
      </c>
      <c s="6" r="AV458">
        <v>0</v>
      </c>
      <c s="6" r="AW458">
        <v>0</v>
      </c>
      <c s="6" r="AX458">
        <v>0</v>
      </c>
      <c s="6" r="AY458">
        <v>0</v>
      </c>
      <c s="6" r="AZ458">
        <v>0</v>
      </c>
      <c s="6" r="BA458">
        <v>0</v>
      </c>
      <c s="6" r="BB458">
        <v>0</v>
      </c>
      <c s="6" r="BC458">
        <v>0</v>
      </c>
      <c s="6" r="BD458">
        <v>0</v>
      </c>
      <c s="6" r="BE458">
        <v>0</v>
      </c>
      <c s="6" r="BF458">
        <v>1</v>
      </c>
      <c s="6" r="BG458">
        <v>0</v>
      </c>
      <c s="6" r="BH458">
        <v>0</v>
      </c>
      <c s="6" r="BI458">
        <v>0</v>
      </c>
      <c s="6" r="BJ458">
        <v>0</v>
      </c>
      <c s="6" r="BK458">
        <v>0</v>
      </c>
      <c s="6" r="BL458">
        <v>0</v>
      </c>
      <c s="6" r="BM458">
        <v>0</v>
      </c>
      <c s="6" r="BN458">
        <v>0</v>
      </c>
      <c s="6" r="BO458">
        <v>0</v>
      </c>
      <c s="6" r="BP458">
        <v>0</v>
      </c>
      <c s="6" r="BQ458">
        <v>0</v>
      </c>
      <c t="str" s="6" r="BR458">
        <f>HYPERLINK("http://www.d20pfsrd.com/magic/all-spells/s/scorching-ray","Scorching Ray")</f>
        <v>Scorching Ray</v>
      </c>
      <c s="6" r="BS458">
        <v>459</v>
      </c>
      <c t="s" s="6" r="BT458">
        <v>92</v>
      </c>
      <c t="s" s="6" r="BU458">
        <v>3736</v>
      </c>
      <c t="s" s="6" r="BW458">
        <v>3737</v>
      </c>
      <c s="6" r="BY458">
        <v>1</v>
      </c>
    </row>
    <row customHeight="1" r="459" ht="14.25">
      <c t="s" s="6" r="A459">
        <v>3738</v>
      </c>
      <c t="s" s="6" r="B459">
        <v>579</v>
      </c>
      <c t="s" s="6" r="C459">
        <v>580</v>
      </c>
      <c t="s" s="6" r="E459">
        <v>794</v>
      </c>
      <c t="s" s="6" r="F459">
        <v>311</v>
      </c>
      <c t="s" s="6" r="G459">
        <v>106</v>
      </c>
      <c s="6" r="H459">
        <v>0</v>
      </c>
      <c t="s" s="6" r="I459">
        <v>107</v>
      </c>
      <c t="s" s="6" r="J459">
        <v>2748</v>
      </c>
      <c t="s" s="6" r="M459">
        <v>379</v>
      </c>
      <c s="6" r="N459">
        <v>0</v>
      </c>
      <c s="6" r="O459">
        <v>1</v>
      </c>
      <c t="s" s="6" r="P459">
        <v>2994</v>
      </c>
      <c t="s" s="6" r="Q459">
        <v>87</v>
      </c>
      <c t="s" s="6" r="R459">
        <v>3739</v>
      </c>
      <c t="s" s="6" r="S459">
        <v>3740</v>
      </c>
      <c t="s" s="6" r="T459">
        <v>90</v>
      </c>
      <c t="s" s="6" r="U459">
        <v>3741</v>
      </c>
      <c s="6" r="V459">
        <v>1</v>
      </c>
      <c s="6" r="W459">
        <v>1</v>
      </c>
      <c s="6" r="X459">
        <v>0</v>
      </c>
      <c s="6" r="Y459">
        <v>0</v>
      </c>
      <c s="6" r="Z459">
        <v>0</v>
      </c>
      <c s="6" r="AA459">
        <v>8</v>
      </c>
      <c s="6" r="AB459">
        <v>8</v>
      </c>
      <c t="s" s="6" r="AC459">
        <v>92</v>
      </c>
      <c t="s" s="6" r="AD459">
        <v>92</v>
      </c>
      <c t="s" s="6" r="AE459">
        <v>92</v>
      </c>
      <c t="s" s="6" r="AF459">
        <v>92</v>
      </c>
      <c t="s" s="6" r="AG459">
        <v>92</v>
      </c>
      <c t="s" s="6" r="AH459">
        <v>92</v>
      </c>
      <c t="s" s="6" r="AI459">
        <v>92</v>
      </c>
      <c t="s" s="6" r="AJ459">
        <v>92</v>
      </c>
      <c t="s" s="6" r="AK459">
        <v>92</v>
      </c>
      <c t="s" s="6" r="AL459">
        <v>92</v>
      </c>
      <c t="s" s="6" r="AM459">
        <v>92</v>
      </c>
      <c t="s" s="6" r="AN459">
        <v>92</v>
      </c>
      <c s="6" r="AP459">
        <v>8</v>
      </c>
      <c t="s" s="6" r="AQ459">
        <v>269</v>
      </c>
      <c t="s" s="6" r="AR459">
        <v>3742</v>
      </c>
      <c s="6" r="AS459">
        <v>0</v>
      </c>
      <c s="6" r="AT459">
        <v>0</v>
      </c>
      <c s="6" r="AU459">
        <v>0</v>
      </c>
      <c s="6" r="AV459">
        <v>0</v>
      </c>
      <c s="6" r="AW459">
        <v>0</v>
      </c>
      <c s="6" r="AX459">
        <v>0</v>
      </c>
      <c s="6" r="AY459">
        <v>0</v>
      </c>
      <c s="6" r="AZ459">
        <v>0</v>
      </c>
      <c s="6" r="BA459">
        <v>0</v>
      </c>
      <c s="6" r="BB459">
        <v>0</v>
      </c>
      <c s="6" r="BC459">
        <v>0</v>
      </c>
      <c s="6" r="BD459">
        <v>0</v>
      </c>
      <c s="6" r="BE459">
        <v>0</v>
      </c>
      <c s="6" r="BF459">
        <v>0</v>
      </c>
      <c s="6" r="BG459">
        <v>0</v>
      </c>
      <c s="6" r="BH459">
        <v>0</v>
      </c>
      <c s="6" r="BI459">
        <v>0</v>
      </c>
      <c s="6" r="BJ459">
        <v>0</v>
      </c>
      <c s="6" r="BK459">
        <v>0</v>
      </c>
      <c s="6" r="BL459">
        <v>0</v>
      </c>
      <c s="6" r="BM459">
        <v>0</v>
      </c>
      <c s="6" r="BN459">
        <v>0</v>
      </c>
      <c s="6" r="BO459">
        <v>0</v>
      </c>
      <c s="6" r="BP459">
        <v>0</v>
      </c>
      <c s="6" r="BQ459">
        <v>0</v>
      </c>
      <c t="str" s="6" r="BR459">
        <f>HYPERLINK("http://www.d20pfsrd.com/magic/all-spells/s/screen","Screen")</f>
        <v>Screen</v>
      </c>
      <c s="6" r="BS459">
        <v>460</v>
      </c>
      <c t="s" s="6" r="BT459">
        <v>92</v>
      </c>
      <c t="s" s="6" r="BV459">
        <v>269</v>
      </c>
      <c s="6" r="BY459">
        <v>0</v>
      </c>
    </row>
    <row customHeight="1" r="460" ht="14.25">
      <c t="s" s="6" r="A460">
        <v>3743</v>
      </c>
      <c t="s" s="6" r="B460">
        <v>174</v>
      </c>
      <c t="s" s="6" r="C460">
        <v>309</v>
      </c>
      <c t="s" s="6" r="E460">
        <v>3744</v>
      </c>
      <c t="s" s="6" r="F460">
        <v>293</v>
      </c>
      <c t="s" s="6" r="G460">
        <v>3745</v>
      </c>
      <c s="6" r="H460">
        <v>1</v>
      </c>
      <c t="s" s="6" r="I460">
        <v>141</v>
      </c>
      <c t="s" s="6" r="K460">
        <v>314</v>
      </c>
      <c t="s" s="6" r="M460">
        <v>122</v>
      </c>
      <c s="6" r="N460">
        <v>0</v>
      </c>
      <c s="6" r="O460">
        <v>0</v>
      </c>
      <c t="s" s="6" r="P460">
        <v>221</v>
      </c>
      <c t="s" s="6" r="Q460">
        <v>188</v>
      </c>
      <c t="s" s="6" r="R460">
        <v>3746</v>
      </c>
      <c t="s" s="6" r="S460">
        <v>3747</v>
      </c>
      <c t="s" s="6" r="T460">
        <v>90</v>
      </c>
      <c t="s" s="6" r="U460">
        <v>3748</v>
      </c>
      <c s="6" r="V460">
        <v>1</v>
      </c>
      <c s="6" r="W460">
        <v>1</v>
      </c>
      <c s="6" r="X460">
        <v>1</v>
      </c>
      <c s="6" r="Y460">
        <v>0</v>
      </c>
      <c s="6" r="Z460">
        <v>1</v>
      </c>
      <c s="6" r="AA460">
        <v>4</v>
      </c>
      <c s="6" r="AB460">
        <v>4</v>
      </c>
      <c s="6" r="AC460">
        <v>5</v>
      </c>
      <c s="6" r="AD460">
        <v>4</v>
      </c>
      <c t="s" s="6" r="AE460">
        <v>92</v>
      </c>
      <c s="6" r="AF460">
        <v>3</v>
      </c>
      <c t="s" s="6" r="AG460">
        <v>92</v>
      </c>
      <c t="s" s="6" r="AH460">
        <v>92</v>
      </c>
      <c t="s" s="6" r="AI460">
        <v>92</v>
      </c>
      <c s="6" r="AJ460">
        <v>4</v>
      </c>
      <c t="s" s="6" r="AK460">
        <v>92</v>
      </c>
      <c s="6" r="AL460">
        <v>5</v>
      </c>
      <c t="s" s="6" r="AM460">
        <v>92</v>
      </c>
      <c t="s" s="6" r="AN460">
        <v>92</v>
      </c>
      <c s="6" r="AP460">
        <v>4</v>
      </c>
      <c t="s" s="6" r="AR460">
        <v>3749</v>
      </c>
      <c s="6" r="AS460">
        <v>0</v>
      </c>
      <c s="6" r="AT460">
        <v>0</v>
      </c>
      <c s="6" r="AU460">
        <v>0</v>
      </c>
      <c s="6" r="AV460">
        <v>0</v>
      </c>
      <c s="6" r="AW460">
        <v>0</v>
      </c>
      <c s="6" r="AX460">
        <v>0</v>
      </c>
      <c s="6" r="AY460">
        <v>0</v>
      </c>
      <c s="6" r="AZ460">
        <v>0</v>
      </c>
      <c s="6" r="BA460">
        <v>0</v>
      </c>
      <c s="6" r="BB460">
        <v>0</v>
      </c>
      <c s="6" r="BC460">
        <v>0</v>
      </c>
      <c s="6" r="BD460">
        <v>0</v>
      </c>
      <c s="6" r="BE460">
        <v>0</v>
      </c>
      <c s="6" r="BF460">
        <v>0</v>
      </c>
      <c s="6" r="BG460">
        <v>0</v>
      </c>
      <c s="6" r="BH460">
        <v>0</v>
      </c>
      <c s="6" r="BI460">
        <v>0</v>
      </c>
      <c s="6" r="BJ460">
        <v>0</v>
      </c>
      <c s="6" r="BK460">
        <v>0</v>
      </c>
      <c s="6" r="BL460">
        <v>0</v>
      </c>
      <c s="6" r="BM460">
        <v>0</v>
      </c>
      <c s="6" r="BN460">
        <v>0</v>
      </c>
      <c s="6" r="BO460">
        <v>0</v>
      </c>
      <c s="6" r="BP460">
        <v>0</v>
      </c>
      <c s="6" r="BQ460">
        <v>0</v>
      </c>
      <c t="str" s="6" r="BR460">
        <f>HYPERLINK("http://www.d20pfsrd.com/magic/all-spells/s/scrying","Scrying")</f>
        <v>Scrying</v>
      </c>
      <c s="6" r="BS460">
        <v>461</v>
      </c>
      <c s="6" r="BT460">
        <v>1000</v>
      </c>
      <c s="6" r="BY460">
        <v>0</v>
      </c>
    </row>
    <row customHeight="1" r="461" ht="14.25">
      <c t="s" s="6" r="A461">
        <v>3750</v>
      </c>
      <c t="s" s="6" r="B461">
        <v>174</v>
      </c>
      <c t="s" s="6" r="C461">
        <v>309</v>
      </c>
      <c t="s" s="6" r="E461">
        <v>3751</v>
      </c>
      <c t="s" s="6" r="F461">
        <v>81</v>
      </c>
      <c t="s" s="6" r="G461">
        <v>106</v>
      </c>
      <c s="6" r="H461">
        <v>0</v>
      </c>
      <c t="s" s="6" r="I461">
        <v>141</v>
      </c>
      <c t="s" s="6" r="K461">
        <v>314</v>
      </c>
      <c t="s" s="6" r="M461">
        <v>209</v>
      </c>
      <c s="6" r="N461">
        <v>0</v>
      </c>
      <c s="6" r="O461">
        <v>0</v>
      </c>
      <c t="s" s="6" r="P461">
        <v>221</v>
      </c>
      <c t="s" s="6" r="Q461">
        <v>188</v>
      </c>
      <c t="s" s="6" r="R461">
        <v>3752</v>
      </c>
      <c t="s" s="6" r="S461">
        <v>3753</v>
      </c>
      <c t="s" s="6" r="T461">
        <v>90</v>
      </c>
      <c t="s" s="6" r="U461">
        <v>3754</v>
      </c>
      <c s="6" r="V461">
        <v>1</v>
      </c>
      <c s="6" r="W461">
        <v>1</v>
      </c>
      <c s="6" r="X461">
        <v>0</v>
      </c>
      <c s="6" r="Y461">
        <v>0</v>
      </c>
      <c s="6" r="Z461">
        <v>0</v>
      </c>
      <c s="6" r="AA461">
        <v>7</v>
      </c>
      <c s="6" r="AB461">
        <v>7</v>
      </c>
      <c s="6" r="AC461">
        <v>7</v>
      </c>
      <c s="6" r="AD461">
        <v>7</v>
      </c>
      <c t="s" s="6" r="AE461">
        <v>92</v>
      </c>
      <c s="6" r="AF461">
        <v>6</v>
      </c>
      <c t="s" s="6" r="AG461">
        <v>92</v>
      </c>
      <c t="s" s="6" r="AH461">
        <v>92</v>
      </c>
      <c t="s" s="6" r="AI461">
        <v>92</v>
      </c>
      <c s="6" r="AJ461">
        <v>7</v>
      </c>
      <c t="s" s="6" r="AK461">
        <v>92</v>
      </c>
      <c s="6" r="AL461">
        <v>7</v>
      </c>
      <c t="s" s="6" r="AM461">
        <v>92</v>
      </c>
      <c t="s" s="6" r="AN461">
        <v>92</v>
      </c>
      <c s="6" r="AP461">
        <v>7</v>
      </c>
      <c t="s" s="6" r="AR461">
        <v>3755</v>
      </c>
      <c s="6" r="AS461">
        <v>0</v>
      </c>
      <c s="6" r="AT461">
        <v>0</v>
      </c>
      <c s="6" r="AU461">
        <v>0</v>
      </c>
      <c s="6" r="AV461">
        <v>0</v>
      </c>
      <c s="6" r="AW461">
        <v>0</v>
      </c>
      <c s="6" r="AX461">
        <v>0</v>
      </c>
      <c s="6" r="AY461">
        <v>0</v>
      </c>
      <c s="6" r="AZ461">
        <v>0</v>
      </c>
      <c s="6" r="BA461">
        <v>0</v>
      </c>
      <c s="6" r="BB461">
        <v>0</v>
      </c>
      <c s="6" r="BC461">
        <v>0</v>
      </c>
      <c s="6" r="BD461">
        <v>0</v>
      </c>
      <c s="6" r="BE461">
        <v>0</v>
      </c>
      <c s="6" r="BF461">
        <v>0</v>
      </c>
      <c s="6" r="BG461">
        <v>0</v>
      </c>
      <c s="6" r="BH461">
        <v>0</v>
      </c>
      <c s="6" r="BI461">
        <v>0</v>
      </c>
      <c s="6" r="BJ461">
        <v>0</v>
      </c>
      <c s="6" r="BK461">
        <v>0</v>
      </c>
      <c s="6" r="BL461">
        <v>0</v>
      </c>
      <c s="6" r="BM461">
        <v>0</v>
      </c>
      <c s="6" r="BN461">
        <v>0</v>
      </c>
      <c s="6" r="BO461">
        <v>0</v>
      </c>
      <c s="6" r="BP461">
        <v>0</v>
      </c>
      <c s="6" r="BQ461">
        <v>0</v>
      </c>
      <c t="str" s="6" r="BR461">
        <f>HYPERLINK("http://www.d20pfsrd.com/magic/all-spells/s/scrying","Scrying, Greater")</f>
        <v>Scrying, Greater</v>
      </c>
      <c s="6" r="BS461">
        <v>462</v>
      </c>
      <c t="s" s="6" r="BT461">
        <v>92</v>
      </c>
      <c s="6" r="BY461">
        <v>0</v>
      </c>
    </row>
    <row customHeight="1" r="462" ht="14.25">
      <c t="s" s="6" r="A462">
        <v>3756</v>
      </c>
      <c t="s" s="6" r="B462">
        <v>131</v>
      </c>
      <c t="s" s="6" r="E462">
        <v>2085</v>
      </c>
      <c t="s" s="6" r="F462">
        <v>81</v>
      </c>
      <c t="s" s="6" r="G462">
        <v>106</v>
      </c>
      <c s="6" r="H462">
        <v>0</v>
      </c>
      <c t="s" s="6" r="I462">
        <v>107</v>
      </c>
      <c t="s" s="6" r="L462">
        <v>3757</v>
      </c>
      <c t="s" s="6" r="M462">
        <v>209</v>
      </c>
      <c s="6" r="N462">
        <v>1</v>
      </c>
      <c s="6" r="O462">
        <v>0</v>
      </c>
      <c t="s" s="6" r="P462">
        <v>535</v>
      </c>
      <c t="s" s="6" r="Q462">
        <v>536</v>
      </c>
      <c t="s" s="6" r="R462">
        <v>3758</v>
      </c>
      <c t="s" s="6" r="S462">
        <v>3759</v>
      </c>
      <c t="s" s="6" r="T462">
        <v>90</v>
      </c>
      <c t="s" s="6" r="U462">
        <v>3760</v>
      </c>
      <c s="6" r="V462">
        <v>1</v>
      </c>
      <c s="6" r="W462">
        <v>1</v>
      </c>
      <c s="6" r="X462">
        <v>0</v>
      </c>
      <c s="6" r="Y462">
        <v>0</v>
      </c>
      <c s="6" r="Z462">
        <v>0</v>
      </c>
      <c t="s" s="6" r="AA462">
        <v>92</v>
      </c>
      <c t="s" s="6" r="AB462">
        <v>92</v>
      </c>
      <c t="s" s="6" r="AC462">
        <v>92</v>
      </c>
      <c t="s" s="6" r="AD462">
        <v>92</v>
      </c>
      <c t="s" s="6" r="AE462">
        <v>92</v>
      </c>
      <c s="6" r="AF462">
        <v>3</v>
      </c>
      <c t="s" s="6" r="AG462">
        <v>92</v>
      </c>
      <c t="s" s="6" r="AH462">
        <v>92</v>
      </c>
      <c t="s" s="6" r="AI462">
        <v>92</v>
      </c>
      <c t="s" s="6" r="AJ462">
        <v>92</v>
      </c>
      <c t="s" s="6" r="AK462">
        <v>92</v>
      </c>
      <c t="s" s="6" r="AL462">
        <v>92</v>
      </c>
      <c t="s" s="6" r="AM462">
        <v>92</v>
      </c>
      <c t="s" s="6" r="AN462">
        <v>92</v>
      </c>
      <c s="6" r="AP462">
        <v>3</v>
      </c>
      <c t="s" s="6" r="AR462">
        <v>3761</v>
      </c>
      <c s="6" r="AS462">
        <v>0</v>
      </c>
      <c s="6" r="AT462">
        <v>0</v>
      </c>
      <c s="6" r="AU462">
        <v>0</v>
      </c>
      <c s="6" r="AV462">
        <v>0</v>
      </c>
      <c s="6" r="AW462">
        <v>0</v>
      </c>
      <c s="6" r="AX462">
        <v>0</v>
      </c>
      <c s="6" r="AY462">
        <v>0</v>
      </c>
      <c s="6" r="AZ462">
        <v>0</v>
      </c>
      <c s="6" r="BA462">
        <v>0</v>
      </c>
      <c s="6" r="BB462">
        <v>0</v>
      </c>
      <c s="6" r="BC462">
        <v>0</v>
      </c>
      <c s="6" r="BD462">
        <v>0</v>
      </c>
      <c s="6" r="BE462">
        <v>0</v>
      </c>
      <c s="6" r="BF462">
        <v>0</v>
      </c>
      <c s="6" r="BG462">
        <v>0</v>
      </c>
      <c s="6" r="BH462">
        <v>0</v>
      </c>
      <c s="6" r="BI462">
        <v>0</v>
      </c>
      <c s="6" r="BJ462">
        <v>0</v>
      </c>
      <c s="6" r="BK462">
        <v>0</v>
      </c>
      <c s="6" r="BL462">
        <v>0</v>
      </c>
      <c s="6" r="BM462">
        <v>0</v>
      </c>
      <c s="6" r="BN462">
        <v>0</v>
      </c>
      <c s="6" r="BO462">
        <v>0</v>
      </c>
      <c s="6" r="BP462">
        <v>0</v>
      </c>
      <c s="6" r="BQ462">
        <v>0</v>
      </c>
      <c t="str" s="6" r="BR462">
        <f>HYPERLINK("http://www.d20pfsrd.com/magic/all-spells/s/sculpt-sound","Sculpt Sound")</f>
        <v>Sculpt Sound</v>
      </c>
      <c s="6" r="BS462">
        <v>463</v>
      </c>
      <c t="s" s="6" r="BT462">
        <v>92</v>
      </c>
      <c s="6" r="BY462">
        <v>0</v>
      </c>
    </row>
    <row customHeight="1" r="463" ht="14.25">
      <c t="s" s="6" r="A463">
        <v>3762</v>
      </c>
      <c t="s" s="6" r="B463">
        <v>493</v>
      </c>
      <c t="s" s="6" r="E463">
        <v>2836</v>
      </c>
      <c t="s" s="6" r="F463">
        <v>81</v>
      </c>
      <c t="s" s="6" r="G463">
        <v>106</v>
      </c>
      <c s="6" r="H463">
        <v>0</v>
      </c>
      <c t="s" s="6" r="I463">
        <v>97</v>
      </c>
      <c t="s" s="6" r="K463">
        <v>1344</v>
      </c>
      <c t="s" s="6" r="M463">
        <v>109</v>
      </c>
      <c s="6" r="N463">
        <v>0</v>
      </c>
      <c s="6" r="O463">
        <v>0</v>
      </c>
      <c t="s" s="6" r="P463">
        <v>86</v>
      </c>
      <c t="s" s="6" r="Q463">
        <v>188</v>
      </c>
      <c t="s" s="6" r="R463">
        <v>3763</v>
      </c>
      <c t="s" s="6" r="S463">
        <v>3764</v>
      </c>
      <c t="s" s="6" r="T463">
        <v>90</v>
      </c>
      <c t="s" s="6" r="U463">
        <v>3765</v>
      </c>
      <c s="6" r="V463">
        <v>1</v>
      </c>
      <c s="6" r="W463">
        <v>1</v>
      </c>
      <c s="6" r="X463">
        <v>0</v>
      </c>
      <c s="6" r="Y463">
        <v>0</v>
      </c>
      <c s="6" r="Z463">
        <v>0</v>
      </c>
      <c t="s" s="6" r="AA463">
        <v>92</v>
      </c>
      <c t="s" s="6" r="AB463">
        <v>92</v>
      </c>
      <c s="6" r="AC463">
        <v>3</v>
      </c>
      <c t="s" s="6" r="AD463">
        <v>92</v>
      </c>
      <c t="s" s="6" r="AE463">
        <v>92</v>
      </c>
      <c t="s" s="6" r="AF463">
        <v>92</v>
      </c>
      <c t="s" s="6" r="AG463">
        <v>92</v>
      </c>
      <c t="s" s="6" r="AH463">
        <v>92</v>
      </c>
      <c t="s" s="6" r="AI463">
        <v>92</v>
      </c>
      <c t="s" s="6" r="AJ463">
        <v>92</v>
      </c>
      <c s="6" r="AK463">
        <v>3</v>
      </c>
      <c s="6" r="AL463">
        <v>3</v>
      </c>
      <c t="s" s="6" r="AM463">
        <v>92</v>
      </c>
      <c t="s" s="6" r="AN463">
        <v>92</v>
      </c>
      <c s="6" r="AP463">
        <v>3</v>
      </c>
      <c t="s" s="6" r="AQ463">
        <v>3766</v>
      </c>
      <c t="s" s="6" r="AR463">
        <v>3767</v>
      </c>
      <c s="6" r="AS463">
        <v>0</v>
      </c>
      <c s="6" r="AT463">
        <v>0</v>
      </c>
      <c s="6" r="AU463">
        <v>0</v>
      </c>
      <c s="6" r="AV463">
        <v>0</v>
      </c>
      <c s="6" r="AW463">
        <v>0</v>
      </c>
      <c s="6" r="AX463">
        <v>0</v>
      </c>
      <c s="6" r="AY463">
        <v>0</v>
      </c>
      <c s="6" r="AZ463">
        <v>0</v>
      </c>
      <c s="6" r="BA463">
        <v>0</v>
      </c>
      <c s="6" r="BB463">
        <v>0</v>
      </c>
      <c s="6" r="BC463">
        <v>0</v>
      </c>
      <c s="6" r="BD463">
        <v>0</v>
      </c>
      <c s="6" r="BE463">
        <v>0</v>
      </c>
      <c s="6" r="BF463">
        <v>0</v>
      </c>
      <c s="6" r="BG463">
        <v>0</v>
      </c>
      <c s="6" r="BH463">
        <v>0</v>
      </c>
      <c s="6" r="BI463">
        <v>0</v>
      </c>
      <c s="6" r="BJ463">
        <v>0</v>
      </c>
      <c s="6" r="BK463">
        <v>0</v>
      </c>
      <c s="6" r="BL463">
        <v>0</v>
      </c>
      <c s="6" r="BM463">
        <v>0</v>
      </c>
      <c s="6" r="BN463">
        <v>0</v>
      </c>
      <c s="6" r="BO463">
        <v>0</v>
      </c>
      <c s="6" r="BP463">
        <v>0</v>
      </c>
      <c s="6" r="BQ463">
        <v>0</v>
      </c>
      <c t="str" s="6" r="BR463">
        <f>HYPERLINK("http://www.d20pfsrd.com/magic/all-spells/s/searing-light","Searing Light")</f>
        <v>Searing Light</v>
      </c>
      <c s="6" r="BS463">
        <v>464</v>
      </c>
      <c t="s" s="6" r="BT463">
        <v>92</v>
      </c>
      <c t="s" s="6" r="BW463">
        <v>3768</v>
      </c>
      <c s="6" r="BY463">
        <v>1</v>
      </c>
    </row>
    <row customHeight="1" r="464" ht="14.25">
      <c t="s" s="6" r="A464">
        <v>3769</v>
      </c>
      <c t="s" s="6" r="B464">
        <v>78</v>
      </c>
      <c t="s" s="6" r="C464">
        <v>1042</v>
      </c>
      <c t="s" s="6" r="E464">
        <v>1755</v>
      </c>
      <c t="s" s="6" r="F464">
        <v>311</v>
      </c>
      <c t="s" s="6" r="G464">
        <v>3770</v>
      </c>
      <c s="6" r="H464">
        <v>0</v>
      </c>
      <c t="s" s="6" r="I464">
        <v>141</v>
      </c>
      <c t="s" s="6" r="L464">
        <v>3771</v>
      </c>
      <c t="s" s="6" r="M464">
        <v>3772</v>
      </c>
      <c s="6" r="N464">
        <v>0</v>
      </c>
      <c s="6" r="O464">
        <v>0</v>
      </c>
      <c t="s" s="6" r="P464">
        <v>86</v>
      </c>
      <c t="s" s="6" r="Q464">
        <v>87</v>
      </c>
      <c t="s" s="6" r="R464">
        <v>3773</v>
      </c>
      <c t="s" s="6" r="S464">
        <v>3774</v>
      </c>
      <c t="s" s="6" r="T464">
        <v>90</v>
      </c>
      <c t="s" s="6" r="U464">
        <v>3775</v>
      </c>
      <c s="6" r="V464">
        <v>1</v>
      </c>
      <c s="6" r="W464">
        <v>1</v>
      </c>
      <c s="6" r="X464">
        <v>0</v>
      </c>
      <c s="6" r="Y464">
        <v>1</v>
      </c>
      <c s="6" r="Z464">
        <v>0</v>
      </c>
      <c s="6" r="AA464">
        <v>5</v>
      </c>
      <c s="6" r="AB464">
        <v>5</v>
      </c>
      <c t="s" s="6" r="AC464">
        <v>92</v>
      </c>
      <c t="s" s="6" r="AD464">
        <v>92</v>
      </c>
      <c t="s" s="6" r="AE464">
        <v>92</v>
      </c>
      <c t="s" s="6" r="AF464">
        <v>92</v>
      </c>
      <c t="s" s="6" r="AG464">
        <v>92</v>
      </c>
      <c t="s" s="6" r="AH464">
        <v>92</v>
      </c>
      <c t="s" s="6" r="AI464">
        <v>92</v>
      </c>
      <c s="6" r="AJ464">
        <v>5</v>
      </c>
      <c t="s" s="6" r="AK464">
        <v>92</v>
      </c>
      <c t="s" s="6" r="AL464">
        <v>92</v>
      </c>
      <c t="s" s="6" r="AM464">
        <v>92</v>
      </c>
      <c t="s" s="6" r="AN464">
        <v>92</v>
      </c>
      <c s="6" r="AP464">
        <v>5</v>
      </c>
      <c t="s" s="6" r="AR464">
        <v>3776</v>
      </c>
      <c s="6" r="AS464">
        <v>0</v>
      </c>
      <c s="6" r="AT464">
        <v>0</v>
      </c>
      <c s="6" r="AU464">
        <v>0</v>
      </c>
      <c s="6" r="AV464">
        <v>0</v>
      </c>
      <c s="6" r="AW464">
        <v>0</v>
      </c>
      <c s="6" r="AX464">
        <v>0</v>
      </c>
      <c s="6" r="AY464">
        <v>0</v>
      </c>
      <c s="6" r="AZ464">
        <v>0</v>
      </c>
      <c s="6" r="BA464">
        <v>0</v>
      </c>
      <c s="6" r="BB464">
        <v>0</v>
      </c>
      <c s="6" r="BC464">
        <v>0</v>
      </c>
      <c s="6" r="BD464">
        <v>0</v>
      </c>
      <c s="6" r="BE464">
        <v>0</v>
      </c>
      <c s="6" r="BF464">
        <v>0</v>
      </c>
      <c s="6" r="BG464">
        <v>0</v>
      </c>
      <c s="6" r="BH464">
        <v>0</v>
      </c>
      <c s="6" r="BI464">
        <v>0</v>
      </c>
      <c s="6" r="BJ464">
        <v>0</v>
      </c>
      <c s="6" r="BK464">
        <v>0</v>
      </c>
      <c s="6" r="BL464">
        <v>0</v>
      </c>
      <c s="6" r="BM464">
        <v>0</v>
      </c>
      <c s="6" r="BN464">
        <v>0</v>
      </c>
      <c s="6" r="BO464">
        <v>0</v>
      </c>
      <c s="6" r="BP464">
        <v>0</v>
      </c>
      <c s="6" r="BQ464">
        <v>0</v>
      </c>
      <c t="str" s="6" r="BR464">
        <f>HYPERLINK("http://www.d20pfsrd.com/magic/all-spells/s/secret-chest","Secret Chest")</f>
        <v>Secret Chest</v>
      </c>
      <c s="6" r="BS464">
        <v>465</v>
      </c>
      <c t="s" s="6" r="BT464">
        <v>92</v>
      </c>
      <c s="6" r="BY464">
        <v>0</v>
      </c>
    </row>
    <row customHeight="1" r="465" ht="14.25">
      <c t="s" s="6" r="A465">
        <v>3777</v>
      </c>
      <c t="s" s="6" r="B465">
        <v>131</v>
      </c>
      <c t="s" s="6" r="E465">
        <v>2426</v>
      </c>
      <c t="s" s="6" r="F465">
        <v>311</v>
      </c>
      <c t="s" s="6" r="G465">
        <v>3778</v>
      </c>
      <c s="6" r="H465">
        <v>0</v>
      </c>
      <c t="s" s="6" r="I465">
        <v>120</v>
      </c>
      <c t="s" s="6" r="L465">
        <v>3779</v>
      </c>
      <c t="s" s="6" r="M465">
        <v>323</v>
      </c>
      <c s="6" r="N465">
        <v>0</v>
      </c>
      <c s="6" r="O465">
        <v>0</v>
      </c>
      <c t="s" s="6" r="P465">
        <v>86</v>
      </c>
      <c t="s" s="6" r="Q465">
        <v>87</v>
      </c>
      <c t="s" s="6" r="R465">
        <v>3780</v>
      </c>
      <c t="s" s="6" r="S465">
        <v>3781</v>
      </c>
      <c t="s" s="6" r="T465">
        <v>90</v>
      </c>
      <c t="s" s="6" r="U465">
        <v>3782</v>
      </c>
      <c s="6" r="V465">
        <v>1</v>
      </c>
      <c s="6" r="W465">
        <v>1</v>
      </c>
      <c s="6" r="X465">
        <v>1</v>
      </c>
      <c s="6" r="Y465">
        <v>0</v>
      </c>
      <c s="6" r="Z465">
        <v>0</v>
      </c>
      <c s="6" r="AA465">
        <v>3</v>
      </c>
      <c s="6" r="AB465">
        <v>3</v>
      </c>
      <c t="s" s="6" r="AC465">
        <v>92</v>
      </c>
      <c t="s" s="6" r="AD465">
        <v>92</v>
      </c>
      <c t="s" s="6" r="AE465">
        <v>92</v>
      </c>
      <c s="6" r="AF465">
        <v>3</v>
      </c>
      <c t="s" s="6" r="AG465">
        <v>92</v>
      </c>
      <c t="s" s="6" r="AH465">
        <v>92</v>
      </c>
      <c t="s" s="6" r="AI465">
        <v>92</v>
      </c>
      <c t="s" s="6" r="AJ465">
        <v>92</v>
      </c>
      <c t="s" s="6" r="AK465">
        <v>92</v>
      </c>
      <c t="s" s="6" r="AL465">
        <v>92</v>
      </c>
      <c t="s" s="6" r="AM465">
        <v>92</v>
      </c>
      <c t="s" s="6" r="AN465">
        <v>92</v>
      </c>
      <c s="6" r="AP465">
        <v>3</v>
      </c>
      <c t="s" s="6" r="AQ465">
        <v>1664</v>
      </c>
      <c t="s" s="6" r="AR465">
        <v>3783</v>
      </c>
      <c s="6" r="AS465">
        <v>0</v>
      </c>
      <c s="6" r="AT465">
        <v>0</v>
      </c>
      <c s="6" r="AU465">
        <v>0</v>
      </c>
      <c s="6" r="AV465">
        <v>0</v>
      </c>
      <c s="6" r="AW465">
        <v>0</v>
      </c>
      <c s="6" r="AX465">
        <v>0</v>
      </c>
      <c s="6" r="AY465">
        <v>0</v>
      </c>
      <c s="6" r="AZ465">
        <v>0</v>
      </c>
      <c s="6" r="BA465">
        <v>0</v>
      </c>
      <c s="6" r="BB465">
        <v>0</v>
      </c>
      <c s="6" r="BC465">
        <v>0</v>
      </c>
      <c s="6" r="BD465">
        <v>0</v>
      </c>
      <c s="6" r="BE465">
        <v>0</v>
      </c>
      <c s="6" r="BF465">
        <v>0</v>
      </c>
      <c s="6" r="BG465">
        <v>0</v>
      </c>
      <c s="6" r="BH465">
        <v>0</v>
      </c>
      <c s="6" r="BI465">
        <v>0</v>
      </c>
      <c s="6" r="BJ465">
        <v>0</v>
      </c>
      <c s="6" r="BK465">
        <v>0</v>
      </c>
      <c s="6" r="BL465">
        <v>0</v>
      </c>
      <c s="6" r="BM465">
        <v>0</v>
      </c>
      <c s="6" r="BN465">
        <v>0</v>
      </c>
      <c s="6" r="BO465">
        <v>0</v>
      </c>
      <c s="6" r="BP465">
        <v>0</v>
      </c>
      <c s="6" r="BQ465">
        <v>0</v>
      </c>
      <c t="str" s="6" r="BR465">
        <f>HYPERLINK("http://www.d20pfsrd.com/magic/all-spells/s/secret-page","Secret Page")</f>
        <v>Secret Page</v>
      </c>
      <c s="6" r="BS465">
        <v>466</v>
      </c>
      <c t="s" s="6" r="BT465">
        <v>92</v>
      </c>
      <c s="6" r="BY465">
        <v>0</v>
      </c>
    </row>
    <row customHeight="1" r="466" ht="14.25">
      <c t="s" s="6" r="A466">
        <v>3784</v>
      </c>
      <c t="s" s="6" r="B466">
        <v>78</v>
      </c>
      <c t="s" s="6" r="C466">
        <v>79</v>
      </c>
      <c t="s" s="6" r="E466">
        <v>3785</v>
      </c>
      <c t="s" s="6" r="F466">
        <v>311</v>
      </c>
      <c t="s" s="6" r="G466">
        <v>3786</v>
      </c>
      <c s="6" r="H466">
        <v>0</v>
      </c>
      <c t="s" s="6" r="I466">
        <v>107</v>
      </c>
      <c t="s" s="6" r="K466">
        <v>3787</v>
      </c>
      <c t="s" s="6" r="M466">
        <v>166</v>
      </c>
      <c s="6" r="N466">
        <v>1</v>
      </c>
      <c s="6" r="O466">
        <v>0</v>
      </c>
      <c t="s" s="6" r="P466">
        <v>86</v>
      </c>
      <c t="s" s="6" r="Q466">
        <v>87</v>
      </c>
      <c t="s" s="6" r="R466">
        <v>3788</v>
      </c>
      <c t="s" s="6" r="S466">
        <v>3789</v>
      </c>
      <c t="s" s="6" r="T466">
        <v>90</v>
      </c>
      <c t="s" s="6" r="U466">
        <v>3790</v>
      </c>
      <c s="6" r="V466">
        <v>1</v>
      </c>
      <c s="6" r="W466">
        <v>1</v>
      </c>
      <c s="6" r="X466">
        <v>1</v>
      </c>
      <c s="6" r="Y466">
        <v>0</v>
      </c>
      <c s="6" r="Z466">
        <v>0</v>
      </c>
      <c s="6" r="AA466">
        <v>4</v>
      </c>
      <c s="6" r="AB466">
        <v>4</v>
      </c>
      <c t="s" s="6" r="AC466">
        <v>92</v>
      </c>
      <c t="s" s="6" r="AD466">
        <v>92</v>
      </c>
      <c t="s" s="6" r="AE466">
        <v>92</v>
      </c>
      <c s="6" r="AF466">
        <v>4</v>
      </c>
      <c t="s" s="6" r="AG466">
        <v>92</v>
      </c>
      <c t="s" s="6" r="AH466">
        <v>92</v>
      </c>
      <c t="s" s="6" r="AI466">
        <v>92</v>
      </c>
      <c s="6" r="AJ466">
        <v>4</v>
      </c>
      <c t="s" s="6" r="AK466">
        <v>92</v>
      </c>
      <c t="s" s="6" r="AL466">
        <v>92</v>
      </c>
      <c t="s" s="6" r="AM466">
        <v>92</v>
      </c>
      <c t="s" s="6" r="AN466">
        <v>92</v>
      </c>
      <c s="6" r="AP466">
        <v>4</v>
      </c>
      <c t="s" s="6" r="AR466">
        <v>3791</v>
      </c>
      <c s="6" r="AS466">
        <v>0</v>
      </c>
      <c s="6" r="AT466">
        <v>0</v>
      </c>
      <c s="6" r="AU466">
        <v>0</v>
      </c>
      <c s="6" r="AV466">
        <v>0</v>
      </c>
      <c s="6" r="AW466">
        <v>0</v>
      </c>
      <c s="6" r="AX466">
        <v>0</v>
      </c>
      <c s="6" r="AY466">
        <v>0</v>
      </c>
      <c s="6" r="AZ466">
        <v>0</v>
      </c>
      <c s="6" r="BA466">
        <v>0</v>
      </c>
      <c s="6" r="BB466">
        <v>0</v>
      </c>
      <c s="6" r="BC466">
        <v>0</v>
      </c>
      <c s="6" r="BD466">
        <v>0</v>
      </c>
      <c s="6" r="BE466">
        <v>0</v>
      </c>
      <c s="6" r="BF466">
        <v>0</v>
      </c>
      <c s="6" r="BG466">
        <v>0</v>
      </c>
      <c s="6" r="BH466">
        <v>0</v>
      </c>
      <c s="6" r="BI466">
        <v>0</v>
      </c>
      <c s="6" r="BJ466">
        <v>0</v>
      </c>
      <c s="6" r="BK466">
        <v>0</v>
      </c>
      <c s="6" r="BL466">
        <v>0</v>
      </c>
      <c s="6" r="BM466">
        <v>0</v>
      </c>
      <c s="6" r="BN466">
        <v>0</v>
      </c>
      <c s="6" r="BO466">
        <v>0</v>
      </c>
      <c s="6" r="BP466">
        <v>0</v>
      </c>
      <c s="6" r="BQ466">
        <v>0</v>
      </c>
      <c t="str" s="6" r="BR466">
        <f>HYPERLINK("http://www.d20pfsrd.com/magic/all-spells/s/secure-shelter","Secure Shelter")</f>
        <v>Secure Shelter</v>
      </c>
      <c s="6" r="BS466">
        <v>467</v>
      </c>
      <c t="s" s="6" r="BT466">
        <v>92</v>
      </c>
      <c s="6" r="BY466">
        <v>0</v>
      </c>
    </row>
    <row customHeight="1" r="467" ht="14.25">
      <c t="s" s="6" r="A467">
        <v>3792</v>
      </c>
      <c t="s" s="6" r="B467">
        <v>174</v>
      </c>
      <c t="s" s="6" r="E467">
        <v>3793</v>
      </c>
      <c t="s" s="6" r="F467">
        <v>81</v>
      </c>
      <c t="s" s="6" r="G467">
        <v>3794</v>
      </c>
      <c s="6" r="H467">
        <v>0</v>
      </c>
      <c t="s" s="6" r="I467">
        <v>155</v>
      </c>
      <c t="s" s="6" r="L467">
        <v>156</v>
      </c>
      <c t="s" s="6" r="M467">
        <v>134</v>
      </c>
      <c s="6" r="N467">
        <v>1</v>
      </c>
      <c s="6" r="O467">
        <v>0</v>
      </c>
      <c t="s" s="6" r="R467">
        <v>3795</v>
      </c>
      <c t="s" s="6" r="S467">
        <v>3796</v>
      </c>
      <c t="s" s="6" r="T467">
        <v>90</v>
      </c>
      <c t="s" s="6" r="U467">
        <v>3797</v>
      </c>
      <c s="6" r="V467">
        <v>1</v>
      </c>
      <c s="6" r="W467">
        <v>1</v>
      </c>
      <c s="6" r="X467">
        <v>1</v>
      </c>
      <c s="6" r="Y467">
        <v>0</v>
      </c>
      <c s="6" r="Z467">
        <v>0</v>
      </c>
      <c s="6" r="AA467">
        <v>2</v>
      </c>
      <c s="6" r="AB467">
        <v>2</v>
      </c>
      <c t="s" s="6" r="AC467">
        <v>92</v>
      </c>
      <c t="s" s="6" r="AD467">
        <v>92</v>
      </c>
      <c t="s" s="6" r="AE467">
        <v>92</v>
      </c>
      <c s="6" r="AF467">
        <v>3</v>
      </c>
      <c t="s" s="6" r="AG467">
        <v>92</v>
      </c>
      <c s="6" r="AH467">
        <v>2</v>
      </c>
      <c s="6" r="AI467">
        <v>2</v>
      </c>
      <c s="6" r="AJ467">
        <v>2</v>
      </c>
      <c s="6" r="AK467">
        <v>2</v>
      </c>
      <c t="s" s="6" r="AL467">
        <v>92</v>
      </c>
      <c t="s" s="6" r="AM467">
        <v>92</v>
      </c>
      <c t="s" s="6" r="AN467">
        <v>92</v>
      </c>
      <c s="6" r="AP467">
        <v>2</v>
      </c>
      <c t="s" s="6" r="AR467">
        <v>3798</v>
      </c>
      <c s="6" r="AS467">
        <v>0</v>
      </c>
      <c s="6" r="AT467">
        <v>0</v>
      </c>
      <c s="6" r="AU467">
        <v>0</v>
      </c>
      <c s="6" r="AV467">
        <v>0</v>
      </c>
      <c s="6" r="AW467">
        <v>0</v>
      </c>
      <c s="6" r="AX467">
        <v>0</v>
      </c>
      <c s="6" r="AY467">
        <v>0</v>
      </c>
      <c s="6" r="AZ467">
        <v>0</v>
      </c>
      <c s="6" r="BA467">
        <v>0</v>
      </c>
      <c s="6" r="BB467">
        <v>0</v>
      </c>
      <c s="6" r="BC467">
        <v>0</v>
      </c>
      <c s="6" r="BD467">
        <v>0</v>
      </c>
      <c s="6" r="BE467">
        <v>0</v>
      </c>
      <c s="6" r="BF467">
        <v>0</v>
      </c>
      <c s="6" r="BG467">
        <v>0</v>
      </c>
      <c s="6" r="BH467">
        <v>0</v>
      </c>
      <c s="6" r="BI467">
        <v>0</v>
      </c>
      <c s="6" r="BJ467">
        <v>0</v>
      </c>
      <c s="6" r="BK467">
        <v>0</v>
      </c>
      <c s="6" r="BL467">
        <v>0</v>
      </c>
      <c s="6" r="BM467">
        <v>0</v>
      </c>
      <c s="6" r="BN467">
        <v>0</v>
      </c>
      <c s="6" r="BO467">
        <v>0</v>
      </c>
      <c s="6" r="BP467">
        <v>0</v>
      </c>
      <c s="6" r="BQ467">
        <v>0</v>
      </c>
      <c t="str" s="6" r="BR467">
        <f>HYPERLINK("http://www.d20pfsrd.com/magic/all-spells/s/see-invisibility","See Invisibility")</f>
        <v>See Invisibility</v>
      </c>
      <c s="6" r="BS467">
        <v>468</v>
      </c>
      <c t="s" s="6" r="BT467">
        <v>92</v>
      </c>
      <c t="s" s="6" r="BU467">
        <v>3799</v>
      </c>
      <c t="s" s="6" r="BV467">
        <v>407</v>
      </c>
      <c s="6" r="BY467">
        <v>0</v>
      </c>
    </row>
    <row customHeight="1" r="468" ht="14.25">
      <c t="s" s="6" r="A468">
        <v>3800</v>
      </c>
      <c t="s" s="6" r="B468">
        <v>579</v>
      </c>
      <c t="s" s="6" r="C468">
        <v>580</v>
      </c>
      <c t="s" s="6" r="E468">
        <v>1734</v>
      </c>
      <c t="s" s="6" r="F468">
        <v>81</v>
      </c>
      <c t="s" s="6" r="G468">
        <v>106</v>
      </c>
      <c s="6" r="H468">
        <v>0</v>
      </c>
      <c t="s" s="6" r="I468">
        <v>107</v>
      </c>
      <c t="s" s="6" r="L468">
        <v>3801</v>
      </c>
      <c t="s" s="6" r="M468">
        <v>3802</v>
      </c>
      <c s="6" r="N468">
        <v>1</v>
      </c>
      <c s="6" r="O468">
        <v>0</v>
      </c>
      <c t="s" s="6" r="P468">
        <v>3803</v>
      </c>
      <c t="s" s="6" r="Q468">
        <v>3453</v>
      </c>
      <c t="s" s="6" r="R468">
        <v>3804</v>
      </c>
      <c t="s" s="6" r="S468">
        <v>3805</v>
      </c>
      <c t="s" s="6" r="T468">
        <v>90</v>
      </c>
      <c t="s" s="6" r="U468">
        <v>3806</v>
      </c>
      <c s="6" r="V468">
        <v>1</v>
      </c>
      <c s="6" r="W468">
        <v>1</v>
      </c>
      <c s="6" r="X468">
        <v>0</v>
      </c>
      <c s="6" r="Y468">
        <v>0</v>
      </c>
      <c s="6" r="Z468">
        <v>0</v>
      </c>
      <c s="6" r="AA468">
        <v>5</v>
      </c>
      <c s="6" r="AB468">
        <v>5</v>
      </c>
      <c t="s" s="6" r="AC468">
        <v>92</v>
      </c>
      <c t="s" s="6" r="AD468">
        <v>92</v>
      </c>
      <c t="s" s="6" r="AE468">
        <v>92</v>
      </c>
      <c s="6" r="AF468">
        <v>5</v>
      </c>
      <c t="s" s="6" r="AG468">
        <v>92</v>
      </c>
      <c t="s" s="6" r="AH468">
        <v>92</v>
      </c>
      <c t="s" s="6" r="AI468">
        <v>92</v>
      </c>
      <c t="s" s="6" r="AJ468">
        <v>92</v>
      </c>
      <c t="s" s="6" r="AK468">
        <v>92</v>
      </c>
      <c t="s" s="6" r="AL468">
        <v>92</v>
      </c>
      <c t="s" s="6" r="AM468">
        <v>92</v>
      </c>
      <c t="s" s="6" r="AN468">
        <v>92</v>
      </c>
      <c s="6" r="AP468">
        <v>5</v>
      </c>
      <c t="s" s="6" r="AR468">
        <v>3807</v>
      </c>
      <c s="6" r="AS468">
        <v>0</v>
      </c>
      <c s="6" r="AT468">
        <v>0</v>
      </c>
      <c s="6" r="AU468">
        <v>0</v>
      </c>
      <c s="6" r="AV468">
        <v>0</v>
      </c>
      <c s="6" r="AW468">
        <v>0</v>
      </c>
      <c s="6" r="AX468">
        <v>0</v>
      </c>
      <c s="6" r="AY468">
        <v>0</v>
      </c>
      <c s="6" r="AZ468">
        <v>0</v>
      </c>
      <c s="6" r="BA468">
        <v>0</v>
      </c>
      <c s="6" r="BB468">
        <v>0</v>
      </c>
      <c s="6" r="BC468">
        <v>0</v>
      </c>
      <c s="6" r="BD468">
        <v>0</v>
      </c>
      <c s="6" r="BE468">
        <v>0</v>
      </c>
      <c s="6" r="BF468">
        <v>0</v>
      </c>
      <c s="6" r="BG468">
        <v>0</v>
      </c>
      <c s="6" r="BH468">
        <v>0</v>
      </c>
      <c s="6" r="BI468">
        <v>0</v>
      </c>
      <c s="6" r="BJ468">
        <v>0</v>
      </c>
      <c s="6" r="BK468">
        <v>0</v>
      </c>
      <c s="6" r="BL468">
        <v>0</v>
      </c>
      <c s="6" r="BM468">
        <v>0</v>
      </c>
      <c s="6" r="BN468">
        <v>0</v>
      </c>
      <c s="6" r="BO468">
        <v>0</v>
      </c>
      <c s="6" r="BP468">
        <v>0</v>
      </c>
      <c s="6" r="BQ468">
        <v>0</v>
      </c>
      <c t="str" s="6" r="BR468">
        <f>HYPERLINK("http://www.d20pfsrd.com/magic/all-spells/s/seeming","Seeming")</f>
        <v>Seeming</v>
      </c>
      <c s="6" r="BS468">
        <v>469</v>
      </c>
      <c t="s" s="6" r="BT468">
        <v>92</v>
      </c>
      <c s="6" r="BY468">
        <v>0</v>
      </c>
    </row>
    <row customHeight="1" r="469" ht="14.25">
      <c t="s" s="6" r="A469">
        <v>3808</v>
      </c>
      <c t="s" s="6" r="B469">
        <v>493</v>
      </c>
      <c t="s" s="6" r="E469">
        <v>3809</v>
      </c>
      <c t="s" s="6" r="F469">
        <v>311</v>
      </c>
      <c t="s" s="6" r="G469">
        <v>1234</v>
      </c>
      <c s="6" r="H469">
        <v>0</v>
      </c>
      <c t="s" s="6" r="I469">
        <v>141</v>
      </c>
      <c t="s" s="6" r="L469">
        <v>1235</v>
      </c>
      <c t="s" s="6" r="M469">
        <v>1236</v>
      </c>
      <c s="6" r="N469">
        <v>0</v>
      </c>
      <c s="6" r="O469">
        <v>0</v>
      </c>
      <c t="s" s="6" r="P469">
        <v>86</v>
      </c>
      <c t="s" s="6" r="Q469">
        <v>87</v>
      </c>
      <c t="s" s="6" r="R469">
        <v>3810</v>
      </c>
      <c t="s" s="6" r="S469">
        <v>3811</v>
      </c>
      <c t="s" s="6" r="T469">
        <v>90</v>
      </c>
      <c t="s" s="6" r="U469">
        <v>3812</v>
      </c>
      <c s="6" r="V469">
        <v>1</v>
      </c>
      <c s="6" r="W469">
        <v>1</v>
      </c>
      <c s="6" r="X469">
        <v>1</v>
      </c>
      <c s="6" r="Y469">
        <v>0</v>
      </c>
      <c s="6" r="Z469">
        <v>1</v>
      </c>
      <c s="6" r="AA469">
        <v>5</v>
      </c>
      <c s="6" r="AB469">
        <v>5</v>
      </c>
      <c s="6" r="AC469">
        <v>4</v>
      </c>
      <c t="s" s="6" r="AD469">
        <v>92</v>
      </c>
      <c t="s" s="6" r="AE469">
        <v>92</v>
      </c>
      <c t="s" s="6" r="AF469">
        <v>92</v>
      </c>
      <c t="s" s="6" r="AG469">
        <v>92</v>
      </c>
      <c s="6" r="AH469">
        <v>5</v>
      </c>
      <c s="6" r="AI469">
        <v>4</v>
      </c>
      <c t="s" s="6" r="AJ469">
        <v>92</v>
      </c>
      <c s="6" r="AK469">
        <v>4</v>
      </c>
      <c s="6" r="AL469">
        <v>4</v>
      </c>
      <c t="s" s="6" r="AM469">
        <v>92</v>
      </c>
      <c t="s" s="6" r="AN469">
        <v>92</v>
      </c>
      <c s="6" r="AP469">
        <v>5</v>
      </c>
      <c t="s" s="6" r="AR469">
        <v>3813</v>
      </c>
      <c s="6" r="AS469">
        <v>0</v>
      </c>
      <c s="6" r="AT469">
        <v>0</v>
      </c>
      <c s="6" r="AU469">
        <v>0</v>
      </c>
      <c s="6" r="AV469">
        <v>0</v>
      </c>
      <c s="6" r="AW469">
        <v>0</v>
      </c>
      <c s="6" r="AX469">
        <v>0</v>
      </c>
      <c s="6" r="AY469">
        <v>0</v>
      </c>
      <c s="6" r="AZ469">
        <v>0</v>
      </c>
      <c s="6" r="BA469">
        <v>0</v>
      </c>
      <c s="6" r="BB469">
        <v>0</v>
      </c>
      <c s="6" r="BC469">
        <v>0</v>
      </c>
      <c s="6" r="BD469">
        <v>0</v>
      </c>
      <c s="6" r="BE469">
        <v>0</v>
      </c>
      <c s="6" r="BF469">
        <v>0</v>
      </c>
      <c s="6" r="BG469">
        <v>0</v>
      </c>
      <c s="6" r="BH469">
        <v>0</v>
      </c>
      <c s="6" r="BI469">
        <v>0</v>
      </c>
      <c s="6" r="BJ469">
        <v>0</v>
      </c>
      <c s="6" r="BK469">
        <v>0</v>
      </c>
      <c s="6" r="BL469">
        <v>0</v>
      </c>
      <c s="6" r="BM469">
        <v>0</v>
      </c>
      <c s="6" r="BN469">
        <v>0</v>
      </c>
      <c s="6" r="BO469">
        <v>0</v>
      </c>
      <c s="6" r="BP469">
        <v>0</v>
      </c>
      <c s="6" r="BQ469">
        <v>0</v>
      </c>
      <c t="str" s="6" r="BR469">
        <f>HYPERLINK("http://www.d20pfsrd.com/magic/all-spells/s/sending","Sending")</f>
        <v>Sending</v>
      </c>
      <c s="6" r="BS469">
        <v>470</v>
      </c>
      <c t="s" s="6" r="BT469">
        <v>92</v>
      </c>
      <c s="6" r="BY469">
        <v>0</v>
      </c>
    </row>
    <row customHeight="1" r="470" ht="14.25">
      <c t="s" s="6" r="A470">
        <v>3814</v>
      </c>
      <c t="s" s="6" r="B470">
        <v>78</v>
      </c>
      <c t="s" s="6" r="C470">
        <v>79</v>
      </c>
      <c t="s" s="6" r="D470">
        <v>58</v>
      </c>
      <c t="s" s="6" r="E470">
        <v>787</v>
      </c>
      <c t="s" s="6" r="F470">
        <v>311</v>
      </c>
      <c t="s" s="6" r="G470">
        <v>3815</v>
      </c>
      <c s="6" r="H470">
        <v>1</v>
      </c>
      <c t="s" s="6" r="I470">
        <v>120</v>
      </c>
      <c t="s" s="6" r="L470">
        <v>3816</v>
      </c>
      <c t="s" s="6" r="M470">
        <v>3817</v>
      </c>
      <c s="6" r="N470">
        <v>0</v>
      </c>
      <c s="6" r="O470">
        <v>0</v>
      </c>
      <c t="s" s="6" r="P470">
        <v>1865</v>
      </c>
      <c t="s" s="6" r="Q470">
        <v>87</v>
      </c>
      <c t="s" s="6" r="R470">
        <v>3818</v>
      </c>
      <c t="s" s="6" r="S470">
        <v>3819</v>
      </c>
      <c t="s" s="6" r="T470">
        <v>90</v>
      </c>
      <c t="s" s="6" r="U470">
        <v>3820</v>
      </c>
      <c s="6" r="V470">
        <v>1</v>
      </c>
      <c s="6" r="W470">
        <v>1</v>
      </c>
      <c s="6" r="X470">
        <v>1</v>
      </c>
      <c s="6" r="Y470">
        <v>0</v>
      </c>
      <c s="6" r="Z470">
        <v>0</v>
      </c>
      <c s="6" r="AA470">
        <v>3</v>
      </c>
      <c s="6" r="AB470">
        <v>3</v>
      </c>
      <c t="s" s="6" r="AC470">
        <v>92</v>
      </c>
      <c t="s" s="6" r="AD470">
        <v>92</v>
      </c>
      <c t="s" s="6" r="AE470">
        <v>92</v>
      </c>
      <c s="6" r="AF470">
        <v>3</v>
      </c>
      <c t="s" s="6" r="AG470">
        <v>92</v>
      </c>
      <c t="s" s="6" r="AH470">
        <v>92</v>
      </c>
      <c t="s" s="6" r="AI470">
        <v>92</v>
      </c>
      <c s="6" r="AJ470">
        <v>3</v>
      </c>
      <c t="s" s="6" r="AK470">
        <v>92</v>
      </c>
      <c t="s" s="6" r="AL470">
        <v>92</v>
      </c>
      <c t="s" s="6" r="AM470">
        <v>92</v>
      </c>
      <c t="s" s="6" r="AN470">
        <v>92</v>
      </c>
      <c s="6" r="AP470">
        <v>3</v>
      </c>
      <c t="s" s="6" r="AR470">
        <v>3821</v>
      </c>
      <c s="6" r="AS470">
        <v>0</v>
      </c>
      <c s="6" r="AT470">
        <v>0</v>
      </c>
      <c s="6" r="AU470">
        <v>0</v>
      </c>
      <c s="6" r="AV470">
        <v>0</v>
      </c>
      <c s="6" r="AW470">
        <v>0</v>
      </c>
      <c s="6" r="AX470">
        <v>0</v>
      </c>
      <c s="6" r="AY470">
        <v>0</v>
      </c>
      <c s="6" r="AZ470">
        <v>0</v>
      </c>
      <c s="6" r="BA470">
        <v>0</v>
      </c>
      <c s="6" r="BB470">
        <v>0</v>
      </c>
      <c s="6" r="BC470">
        <v>0</v>
      </c>
      <c s="6" r="BD470">
        <v>0</v>
      </c>
      <c s="6" r="BE470">
        <v>0</v>
      </c>
      <c s="6" r="BF470">
        <v>0</v>
      </c>
      <c s="6" r="BG470">
        <v>1</v>
      </c>
      <c s="6" r="BH470">
        <v>0</v>
      </c>
      <c s="6" r="BI470">
        <v>0</v>
      </c>
      <c s="6" r="BJ470">
        <v>0</v>
      </c>
      <c s="6" r="BK470">
        <v>0</v>
      </c>
      <c s="6" r="BL470">
        <v>0</v>
      </c>
      <c s="6" r="BM470">
        <v>0</v>
      </c>
      <c s="6" r="BN470">
        <v>0</v>
      </c>
      <c s="6" r="BO470">
        <v>0</v>
      </c>
      <c s="6" r="BP470">
        <v>0</v>
      </c>
      <c s="6" r="BQ470">
        <v>0</v>
      </c>
      <c t="str" s="6" r="BR470">
        <f>HYPERLINK("http://www.d20pfsrd.com/magic/all-spells/s/sepia-snake-sigil","Sepia Snake Sigil")</f>
        <v>Sepia Snake Sigil</v>
      </c>
      <c s="6" r="BS470">
        <v>471</v>
      </c>
      <c s="6" r="BT470">
        <v>500</v>
      </c>
      <c s="6" r="BY470">
        <v>0</v>
      </c>
    </row>
    <row customHeight="1" r="471" ht="14.25">
      <c t="s" s="6" r="A471">
        <v>3822</v>
      </c>
      <c t="s" s="6" r="B471">
        <v>162</v>
      </c>
      <c t="s" s="6" r="E471">
        <v>2548</v>
      </c>
      <c t="s" s="6" r="F471">
        <v>81</v>
      </c>
      <c t="s" s="6" r="G471">
        <v>3823</v>
      </c>
      <c s="6" r="H471">
        <v>0</v>
      </c>
      <c t="s" s="6" r="I471">
        <v>120</v>
      </c>
      <c t="s" s="6" r="L471">
        <v>3824</v>
      </c>
      <c t="s" s="6" r="M471">
        <v>200</v>
      </c>
      <c s="6" r="N471">
        <v>1</v>
      </c>
      <c s="6" r="O471">
        <v>0</v>
      </c>
      <c t="s" s="6" r="P471">
        <v>3462</v>
      </c>
      <c t="s" s="6" r="Q471">
        <v>3463</v>
      </c>
      <c t="s" s="6" r="R471">
        <v>3825</v>
      </c>
      <c t="s" s="6" r="S471">
        <v>3826</v>
      </c>
      <c t="s" s="6" r="T471">
        <v>90</v>
      </c>
      <c t="s" s="6" r="U471">
        <v>3827</v>
      </c>
      <c s="6" r="V471">
        <v>1</v>
      </c>
      <c s="6" r="W471">
        <v>1</v>
      </c>
      <c s="6" r="X471">
        <v>1</v>
      </c>
      <c s="6" r="Y471">
        <v>0</v>
      </c>
      <c s="6" r="Z471">
        <v>0</v>
      </c>
      <c s="6" r="AA471">
        <v>7</v>
      </c>
      <c s="6" r="AB471">
        <v>7</v>
      </c>
      <c t="s" s="6" r="AC471">
        <v>92</v>
      </c>
      <c t="s" s="6" r="AD471">
        <v>92</v>
      </c>
      <c t="s" s="6" r="AE471">
        <v>92</v>
      </c>
      <c t="s" s="6" r="AF471">
        <v>92</v>
      </c>
      <c t="s" s="6" r="AG471">
        <v>92</v>
      </c>
      <c t="s" s="6" r="AH471">
        <v>92</v>
      </c>
      <c s="6" r="AI471">
        <v>5</v>
      </c>
      <c t="s" s="6" r="AJ471">
        <v>92</v>
      </c>
      <c t="s" s="6" r="AK471">
        <v>92</v>
      </c>
      <c t="s" s="6" r="AL471">
        <v>92</v>
      </c>
      <c t="s" s="6" r="AM471">
        <v>92</v>
      </c>
      <c t="s" s="6" r="AN471">
        <v>92</v>
      </c>
      <c s="6" r="AP471">
        <v>7</v>
      </c>
      <c t="s" s="6" r="AR471">
        <v>3828</v>
      </c>
      <c s="6" r="AS471">
        <v>0</v>
      </c>
      <c s="6" r="AT471">
        <v>0</v>
      </c>
      <c s="6" r="AU471">
        <v>0</v>
      </c>
      <c s="6" r="AV471">
        <v>0</v>
      </c>
      <c s="6" r="AW471">
        <v>0</v>
      </c>
      <c s="6" r="AX471">
        <v>0</v>
      </c>
      <c s="6" r="AY471">
        <v>0</v>
      </c>
      <c s="6" r="AZ471">
        <v>0</v>
      </c>
      <c s="6" r="BA471">
        <v>0</v>
      </c>
      <c s="6" r="BB471">
        <v>0</v>
      </c>
      <c s="6" r="BC471">
        <v>0</v>
      </c>
      <c s="6" r="BD471">
        <v>0</v>
      </c>
      <c s="6" r="BE471">
        <v>0</v>
      </c>
      <c s="6" r="BF471">
        <v>0</v>
      </c>
      <c s="6" r="BG471">
        <v>0</v>
      </c>
      <c s="6" r="BH471">
        <v>0</v>
      </c>
      <c s="6" r="BI471">
        <v>0</v>
      </c>
      <c s="6" r="BJ471">
        <v>0</v>
      </c>
      <c s="6" r="BK471">
        <v>0</v>
      </c>
      <c s="6" r="BL471">
        <v>0</v>
      </c>
      <c s="6" r="BM471">
        <v>0</v>
      </c>
      <c s="6" r="BN471">
        <v>0</v>
      </c>
      <c s="6" r="BO471">
        <v>0</v>
      </c>
      <c s="6" r="BP471">
        <v>0</v>
      </c>
      <c s="6" r="BQ471">
        <v>0</v>
      </c>
      <c t="str" s="6" r="BR471">
        <f>HYPERLINK("http://www.d20pfsrd.com/magic/all-spells/s/sequester","Sequester")</f>
        <v>Sequester</v>
      </c>
      <c s="6" r="BS471">
        <v>472</v>
      </c>
      <c t="s" s="6" r="BT471">
        <v>92</v>
      </c>
      <c s="6" r="BY471">
        <v>0</v>
      </c>
    </row>
    <row customHeight="1" r="472" ht="14.25">
      <c t="s" s="6" r="A472">
        <v>3829</v>
      </c>
      <c t="s" s="6" r="B472">
        <v>579</v>
      </c>
      <c t="s" s="6" r="C472">
        <v>66</v>
      </c>
      <c t="s" s="6" r="D472">
        <v>66</v>
      </c>
      <c t="s" s="6" r="E472">
        <v>2194</v>
      </c>
      <c t="s" s="6" r="F472">
        <v>81</v>
      </c>
      <c t="s" s="6" r="G472">
        <v>106</v>
      </c>
      <c s="6" r="H472">
        <v>0</v>
      </c>
      <c t="s" s="6" r="I472">
        <v>141</v>
      </c>
      <c t="s" s="6" r="K472">
        <v>141</v>
      </c>
      <c t="s" s="6" r="M472">
        <v>141</v>
      </c>
      <c s="6" r="N472">
        <v>0</v>
      </c>
      <c s="6" r="O472">
        <v>0</v>
      </c>
      <c t="s" s="6" r="P472">
        <v>3830</v>
      </c>
      <c t="s" s="6" r="Q472">
        <v>3831</v>
      </c>
      <c t="s" s="6" r="R472">
        <v>3832</v>
      </c>
      <c t="s" s="6" r="S472">
        <v>3833</v>
      </c>
      <c t="s" s="6" r="T472">
        <v>90</v>
      </c>
      <c t="s" s="6" r="U472">
        <v>3834</v>
      </c>
      <c s="6" r="V472">
        <v>1</v>
      </c>
      <c s="6" r="W472">
        <v>1</v>
      </c>
      <c s="6" r="X472">
        <v>0</v>
      </c>
      <c s="6" r="Y472">
        <v>0</v>
      </c>
      <c s="6" r="Z472">
        <v>0</v>
      </c>
      <c s="6" r="AA472">
        <v>4</v>
      </c>
      <c s="6" r="AB472">
        <v>4</v>
      </c>
      <c t="s" s="6" r="AC472">
        <v>92</v>
      </c>
      <c t="s" s="6" r="AD472">
        <v>92</v>
      </c>
      <c t="s" s="6" r="AE472">
        <v>92</v>
      </c>
      <c s="6" r="AF472">
        <v>4</v>
      </c>
      <c t="s" s="6" r="AG472">
        <v>92</v>
      </c>
      <c t="s" s="6" r="AH472">
        <v>92</v>
      </c>
      <c t="s" s="6" r="AI472">
        <v>92</v>
      </c>
      <c t="s" s="6" r="AJ472">
        <v>92</v>
      </c>
      <c t="s" s="6" r="AK472">
        <v>92</v>
      </c>
      <c t="s" s="6" r="AL472">
        <v>92</v>
      </c>
      <c t="s" s="6" r="AM472">
        <v>92</v>
      </c>
      <c t="s" s="6" r="AN472">
        <v>92</v>
      </c>
      <c s="6" r="AP472">
        <v>4</v>
      </c>
      <c t="s" s="6" r="AQ472">
        <v>565</v>
      </c>
      <c t="s" s="6" r="AR472">
        <v>3835</v>
      </c>
      <c s="6" r="AS472">
        <v>0</v>
      </c>
      <c s="6" r="AT472">
        <v>0</v>
      </c>
      <c s="6" r="AU472">
        <v>0</v>
      </c>
      <c s="6" r="AV472">
        <v>0</v>
      </c>
      <c s="6" r="AW472">
        <v>0</v>
      </c>
      <c s="6" r="AX472">
        <v>0</v>
      </c>
      <c s="6" r="AY472">
        <v>0</v>
      </c>
      <c s="6" r="AZ472">
        <v>0</v>
      </c>
      <c s="6" r="BA472">
        <v>0</v>
      </c>
      <c s="6" r="BB472">
        <v>0</v>
      </c>
      <c s="6" r="BC472">
        <v>0</v>
      </c>
      <c s="6" r="BD472">
        <v>0</v>
      </c>
      <c s="6" r="BE472">
        <v>0</v>
      </c>
      <c s="6" r="BF472">
        <v>0</v>
      </c>
      <c s="6" r="BG472">
        <v>0</v>
      </c>
      <c s="6" r="BH472">
        <v>0</v>
      </c>
      <c s="6" r="BI472">
        <v>0</v>
      </c>
      <c s="6" r="BJ472">
        <v>0</v>
      </c>
      <c s="6" r="BK472">
        <v>0</v>
      </c>
      <c s="6" r="BL472">
        <v>0</v>
      </c>
      <c s="6" r="BM472">
        <v>0</v>
      </c>
      <c s="6" r="BN472">
        <v>0</v>
      </c>
      <c s="6" r="BO472">
        <v>1</v>
      </c>
      <c s="6" r="BP472">
        <v>0</v>
      </c>
      <c s="6" r="BQ472">
        <v>0</v>
      </c>
      <c t="str" s="6" r="BR472">
        <f>HYPERLINK("http://www.d20pfsrd.com/magic/all-spells/s/shadow-conjuration","Shadow Conjuration")</f>
        <v>Shadow Conjuration</v>
      </c>
      <c s="6" r="BS472">
        <v>473</v>
      </c>
      <c t="s" s="6" r="BT472">
        <v>92</v>
      </c>
      <c t="s" s="6" r="BU472">
        <v>1206</v>
      </c>
      <c t="s" s="6" r="BV472">
        <v>1206</v>
      </c>
      <c s="6" r="BY472">
        <v>0</v>
      </c>
    </row>
    <row customHeight="1" r="473" ht="14.25">
      <c t="s" s="6" r="A473">
        <v>3836</v>
      </c>
      <c t="s" s="6" r="B473">
        <v>579</v>
      </c>
      <c t="s" s="6" r="C473">
        <v>66</v>
      </c>
      <c t="s" s="6" r="D473">
        <v>66</v>
      </c>
      <c t="s" s="6" r="E473">
        <v>1058</v>
      </c>
      <c t="s" s="6" r="F473">
        <v>81</v>
      </c>
      <c t="s" s="6" r="G473">
        <v>106</v>
      </c>
      <c s="6" r="H473">
        <v>0</v>
      </c>
      <c t="s" s="6" r="I473">
        <v>141</v>
      </c>
      <c t="s" s="6" r="K473">
        <v>141</v>
      </c>
      <c t="s" s="6" r="M473">
        <v>141</v>
      </c>
      <c s="6" r="N473">
        <v>0</v>
      </c>
      <c s="6" r="O473">
        <v>0</v>
      </c>
      <c t="s" s="6" r="P473">
        <v>3830</v>
      </c>
      <c t="s" s="6" r="Q473">
        <v>3831</v>
      </c>
      <c t="s" s="6" r="R473">
        <v>3837</v>
      </c>
      <c t="s" s="6" r="S473">
        <v>3838</v>
      </c>
      <c t="s" s="6" r="T473">
        <v>90</v>
      </c>
      <c t="s" s="6" r="U473">
        <v>3839</v>
      </c>
      <c s="6" r="V473">
        <v>1</v>
      </c>
      <c s="6" r="W473">
        <v>1</v>
      </c>
      <c s="6" r="X473">
        <v>0</v>
      </c>
      <c s="6" r="Y473">
        <v>0</v>
      </c>
      <c s="6" r="Z473">
        <v>0</v>
      </c>
      <c s="6" r="AA473">
        <v>9</v>
      </c>
      <c s="6" r="AB473">
        <v>9</v>
      </c>
      <c t="s" s="6" r="AC473">
        <v>92</v>
      </c>
      <c t="s" s="6" r="AD473">
        <v>92</v>
      </c>
      <c t="s" s="6" r="AE473">
        <v>92</v>
      </c>
      <c t="s" s="6" r="AF473">
        <v>92</v>
      </c>
      <c t="s" s="6" r="AG473">
        <v>92</v>
      </c>
      <c t="s" s="6" r="AH473">
        <v>92</v>
      </c>
      <c t="s" s="6" r="AI473">
        <v>92</v>
      </c>
      <c t="s" s="6" r="AJ473">
        <v>92</v>
      </c>
      <c t="s" s="6" r="AK473">
        <v>92</v>
      </c>
      <c t="s" s="6" r="AL473">
        <v>92</v>
      </c>
      <c t="s" s="6" r="AM473">
        <v>92</v>
      </c>
      <c t="s" s="6" r="AN473">
        <v>92</v>
      </c>
      <c s="6" r="AP473">
        <v>9</v>
      </c>
      <c t="s" s="6" r="AQ473">
        <v>565</v>
      </c>
      <c t="s" s="6" r="AR473">
        <v>3840</v>
      </c>
      <c s="6" r="AS473">
        <v>0</v>
      </c>
      <c s="6" r="AT473">
        <v>0</v>
      </c>
      <c s="6" r="AU473">
        <v>0</v>
      </c>
      <c s="6" r="AV473">
        <v>0</v>
      </c>
      <c s="6" r="AW473">
        <v>0</v>
      </c>
      <c s="6" r="AX473">
        <v>0</v>
      </c>
      <c s="6" r="AY473">
        <v>0</v>
      </c>
      <c s="6" r="AZ473">
        <v>0</v>
      </c>
      <c s="6" r="BA473">
        <v>0</v>
      </c>
      <c s="6" r="BB473">
        <v>0</v>
      </c>
      <c s="6" r="BC473">
        <v>0</v>
      </c>
      <c s="6" r="BD473">
        <v>0</v>
      </c>
      <c s="6" r="BE473">
        <v>0</v>
      </c>
      <c s="6" r="BF473">
        <v>0</v>
      </c>
      <c s="6" r="BG473">
        <v>0</v>
      </c>
      <c s="6" r="BH473">
        <v>0</v>
      </c>
      <c s="6" r="BI473">
        <v>0</v>
      </c>
      <c s="6" r="BJ473">
        <v>0</v>
      </c>
      <c s="6" r="BK473">
        <v>0</v>
      </c>
      <c s="6" r="BL473">
        <v>0</v>
      </c>
      <c s="6" r="BM473">
        <v>0</v>
      </c>
      <c s="6" r="BN473">
        <v>0</v>
      </c>
      <c s="6" r="BO473">
        <v>1</v>
      </c>
      <c s="6" r="BP473">
        <v>0</v>
      </c>
      <c s="6" r="BQ473">
        <v>0</v>
      </c>
      <c t="str" s="6" r="BR473">
        <f>HYPERLINK("http://www.d20pfsrd.com/magic/all-spells/s/shades","Shades")</f>
        <v>Shades</v>
      </c>
      <c s="6" r="BS473">
        <v>474</v>
      </c>
      <c t="s" s="6" r="BT473">
        <v>92</v>
      </c>
      <c t="s" s="6" r="BU473">
        <v>1206</v>
      </c>
      <c t="s" s="6" r="BV473">
        <v>1206</v>
      </c>
      <c s="6" r="BY473">
        <v>0</v>
      </c>
    </row>
    <row customHeight="1" r="474" ht="14.25">
      <c t="s" s="6" r="A474">
        <v>3841</v>
      </c>
      <c t="s" s="6" r="B474">
        <v>579</v>
      </c>
      <c t="s" s="6" r="C474">
        <v>66</v>
      </c>
      <c t="s" s="6" r="D474">
        <v>66</v>
      </c>
      <c t="s" s="6" r="E474">
        <v>973</v>
      </c>
      <c t="s" s="6" r="F474">
        <v>81</v>
      </c>
      <c t="s" s="6" r="G474">
        <v>106</v>
      </c>
      <c s="6" r="H474">
        <v>0</v>
      </c>
      <c t="s" s="6" r="I474">
        <v>141</v>
      </c>
      <c t="s" s="6" r="K474">
        <v>141</v>
      </c>
      <c t="s" s="6" r="M474">
        <v>141</v>
      </c>
      <c s="6" r="N474">
        <v>0</v>
      </c>
      <c s="6" r="O474">
        <v>0</v>
      </c>
      <c t="s" s="6" r="P474">
        <v>3830</v>
      </c>
      <c t="s" s="6" r="Q474">
        <v>3831</v>
      </c>
      <c t="s" s="6" r="R474">
        <v>3842</v>
      </c>
      <c t="s" s="6" r="S474">
        <v>3843</v>
      </c>
      <c t="s" s="6" r="T474">
        <v>90</v>
      </c>
      <c t="s" s="6" r="U474">
        <v>3844</v>
      </c>
      <c s="6" r="V474">
        <v>1</v>
      </c>
      <c s="6" r="W474">
        <v>1</v>
      </c>
      <c s="6" r="X474">
        <v>0</v>
      </c>
      <c s="6" r="Y474">
        <v>0</v>
      </c>
      <c s="6" r="Z474">
        <v>0</v>
      </c>
      <c s="6" r="AA474">
        <v>7</v>
      </c>
      <c s="6" r="AB474">
        <v>7</v>
      </c>
      <c t="s" s="6" r="AC474">
        <v>92</v>
      </c>
      <c t="s" s="6" r="AD474">
        <v>92</v>
      </c>
      <c t="s" s="6" r="AE474">
        <v>92</v>
      </c>
      <c t="s" s="6" r="AF474">
        <v>92</v>
      </c>
      <c t="s" s="6" r="AG474">
        <v>92</v>
      </c>
      <c t="s" s="6" r="AH474">
        <v>92</v>
      </c>
      <c t="s" s="6" r="AI474">
        <v>92</v>
      </c>
      <c t="s" s="6" r="AJ474">
        <v>92</v>
      </c>
      <c t="s" s="6" r="AK474">
        <v>92</v>
      </c>
      <c t="s" s="6" r="AL474">
        <v>92</v>
      </c>
      <c t="s" s="6" r="AM474">
        <v>92</v>
      </c>
      <c t="s" s="6" r="AN474">
        <v>92</v>
      </c>
      <c s="6" r="AP474">
        <v>7</v>
      </c>
      <c t="s" s="6" r="AR474">
        <v>3845</v>
      </c>
      <c s="6" r="AS474">
        <v>0</v>
      </c>
      <c s="6" r="AT474">
        <v>0</v>
      </c>
      <c s="6" r="AU474">
        <v>0</v>
      </c>
      <c s="6" r="AV474">
        <v>0</v>
      </c>
      <c s="6" r="AW474">
        <v>0</v>
      </c>
      <c s="6" r="AX474">
        <v>0</v>
      </c>
      <c s="6" r="AY474">
        <v>0</v>
      </c>
      <c s="6" r="AZ474">
        <v>0</v>
      </c>
      <c s="6" r="BA474">
        <v>0</v>
      </c>
      <c s="6" r="BB474">
        <v>0</v>
      </c>
      <c s="6" r="BC474">
        <v>0</v>
      </c>
      <c s="6" r="BD474">
        <v>0</v>
      </c>
      <c s="6" r="BE474">
        <v>0</v>
      </c>
      <c s="6" r="BF474">
        <v>0</v>
      </c>
      <c s="6" r="BG474">
        <v>0</v>
      </c>
      <c s="6" r="BH474">
        <v>0</v>
      </c>
      <c s="6" r="BI474">
        <v>0</v>
      </c>
      <c s="6" r="BJ474">
        <v>0</v>
      </c>
      <c s="6" r="BK474">
        <v>0</v>
      </c>
      <c s="6" r="BL474">
        <v>0</v>
      </c>
      <c s="6" r="BM474">
        <v>0</v>
      </c>
      <c s="6" r="BN474">
        <v>0</v>
      </c>
      <c s="6" r="BO474">
        <v>1</v>
      </c>
      <c s="6" r="BP474">
        <v>0</v>
      </c>
      <c s="6" r="BQ474">
        <v>0</v>
      </c>
      <c t="str" s="6" r="BR474">
        <f>HYPERLINK("http://www.d20pfsrd.com/magic/all-spells/s/shadow-conjuration","Shadow Conjuration, Greater")</f>
        <v>Shadow Conjuration, Greater</v>
      </c>
      <c s="6" r="BS474">
        <v>475</v>
      </c>
      <c t="s" s="6" r="BT474">
        <v>92</v>
      </c>
      <c t="s" s="6" r="BV474">
        <v>1206</v>
      </c>
      <c s="6" r="BY474">
        <v>0</v>
      </c>
    </row>
    <row customHeight="1" r="475" ht="14.25">
      <c t="s" s="6" r="A475">
        <v>3846</v>
      </c>
      <c t="s" s="6" r="B475">
        <v>579</v>
      </c>
      <c t="s" s="6" r="C475">
        <v>66</v>
      </c>
      <c t="s" s="6" r="D475">
        <v>66</v>
      </c>
      <c t="s" s="6" r="E475">
        <v>1734</v>
      </c>
      <c t="s" s="6" r="F475">
        <v>81</v>
      </c>
      <c t="s" s="6" r="G475">
        <v>106</v>
      </c>
      <c s="6" r="H475">
        <v>0</v>
      </c>
      <c t="s" s="6" r="I475">
        <v>141</v>
      </c>
      <c t="s" s="6" r="K475">
        <v>141</v>
      </c>
      <c t="s" s="6" r="M475">
        <v>141</v>
      </c>
      <c s="6" r="N475">
        <v>0</v>
      </c>
      <c s="6" r="O475">
        <v>0</v>
      </c>
      <c t="s" s="6" r="P475">
        <v>2197</v>
      </c>
      <c t="s" s="6" r="Q475">
        <v>188</v>
      </c>
      <c t="s" s="6" r="R475">
        <v>3847</v>
      </c>
      <c t="s" s="6" r="S475">
        <v>3848</v>
      </c>
      <c t="s" s="6" r="T475">
        <v>90</v>
      </c>
      <c t="s" s="6" r="U475">
        <v>3849</v>
      </c>
      <c s="6" r="V475">
        <v>1</v>
      </c>
      <c s="6" r="W475">
        <v>1</v>
      </c>
      <c s="6" r="X475">
        <v>0</v>
      </c>
      <c s="6" r="Y475">
        <v>0</v>
      </c>
      <c s="6" r="Z475">
        <v>0</v>
      </c>
      <c s="6" r="AA475">
        <v>5</v>
      </c>
      <c s="6" r="AB475">
        <v>5</v>
      </c>
      <c t="s" s="6" r="AC475">
        <v>92</v>
      </c>
      <c t="s" s="6" r="AD475">
        <v>92</v>
      </c>
      <c t="s" s="6" r="AE475">
        <v>92</v>
      </c>
      <c s="6" r="AF475">
        <v>5</v>
      </c>
      <c t="s" s="6" r="AG475">
        <v>92</v>
      </c>
      <c t="s" s="6" r="AH475">
        <v>92</v>
      </c>
      <c t="s" s="6" r="AI475">
        <v>92</v>
      </c>
      <c t="s" s="6" r="AJ475">
        <v>92</v>
      </c>
      <c t="s" s="6" r="AK475">
        <v>92</v>
      </c>
      <c t="s" s="6" r="AL475">
        <v>92</v>
      </c>
      <c t="s" s="6" r="AM475">
        <v>92</v>
      </c>
      <c t="s" s="6" r="AN475">
        <v>92</v>
      </c>
      <c s="6" r="AP475">
        <v>5</v>
      </c>
      <c t="s" s="6" r="AR475">
        <v>3850</v>
      </c>
      <c s="6" r="AS475">
        <v>0</v>
      </c>
      <c s="6" r="AT475">
        <v>0</v>
      </c>
      <c s="6" r="AU475">
        <v>0</v>
      </c>
      <c s="6" r="AV475">
        <v>0</v>
      </c>
      <c s="6" r="AW475">
        <v>0</v>
      </c>
      <c s="6" r="AX475">
        <v>0</v>
      </c>
      <c s="6" r="AY475">
        <v>0</v>
      </c>
      <c s="6" r="AZ475">
        <v>0</v>
      </c>
      <c s="6" r="BA475">
        <v>0</v>
      </c>
      <c s="6" r="BB475">
        <v>0</v>
      </c>
      <c s="6" r="BC475">
        <v>0</v>
      </c>
      <c s="6" r="BD475">
        <v>0</v>
      </c>
      <c s="6" r="BE475">
        <v>0</v>
      </c>
      <c s="6" r="BF475">
        <v>0</v>
      </c>
      <c s="6" r="BG475">
        <v>0</v>
      </c>
      <c s="6" r="BH475">
        <v>0</v>
      </c>
      <c s="6" r="BI475">
        <v>0</v>
      </c>
      <c s="6" r="BJ475">
        <v>0</v>
      </c>
      <c s="6" r="BK475">
        <v>0</v>
      </c>
      <c s="6" r="BL475">
        <v>0</v>
      </c>
      <c s="6" r="BM475">
        <v>0</v>
      </c>
      <c s="6" r="BN475">
        <v>0</v>
      </c>
      <c s="6" r="BO475">
        <v>1</v>
      </c>
      <c s="6" r="BP475">
        <v>0</v>
      </c>
      <c s="6" r="BQ475">
        <v>0</v>
      </c>
      <c t="str" s="6" r="BR475">
        <f>HYPERLINK("http://www.d20pfsrd.com/magic/all-spells/s/shadow-evocation","Shadow Evocation")</f>
        <v>Shadow Evocation</v>
      </c>
      <c s="6" r="BS475">
        <v>476</v>
      </c>
      <c t="s" s="6" r="BT475">
        <v>92</v>
      </c>
      <c t="s" s="6" r="BU475">
        <v>1206</v>
      </c>
      <c t="s" s="6" r="BV475">
        <v>1206</v>
      </c>
      <c s="6" r="BY475">
        <v>0</v>
      </c>
    </row>
    <row customHeight="1" r="476" ht="14.25">
      <c t="s" s="6" r="A476">
        <v>3851</v>
      </c>
      <c t="s" s="6" r="B476">
        <v>579</v>
      </c>
      <c t="s" s="6" r="C476">
        <v>66</v>
      </c>
      <c t="s" s="6" r="D476">
        <v>66</v>
      </c>
      <c t="s" s="6" r="E476">
        <v>794</v>
      </c>
      <c t="s" s="6" r="F476">
        <v>81</v>
      </c>
      <c t="s" s="6" r="G476">
        <v>106</v>
      </c>
      <c s="6" r="H476">
        <v>0</v>
      </c>
      <c t="s" s="6" r="I476">
        <v>141</v>
      </c>
      <c t="s" s="6" r="K476">
        <v>141</v>
      </c>
      <c t="s" s="6" r="M476">
        <v>141</v>
      </c>
      <c s="6" r="N476">
        <v>0</v>
      </c>
      <c s="6" r="O476">
        <v>0</v>
      </c>
      <c t="s" s="6" r="P476">
        <v>2197</v>
      </c>
      <c t="s" s="6" r="Q476">
        <v>188</v>
      </c>
      <c t="s" s="6" r="R476">
        <v>3852</v>
      </c>
      <c t="s" s="6" r="S476">
        <v>3853</v>
      </c>
      <c t="s" s="6" r="T476">
        <v>90</v>
      </c>
      <c t="s" s="6" r="U476">
        <v>3854</v>
      </c>
      <c s="6" r="V476">
        <v>1</v>
      </c>
      <c s="6" r="W476">
        <v>1</v>
      </c>
      <c s="6" r="X476">
        <v>0</v>
      </c>
      <c s="6" r="Y476">
        <v>0</v>
      </c>
      <c s="6" r="Z476">
        <v>0</v>
      </c>
      <c s="6" r="AA476">
        <v>8</v>
      </c>
      <c s="6" r="AB476">
        <v>8</v>
      </c>
      <c t="s" s="6" r="AC476">
        <v>92</v>
      </c>
      <c t="s" s="6" r="AD476">
        <v>92</v>
      </c>
      <c t="s" s="6" r="AE476">
        <v>92</v>
      </c>
      <c t="s" s="6" r="AF476">
        <v>92</v>
      </c>
      <c t="s" s="6" r="AG476">
        <v>92</v>
      </c>
      <c t="s" s="6" r="AH476">
        <v>92</v>
      </c>
      <c t="s" s="6" r="AI476">
        <v>92</v>
      </c>
      <c t="s" s="6" r="AJ476">
        <v>92</v>
      </c>
      <c t="s" s="6" r="AK476">
        <v>92</v>
      </c>
      <c t="s" s="6" r="AL476">
        <v>92</v>
      </c>
      <c t="s" s="6" r="AM476">
        <v>92</v>
      </c>
      <c t="s" s="6" r="AN476">
        <v>92</v>
      </c>
      <c s="6" r="AP476">
        <v>8</v>
      </c>
      <c t="s" s="6" r="AQ476">
        <v>565</v>
      </c>
      <c t="s" s="6" r="AR476">
        <v>3855</v>
      </c>
      <c s="6" r="AS476">
        <v>0</v>
      </c>
      <c s="6" r="AT476">
        <v>0</v>
      </c>
      <c s="6" r="AU476">
        <v>0</v>
      </c>
      <c s="6" r="AV476">
        <v>0</v>
      </c>
      <c s="6" r="AW476">
        <v>0</v>
      </c>
      <c s="6" r="AX476">
        <v>0</v>
      </c>
      <c s="6" r="AY476">
        <v>0</v>
      </c>
      <c s="6" r="AZ476">
        <v>0</v>
      </c>
      <c s="6" r="BA476">
        <v>0</v>
      </c>
      <c s="6" r="BB476">
        <v>0</v>
      </c>
      <c s="6" r="BC476">
        <v>0</v>
      </c>
      <c s="6" r="BD476">
        <v>0</v>
      </c>
      <c s="6" r="BE476">
        <v>0</v>
      </c>
      <c s="6" r="BF476">
        <v>0</v>
      </c>
      <c s="6" r="BG476">
        <v>0</v>
      </c>
      <c s="6" r="BH476">
        <v>0</v>
      </c>
      <c s="6" r="BI476">
        <v>0</v>
      </c>
      <c s="6" r="BJ476">
        <v>0</v>
      </c>
      <c s="6" r="BK476">
        <v>0</v>
      </c>
      <c s="6" r="BL476">
        <v>0</v>
      </c>
      <c s="6" r="BM476">
        <v>0</v>
      </c>
      <c s="6" r="BN476">
        <v>0</v>
      </c>
      <c s="6" r="BO476">
        <v>1</v>
      </c>
      <c s="6" r="BP476">
        <v>0</v>
      </c>
      <c s="6" r="BQ476">
        <v>0</v>
      </c>
      <c t="str" s="6" r="BR476">
        <f>HYPERLINK("http://www.d20pfsrd.com/magic/all-spells/s/shadow-evocation","Shadow Evocation, Greater")</f>
        <v>Shadow Evocation, Greater</v>
      </c>
      <c s="6" r="BS476">
        <v>477</v>
      </c>
      <c t="s" s="6" r="BT476">
        <v>92</v>
      </c>
      <c t="s" s="6" r="BU476">
        <v>1206</v>
      </c>
      <c t="s" s="6" r="BV476">
        <v>1206</v>
      </c>
      <c s="6" r="BY476">
        <v>0</v>
      </c>
    </row>
    <row customHeight="1" r="477" ht="14.25">
      <c t="s" s="6" r="A477">
        <v>3856</v>
      </c>
      <c t="s" s="6" r="B477">
        <v>579</v>
      </c>
      <c t="s" s="6" r="C477">
        <v>66</v>
      </c>
      <c t="s" s="6" r="D477">
        <v>66</v>
      </c>
      <c t="s" s="6" r="E477">
        <v>3857</v>
      </c>
      <c t="s" s="6" r="F477">
        <v>81</v>
      </c>
      <c t="s" s="6" r="G477">
        <v>106</v>
      </c>
      <c s="6" r="H477">
        <v>0</v>
      </c>
      <c t="s" s="6" r="I477">
        <v>120</v>
      </c>
      <c t="s" s="6" r="L477">
        <v>3858</v>
      </c>
      <c t="s" s="6" r="M477">
        <v>209</v>
      </c>
      <c s="6" r="N477">
        <v>1</v>
      </c>
      <c s="6" r="O477">
        <v>0</v>
      </c>
      <c t="s" s="6" r="P477">
        <v>221</v>
      </c>
      <c t="s" s="6" r="Q477">
        <v>188</v>
      </c>
      <c t="s" s="6" r="R477">
        <v>3859</v>
      </c>
      <c t="s" s="6" r="S477">
        <v>3860</v>
      </c>
      <c t="s" s="6" r="T477">
        <v>90</v>
      </c>
      <c t="s" s="6" r="U477">
        <v>3861</v>
      </c>
      <c s="6" r="V477">
        <v>1</v>
      </c>
      <c s="6" r="W477">
        <v>1</v>
      </c>
      <c s="6" r="X477">
        <v>0</v>
      </c>
      <c s="6" r="Y477">
        <v>0</v>
      </c>
      <c s="6" r="Z477">
        <v>0</v>
      </c>
      <c s="6" r="AA477">
        <v>6</v>
      </c>
      <c s="6" r="AB477">
        <v>6</v>
      </c>
      <c t="s" s="6" r="AC477">
        <v>92</v>
      </c>
      <c t="s" s="6" r="AD477">
        <v>92</v>
      </c>
      <c t="s" s="6" r="AE477">
        <v>92</v>
      </c>
      <c s="6" r="AF477">
        <v>5</v>
      </c>
      <c t="s" s="6" r="AG477">
        <v>92</v>
      </c>
      <c s="6" r="AH477">
        <v>6</v>
      </c>
      <c t="s" s="6" r="AI477">
        <v>92</v>
      </c>
      <c t="s" s="6" r="AJ477">
        <v>92</v>
      </c>
      <c t="s" s="6" r="AK477">
        <v>92</v>
      </c>
      <c t="s" s="6" r="AL477">
        <v>92</v>
      </c>
      <c t="s" s="6" r="AM477">
        <v>92</v>
      </c>
      <c t="s" s="6" r="AN477">
        <v>92</v>
      </c>
      <c s="6" r="AP477">
        <v>6</v>
      </c>
      <c t="s" s="6" r="AQ477">
        <v>565</v>
      </c>
      <c t="s" s="6" r="AR477">
        <v>3862</v>
      </c>
      <c s="6" r="AS477">
        <v>0</v>
      </c>
      <c s="6" r="AT477">
        <v>0</v>
      </c>
      <c s="6" r="AU477">
        <v>0</v>
      </c>
      <c s="6" r="AV477">
        <v>0</v>
      </c>
      <c s="6" r="AW477">
        <v>0</v>
      </c>
      <c s="6" r="AX477">
        <v>0</v>
      </c>
      <c s="6" r="AY477">
        <v>0</v>
      </c>
      <c s="6" r="AZ477">
        <v>0</v>
      </c>
      <c s="6" r="BA477">
        <v>0</v>
      </c>
      <c s="6" r="BB477">
        <v>0</v>
      </c>
      <c s="6" r="BC477">
        <v>0</v>
      </c>
      <c s="6" r="BD477">
        <v>0</v>
      </c>
      <c s="6" r="BE477">
        <v>0</v>
      </c>
      <c s="6" r="BF477">
        <v>0</v>
      </c>
      <c s="6" r="BG477">
        <v>0</v>
      </c>
      <c s="6" r="BH477">
        <v>0</v>
      </c>
      <c s="6" r="BI477">
        <v>0</v>
      </c>
      <c s="6" r="BJ477">
        <v>0</v>
      </c>
      <c s="6" r="BK477">
        <v>0</v>
      </c>
      <c s="6" r="BL477">
        <v>0</v>
      </c>
      <c s="6" r="BM477">
        <v>0</v>
      </c>
      <c s="6" r="BN477">
        <v>0</v>
      </c>
      <c s="6" r="BO477">
        <v>1</v>
      </c>
      <c s="6" r="BP477">
        <v>0</v>
      </c>
      <c s="6" r="BQ477">
        <v>0</v>
      </c>
      <c t="str" s="6" r="BR477">
        <f>HYPERLINK("http://www.d20pfsrd.com/magic/all-spells/s/shadow-walk","Shadow Walk")</f>
        <v>Shadow Walk</v>
      </c>
      <c s="6" r="BS477">
        <v>478</v>
      </c>
      <c t="s" s="6" r="BT477">
        <v>92</v>
      </c>
      <c t="s" s="6" r="BU477">
        <v>3863</v>
      </c>
      <c t="s" s="6" r="BV477">
        <v>3864</v>
      </c>
      <c s="6" r="BY477">
        <v>0</v>
      </c>
    </row>
    <row customHeight="1" r="478" ht="14.25">
      <c t="s" s="6" r="A478">
        <v>3865</v>
      </c>
      <c t="s" s="6" r="B478">
        <v>78</v>
      </c>
      <c t="s" s="6" r="C478">
        <v>79</v>
      </c>
      <c t="s" s="6" r="E478">
        <v>3866</v>
      </c>
      <c t="s" s="6" r="F478">
        <v>81</v>
      </c>
      <c t="s" s="6" r="G478">
        <v>106</v>
      </c>
      <c s="6" r="H478">
        <v>0</v>
      </c>
      <c t="s" s="6" r="I478">
        <v>97</v>
      </c>
      <c t="s" s="6" r="K478">
        <v>3867</v>
      </c>
      <c t="s" s="6" r="M478">
        <v>3868</v>
      </c>
      <c s="6" r="N478">
        <v>1</v>
      </c>
      <c s="6" r="O478">
        <v>0</v>
      </c>
      <c t="s" s="6" r="P478">
        <v>86</v>
      </c>
      <c t="s" s="6" r="Q478">
        <v>87</v>
      </c>
      <c t="s" s="6" r="R478">
        <v>3869</v>
      </c>
      <c t="s" s="6" r="S478">
        <v>3870</v>
      </c>
      <c t="s" s="6" r="T478">
        <v>90</v>
      </c>
      <c t="s" s="6" r="U478">
        <v>3871</v>
      </c>
      <c s="6" r="V478">
        <v>1</v>
      </c>
      <c s="6" r="W478">
        <v>1</v>
      </c>
      <c s="6" r="X478">
        <v>0</v>
      </c>
      <c s="6" r="Y478">
        <v>0</v>
      </c>
      <c s="6" r="Z478">
        <v>0</v>
      </c>
      <c t="s" s="6" r="AA478">
        <v>92</v>
      </c>
      <c t="s" s="6" r="AB478">
        <v>92</v>
      </c>
      <c t="s" s="6" r="AC478">
        <v>92</v>
      </c>
      <c s="6" r="AD478">
        <v>9</v>
      </c>
      <c t="s" s="6" r="AE478">
        <v>92</v>
      </c>
      <c t="s" s="6" r="AF478">
        <v>92</v>
      </c>
      <c t="s" s="6" r="AG478">
        <v>92</v>
      </c>
      <c t="s" s="6" r="AH478">
        <v>92</v>
      </c>
      <c t="s" s="6" r="AI478">
        <v>92</v>
      </c>
      <c t="s" s="6" r="AJ478">
        <v>92</v>
      </c>
      <c t="s" s="6" r="AK478">
        <v>92</v>
      </c>
      <c t="s" s="6" r="AL478">
        <v>92</v>
      </c>
      <c t="s" s="6" r="AM478">
        <v>92</v>
      </c>
      <c t="s" s="6" r="AN478">
        <v>92</v>
      </c>
      <c s="6" r="AP478">
        <v>9</v>
      </c>
      <c t="s" s="6" r="AQ478">
        <v>257</v>
      </c>
      <c t="s" s="6" r="AR478">
        <v>3872</v>
      </c>
      <c s="6" r="AS478">
        <v>0</v>
      </c>
      <c s="6" r="AT478">
        <v>0</v>
      </c>
      <c s="6" r="AU478">
        <v>0</v>
      </c>
      <c s="6" r="AV478">
        <v>0</v>
      </c>
      <c s="6" r="AW478">
        <v>0</v>
      </c>
      <c s="6" r="AX478">
        <v>0</v>
      </c>
      <c s="6" r="AY478">
        <v>0</v>
      </c>
      <c s="6" r="AZ478">
        <v>0</v>
      </c>
      <c s="6" r="BA478">
        <v>0</v>
      </c>
      <c s="6" r="BB478">
        <v>0</v>
      </c>
      <c s="6" r="BC478">
        <v>0</v>
      </c>
      <c s="6" r="BD478">
        <v>0</v>
      </c>
      <c s="6" r="BE478">
        <v>0</v>
      </c>
      <c s="6" r="BF478">
        <v>0</v>
      </c>
      <c s="6" r="BG478">
        <v>0</v>
      </c>
      <c s="6" r="BH478">
        <v>0</v>
      </c>
      <c s="6" r="BI478">
        <v>0</v>
      </c>
      <c s="6" r="BJ478">
        <v>0</v>
      </c>
      <c s="6" r="BK478">
        <v>0</v>
      </c>
      <c s="6" r="BL478">
        <v>0</v>
      </c>
      <c s="6" r="BM478">
        <v>0</v>
      </c>
      <c s="6" r="BN478">
        <v>0</v>
      </c>
      <c s="6" r="BO478">
        <v>0</v>
      </c>
      <c s="6" r="BP478">
        <v>0</v>
      </c>
      <c s="6" r="BQ478">
        <v>0</v>
      </c>
      <c t="str" s="6" r="BR478">
        <f>HYPERLINK("http://www.d20pfsrd.com/magic/all-spells/s/shambler","Shambler")</f>
        <v>Shambler</v>
      </c>
      <c s="6" r="BS478">
        <v>479</v>
      </c>
      <c t="s" s="6" r="BT478">
        <v>92</v>
      </c>
      <c t="s" s="6" r="BU478">
        <v>259</v>
      </c>
      <c s="6" r="BY478">
        <v>0</v>
      </c>
    </row>
    <row customHeight="1" r="479" ht="14.25">
      <c t="s" s="6" r="A479">
        <v>3873</v>
      </c>
      <c t="s" s="6" r="B479">
        <v>131</v>
      </c>
      <c t="s" s="6" r="C479">
        <v>152</v>
      </c>
      <c t="s" s="6" r="E479">
        <v>3874</v>
      </c>
      <c t="s" s="6" r="F479">
        <v>81</v>
      </c>
      <c t="s" s="6" r="G479">
        <v>3875</v>
      </c>
      <c s="6" r="H479">
        <v>1</v>
      </c>
      <c t="s" s="6" r="I479">
        <v>155</v>
      </c>
      <c t="s" s="6" r="L479">
        <v>156</v>
      </c>
      <c t="s" s="6" r="M479">
        <v>134</v>
      </c>
      <c s="6" r="N479">
        <v>1</v>
      </c>
      <c s="6" r="O479">
        <v>0</v>
      </c>
      <c t="s" s="6" r="R479">
        <v>3876</v>
      </c>
      <c t="s" s="6" r="S479">
        <v>3877</v>
      </c>
      <c t="s" s="6" r="T479">
        <v>90</v>
      </c>
      <c t="s" s="6" r="U479">
        <v>3878</v>
      </c>
      <c s="6" r="V479">
        <v>1</v>
      </c>
      <c s="6" r="W479">
        <v>1</v>
      </c>
      <c s="6" r="X479">
        <v>0</v>
      </c>
      <c s="6" r="Y479">
        <v>1</v>
      </c>
      <c s="6" r="Z479">
        <v>0</v>
      </c>
      <c s="6" r="AA479">
        <v>9</v>
      </c>
      <c s="6" r="AB479">
        <v>9</v>
      </c>
      <c t="s" s="6" r="AC479">
        <v>92</v>
      </c>
      <c s="6" r="AD479">
        <v>9</v>
      </c>
      <c t="s" s="6" r="AE479">
        <v>92</v>
      </c>
      <c t="s" s="6" r="AF479">
        <v>92</v>
      </c>
      <c t="s" s="6" r="AG479">
        <v>92</v>
      </c>
      <c t="s" s="6" r="AH479">
        <v>92</v>
      </c>
      <c t="s" s="6" r="AI479">
        <v>92</v>
      </c>
      <c t="s" s="6" r="AJ479">
        <v>92</v>
      </c>
      <c t="s" s="6" r="AK479">
        <v>92</v>
      </c>
      <c t="s" s="6" r="AL479">
        <v>92</v>
      </c>
      <c t="s" s="6" r="AM479">
        <v>92</v>
      </c>
      <c t="s" s="6" r="AN479">
        <v>92</v>
      </c>
      <c s="6" r="AP479">
        <v>9</v>
      </c>
      <c t="s" s="6" r="AQ479">
        <v>213</v>
      </c>
      <c t="s" s="6" r="AR479">
        <v>3879</v>
      </c>
      <c s="6" r="AS479">
        <v>0</v>
      </c>
      <c s="6" r="AT479">
        <v>0</v>
      </c>
      <c s="6" r="AU479">
        <v>0</v>
      </c>
      <c s="6" r="AV479">
        <v>0</v>
      </c>
      <c s="6" r="AW479">
        <v>0</v>
      </c>
      <c s="6" r="AX479">
        <v>0</v>
      </c>
      <c s="6" r="AY479">
        <v>0</v>
      </c>
      <c s="6" r="AZ479">
        <v>0</v>
      </c>
      <c s="6" r="BA479">
        <v>0</v>
      </c>
      <c s="6" r="BB479">
        <v>0</v>
      </c>
      <c s="6" r="BC479">
        <v>0</v>
      </c>
      <c s="6" r="BD479">
        <v>0</v>
      </c>
      <c s="6" r="BE479">
        <v>0</v>
      </c>
      <c s="6" r="BF479">
        <v>0</v>
      </c>
      <c s="6" r="BG479">
        <v>0</v>
      </c>
      <c s="6" r="BH479">
        <v>0</v>
      </c>
      <c s="6" r="BI479">
        <v>0</v>
      </c>
      <c s="6" r="BJ479">
        <v>0</v>
      </c>
      <c s="6" r="BK479">
        <v>0</v>
      </c>
      <c s="6" r="BL479">
        <v>0</v>
      </c>
      <c s="6" r="BM479">
        <v>0</v>
      </c>
      <c s="6" r="BN479">
        <v>0</v>
      </c>
      <c s="6" r="BO479">
        <v>0</v>
      </c>
      <c s="6" r="BP479">
        <v>0</v>
      </c>
      <c s="6" r="BQ479">
        <v>0</v>
      </c>
      <c t="str" s="6" r="BR479">
        <f>HYPERLINK("http://www.d20pfsrd.com/magic/all-spells/s/shapechange","Shapechange")</f>
        <v>Shapechange</v>
      </c>
      <c s="6" r="BS479">
        <v>480</v>
      </c>
      <c s="6" r="BT479">
        <v>1500</v>
      </c>
      <c t="s" s="6" r="BU479">
        <v>3880</v>
      </c>
      <c t="s" s="6" r="BV479">
        <v>3881</v>
      </c>
      <c s="6" r="BY479">
        <v>0</v>
      </c>
    </row>
    <row customHeight="1" r="480" ht="14.25">
      <c t="s" s="6" r="A480">
        <v>3882</v>
      </c>
      <c t="s" s="6" r="B480">
        <v>493</v>
      </c>
      <c t="s" s="6" r="D480">
        <v>67</v>
      </c>
      <c t="s" s="6" r="E480">
        <v>3883</v>
      </c>
      <c t="s" s="6" r="F480">
        <v>81</v>
      </c>
      <c t="s" s="6" r="G480">
        <v>3884</v>
      </c>
      <c s="6" r="H480">
        <v>0</v>
      </c>
      <c t="s" s="6" r="I480">
        <v>107</v>
      </c>
      <c t="s" s="6" r="J480">
        <v>3885</v>
      </c>
      <c t="s" s="6" r="L480">
        <v>3885</v>
      </c>
      <c t="s" s="6" r="M480">
        <v>109</v>
      </c>
      <c s="6" r="N480">
        <v>0</v>
      </c>
      <c s="6" r="O480">
        <v>0</v>
      </c>
      <c t="s" s="6" r="P480">
        <v>3886</v>
      </c>
      <c t="s" s="6" r="Q480">
        <v>188</v>
      </c>
      <c t="s" s="6" r="R480">
        <v>3887</v>
      </c>
      <c t="s" s="6" r="S480">
        <v>3888</v>
      </c>
      <c t="s" s="6" r="T480">
        <v>90</v>
      </c>
      <c t="s" s="6" r="U480">
        <v>3889</v>
      </c>
      <c s="6" r="V480">
        <v>1</v>
      </c>
      <c s="6" r="W480">
        <v>1</v>
      </c>
      <c s="6" r="X480">
        <v>1</v>
      </c>
      <c s="6" r="Y480">
        <v>0</v>
      </c>
      <c s="6" r="Z480">
        <v>1</v>
      </c>
      <c s="6" r="AA480">
        <v>2</v>
      </c>
      <c s="6" r="AB480">
        <v>2</v>
      </c>
      <c s="6" r="AC480">
        <v>2</v>
      </c>
      <c t="s" s="6" r="AD480">
        <v>92</v>
      </c>
      <c t="s" s="6" r="AE480">
        <v>92</v>
      </c>
      <c s="6" r="AF480">
        <v>2</v>
      </c>
      <c t="s" s="6" r="AG480">
        <v>92</v>
      </c>
      <c t="s" s="6" r="AH480">
        <v>92</v>
      </c>
      <c t="s" s="6" r="AI480">
        <v>92</v>
      </c>
      <c t="s" s="6" r="AJ480">
        <v>92</v>
      </c>
      <c t="s" s="6" r="AK480">
        <v>92</v>
      </c>
      <c s="6" r="AL480">
        <v>2</v>
      </c>
      <c t="s" s="6" r="AM480">
        <v>92</v>
      </c>
      <c s="6" r="AN480">
        <v>2</v>
      </c>
      <c s="6" r="AP480">
        <v>2</v>
      </c>
      <c t="s" s="6" r="AQ480">
        <v>1251</v>
      </c>
      <c t="s" s="6" r="AR480">
        <v>3890</v>
      </c>
      <c s="6" r="AS480">
        <v>0</v>
      </c>
      <c s="6" r="AT480">
        <v>0</v>
      </c>
      <c s="6" r="AU480">
        <v>0</v>
      </c>
      <c s="6" r="AV480">
        <v>0</v>
      </c>
      <c s="6" r="AW480">
        <v>0</v>
      </c>
      <c s="6" r="AX480">
        <v>0</v>
      </c>
      <c s="6" r="AY480">
        <v>0</v>
      </c>
      <c s="6" r="AZ480">
        <v>0</v>
      </c>
      <c s="6" r="BA480">
        <v>0</v>
      </c>
      <c s="6" r="BB480">
        <v>0</v>
      </c>
      <c s="6" r="BC480">
        <v>0</v>
      </c>
      <c s="6" r="BD480">
        <v>0</v>
      </c>
      <c s="6" r="BE480">
        <v>0</v>
      </c>
      <c s="6" r="BF480">
        <v>0</v>
      </c>
      <c s="6" r="BG480">
        <v>0</v>
      </c>
      <c s="6" r="BH480">
        <v>0</v>
      </c>
      <c s="6" r="BI480">
        <v>0</v>
      </c>
      <c s="6" r="BJ480">
        <v>0</v>
      </c>
      <c s="6" r="BK480">
        <v>0</v>
      </c>
      <c s="6" r="BL480">
        <v>0</v>
      </c>
      <c s="6" r="BM480">
        <v>0</v>
      </c>
      <c s="6" r="BN480">
        <v>0</v>
      </c>
      <c s="6" r="BO480">
        <v>0</v>
      </c>
      <c s="6" r="BP480">
        <v>1</v>
      </c>
      <c s="6" r="BQ480">
        <v>0</v>
      </c>
      <c t="str" s="6" r="BR480">
        <f>HYPERLINK("http://www.d20pfsrd.com/magic/all-spells/s/shatter","Shatter")</f>
        <v>Shatter</v>
      </c>
      <c s="6" r="BS480">
        <v>481</v>
      </c>
      <c t="s" s="6" r="BT480">
        <v>92</v>
      </c>
      <c t="s" s="6" r="BW480">
        <v>3891</v>
      </c>
      <c s="6" r="BY480">
        <v>1</v>
      </c>
    </row>
    <row customHeight="1" r="481" ht="14.25">
      <c t="s" s="6" r="A481">
        <v>3892</v>
      </c>
      <c t="s" s="6" r="B481">
        <v>162</v>
      </c>
      <c t="s" s="6" r="D481">
        <v>58</v>
      </c>
      <c t="s" s="6" r="E481">
        <v>3893</v>
      </c>
      <c t="s" s="6" r="F481">
        <v>81</v>
      </c>
      <c t="s" s="6" r="G481">
        <v>106</v>
      </c>
      <c s="6" r="H481">
        <v>0</v>
      </c>
      <c t="s" s="6" r="I481">
        <v>155</v>
      </c>
      <c t="s" s="6" r="L481">
        <v>156</v>
      </c>
      <c t="s" s="6" r="M481">
        <v>122</v>
      </c>
      <c s="6" r="N481">
        <v>1</v>
      </c>
      <c s="6" r="O481">
        <v>0</v>
      </c>
      <c t="s" s="6" r="R481">
        <v>3894</v>
      </c>
      <c t="s" s="6" r="S481">
        <v>3895</v>
      </c>
      <c t="s" s="6" r="T481">
        <v>90</v>
      </c>
      <c t="s" s="6" r="U481">
        <v>3896</v>
      </c>
      <c s="6" r="V481">
        <v>1</v>
      </c>
      <c s="6" r="W481">
        <v>1</v>
      </c>
      <c s="6" r="X481">
        <v>0</v>
      </c>
      <c s="6" r="Y481">
        <v>0</v>
      </c>
      <c s="6" r="Z481">
        <v>0</v>
      </c>
      <c s="6" r="AA481">
        <v>1</v>
      </c>
      <c s="6" r="AB481">
        <v>1</v>
      </c>
      <c t="s" s="6" r="AC481">
        <v>92</v>
      </c>
      <c t="s" s="6" r="AD481">
        <v>92</v>
      </c>
      <c t="s" s="6" r="AE481">
        <v>92</v>
      </c>
      <c t="s" s="6" r="AF481">
        <v>92</v>
      </c>
      <c t="s" s="6" r="AG481">
        <v>92</v>
      </c>
      <c s="6" r="AH481">
        <v>1</v>
      </c>
      <c s="6" r="AI481">
        <v>1</v>
      </c>
      <c t="s" s="6" r="AJ481">
        <v>92</v>
      </c>
      <c t="s" s="6" r="AK481">
        <v>92</v>
      </c>
      <c t="s" s="6" r="AL481">
        <v>92</v>
      </c>
      <c t="s" s="6" r="AM481">
        <v>92</v>
      </c>
      <c s="6" r="AN481">
        <v>1</v>
      </c>
      <c s="6" r="AP481">
        <v>1</v>
      </c>
      <c t="s" s="6" r="AQ481">
        <v>3897</v>
      </c>
      <c t="s" s="6" r="AR481">
        <v>3898</v>
      </c>
      <c s="6" r="AS481">
        <v>0</v>
      </c>
      <c s="6" r="AT481">
        <v>0</v>
      </c>
      <c s="6" r="AU481">
        <v>0</v>
      </c>
      <c s="6" r="AV481">
        <v>0</v>
      </c>
      <c s="6" r="AW481">
        <v>0</v>
      </c>
      <c s="6" r="AX481">
        <v>0</v>
      </c>
      <c s="6" r="AY481">
        <v>0</v>
      </c>
      <c s="6" r="AZ481">
        <v>0</v>
      </c>
      <c s="6" r="BA481">
        <v>0</v>
      </c>
      <c s="6" r="BB481">
        <v>0</v>
      </c>
      <c s="6" r="BC481">
        <v>0</v>
      </c>
      <c s="6" r="BD481">
        <v>0</v>
      </c>
      <c s="6" r="BE481">
        <v>0</v>
      </c>
      <c s="6" r="BF481">
        <v>0</v>
      </c>
      <c s="6" r="BG481">
        <v>1</v>
      </c>
      <c s="6" r="BH481">
        <v>0</v>
      </c>
      <c s="6" r="BI481">
        <v>0</v>
      </c>
      <c s="6" r="BJ481">
        <v>0</v>
      </c>
      <c s="6" r="BK481">
        <v>0</v>
      </c>
      <c s="6" r="BL481">
        <v>0</v>
      </c>
      <c s="6" r="BM481">
        <v>0</v>
      </c>
      <c s="6" r="BN481">
        <v>0</v>
      </c>
      <c s="6" r="BO481">
        <v>0</v>
      </c>
      <c s="6" r="BP481">
        <v>0</v>
      </c>
      <c s="6" r="BQ481">
        <v>0</v>
      </c>
      <c t="str" s="6" r="BR481">
        <f>HYPERLINK("http://www.d20pfsrd.com/magic/all-spells/s/shield","Shield")</f>
        <v>Shield</v>
      </c>
      <c s="6" r="BS481">
        <v>482</v>
      </c>
      <c t="s" s="6" r="BT481">
        <v>92</v>
      </c>
      <c s="6" r="BY481">
        <v>0</v>
      </c>
    </row>
    <row customHeight="1" r="482" ht="14.25">
      <c t="s" s="6" r="A482">
        <v>3899</v>
      </c>
      <c t="s" s="6" r="B482">
        <v>162</v>
      </c>
      <c t="s" s="6" r="E482">
        <v>3704</v>
      </c>
      <c t="s" s="6" r="F482">
        <v>81</v>
      </c>
      <c t="s" s="6" r="G482">
        <v>3900</v>
      </c>
      <c s="6" r="H482">
        <v>0</v>
      </c>
      <c t="s" s="6" r="I482">
        <v>120</v>
      </c>
      <c t="s" s="6" r="L482">
        <v>420</v>
      </c>
      <c t="s" s="6" r="M482">
        <v>122</v>
      </c>
      <c s="6" r="N482">
        <v>0</v>
      </c>
      <c s="6" r="O482">
        <v>0</v>
      </c>
      <c t="s" s="6" r="P482">
        <v>421</v>
      </c>
      <c t="s" s="6" r="Q482">
        <v>123</v>
      </c>
      <c t="s" s="6" r="R482">
        <v>3901</v>
      </c>
      <c t="s" s="6" r="S482">
        <v>3902</v>
      </c>
      <c t="s" s="6" r="T482">
        <v>90</v>
      </c>
      <c t="s" s="6" r="U482">
        <v>3903</v>
      </c>
      <c s="6" r="V482">
        <v>1</v>
      </c>
      <c s="6" r="W482">
        <v>1</v>
      </c>
      <c s="6" r="X482">
        <v>1</v>
      </c>
      <c s="6" r="Y482">
        <v>0</v>
      </c>
      <c s="6" r="Z482">
        <v>0</v>
      </c>
      <c t="s" s="6" r="AA482">
        <v>92</v>
      </c>
      <c t="s" s="6" r="AB482">
        <v>92</v>
      </c>
      <c s="6" r="AC482">
        <v>1</v>
      </c>
      <c t="s" s="6" r="AD482">
        <v>92</v>
      </c>
      <c t="s" s="6" r="AE482">
        <v>92</v>
      </c>
      <c t="s" s="6" r="AF482">
        <v>92</v>
      </c>
      <c t="s" s="6" r="AG482">
        <v>92</v>
      </c>
      <c t="s" s="6" r="AH482">
        <v>92</v>
      </c>
      <c t="s" s="6" r="AI482">
        <v>92</v>
      </c>
      <c t="s" s="6" r="AJ482">
        <v>92</v>
      </c>
      <c s="6" r="AK482">
        <v>1</v>
      </c>
      <c s="6" r="AL482">
        <v>1</v>
      </c>
      <c t="s" s="6" r="AM482">
        <v>92</v>
      </c>
      <c t="s" s="6" r="AN482">
        <v>92</v>
      </c>
      <c s="6" r="AP482">
        <v>1</v>
      </c>
      <c t="s" s="6" r="AQ482">
        <v>3904</v>
      </c>
      <c t="s" s="6" r="AR482">
        <v>3905</v>
      </c>
      <c s="6" r="AS482">
        <v>0</v>
      </c>
      <c s="6" r="AT482">
        <v>0</v>
      </c>
      <c s="6" r="AU482">
        <v>0</v>
      </c>
      <c s="6" r="AV482">
        <v>0</v>
      </c>
      <c s="6" r="AW482">
        <v>0</v>
      </c>
      <c s="6" r="AX482">
        <v>0</v>
      </c>
      <c s="6" r="AY482">
        <v>0</v>
      </c>
      <c s="6" r="AZ482">
        <v>0</v>
      </c>
      <c s="6" r="BA482">
        <v>0</v>
      </c>
      <c s="6" r="BB482">
        <v>0</v>
      </c>
      <c s="6" r="BC482">
        <v>0</v>
      </c>
      <c s="6" r="BD482">
        <v>0</v>
      </c>
      <c s="6" r="BE482">
        <v>0</v>
      </c>
      <c s="6" r="BF482">
        <v>0</v>
      </c>
      <c s="6" r="BG482">
        <v>0</v>
      </c>
      <c s="6" r="BH482">
        <v>0</v>
      </c>
      <c s="6" r="BI482">
        <v>0</v>
      </c>
      <c s="6" r="BJ482">
        <v>0</v>
      </c>
      <c s="6" r="BK482">
        <v>0</v>
      </c>
      <c s="6" r="BL482">
        <v>0</v>
      </c>
      <c s="6" r="BM482">
        <v>0</v>
      </c>
      <c s="6" r="BN482">
        <v>0</v>
      </c>
      <c s="6" r="BO482">
        <v>0</v>
      </c>
      <c s="6" r="BP482">
        <v>0</v>
      </c>
      <c s="6" r="BQ482">
        <v>0</v>
      </c>
      <c t="str" s="6" r="BR482">
        <f>HYPERLINK("http://www.d20pfsrd.com/magic/all-spells/s/shield-of-faith","Shield of Faith")</f>
        <v>Shield of Faith</v>
      </c>
      <c s="6" r="BS482">
        <v>483</v>
      </c>
      <c t="s" s="6" r="BT482">
        <v>92</v>
      </c>
      <c t="s" s="6" r="BV482">
        <v>2109</v>
      </c>
      <c t="s" s="6" r="BW482">
        <v>3906</v>
      </c>
      <c s="6" r="BY482">
        <v>1</v>
      </c>
    </row>
    <row customHeight="1" r="483" ht="14.25">
      <c t="s" s="6" r="A483">
        <v>3907</v>
      </c>
      <c t="s" s="6" r="B483">
        <v>162</v>
      </c>
      <c t="s" s="6" r="D483">
        <v>61</v>
      </c>
      <c t="s" s="6" r="E483">
        <v>802</v>
      </c>
      <c t="s" s="6" r="F483">
        <v>81</v>
      </c>
      <c t="s" s="6" r="G483">
        <v>3908</v>
      </c>
      <c s="6" r="H483">
        <v>1</v>
      </c>
      <c t="s" s="6" r="I483">
        <v>804</v>
      </c>
      <c t="s" s="6" r="L483">
        <v>805</v>
      </c>
      <c t="s" s="6" r="M483">
        <v>99</v>
      </c>
      <c s="6" r="N483">
        <v>1</v>
      </c>
      <c s="6" r="O483">
        <v>0</v>
      </c>
      <c t="s" s="6" r="P483">
        <v>141</v>
      </c>
      <c t="s" s="6" r="Q483">
        <v>123</v>
      </c>
      <c t="s" s="6" r="R483">
        <v>3909</v>
      </c>
      <c t="s" s="6" r="S483">
        <v>3910</v>
      </c>
      <c t="s" s="6" r="T483">
        <v>90</v>
      </c>
      <c t="s" s="6" r="U483">
        <v>3911</v>
      </c>
      <c s="6" r="V483">
        <v>1</v>
      </c>
      <c s="6" r="W483">
        <v>1</v>
      </c>
      <c s="6" r="X483">
        <v>0</v>
      </c>
      <c s="6" r="Y483">
        <v>1</v>
      </c>
      <c s="6" r="Z483">
        <v>0</v>
      </c>
      <c t="s" s="6" r="AA483">
        <v>92</v>
      </c>
      <c t="s" s="6" r="AB483">
        <v>92</v>
      </c>
      <c s="6" r="AC483">
        <v>8</v>
      </c>
      <c t="s" s="6" r="AD483">
        <v>92</v>
      </c>
      <c t="s" s="6" r="AE483">
        <v>92</v>
      </c>
      <c t="s" s="6" r="AF483">
        <v>92</v>
      </c>
      <c t="s" s="6" r="AG483">
        <v>92</v>
      </c>
      <c t="s" s="6" r="AH483">
        <v>92</v>
      </c>
      <c t="s" s="6" r="AI483">
        <v>92</v>
      </c>
      <c t="s" s="6" r="AJ483">
        <v>92</v>
      </c>
      <c t="s" s="6" r="AK483">
        <v>92</v>
      </c>
      <c s="6" r="AL483">
        <v>8</v>
      </c>
      <c t="s" s="6" r="AM483">
        <v>92</v>
      </c>
      <c t="s" s="6" r="AN483">
        <v>92</v>
      </c>
      <c s="6" r="AP483">
        <v>8</v>
      </c>
      <c t="s" s="6" r="AQ483">
        <v>1339</v>
      </c>
      <c t="s" s="6" r="AR483">
        <v>3912</v>
      </c>
      <c s="6" r="AS483">
        <v>0</v>
      </c>
      <c s="6" r="AT483">
        <v>0</v>
      </c>
      <c s="6" r="AU483">
        <v>0</v>
      </c>
      <c s="6" r="AV483">
        <v>0</v>
      </c>
      <c s="6" r="AW483">
        <v>0</v>
      </c>
      <c s="6" r="AX483">
        <v>0</v>
      </c>
      <c s="6" r="AY483">
        <v>0</v>
      </c>
      <c s="6" r="AZ483">
        <v>0</v>
      </c>
      <c s="6" r="BA483">
        <v>0</v>
      </c>
      <c s="6" r="BB483">
        <v>0</v>
      </c>
      <c s="6" r="BC483">
        <v>0</v>
      </c>
      <c s="6" r="BD483">
        <v>0</v>
      </c>
      <c s="6" r="BE483">
        <v>0</v>
      </c>
      <c s="6" r="BF483">
        <v>0</v>
      </c>
      <c s="6" r="BG483">
        <v>0</v>
      </c>
      <c s="6" r="BH483">
        <v>0</v>
      </c>
      <c s="6" r="BI483">
        <v>0</v>
      </c>
      <c s="6" r="BJ483">
        <v>1</v>
      </c>
      <c s="6" r="BK483">
        <v>0</v>
      </c>
      <c s="6" r="BL483">
        <v>0</v>
      </c>
      <c s="6" r="BM483">
        <v>0</v>
      </c>
      <c s="6" r="BN483">
        <v>0</v>
      </c>
      <c s="6" r="BO483">
        <v>0</v>
      </c>
      <c s="6" r="BP483">
        <v>0</v>
      </c>
      <c s="6" r="BQ483">
        <v>0</v>
      </c>
      <c t="str" s="6" r="BR483">
        <f>HYPERLINK("http://www.d20pfsrd.com/magic/all-spells/s/shield-of-law","Shield of Law")</f>
        <v>Shield of Law</v>
      </c>
      <c s="6" r="BS483">
        <v>484</v>
      </c>
      <c s="6" r="BT483">
        <v>500</v>
      </c>
      <c s="6" r="BY483">
        <v>0</v>
      </c>
    </row>
    <row customHeight="1" r="484" ht="14.25">
      <c t="s" s="6" r="A484">
        <v>3913</v>
      </c>
      <c t="s" s="6" r="B484">
        <v>162</v>
      </c>
      <c t="s" s="6" r="E484">
        <v>3914</v>
      </c>
      <c t="s" s="6" r="F484">
        <v>81</v>
      </c>
      <c t="s" s="6" r="G484">
        <v>3915</v>
      </c>
      <c s="6" r="H484">
        <v>1</v>
      </c>
      <c t="s" s="6" r="I484">
        <v>107</v>
      </c>
      <c t="s" s="6" r="L484">
        <v>1235</v>
      </c>
      <c t="s" s="6" r="M484">
        <v>711</v>
      </c>
      <c s="6" r="N484">
        <v>1</v>
      </c>
      <c s="6" r="O484">
        <v>0</v>
      </c>
      <c t="s" s="6" r="P484">
        <v>421</v>
      </c>
      <c t="s" s="6" r="Q484">
        <v>123</v>
      </c>
      <c t="s" s="6" r="R484">
        <v>3916</v>
      </c>
      <c t="s" s="6" r="S484">
        <v>3917</v>
      </c>
      <c t="s" s="6" r="T484">
        <v>90</v>
      </c>
      <c t="s" s="6" r="U484">
        <v>3918</v>
      </c>
      <c s="6" r="V484">
        <v>1</v>
      </c>
      <c s="6" r="W484">
        <v>1</v>
      </c>
      <c s="6" r="X484">
        <v>0</v>
      </c>
      <c s="6" r="Y484">
        <v>0</v>
      </c>
      <c s="6" r="Z484">
        <v>0</v>
      </c>
      <c t="s" s="6" r="AA484">
        <v>92</v>
      </c>
      <c t="s" s="6" r="AB484">
        <v>92</v>
      </c>
      <c s="6" r="AC484">
        <v>2</v>
      </c>
      <c t="s" s="6" r="AD484">
        <v>92</v>
      </c>
      <c t="s" s="6" r="AE484">
        <v>92</v>
      </c>
      <c t="s" s="6" r="AF484">
        <v>92</v>
      </c>
      <c s="6" r="AG484">
        <v>2</v>
      </c>
      <c t="s" s="6" r="AH484">
        <v>92</v>
      </c>
      <c t="s" s="6" r="AI484">
        <v>92</v>
      </c>
      <c t="s" s="6" r="AJ484">
        <v>92</v>
      </c>
      <c s="6" r="AK484">
        <v>2</v>
      </c>
      <c s="6" r="AL484">
        <v>2</v>
      </c>
      <c t="s" s="6" r="AM484">
        <v>92</v>
      </c>
      <c t="s" s="6" r="AN484">
        <v>92</v>
      </c>
      <c s="6" r="AP484">
        <v>2</v>
      </c>
      <c t="s" s="6" r="AQ484">
        <v>3919</v>
      </c>
      <c t="s" s="6" r="AR484">
        <v>3920</v>
      </c>
      <c s="6" r="AS484">
        <v>0</v>
      </c>
      <c s="6" r="AT484">
        <v>0</v>
      </c>
      <c s="6" r="AU484">
        <v>0</v>
      </c>
      <c s="6" r="AV484">
        <v>0</v>
      </c>
      <c s="6" r="AW484">
        <v>0</v>
      </c>
      <c s="6" r="AX484">
        <v>0</v>
      </c>
      <c s="6" r="AY484">
        <v>0</v>
      </c>
      <c s="6" r="AZ484">
        <v>0</v>
      </c>
      <c s="6" r="BA484">
        <v>0</v>
      </c>
      <c s="6" r="BB484">
        <v>0</v>
      </c>
      <c s="6" r="BC484">
        <v>0</v>
      </c>
      <c s="6" r="BD484">
        <v>0</v>
      </c>
      <c s="6" r="BE484">
        <v>0</v>
      </c>
      <c s="6" r="BF484">
        <v>0</v>
      </c>
      <c s="6" r="BG484">
        <v>0</v>
      </c>
      <c s="6" r="BH484">
        <v>0</v>
      </c>
      <c s="6" r="BI484">
        <v>0</v>
      </c>
      <c s="6" r="BJ484">
        <v>0</v>
      </c>
      <c s="6" r="BK484">
        <v>0</v>
      </c>
      <c s="6" r="BL484">
        <v>0</v>
      </c>
      <c s="6" r="BM484">
        <v>0</v>
      </c>
      <c s="6" r="BN484">
        <v>0</v>
      </c>
      <c s="6" r="BO484">
        <v>0</v>
      </c>
      <c s="6" r="BP484">
        <v>0</v>
      </c>
      <c s="6" r="BQ484">
        <v>0</v>
      </c>
      <c t="str" s="6" r="BR484">
        <f>HYPERLINK("http://www.d20pfsrd.com/magic/all-spells/s/shield-other","Shield Other")</f>
        <v>Shield Other</v>
      </c>
      <c s="6" r="BS484">
        <v>485</v>
      </c>
      <c s="6" r="BT484">
        <v>50</v>
      </c>
      <c t="s" s="6" r="BW484">
        <v>3921</v>
      </c>
      <c s="6" r="BY484">
        <v>1</v>
      </c>
    </row>
    <row customHeight="1" r="485" ht="14.25">
      <c t="s" s="6" r="A485">
        <v>3922</v>
      </c>
      <c t="s" s="6" r="B485">
        <v>131</v>
      </c>
      <c t="s" s="6" r="E485">
        <v>1717</v>
      </c>
      <c t="s" s="6" r="F485">
        <v>81</v>
      </c>
      <c t="s" s="6" r="G485">
        <v>119</v>
      </c>
      <c s="6" r="H485">
        <v>0</v>
      </c>
      <c t="s" s="6" r="I485">
        <v>120</v>
      </c>
      <c t="s" s="6" r="L485">
        <v>3923</v>
      </c>
      <c t="s" s="6" r="M485">
        <v>122</v>
      </c>
      <c s="6" r="N485">
        <v>0</v>
      </c>
      <c s="6" r="O485">
        <v>0</v>
      </c>
      <c t="s" s="6" r="P485">
        <v>535</v>
      </c>
      <c t="s" s="6" r="Q485">
        <v>536</v>
      </c>
      <c t="s" s="6" r="R485">
        <v>3924</v>
      </c>
      <c t="s" s="6" r="S485">
        <v>3925</v>
      </c>
      <c t="s" s="6" r="T485">
        <v>90</v>
      </c>
      <c t="s" s="6" r="U485">
        <v>3926</v>
      </c>
      <c s="6" r="V485">
        <v>1</v>
      </c>
      <c s="6" r="W485">
        <v>1</v>
      </c>
      <c s="6" r="X485">
        <v>0</v>
      </c>
      <c s="6" r="Y485">
        <v>0</v>
      </c>
      <c s="6" r="Z485">
        <v>1</v>
      </c>
      <c t="s" s="6" r="AA485">
        <v>92</v>
      </c>
      <c t="s" s="6" r="AB485">
        <v>92</v>
      </c>
      <c t="s" s="6" r="AC485">
        <v>92</v>
      </c>
      <c s="6" r="AD485">
        <v>1</v>
      </c>
      <c t="s" s="6" r="AE485">
        <v>92</v>
      </c>
      <c t="s" s="6" r="AF485">
        <v>92</v>
      </c>
      <c t="s" s="6" r="AG485">
        <v>92</v>
      </c>
      <c t="s" s="6" r="AH485">
        <v>92</v>
      </c>
      <c t="s" s="6" r="AI485">
        <v>92</v>
      </c>
      <c t="s" s="6" r="AJ485">
        <v>92</v>
      </c>
      <c t="s" s="6" r="AK485">
        <v>92</v>
      </c>
      <c t="s" s="6" r="AL485">
        <v>92</v>
      </c>
      <c t="s" s="6" r="AM485">
        <v>92</v>
      </c>
      <c t="s" s="6" r="AN485">
        <v>92</v>
      </c>
      <c s="6" r="AP485">
        <v>1</v>
      </c>
      <c t="s" s="6" r="AR485">
        <v>3927</v>
      </c>
      <c s="6" r="AS485">
        <v>0</v>
      </c>
      <c s="6" r="AT485">
        <v>0</v>
      </c>
      <c s="6" r="AU485">
        <v>0</v>
      </c>
      <c s="6" r="AV485">
        <v>0</v>
      </c>
      <c s="6" r="AW485">
        <v>0</v>
      </c>
      <c s="6" r="AX485">
        <v>0</v>
      </c>
      <c s="6" r="AY485">
        <v>0</v>
      </c>
      <c s="6" r="AZ485">
        <v>0</v>
      </c>
      <c s="6" r="BA485">
        <v>0</v>
      </c>
      <c s="6" r="BB485">
        <v>0</v>
      </c>
      <c s="6" r="BC485">
        <v>0</v>
      </c>
      <c s="6" r="BD485">
        <v>0</v>
      </c>
      <c s="6" r="BE485">
        <v>0</v>
      </c>
      <c s="6" r="BF485">
        <v>0</v>
      </c>
      <c s="6" r="BG485">
        <v>0</v>
      </c>
      <c s="6" r="BH485">
        <v>0</v>
      </c>
      <c s="6" r="BI485">
        <v>0</v>
      </c>
      <c s="6" r="BJ485">
        <v>0</v>
      </c>
      <c s="6" r="BK485">
        <v>0</v>
      </c>
      <c s="6" r="BL485">
        <v>0</v>
      </c>
      <c s="6" r="BM485">
        <v>0</v>
      </c>
      <c s="6" r="BN485">
        <v>0</v>
      </c>
      <c s="6" r="BO485">
        <v>0</v>
      </c>
      <c s="6" r="BP485">
        <v>0</v>
      </c>
      <c s="6" r="BQ485">
        <v>0</v>
      </c>
      <c t="str" s="6" r="BR485">
        <f>HYPERLINK("http://www.d20pfsrd.com/magic/all-spells/s/shillelagh","Shillelagh")</f>
        <v>Shillelagh</v>
      </c>
      <c s="6" r="BS485">
        <v>486</v>
      </c>
      <c t="s" s="6" r="BT485">
        <v>92</v>
      </c>
      <c s="6" r="BY485">
        <v>0</v>
      </c>
    </row>
    <row customHeight="1" r="486" ht="14.25">
      <c t="s" s="6" r="A486">
        <v>3928</v>
      </c>
      <c t="s" s="6" r="B486">
        <v>131</v>
      </c>
      <c t="s" s="6" r="E486">
        <v>1691</v>
      </c>
      <c t="s" s="6" r="F486">
        <v>81</v>
      </c>
      <c t="s" s="6" r="G486">
        <v>106</v>
      </c>
      <c s="6" r="H486">
        <v>0</v>
      </c>
      <c t="s" s="6" r="I486">
        <v>120</v>
      </c>
      <c t="s" s="6" r="L486">
        <v>3929</v>
      </c>
      <c t="s" s="6" r="M486">
        <v>3930</v>
      </c>
      <c s="6" r="N486">
        <v>0</v>
      </c>
      <c s="6" r="O486">
        <v>0</v>
      </c>
      <c t="s" s="6" r="P486">
        <v>535</v>
      </c>
      <c t="s" s="6" r="Q486">
        <v>536</v>
      </c>
      <c t="s" s="6" r="R486">
        <v>3931</v>
      </c>
      <c t="s" s="6" r="S486">
        <v>3932</v>
      </c>
      <c t="s" s="6" r="T486">
        <v>90</v>
      </c>
      <c t="s" s="6" r="U486">
        <v>3933</v>
      </c>
      <c s="6" r="V486">
        <v>1</v>
      </c>
      <c s="6" r="W486">
        <v>1</v>
      </c>
      <c s="6" r="X486">
        <v>0</v>
      </c>
      <c s="6" r="Y486">
        <v>0</v>
      </c>
      <c s="6" r="Z486">
        <v>0</v>
      </c>
      <c s="6" r="AA486">
        <v>3</v>
      </c>
      <c s="6" r="AB486">
        <v>3</v>
      </c>
      <c t="s" s="6" r="AC486">
        <v>92</v>
      </c>
      <c t="s" s="6" r="AD486">
        <v>92</v>
      </c>
      <c t="s" s="6" r="AE486">
        <v>92</v>
      </c>
      <c t="s" s="6" r="AF486">
        <v>92</v>
      </c>
      <c t="s" s="6" r="AG486">
        <v>92</v>
      </c>
      <c t="s" s="6" r="AH486">
        <v>92</v>
      </c>
      <c t="s" s="6" r="AI486">
        <v>92</v>
      </c>
      <c t="s" s="6" r="AJ486">
        <v>92</v>
      </c>
      <c t="s" s="6" r="AK486">
        <v>92</v>
      </c>
      <c t="s" s="6" r="AL486">
        <v>92</v>
      </c>
      <c t="s" s="6" r="AM486">
        <v>92</v>
      </c>
      <c t="s" s="6" r="AN486">
        <v>92</v>
      </c>
      <c s="6" r="AP486">
        <v>3</v>
      </c>
      <c t="s" s="6" r="AR486">
        <v>3934</v>
      </c>
      <c s="6" r="AS486">
        <v>0</v>
      </c>
      <c s="6" r="AT486">
        <v>0</v>
      </c>
      <c s="6" r="AU486">
        <v>0</v>
      </c>
      <c s="6" r="AV486">
        <v>0</v>
      </c>
      <c s="6" r="AW486">
        <v>0</v>
      </c>
      <c s="6" r="AX486">
        <v>0</v>
      </c>
      <c s="6" r="AY486">
        <v>0</v>
      </c>
      <c s="6" r="AZ486">
        <v>0</v>
      </c>
      <c s="6" r="BA486">
        <v>0</v>
      </c>
      <c s="6" r="BB486">
        <v>0</v>
      </c>
      <c s="6" r="BC486">
        <v>0</v>
      </c>
      <c s="6" r="BD486">
        <v>0</v>
      </c>
      <c s="6" r="BE486">
        <v>0</v>
      </c>
      <c s="6" r="BF486">
        <v>0</v>
      </c>
      <c s="6" r="BG486">
        <v>0</v>
      </c>
      <c s="6" r="BH486">
        <v>0</v>
      </c>
      <c s="6" r="BI486">
        <v>0</v>
      </c>
      <c s="6" r="BJ486">
        <v>0</v>
      </c>
      <c s="6" r="BK486">
        <v>0</v>
      </c>
      <c s="6" r="BL486">
        <v>0</v>
      </c>
      <c s="6" r="BM486">
        <v>0</v>
      </c>
      <c s="6" r="BN486">
        <v>0</v>
      </c>
      <c s="6" r="BO486">
        <v>0</v>
      </c>
      <c s="6" r="BP486">
        <v>0</v>
      </c>
      <c s="6" r="BQ486">
        <v>0</v>
      </c>
      <c t="str" s="6" r="BR486">
        <f>HYPERLINK("http://www.d20pfsrd.com/magic/all-spells/s/shrink-item","Shrink Item")</f>
        <v>Shrink Item</v>
      </c>
      <c s="6" r="BS486">
        <v>487</v>
      </c>
      <c t="s" s="6" r="BT486">
        <v>92</v>
      </c>
      <c s="6" r="BY486">
        <v>0</v>
      </c>
    </row>
    <row customHeight="1" r="487" ht="14.25">
      <c t="s" s="6" r="A487">
        <v>3935</v>
      </c>
      <c t="s" s="6" r="B487">
        <v>493</v>
      </c>
      <c t="s" s="6" r="D487">
        <v>53</v>
      </c>
      <c t="s" s="6" r="E487">
        <v>832</v>
      </c>
      <c t="s" s="6" r="F487">
        <v>81</v>
      </c>
      <c t="s" s="6" r="G487">
        <v>106</v>
      </c>
      <c s="6" r="H487">
        <v>0</v>
      </c>
      <c t="s" s="6" r="I487">
        <v>120</v>
      </c>
      <c t="s" s="6" r="L487">
        <v>3064</v>
      </c>
      <c t="s" s="6" r="M487">
        <v>109</v>
      </c>
      <c s="6" r="N487">
        <v>0</v>
      </c>
      <c s="6" r="O487">
        <v>0</v>
      </c>
      <c t="s" s="6" r="P487">
        <v>86</v>
      </c>
      <c t="s" s="6" r="Q487">
        <v>188</v>
      </c>
      <c t="s" s="6" r="R487">
        <v>3936</v>
      </c>
      <c t="s" s="6" r="S487">
        <v>3937</v>
      </c>
      <c t="s" s="6" r="T487">
        <v>90</v>
      </c>
      <c t="s" s="6" r="U487">
        <v>3938</v>
      </c>
      <c s="6" r="V487">
        <v>1</v>
      </c>
      <c s="6" r="W487">
        <v>1</v>
      </c>
      <c s="6" r="X487">
        <v>0</v>
      </c>
      <c s="6" r="Y487">
        <v>0</v>
      </c>
      <c s="6" r="Z487">
        <v>0</v>
      </c>
      <c s="6" r="AA487">
        <v>1</v>
      </c>
      <c s="6" r="AB487">
        <v>1</v>
      </c>
      <c t="s" s="6" r="AC487">
        <v>92</v>
      </c>
      <c t="s" s="6" r="AD487">
        <v>92</v>
      </c>
      <c t="s" s="6" r="AE487">
        <v>92</v>
      </c>
      <c t="s" s="6" r="AF487">
        <v>92</v>
      </c>
      <c t="s" s="6" r="AG487">
        <v>92</v>
      </c>
      <c t="s" s="6" r="AH487">
        <v>92</v>
      </c>
      <c t="s" s="6" r="AI487">
        <v>92</v>
      </c>
      <c t="s" s="6" r="AJ487">
        <v>92</v>
      </c>
      <c t="s" s="6" r="AK487">
        <v>92</v>
      </c>
      <c t="s" s="6" r="AL487">
        <v>92</v>
      </c>
      <c t="s" s="6" r="AM487">
        <v>92</v>
      </c>
      <c s="6" r="AN487">
        <v>1</v>
      </c>
      <c s="6" r="AP487">
        <v>1</v>
      </c>
      <c t="s" s="6" r="AR487">
        <v>3939</v>
      </c>
      <c s="6" r="AS487">
        <v>0</v>
      </c>
      <c s="6" r="AT487">
        <v>0</v>
      </c>
      <c s="6" r="AU487">
        <v>0</v>
      </c>
      <c s="6" r="AV487">
        <v>0</v>
      </c>
      <c s="6" r="AW487">
        <v>0</v>
      </c>
      <c s="6" r="AX487">
        <v>0</v>
      </c>
      <c s="6" r="AY487">
        <v>0</v>
      </c>
      <c s="6" r="AZ487">
        <v>0</v>
      </c>
      <c s="6" r="BA487">
        <v>0</v>
      </c>
      <c s="6" r="BB487">
        <v>1</v>
      </c>
      <c s="6" r="BC487">
        <v>0</v>
      </c>
      <c s="6" r="BD487">
        <v>0</v>
      </c>
      <c s="6" r="BE487">
        <v>0</v>
      </c>
      <c s="6" r="BF487">
        <v>0</v>
      </c>
      <c s="6" r="BG487">
        <v>0</v>
      </c>
      <c s="6" r="BH487">
        <v>0</v>
      </c>
      <c s="6" r="BI487">
        <v>0</v>
      </c>
      <c s="6" r="BJ487">
        <v>0</v>
      </c>
      <c s="6" r="BK487">
        <v>0</v>
      </c>
      <c s="6" r="BL487">
        <v>0</v>
      </c>
      <c s="6" r="BM487">
        <v>0</v>
      </c>
      <c s="6" r="BN487">
        <v>0</v>
      </c>
      <c s="6" r="BO487">
        <v>0</v>
      </c>
      <c s="6" r="BP487">
        <v>0</v>
      </c>
      <c s="6" r="BQ487">
        <v>0</v>
      </c>
      <c t="str" s="6" r="BR487">
        <f>HYPERLINK("http://www.d20pfsrd.com/magic/all-spells/s/shocking-grasp","Shocking Grasp")</f>
        <v>Shocking Grasp</v>
      </c>
      <c s="6" r="BS487">
        <v>488</v>
      </c>
      <c t="s" s="6" r="BT487">
        <v>92</v>
      </c>
      <c t="s" s="6" r="BU487">
        <v>706</v>
      </c>
      <c t="s" s="6" r="BV487">
        <v>1816</v>
      </c>
      <c t="s" s="6" r="BW487">
        <v>3940</v>
      </c>
      <c t="s" s="6" r="BX487">
        <v>3941</v>
      </c>
      <c s="6" r="BY487">
        <v>1</v>
      </c>
    </row>
    <row customHeight="1" r="488" ht="14.25">
      <c t="s" s="6" r="A488">
        <v>3942</v>
      </c>
      <c t="s" s="6" r="B488">
        <v>493</v>
      </c>
      <c t="s" s="6" r="D488">
        <v>67</v>
      </c>
      <c t="s" s="6" r="E488">
        <v>3943</v>
      </c>
      <c t="s" s="6" r="F488">
        <v>81</v>
      </c>
      <c t="s" s="6" r="G488">
        <v>251</v>
      </c>
      <c s="6" r="H488">
        <v>0</v>
      </c>
      <c t="s" s="6" r="I488">
        <v>1052</v>
      </c>
      <c t="s" s="6" r="J488">
        <v>630</v>
      </c>
      <c t="s" s="6" r="M488">
        <v>109</v>
      </c>
      <c s="6" r="N488">
        <v>0</v>
      </c>
      <c s="6" r="O488">
        <v>0</v>
      </c>
      <c t="s" s="6" r="P488">
        <v>3944</v>
      </c>
      <c t="s" s="6" r="Q488">
        <v>536</v>
      </c>
      <c t="s" s="6" r="R488">
        <v>3945</v>
      </c>
      <c t="s" s="6" r="S488">
        <v>3946</v>
      </c>
      <c t="s" s="6" r="T488">
        <v>90</v>
      </c>
      <c t="s" s="6" r="U488">
        <v>3947</v>
      </c>
      <c s="6" r="V488">
        <v>1</v>
      </c>
      <c s="6" r="W488">
        <v>0</v>
      </c>
      <c s="6" r="X488">
        <v>0</v>
      </c>
      <c s="6" r="Y488">
        <v>0</v>
      </c>
      <c s="6" r="Z488">
        <v>0</v>
      </c>
      <c s="6" r="AA488">
        <v>4</v>
      </c>
      <c s="6" r="AB488">
        <v>4</v>
      </c>
      <c t="s" s="6" r="AC488">
        <v>92</v>
      </c>
      <c t="s" s="6" r="AD488">
        <v>92</v>
      </c>
      <c t="s" s="6" r="AE488">
        <v>92</v>
      </c>
      <c s="6" r="AF488">
        <v>4</v>
      </c>
      <c t="s" s="6" r="AG488">
        <v>92</v>
      </c>
      <c t="s" s="6" r="AH488">
        <v>92</v>
      </c>
      <c t="s" s="6" r="AI488">
        <v>92</v>
      </c>
      <c t="s" s="6" r="AJ488">
        <v>92</v>
      </c>
      <c t="s" s="6" r="AK488">
        <v>92</v>
      </c>
      <c t="s" s="6" r="AL488">
        <v>92</v>
      </c>
      <c t="s" s="6" r="AM488">
        <v>92</v>
      </c>
      <c s="6" r="AN488">
        <v>4</v>
      </c>
      <c s="6" r="AP488">
        <v>4</v>
      </c>
      <c t="s" s="6" r="AQ488">
        <v>1251</v>
      </c>
      <c t="s" s="6" r="AR488">
        <v>3948</v>
      </c>
      <c s="6" r="AS488">
        <v>0</v>
      </c>
      <c s="6" r="AT488">
        <v>0</v>
      </c>
      <c s="6" r="AU488">
        <v>0</v>
      </c>
      <c s="6" r="AV488">
        <v>0</v>
      </c>
      <c s="6" r="AW488">
        <v>0</v>
      </c>
      <c s="6" r="AX488">
        <v>0</v>
      </c>
      <c s="6" r="AY488">
        <v>0</v>
      </c>
      <c s="6" r="AZ488">
        <v>0</v>
      </c>
      <c s="6" r="BA488">
        <v>0</v>
      </c>
      <c s="6" r="BB488">
        <v>0</v>
      </c>
      <c s="6" r="BC488">
        <v>0</v>
      </c>
      <c s="6" r="BD488">
        <v>0</v>
      </c>
      <c s="6" r="BE488">
        <v>0</v>
      </c>
      <c s="6" r="BF488">
        <v>0</v>
      </c>
      <c s="6" r="BG488">
        <v>0</v>
      </c>
      <c s="6" r="BH488">
        <v>0</v>
      </c>
      <c s="6" r="BI488">
        <v>0</v>
      </c>
      <c s="6" r="BJ488">
        <v>0</v>
      </c>
      <c s="6" r="BK488">
        <v>0</v>
      </c>
      <c s="6" r="BL488">
        <v>0</v>
      </c>
      <c s="6" r="BM488">
        <v>0</v>
      </c>
      <c s="6" r="BN488">
        <v>0</v>
      </c>
      <c s="6" r="BO488">
        <v>0</v>
      </c>
      <c s="6" r="BP488">
        <v>1</v>
      </c>
      <c s="6" r="BQ488">
        <v>0</v>
      </c>
      <c t="str" s="6" r="BR488">
        <f>HYPERLINK("http://www.d20pfsrd.com/magic/all-spells/s/shout","Shout")</f>
        <v>Shout</v>
      </c>
      <c s="6" r="BS488">
        <v>489</v>
      </c>
      <c t="s" s="6" r="BT488">
        <v>92</v>
      </c>
      <c t="s" s="6" r="BU488">
        <v>3949</v>
      </c>
      <c t="s" s="6" r="BV488">
        <v>638</v>
      </c>
      <c t="s" s="6" r="BW488">
        <v>3950</v>
      </c>
      <c s="6" r="BY488">
        <v>1</v>
      </c>
    </row>
    <row customHeight="1" r="489" ht="14.25">
      <c t="s" s="6" r="A489">
        <v>3951</v>
      </c>
      <c t="s" s="6" r="B489">
        <v>493</v>
      </c>
      <c t="s" s="6" r="D489">
        <v>67</v>
      </c>
      <c t="s" s="6" r="E489">
        <v>3952</v>
      </c>
      <c t="s" s="6" r="F489">
        <v>81</v>
      </c>
      <c t="s" s="6" r="G489">
        <v>3953</v>
      </c>
      <c s="6" r="H489">
        <v>0</v>
      </c>
      <c t="s" s="6" r="I489">
        <v>897</v>
      </c>
      <c t="s" s="6" r="J489">
        <v>630</v>
      </c>
      <c t="s" s="6" r="M489">
        <v>109</v>
      </c>
      <c s="6" r="N489">
        <v>0</v>
      </c>
      <c s="6" r="O489">
        <v>0</v>
      </c>
      <c t="s" s="6" r="P489">
        <v>3944</v>
      </c>
      <c t="s" s="6" r="Q489">
        <v>536</v>
      </c>
      <c t="s" s="6" r="R489">
        <v>3954</v>
      </c>
      <c t="s" s="6" r="S489">
        <v>3955</v>
      </c>
      <c t="s" s="6" r="T489">
        <v>90</v>
      </c>
      <c t="s" s="6" r="U489">
        <v>3956</v>
      </c>
      <c s="6" r="V489">
        <v>1</v>
      </c>
      <c s="6" r="W489">
        <v>1</v>
      </c>
      <c s="6" r="X489">
        <v>1</v>
      </c>
      <c s="6" r="Y489">
        <v>1</v>
      </c>
      <c s="6" r="Z489">
        <v>0</v>
      </c>
      <c s="6" r="AA489">
        <v>8</v>
      </c>
      <c s="6" r="AB489">
        <v>8</v>
      </c>
      <c t="s" s="6" r="AC489">
        <v>92</v>
      </c>
      <c t="s" s="6" r="AD489">
        <v>92</v>
      </c>
      <c t="s" s="6" r="AE489">
        <v>92</v>
      </c>
      <c s="6" r="AF489">
        <v>6</v>
      </c>
      <c t="s" s="6" r="AG489">
        <v>92</v>
      </c>
      <c t="s" s="6" r="AH489">
        <v>92</v>
      </c>
      <c t="s" s="6" r="AI489">
        <v>92</v>
      </c>
      <c t="s" s="6" r="AJ489">
        <v>92</v>
      </c>
      <c t="s" s="6" r="AK489">
        <v>92</v>
      </c>
      <c t="s" s="6" r="AL489">
        <v>92</v>
      </c>
      <c t="s" s="6" r="AM489">
        <v>92</v>
      </c>
      <c t="s" s="6" r="AN489">
        <v>92</v>
      </c>
      <c s="6" r="AP489">
        <v>8</v>
      </c>
      <c t="s" s="6" r="AR489">
        <v>3957</v>
      </c>
      <c s="6" r="AS489">
        <v>0</v>
      </c>
      <c s="6" r="AT489">
        <v>0</v>
      </c>
      <c s="6" r="AU489">
        <v>0</v>
      </c>
      <c s="6" r="AV489">
        <v>0</v>
      </c>
      <c s="6" r="AW489">
        <v>0</v>
      </c>
      <c s="6" r="AX489">
        <v>0</v>
      </c>
      <c s="6" r="AY489">
        <v>0</v>
      </c>
      <c s="6" r="AZ489">
        <v>0</v>
      </c>
      <c s="6" r="BA489">
        <v>0</v>
      </c>
      <c s="6" r="BB489">
        <v>0</v>
      </c>
      <c s="6" r="BC489">
        <v>0</v>
      </c>
      <c s="6" r="BD489">
        <v>0</v>
      </c>
      <c s="6" r="BE489">
        <v>0</v>
      </c>
      <c s="6" r="BF489">
        <v>0</v>
      </c>
      <c s="6" r="BG489">
        <v>0</v>
      </c>
      <c s="6" r="BH489">
        <v>0</v>
      </c>
      <c s="6" r="BI489">
        <v>0</v>
      </c>
      <c s="6" r="BJ489">
        <v>0</v>
      </c>
      <c s="6" r="BK489">
        <v>0</v>
      </c>
      <c s="6" r="BL489">
        <v>0</v>
      </c>
      <c s="6" r="BM489">
        <v>0</v>
      </c>
      <c s="6" r="BN489">
        <v>0</v>
      </c>
      <c s="6" r="BO489">
        <v>0</v>
      </c>
      <c s="6" r="BP489">
        <v>1</v>
      </c>
      <c s="6" r="BQ489">
        <v>0</v>
      </c>
      <c t="str" s="6" r="BR489">
        <f>HYPERLINK("http://www.d20pfsrd.com/magic/all-spells/s/shout","Shout, Greater")</f>
        <v>Shout, Greater</v>
      </c>
      <c s="6" r="BS489">
        <v>490</v>
      </c>
      <c t="s" s="6" r="BT489">
        <v>92</v>
      </c>
      <c t="s" s="6" r="BU489">
        <v>3958</v>
      </c>
      <c s="6" r="BY489">
        <v>0</v>
      </c>
    </row>
    <row customHeight="1" r="490" ht="14.25">
      <c t="s" s="6" r="A490">
        <v>3959</v>
      </c>
      <c t="s" s="6" r="B490">
        <v>579</v>
      </c>
      <c t="s" s="6" r="C490">
        <v>580</v>
      </c>
      <c t="s" s="6" r="E490">
        <v>3960</v>
      </c>
      <c t="s" s="6" r="F490">
        <v>272</v>
      </c>
      <c t="s" s="6" r="G490">
        <v>106</v>
      </c>
      <c s="6" r="H490">
        <v>0</v>
      </c>
      <c t="s" s="6" r="I490">
        <v>83</v>
      </c>
      <c t="s" s="6" r="J490">
        <v>3961</v>
      </c>
      <c t="s" s="6" r="M490">
        <v>483</v>
      </c>
      <c s="6" r="N490">
        <v>1</v>
      </c>
      <c s="6" r="O490">
        <v>0</v>
      </c>
      <c t="s" s="6" r="P490">
        <v>3962</v>
      </c>
      <c t="s" s="6" r="Q490">
        <v>3963</v>
      </c>
      <c t="s" s="6" r="R490">
        <v>3964</v>
      </c>
      <c t="s" s="6" r="S490">
        <v>3965</v>
      </c>
      <c t="s" s="6" r="T490">
        <v>90</v>
      </c>
      <c t="s" s="6" r="U490">
        <v>3966</v>
      </c>
      <c s="6" r="V490">
        <v>1</v>
      </c>
      <c s="6" r="W490">
        <v>1</v>
      </c>
      <c s="6" r="X490">
        <v>0</v>
      </c>
      <c s="6" r="Y490">
        <v>0</v>
      </c>
      <c s="6" r="Z490">
        <v>0</v>
      </c>
      <c t="s" s="6" r="AA490">
        <v>92</v>
      </c>
      <c t="s" s="6" r="AB490">
        <v>92</v>
      </c>
      <c s="6" r="AC490">
        <v>2</v>
      </c>
      <c t="s" s="6" r="AD490">
        <v>92</v>
      </c>
      <c t="s" s="6" r="AE490">
        <v>92</v>
      </c>
      <c s="6" r="AF490">
        <v>2</v>
      </c>
      <c t="s" s="6" r="AG490">
        <v>92</v>
      </c>
      <c t="s" s="6" r="AH490">
        <v>92</v>
      </c>
      <c t="s" s="6" r="AI490">
        <v>92</v>
      </c>
      <c t="s" s="6" r="AJ490">
        <v>92</v>
      </c>
      <c s="6" r="AK490">
        <v>2</v>
      </c>
      <c s="6" r="AL490">
        <v>2</v>
      </c>
      <c s="6" r="AM490">
        <v>2</v>
      </c>
      <c t="s" s="6" r="AN490">
        <v>92</v>
      </c>
      <c s="6" r="AP490">
        <v>2</v>
      </c>
      <c t="s" s="6" r="AR490">
        <v>3967</v>
      </c>
      <c s="6" r="AS490">
        <v>0</v>
      </c>
      <c s="6" r="AT490">
        <v>0</v>
      </c>
      <c s="6" r="AU490">
        <v>0</v>
      </c>
      <c s="6" r="AV490">
        <v>0</v>
      </c>
      <c s="6" r="AW490">
        <v>0</v>
      </c>
      <c s="6" r="AX490">
        <v>0</v>
      </c>
      <c s="6" r="AY490">
        <v>0</v>
      </c>
      <c s="6" r="AZ490">
        <v>0</v>
      </c>
      <c s="6" r="BA490">
        <v>0</v>
      </c>
      <c s="6" r="BB490">
        <v>0</v>
      </c>
      <c s="6" r="BC490">
        <v>0</v>
      </c>
      <c s="6" r="BD490">
        <v>0</v>
      </c>
      <c s="6" r="BE490">
        <v>0</v>
      </c>
      <c s="6" r="BF490">
        <v>0</v>
      </c>
      <c s="6" r="BG490">
        <v>0</v>
      </c>
      <c s="6" r="BH490">
        <v>0</v>
      </c>
      <c s="6" r="BI490">
        <v>0</v>
      </c>
      <c s="6" r="BJ490">
        <v>0</v>
      </c>
      <c s="6" r="BK490">
        <v>0</v>
      </c>
      <c s="6" r="BL490">
        <v>0</v>
      </c>
      <c s="6" r="BM490">
        <v>0</v>
      </c>
      <c s="6" r="BN490">
        <v>0</v>
      </c>
      <c s="6" r="BO490">
        <v>0</v>
      </c>
      <c s="6" r="BP490">
        <v>0</v>
      </c>
      <c s="6" r="BQ490">
        <v>0</v>
      </c>
      <c t="str" s="6" r="BR490">
        <f>HYPERLINK("http://www.d20pfsrd.com/magic/all-spells/s/silence","Silence")</f>
        <v>Silence</v>
      </c>
      <c s="6" r="BS490">
        <v>491</v>
      </c>
      <c t="s" s="6" r="BT490">
        <v>92</v>
      </c>
      <c t="s" s="6" r="BV490">
        <v>1399</v>
      </c>
      <c t="s" s="6" r="BW490">
        <v>3968</v>
      </c>
      <c s="6" r="BY490">
        <v>1</v>
      </c>
    </row>
    <row customHeight="1" r="491" ht="14.25">
      <c t="s" s="6" r="A491">
        <v>3969</v>
      </c>
      <c t="s" s="6" r="B491">
        <v>579</v>
      </c>
      <c t="s" s="6" r="C491">
        <v>2047</v>
      </c>
      <c t="s" s="6" r="E491">
        <v>3970</v>
      </c>
      <c t="s" s="6" r="F491">
        <v>81</v>
      </c>
      <c t="s" s="6" r="G491">
        <v>2879</v>
      </c>
      <c s="6" r="H491">
        <v>0</v>
      </c>
      <c t="s" s="6" r="I491">
        <v>83</v>
      </c>
      <c t="s" s="6" r="K491">
        <v>3971</v>
      </c>
      <c t="s" s="6" r="M491">
        <v>220</v>
      </c>
      <c s="6" r="N491">
        <v>0</v>
      </c>
      <c s="6" r="O491">
        <v>0</v>
      </c>
      <c t="s" s="6" r="P491">
        <v>2197</v>
      </c>
      <c t="s" s="6" r="Q491">
        <v>87</v>
      </c>
      <c t="s" s="6" r="R491">
        <v>3972</v>
      </c>
      <c t="s" s="6" r="S491">
        <v>3973</v>
      </c>
      <c t="s" s="6" r="T491">
        <v>90</v>
      </c>
      <c t="s" s="6" r="U491">
        <v>3974</v>
      </c>
      <c s="6" r="V491">
        <v>1</v>
      </c>
      <c s="6" r="W491">
        <v>1</v>
      </c>
      <c s="6" r="X491">
        <v>0</v>
      </c>
      <c s="6" r="Y491">
        <v>0</v>
      </c>
      <c s="6" r="Z491">
        <v>0</v>
      </c>
      <c s="6" r="AA491">
        <v>1</v>
      </c>
      <c s="6" r="AB491">
        <v>1</v>
      </c>
      <c t="s" s="6" r="AC491">
        <v>92</v>
      </c>
      <c t="s" s="6" r="AD491">
        <v>92</v>
      </c>
      <c t="s" s="6" r="AE491">
        <v>92</v>
      </c>
      <c s="6" r="AF491">
        <v>1</v>
      </c>
      <c t="s" s="6" r="AG491">
        <v>92</v>
      </c>
      <c t="s" s="6" r="AH491">
        <v>92</v>
      </c>
      <c t="s" s="6" r="AI491">
        <v>92</v>
      </c>
      <c t="s" s="6" r="AJ491">
        <v>92</v>
      </c>
      <c t="s" s="6" r="AK491">
        <v>92</v>
      </c>
      <c t="s" s="6" r="AL491">
        <v>92</v>
      </c>
      <c t="s" s="6" r="AM491">
        <v>92</v>
      </c>
      <c s="6" r="AN491">
        <v>1</v>
      </c>
      <c s="6" r="AP491">
        <v>1</v>
      </c>
      <c t="s" s="6" r="AR491">
        <v>3975</v>
      </c>
      <c s="6" r="AS491">
        <v>0</v>
      </c>
      <c s="6" r="AT491">
        <v>0</v>
      </c>
      <c s="6" r="AU491">
        <v>0</v>
      </c>
      <c s="6" r="AV491">
        <v>0</v>
      </c>
      <c s="6" r="AW491">
        <v>0</v>
      </c>
      <c s="6" r="AX491">
        <v>0</v>
      </c>
      <c s="6" r="AY491">
        <v>0</v>
      </c>
      <c s="6" r="AZ491">
        <v>0</v>
      </c>
      <c s="6" r="BA491">
        <v>0</v>
      </c>
      <c s="6" r="BB491">
        <v>0</v>
      </c>
      <c s="6" r="BC491">
        <v>0</v>
      </c>
      <c s="6" r="BD491">
        <v>0</v>
      </c>
      <c s="6" r="BE491">
        <v>0</v>
      </c>
      <c s="6" r="BF491">
        <v>0</v>
      </c>
      <c s="6" r="BG491">
        <v>0</v>
      </c>
      <c s="6" r="BH491">
        <v>0</v>
      </c>
      <c s="6" r="BI491">
        <v>0</v>
      </c>
      <c s="6" r="BJ491">
        <v>0</v>
      </c>
      <c s="6" r="BK491">
        <v>0</v>
      </c>
      <c s="6" r="BL491">
        <v>0</v>
      </c>
      <c s="6" r="BM491">
        <v>0</v>
      </c>
      <c s="6" r="BN491">
        <v>0</v>
      </c>
      <c s="6" r="BO491">
        <v>0</v>
      </c>
      <c s="6" r="BP491">
        <v>0</v>
      </c>
      <c s="6" r="BQ491">
        <v>0</v>
      </c>
      <c t="str" s="6" r="BR491">
        <f>HYPERLINK("http://www.d20pfsrd.com/magic/all-spells/s/silent-image","Silent Image")</f>
        <v>Silent Image</v>
      </c>
      <c s="6" r="BS491">
        <v>492</v>
      </c>
      <c t="s" s="6" r="BT491">
        <v>92</v>
      </c>
      <c t="s" s="6" r="BV491">
        <v>1206</v>
      </c>
      <c t="s" s="6" r="BW491">
        <v>3976</v>
      </c>
      <c t="s" s="6" r="BX491">
        <v>3977</v>
      </c>
      <c s="6" r="BY491">
        <v>1</v>
      </c>
    </row>
    <row customHeight="1" r="492" ht="14.25">
      <c t="s" s="6" r="A492">
        <v>3978</v>
      </c>
      <c t="s" s="6" r="B492">
        <v>579</v>
      </c>
      <c t="s" s="6" r="C492">
        <v>66</v>
      </c>
      <c t="s" s="6" r="E492">
        <v>2548</v>
      </c>
      <c t="s" s="6" r="F492">
        <v>3802</v>
      </c>
      <c t="s" s="6" r="G492">
        <v>3979</v>
      </c>
      <c s="6" r="H492">
        <v>1</v>
      </c>
      <c t="s" s="6" r="I492">
        <v>813</v>
      </c>
      <c t="s" s="6" r="K492">
        <v>3980</v>
      </c>
      <c t="s" s="6" r="M492">
        <v>109</v>
      </c>
      <c s="6" r="N492">
        <v>0</v>
      </c>
      <c s="6" r="O492">
        <v>0</v>
      </c>
      <c t="s" s="6" r="P492">
        <v>86</v>
      </c>
      <c t="s" s="6" r="Q492">
        <v>87</v>
      </c>
      <c t="s" s="6" r="R492">
        <v>3981</v>
      </c>
      <c t="s" s="6" r="S492">
        <v>3982</v>
      </c>
      <c t="s" s="6" r="T492">
        <v>90</v>
      </c>
      <c t="s" s="6" r="U492">
        <v>3983</v>
      </c>
      <c s="6" r="V492">
        <v>1</v>
      </c>
      <c s="6" r="W492">
        <v>1</v>
      </c>
      <c s="6" r="X492">
        <v>1</v>
      </c>
      <c s="6" r="Y492">
        <v>0</v>
      </c>
      <c s="6" r="Z492">
        <v>0</v>
      </c>
      <c s="6" r="AA492">
        <v>7</v>
      </c>
      <c s="6" r="AB492">
        <v>7</v>
      </c>
      <c t="s" s="6" r="AC492">
        <v>92</v>
      </c>
      <c t="s" s="6" r="AD492">
        <v>92</v>
      </c>
      <c t="s" s="6" r="AE492">
        <v>92</v>
      </c>
      <c t="s" s="6" r="AF492">
        <v>92</v>
      </c>
      <c t="s" s="6" r="AG492">
        <v>92</v>
      </c>
      <c t="s" s="6" r="AH492">
        <v>92</v>
      </c>
      <c s="6" r="AI492">
        <v>5</v>
      </c>
      <c t="s" s="6" r="AJ492">
        <v>92</v>
      </c>
      <c t="s" s="6" r="AK492">
        <v>92</v>
      </c>
      <c t="s" s="6" r="AL492">
        <v>92</v>
      </c>
      <c t="s" s="6" r="AM492">
        <v>92</v>
      </c>
      <c t="s" s="6" r="AN492">
        <v>92</v>
      </c>
      <c s="6" r="AP492">
        <v>7</v>
      </c>
      <c t="s" s="6" r="AR492">
        <v>3984</v>
      </c>
      <c s="6" r="AS492">
        <v>0</v>
      </c>
      <c s="6" r="AT492">
        <v>0</v>
      </c>
      <c s="6" r="AU492">
        <v>0</v>
      </c>
      <c s="6" r="AV492">
        <v>0</v>
      </c>
      <c s="6" r="AW492">
        <v>0</v>
      </c>
      <c s="6" r="AX492">
        <v>0</v>
      </c>
      <c s="6" r="AY492">
        <v>0</v>
      </c>
      <c s="6" r="AZ492">
        <v>0</v>
      </c>
      <c s="6" r="BA492">
        <v>0</v>
      </c>
      <c s="6" r="BB492">
        <v>0</v>
      </c>
      <c s="6" r="BC492">
        <v>0</v>
      </c>
      <c s="6" r="BD492">
        <v>0</v>
      </c>
      <c s="6" r="BE492">
        <v>0</v>
      </c>
      <c s="6" r="BF492">
        <v>0</v>
      </c>
      <c s="6" r="BG492">
        <v>0</v>
      </c>
      <c s="6" r="BH492">
        <v>0</v>
      </c>
      <c s="6" r="BI492">
        <v>0</v>
      </c>
      <c s="6" r="BJ492">
        <v>0</v>
      </c>
      <c s="6" r="BK492">
        <v>0</v>
      </c>
      <c s="6" r="BL492">
        <v>0</v>
      </c>
      <c s="6" r="BM492">
        <v>0</v>
      </c>
      <c s="6" r="BN492">
        <v>0</v>
      </c>
      <c s="6" r="BO492">
        <v>0</v>
      </c>
      <c s="6" r="BP492">
        <v>0</v>
      </c>
      <c s="6" r="BQ492">
        <v>0</v>
      </c>
      <c t="str" s="6" r="BR492">
        <f>HYPERLINK("http://www.d20pfsrd.com/magic/all-spells/s/simulacrum","Simulacrum")</f>
        <v>Simulacrum</v>
      </c>
      <c s="6" r="BS492">
        <v>493</v>
      </c>
      <c s="6" r="BT492">
        <v>500</v>
      </c>
      <c s="6" r="BY492">
        <v>0</v>
      </c>
    </row>
    <row customHeight="1" r="493" ht="14.25">
      <c t="s" s="6" r="A493">
        <v>3985</v>
      </c>
      <c t="s" s="6" r="B493">
        <v>227</v>
      </c>
      <c t="s" s="6" r="D493">
        <v>50</v>
      </c>
      <c t="s" s="6" r="E493">
        <v>3986</v>
      </c>
      <c t="s" s="6" r="F493">
        <v>81</v>
      </c>
      <c t="s" s="6" r="G493">
        <v>106</v>
      </c>
      <c s="6" r="H493">
        <v>0</v>
      </c>
      <c t="s" s="6" r="I493">
        <v>120</v>
      </c>
      <c t="s" s="6" r="L493">
        <v>121</v>
      </c>
      <c t="s" s="6" r="M493">
        <v>109</v>
      </c>
      <c s="6" r="N493">
        <v>0</v>
      </c>
      <c s="6" r="O493">
        <v>0</v>
      </c>
      <c t="s" s="6" r="P493">
        <v>1254</v>
      </c>
      <c t="s" s="6" r="Q493">
        <v>188</v>
      </c>
      <c t="s" s="6" r="R493">
        <v>3987</v>
      </c>
      <c t="s" s="6" r="S493">
        <v>3988</v>
      </c>
      <c t="s" s="6" r="T493">
        <v>90</v>
      </c>
      <c t="s" s="6" r="U493">
        <v>3989</v>
      </c>
      <c s="6" r="V493">
        <v>1</v>
      </c>
      <c s="6" r="W493">
        <v>1</v>
      </c>
      <c s="6" r="X493">
        <v>0</v>
      </c>
      <c s="6" r="Y493">
        <v>0</v>
      </c>
      <c s="6" r="Z493">
        <v>0</v>
      </c>
      <c t="s" s="6" r="AA493">
        <v>92</v>
      </c>
      <c t="s" s="6" r="AB493">
        <v>92</v>
      </c>
      <c s="6" r="AC493">
        <v>5</v>
      </c>
      <c t="s" s="6" r="AD493">
        <v>92</v>
      </c>
      <c t="s" s="6" r="AE493">
        <v>92</v>
      </c>
      <c t="s" s="6" r="AF493">
        <v>92</v>
      </c>
      <c t="s" s="6" r="AG493">
        <v>92</v>
      </c>
      <c t="s" s="6" r="AH493">
        <v>92</v>
      </c>
      <c t="s" s="6" r="AI493">
        <v>92</v>
      </c>
      <c s="6" r="AJ493">
        <v>6</v>
      </c>
      <c t="s" s="6" r="AK493">
        <v>92</v>
      </c>
      <c s="6" r="AL493">
        <v>5</v>
      </c>
      <c s="6" r="AM493">
        <v>4</v>
      </c>
      <c t="s" s="6" r="AN493">
        <v>92</v>
      </c>
      <c s="6" r="AP493">
        <v>5</v>
      </c>
      <c t="s" s="6" r="AQ493">
        <v>1191</v>
      </c>
      <c t="s" s="6" r="AR493">
        <v>3990</v>
      </c>
      <c s="6" r="AS493">
        <v>0</v>
      </c>
      <c s="6" r="AT493">
        <v>0</v>
      </c>
      <c s="6" r="AU493">
        <v>0</v>
      </c>
      <c s="6" r="AV493">
        <v>0</v>
      </c>
      <c s="6" r="AW493">
        <v>0</v>
      </c>
      <c s="6" r="AX493">
        <v>0</v>
      </c>
      <c s="6" r="AY493">
        <v>1</v>
      </c>
      <c s="6" r="AZ493">
        <v>0</v>
      </c>
      <c s="6" r="BA493">
        <v>0</v>
      </c>
      <c s="6" r="BB493">
        <v>0</v>
      </c>
      <c s="6" r="BC493">
        <v>0</v>
      </c>
      <c s="6" r="BD493">
        <v>0</v>
      </c>
      <c s="6" r="BE493">
        <v>0</v>
      </c>
      <c s="6" r="BF493">
        <v>0</v>
      </c>
      <c s="6" r="BG493">
        <v>0</v>
      </c>
      <c s="6" r="BH493">
        <v>0</v>
      </c>
      <c s="6" r="BI493">
        <v>0</v>
      </c>
      <c s="6" r="BJ493">
        <v>0</v>
      </c>
      <c s="6" r="BK493">
        <v>0</v>
      </c>
      <c s="6" r="BL493">
        <v>0</v>
      </c>
      <c s="6" r="BM493">
        <v>0</v>
      </c>
      <c s="6" r="BN493">
        <v>0</v>
      </c>
      <c s="6" r="BO493">
        <v>0</v>
      </c>
      <c s="6" r="BP493">
        <v>0</v>
      </c>
      <c s="6" r="BQ493">
        <v>0</v>
      </c>
      <c t="str" s="6" r="BR493">
        <f>HYPERLINK("http://www.d20pfsrd.com/magic/all-spells/s/slay-living","Slay Living")</f>
        <v>Slay Living</v>
      </c>
      <c s="6" r="BS493">
        <v>494</v>
      </c>
      <c t="s" s="6" r="BT493">
        <v>92</v>
      </c>
      <c s="6" r="BY493">
        <v>0</v>
      </c>
    </row>
    <row customHeight="1" r="494" ht="14.25">
      <c t="s" s="6" r="A494">
        <v>3991</v>
      </c>
      <c t="s" s="6" r="B494">
        <v>115</v>
      </c>
      <c t="s" s="6" r="C494">
        <v>116</v>
      </c>
      <c t="s" s="6" r="D494">
        <v>117</v>
      </c>
      <c t="s" s="6" r="E494">
        <v>730</v>
      </c>
      <c t="s" s="6" r="F494">
        <v>272</v>
      </c>
      <c t="s" s="6" r="G494">
        <v>1208</v>
      </c>
      <c s="6" r="H494">
        <v>0</v>
      </c>
      <c t="s" s="6" r="I494">
        <v>97</v>
      </c>
      <c t="s" s="6" r="J494">
        <v>1209</v>
      </c>
      <c t="s" s="6" r="M494">
        <v>122</v>
      </c>
      <c s="6" r="N494">
        <v>0</v>
      </c>
      <c s="6" r="O494">
        <v>0</v>
      </c>
      <c t="s" s="6" r="P494">
        <v>221</v>
      </c>
      <c t="s" s="6" r="Q494">
        <v>188</v>
      </c>
      <c t="s" s="6" r="R494">
        <v>3992</v>
      </c>
      <c t="s" s="6" r="S494">
        <v>3993</v>
      </c>
      <c t="s" s="6" r="T494">
        <v>90</v>
      </c>
      <c t="s" s="6" r="U494">
        <v>3994</v>
      </c>
      <c s="6" r="V494">
        <v>1</v>
      </c>
      <c s="6" r="W494">
        <v>1</v>
      </c>
      <c s="6" r="X494">
        <v>1</v>
      </c>
      <c s="6" r="Y494">
        <v>0</v>
      </c>
      <c s="6" r="Z494">
        <v>0</v>
      </c>
      <c s="6" r="AA494">
        <v>1</v>
      </c>
      <c s="6" r="AB494">
        <v>1</v>
      </c>
      <c t="s" s="6" r="AC494">
        <v>92</v>
      </c>
      <c t="s" s="6" r="AD494">
        <v>92</v>
      </c>
      <c t="s" s="6" r="AE494">
        <v>92</v>
      </c>
      <c s="6" r="AF494">
        <v>1</v>
      </c>
      <c t="s" s="6" r="AG494">
        <v>92</v>
      </c>
      <c t="s" s="6" r="AH494">
        <v>92</v>
      </c>
      <c t="s" s="6" r="AI494">
        <v>92</v>
      </c>
      <c s="6" r="AJ494">
        <v>1</v>
      </c>
      <c t="s" s="6" r="AK494">
        <v>92</v>
      </c>
      <c t="s" s="6" r="AL494">
        <v>92</v>
      </c>
      <c t="s" s="6" r="AM494">
        <v>92</v>
      </c>
      <c t="s" s="6" r="AN494">
        <v>92</v>
      </c>
      <c s="6" r="AP494">
        <v>1</v>
      </c>
      <c t="s" s="6" r="AQ494">
        <v>3995</v>
      </c>
      <c t="s" s="6" r="AR494">
        <v>3996</v>
      </c>
      <c s="6" r="AS494">
        <v>0</v>
      </c>
      <c s="6" r="AT494">
        <v>0</v>
      </c>
      <c s="6" r="AU494">
        <v>0</v>
      </c>
      <c s="6" r="AV494">
        <v>0</v>
      </c>
      <c s="6" r="AW494">
        <v>0</v>
      </c>
      <c s="6" r="AX494">
        <v>0</v>
      </c>
      <c s="6" r="AY494">
        <v>0</v>
      </c>
      <c s="6" r="AZ494">
        <v>0</v>
      </c>
      <c s="6" r="BA494">
        <v>0</v>
      </c>
      <c s="6" r="BB494">
        <v>0</v>
      </c>
      <c s="6" r="BC494">
        <v>0</v>
      </c>
      <c s="6" r="BD494">
        <v>0</v>
      </c>
      <c s="6" r="BE494">
        <v>0</v>
      </c>
      <c s="6" r="BF494">
        <v>0</v>
      </c>
      <c s="6" r="BG494">
        <v>0</v>
      </c>
      <c s="6" r="BH494">
        <v>0</v>
      </c>
      <c s="6" r="BI494">
        <v>0</v>
      </c>
      <c s="6" r="BJ494">
        <v>0</v>
      </c>
      <c s="6" r="BK494">
        <v>0</v>
      </c>
      <c s="6" r="BL494">
        <v>1</v>
      </c>
      <c s="6" r="BM494">
        <v>0</v>
      </c>
      <c s="6" r="BN494">
        <v>0</v>
      </c>
      <c s="6" r="BO494">
        <v>0</v>
      </c>
      <c s="6" r="BP494">
        <v>0</v>
      </c>
      <c s="6" r="BQ494">
        <v>0</v>
      </c>
      <c t="str" s="6" r="BR494">
        <f>HYPERLINK("http://www.d20pfsrd.com/magic/all-spells/s/sleep","Sleep")</f>
        <v>Sleep</v>
      </c>
      <c s="6" r="BS494">
        <v>495</v>
      </c>
      <c t="s" s="6" r="BT494">
        <v>92</v>
      </c>
      <c t="s" s="6" r="BU494">
        <v>359</v>
      </c>
      <c t="s" s="6" r="BW494">
        <v>3997</v>
      </c>
      <c t="s" s="6" r="BX494">
        <v>3998</v>
      </c>
      <c s="6" r="BY494">
        <v>1</v>
      </c>
    </row>
    <row customHeight="1" r="495" ht="14.25">
      <c t="s" s="6" r="A495">
        <v>3999</v>
      </c>
      <c t="s" s="6" r="B495">
        <v>78</v>
      </c>
      <c t="s" s="6" r="C495">
        <v>79</v>
      </c>
      <c t="s" s="6" r="D495">
        <v>47</v>
      </c>
      <c t="s" s="6" r="E495">
        <v>4000</v>
      </c>
      <c t="s" s="6" r="F495">
        <v>81</v>
      </c>
      <c t="s" s="6" r="G495">
        <v>2409</v>
      </c>
      <c s="6" r="H495">
        <v>0</v>
      </c>
      <c t="s" s="6" r="I495">
        <v>83</v>
      </c>
      <c t="s" s="6" r="J495">
        <v>4001</v>
      </c>
      <c t="s" s="6" r="M495">
        <v>99</v>
      </c>
      <c s="6" r="N495">
        <v>0</v>
      </c>
      <c s="6" r="O495">
        <v>0</v>
      </c>
      <c t="s" s="6" r="P495">
        <v>86</v>
      </c>
      <c t="s" s="6" r="Q495">
        <v>87</v>
      </c>
      <c t="s" s="6" r="R495">
        <v>4002</v>
      </c>
      <c t="s" s="6" r="S495">
        <v>4003</v>
      </c>
      <c t="s" s="6" r="T495">
        <v>90</v>
      </c>
      <c t="s" s="6" r="U495">
        <v>4004</v>
      </c>
      <c s="6" r="V495">
        <v>1</v>
      </c>
      <c s="6" r="W495">
        <v>1</v>
      </c>
      <c s="6" r="X495">
        <v>1</v>
      </c>
      <c s="6" r="Y495">
        <v>0</v>
      </c>
      <c s="6" r="Z495">
        <v>1</v>
      </c>
      <c s="6" r="AA495">
        <v>3</v>
      </c>
      <c s="6" r="AB495">
        <v>3</v>
      </c>
      <c t="s" s="6" r="AC495">
        <v>92</v>
      </c>
      <c s="6" r="AD495">
        <v>3</v>
      </c>
      <c t="s" s="6" r="AE495">
        <v>92</v>
      </c>
      <c t="s" s="6" r="AF495">
        <v>92</v>
      </c>
      <c t="s" s="6" r="AG495">
        <v>92</v>
      </c>
      <c t="s" s="6" r="AH495">
        <v>92</v>
      </c>
      <c t="s" s="6" r="AI495">
        <v>92</v>
      </c>
      <c s="6" r="AJ495">
        <v>3</v>
      </c>
      <c t="s" s="6" r="AK495">
        <v>92</v>
      </c>
      <c t="s" s="6" r="AL495">
        <v>92</v>
      </c>
      <c t="s" s="6" r="AM495">
        <v>92</v>
      </c>
      <c s="6" r="AN495">
        <v>3</v>
      </c>
      <c s="6" r="AP495">
        <v>3</v>
      </c>
      <c t="s" s="6" r="AQ495">
        <v>4005</v>
      </c>
      <c t="s" s="6" r="AR495">
        <v>4006</v>
      </c>
      <c s="6" r="AS495">
        <v>0</v>
      </c>
      <c s="6" r="AT495">
        <v>0</v>
      </c>
      <c s="6" r="AU495">
        <v>0</v>
      </c>
      <c s="6" r="AV495">
        <v>1</v>
      </c>
      <c s="6" r="AW495">
        <v>0</v>
      </c>
      <c s="6" r="AX495">
        <v>0</v>
      </c>
      <c s="6" r="AY495">
        <v>0</v>
      </c>
      <c s="6" r="AZ495">
        <v>0</v>
      </c>
      <c s="6" r="BA495">
        <v>0</v>
      </c>
      <c s="6" r="BB495">
        <v>0</v>
      </c>
      <c s="6" r="BC495">
        <v>0</v>
      </c>
      <c s="6" r="BD495">
        <v>0</v>
      </c>
      <c s="6" r="BE495">
        <v>0</v>
      </c>
      <c s="6" r="BF495">
        <v>0</v>
      </c>
      <c s="6" r="BG495">
        <v>0</v>
      </c>
      <c s="6" r="BH495">
        <v>0</v>
      </c>
      <c s="6" r="BI495">
        <v>0</v>
      </c>
      <c s="6" r="BJ495">
        <v>0</v>
      </c>
      <c s="6" r="BK495">
        <v>0</v>
      </c>
      <c s="6" r="BL495">
        <v>0</v>
      </c>
      <c s="6" r="BM495">
        <v>0</v>
      </c>
      <c s="6" r="BN495">
        <v>0</v>
      </c>
      <c s="6" r="BO495">
        <v>0</v>
      </c>
      <c s="6" r="BP495">
        <v>0</v>
      </c>
      <c s="6" r="BQ495">
        <v>0</v>
      </c>
      <c t="str" s="6" r="BR495">
        <f>HYPERLINK("http://www.d20pfsrd.com/magic/all-spells/s/sleet-storm","Sleet Storm")</f>
        <v>Sleet Storm</v>
      </c>
      <c s="6" r="BS495">
        <v>496</v>
      </c>
      <c t="s" s="6" r="BT495">
        <v>92</v>
      </c>
      <c s="6" r="BY495">
        <v>0</v>
      </c>
    </row>
    <row customHeight="1" r="496" ht="14.25">
      <c t="s" s="6" r="A496">
        <v>4007</v>
      </c>
      <c t="s" s="6" r="B496">
        <v>131</v>
      </c>
      <c t="s" s="6" r="E496">
        <v>3165</v>
      </c>
      <c t="s" s="6" r="F496">
        <v>81</v>
      </c>
      <c t="s" s="6" r="G496">
        <v>4008</v>
      </c>
      <c s="6" r="H496">
        <v>0</v>
      </c>
      <c t="s" s="6" r="I496">
        <v>107</v>
      </c>
      <c t="s" s="6" r="L496">
        <v>620</v>
      </c>
      <c t="s" s="6" r="M496">
        <v>99</v>
      </c>
      <c s="6" r="N496">
        <v>0</v>
      </c>
      <c s="6" r="O496">
        <v>0</v>
      </c>
      <c t="s" s="6" r="P496">
        <v>221</v>
      </c>
      <c t="s" s="6" r="Q496">
        <v>188</v>
      </c>
      <c t="s" s="6" r="R496">
        <v>4009</v>
      </c>
      <c t="s" s="6" r="S496">
        <v>4010</v>
      </c>
      <c t="s" s="6" r="T496">
        <v>90</v>
      </c>
      <c t="s" s="6" r="U496">
        <v>4011</v>
      </c>
      <c s="6" r="V496">
        <v>1</v>
      </c>
      <c s="6" r="W496">
        <v>1</v>
      </c>
      <c s="6" r="X496">
        <v>1</v>
      </c>
      <c s="6" r="Y496">
        <v>0</v>
      </c>
      <c s="6" r="Z496">
        <v>0</v>
      </c>
      <c s="6" r="AA496">
        <v>3</v>
      </c>
      <c s="6" r="AB496">
        <v>3</v>
      </c>
      <c t="s" s="6" r="AC496">
        <v>92</v>
      </c>
      <c t="s" s="6" r="AD496">
        <v>92</v>
      </c>
      <c t="s" s="6" r="AE496">
        <v>92</v>
      </c>
      <c s="6" r="AF496">
        <v>3</v>
      </c>
      <c t="s" s="6" r="AG496">
        <v>92</v>
      </c>
      <c t="s" s="6" r="AH496">
        <v>92</v>
      </c>
      <c s="6" r="AI496">
        <v>2</v>
      </c>
      <c t="s" s="6" r="AJ496">
        <v>92</v>
      </c>
      <c t="s" s="6" r="AK496">
        <v>92</v>
      </c>
      <c t="s" s="6" r="AL496">
        <v>92</v>
      </c>
      <c t="s" s="6" r="AM496">
        <v>92</v>
      </c>
      <c s="6" r="AN496">
        <v>3</v>
      </c>
      <c s="6" r="AP496">
        <v>3</v>
      </c>
      <c t="s" s="6" r="AR496">
        <v>4012</v>
      </c>
      <c s="6" r="AS496">
        <v>0</v>
      </c>
      <c s="6" r="AT496">
        <v>0</v>
      </c>
      <c s="6" r="AU496">
        <v>0</v>
      </c>
      <c s="6" r="AV496">
        <v>0</v>
      </c>
      <c s="6" r="AW496">
        <v>0</v>
      </c>
      <c s="6" r="AX496">
        <v>0</v>
      </c>
      <c s="6" r="AY496">
        <v>0</v>
      </c>
      <c s="6" r="AZ496">
        <v>0</v>
      </c>
      <c s="6" r="BA496">
        <v>0</v>
      </c>
      <c s="6" r="BB496">
        <v>0</v>
      </c>
      <c s="6" r="BC496">
        <v>0</v>
      </c>
      <c s="6" r="BD496">
        <v>0</v>
      </c>
      <c s="6" r="BE496">
        <v>0</v>
      </c>
      <c s="6" r="BF496">
        <v>0</v>
      </c>
      <c s="6" r="BG496">
        <v>0</v>
      </c>
      <c s="6" r="BH496">
        <v>0</v>
      </c>
      <c s="6" r="BI496">
        <v>0</v>
      </c>
      <c s="6" r="BJ496">
        <v>0</v>
      </c>
      <c s="6" r="BK496">
        <v>0</v>
      </c>
      <c s="6" r="BL496">
        <v>0</v>
      </c>
      <c s="6" r="BM496">
        <v>0</v>
      </c>
      <c s="6" r="BN496">
        <v>0</v>
      </c>
      <c s="6" r="BO496">
        <v>0</v>
      </c>
      <c s="6" r="BP496">
        <v>0</v>
      </c>
      <c s="6" r="BQ496">
        <v>0</v>
      </c>
      <c t="str" s="6" r="BR496">
        <f>HYPERLINK("http://www.d20pfsrd.com/magic/all-spells/s/slow","Slow")</f>
        <v>Slow</v>
      </c>
      <c s="6" r="BS496">
        <v>497</v>
      </c>
      <c t="s" s="6" r="BT496">
        <v>92</v>
      </c>
      <c t="s" s="6" r="BW496">
        <v>4013</v>
      </c>
      <c s="6" r="BY496">
        <v>1</v>
      </c>
    </row>
    <row customHeight="1" r="497" ht="14.25">
      <c t="s" s="6" r="A497">
        <v>4014</v>
      </c>
      <c t="s" s="6" r="B497">
        <v>131</v>
      </c>
      <c t="s" s="6" r="E497">
        <v>4015</v>
      </c>
      <c t="s" s="6" r="F497">
        <v>1764</v>
      </c>
      <c t="s" s="6" r="G497">
        <v>119</v>
      </c>
      <c s="6" r="H497">
        <v>0</v>
      </c>
      <c t="s" s="6" r="I497">
        <v>120</v>
      </c>
      <c t="s" s="6" r="L497">
        <v>4016</v>
      </c>
      <c t="s" s="6" r="M497">
        <v>4017</v>
      </c>
      <c s="6" r="N497">
        <v>0</v>
      </c>
      <c s="6" r="O497">
        <v>0</v>
      </c>
      <c t="s" s="6" r="P497">
        <v>86</v>
      </c>
      <c t="s" s="6" r="Q497">
        <v>87</v>
      </c>
      <c t="s" s="6" r="R497">
        <v>4018</v>
      </c>
      <c t="s" s="6" r="S497">
        <v>4019</v>
      </c>
      <c t="s" s="6" r="T497">
        <v>90</v>
      </c>
      <c t="s" s="6" r="U497">
        <v>4020</v>
      </c>
      <c s="6" r="V497">
        <v>1</v>
      </c>
      <c s="6" r="W497">
        <v>1</v>
      </c>
      <c s="6" r="X497">
        <v>0</v>
      </c>
      <c s="6" r="Y497">
        <v>0</v>
      </c>
      <c s="6" r="Z497">
        <v>1</v>
      </c>
      <c t="s" s="6" r="AA497">
        <v>92</v>
      </c>
      <c t="s" s="6" r="AB497">
        <v>92</v>
      </c>
      <c t="s" s="6" r="AC497">
        <v>92</v>
      </c>
      <c s="6" r="AD497">
        <v>3</v>
      </c>
      <c s="6" r="AE497">
        <v>2</v>
      </c>
      <c t="s" s="6" r="AF497">
        <v>92</v>
      </c>
      <c t="s" s="6" r="AG497">
        <v>92</v>
      </c>
      <c t="s" s="6" r="AH497">
        <v>92</v>
      </c>
      <c t="s" s="6" r="AI497">
        <v>92</v>
      </c>
      <c t="s" s="6" r="AJ497">
        <v>92</v>
      </c>
      <c t="s" s="6" r="AK497">
        <v>92</v>
      </c>
      <c t="s" s="6" r="AL497">
        <v>92</v>
      </c>
      <c t="s" s="6" r="AM497">
        <v>92</v>
      </c>
      <c t="s" s="6" r="AN497">
        <v>92</v>
      </c>
      <c s="6" r="AP497">
        <v>3</v>
      </c>
      <c t="s" s="6" r="AQ497">
        <v>4021</v>
      </c>
      <c t="s" s="6" r="AR497">
        <v>4022</v>
      </c>
      <c s="6" r="AS497">
        <v>0</v>
      </c>
      <c s="6" r="AT497">
        <v>0</v>
      </c>
      <c s="6" r="AU497">
        <v>0</v>
      </c>
      <c s="6" r="AV497">
        <v>0</v>
      </c>
      <c s="6" r="AW497">
        <v>0</v>
      </c>
      <c s="6" r="AX497">
        <v>0</v>
      </c>
      <c s="6" r="AY497">
        <v>0</v>
      </c>
      <c s="6" r="AZ497">
        <v>0</v>
      </c>
      <c s="6" r="BA497">
        <v>0</v>
      </c>
      <c s="6" r="BB497">
        <v>0</v>
      </c>
      <c s="6" r="BC497">
        <v>0</v>
      </c>
      <c s="6" r="BD497">
        <v>0</v>
      </c>
      <c s="6" r="BE497">
        <v>0</v>
      </c>
      <c s="6" r="BF497">
        <v>0</v>
      </c>
      <c s="6" r="BG497">
        <v>0</v>
      </c>
      <c s="6" r="BH497">
        <v>0</v>
      </c>
      <c s="6" r="BI497">
        <v>0</v>
      </c>
      <c s="6" r="BJ497">
        <v>0</v>
      </c>
      <c s="6" r="BK497">
        <v>0</v>
      </c>
      <c s="6" r="BL497">
        <v>0</v>
      </c>
      <c s="6" r="BM497">
        <v>0</v>
      </c>
      <c s="6" r="BN497">
        <v>0</v>
      </c>
      <c s="6" r="BO497">
        <v>0</v>
      </c>
      <c s="6" r="BP497">
        <v>0</v>
      </c>
      <c s="6" r="BQ497">
        <v>0</v>
      </c>
      <c t="str" s="6" r="BR497">
        <f>HYPERLINK("http://www.d20pfsrd.com/magic/all-spells/s/snare","Snare")</f>
        <v>Snare</v>
      </c>
      <c s="6" r="BS497">
        <v>498</v>
      </c>
      <c t="s" s="6" r="BT497">
        <v>92</v>
      </c>
      <c s="6" r="BY497">
        <v>0</v>
      </c>
    </row>
    <row customHeight="1" r="498" ht="14.25">
      <c t="s" s="6" r="A498">
        <v>4023</v>
      </c>
      <c t="s" s="6" r="B498">
        <v>131</v>
      </c>
      <c t="s" s="6" r="D498">
        <v>52</v>
      </c>
      <c t="s" s="6" r="E498">
        <v>760</v>
      </c>
      <c t="s" s="6" r="F498">
        <v>81</v>
      </c>
      <c t="s" s="6" r="G498">
        <v>119</v>
      </c>
      <c s="6" r="H498">
        <v>0</v>
      </c>
      <c t="s" s="6" r="I498">
        <v>107</v>
      </c>
      <c t="s" s="6" r="J498">
        <v>4024</v>
      </c>
      <c t="s" s="6" r="M498">
        <v>109</v>
      </c>
      <c s="6" r="N498">
        <v>0</v>
      </c>
      <c s="6" r="O498">
        <v>0</v>
      </c>
      <c t="s" s="6" r="P498">
        <v>86</v>
      </c>
      <c t="s" s="6" r="Q498">
        <v>87</v>
      </c>
      <c t="s" s="6" r="R498">
        <v>4025</v>
      </c>
      <c t="s" s="6" r="S498">
        <v>4026</v>
      </c>
      <c t="s" s="6" r="T498">
        <v>90</v>
      </c>
      <c t="s" s="6" r="U498">
        <v>4027</v>
      </c>
      <c s="6" r="V498">
        <v>1</v>
      </c>
      <c s="6" r="W498">
        <v>1</v>
      </c>
      <c s="6" r="X498">
        <v>0</v>
      </c>
      <c s="6" r="Y498">
        <v>0</v>
      </c>
      <c s="6" r="Z498">
        <v>1</v>
      </c>
      <c t="s" s="6" r="AA498">
        <v>92</v>
      </c>
      <c t="s" s="6" r="AB498">
        <v>92</v>
      </c>
      <c t="s" s="6" r="AC498">
        <v>92</v>
      </c>
      <c s="6" r="AD498">
        <v>2</v>
      </c>
      <c t="s" s="6" r="AE498">
        <v>92</v>
      </c>
      <c t="s" s="6" r="AF498">
        <v>92</v>
      </c>
      <c t="s" s="6" r="AG498">
        <v>92</v>
      </c>
      <c t="s" s="6" r="AH498">
        <v>92</v>
      </c>
      <c t="s" s="6" r="AI498">
        <v>92</v>
      </c>
      <c t="s" s="6" r="AJ498">
        <v>92</v>
      </c>
      <c t="s" s="6" r="AK498">
        <v>92</v>
      </c>
      <c t="s" s="6" r="AL498">
        <v>92</v>
      </c>
      <c t="s" s="6" r="AM498">
        <v>92</v>
      </c>
      <c t="s" s="6" r="AN498">
        <v>92</v>
      </c>
      <c s="6" r="AP498">
        <v>2</v>
      </c>
      <c t="s" s="6" r="AQ498">
        <v>2833</v>
      </c>
      <c t="s" s="6" r="AR498">
        <v>4028</v>
      </c>
      <c s="6" r="AS498">
        <v>0</v>
      </c>
      <c s="6" r="AT498">
        <v>0</v>
      </c>
      <c s="6" r="AU498">
        <v>0</v>
      </c>
      <c s="6" r="AV498">
        <v>0</v>
      </c>
      <c s="6" r="AW498">
        <v>0</v>
      </c>
      <c s="6" r="AX498">
        <v>0</v>
      </c>
      <c s="6" r="AY498">
        <v>0</v>
      </c>
      <c s="6" r="AZ498">
        <v>0</v>
      </c>
      <c s="6" r="BA498">
        <v>1</v>
      </c>
      <c s="6" r="BB498">
        <v>0</v>
      </c>
      <c s="6" r="BC498">
        <v>0</v>
      </c>
      <c s="6" r="BD498">
        <v>0</v>
      </c>
      <c s="6" r="BE498">
        <v>0</v>
      </c>
      <c s="6" r="BF498">
        <v>0</v>
      </c>
      <c s="6" r="BG498">
        <v>0</v>
      </c>
      <c s="6" r="BH498">
        <v>0</v>
      </c>
      <c s="6" r="BI498">
        <v>0</v>
      </c>
      <c s="6" r="BJ498">
        <v>0</v>
      </c>
      <c s="6" r="BK498">
        <v>0</v>
      </c>
      <c s="6" r="BL498">
        <v>0</v>
      </c>
      <c s="6" r="BM498">
        <v>0</v>
      </c>
      <c s="6" r="BN498">
        <v>0</v>
      </c>
      <c s="6" r="BO498">
        <v>0</v>
      </c>
      <c s="6" r="BP498">
        <v>0</v>
      </c>
      <c s="6" r="BQ498">
        <v>0</v>
      </c>
      <c t="str" s="6" r="BR498">
        <f>HYPERLINK("http://www.d20pfsrd.com/magic/all-spells/s/soften-earth-and-stone","Soften Earth and Stone")</f>
        <v>Soften Earth and Stone</v>
      </c>
      <c s="6" r="BS498">
        <v>499</v>
      </c>
      <c t="s" s="6" r="BT498">
        <v>92</v>
      </c>
      <c s="6" r="BY498">
        <v>0</v>
      </c>
    </row>
    <row customHeight="1" r="499" ht="14.25">
      <c t="s" s="6" r="A499">
        <v>4029</v>
      </c>
      <c t="s" s="6" r="B499">
        <v>78</v>
      </c>
      <c t="s" s="6" r="C499">
        <v>79</v>
      </c>
      <c t="s" s="6" r="E499">
        <v>3155</v>
      </c>
      <c t="s" s="6" r="F499">
        <v>81</v>
      </c>
      <c t="s" s="6" r="G499">
        <v>96</v>
      </c>
      <c s="6" r="H499">
        <v>0</v>
      </c>
      <c t="s" s="6" r="I499">
        <v>1905</v>
      </c>
      <c t="s" s="6" r="K499">
        <v>1906</v>
      </c>
      <c t="s" s="6" r="M499">
        <v>122</v>
      </c>
      <c s="6" r="N499">
        <v>0</v>
      </c>
      <c s="6" r="O499">
        <v>0</v>
      </c>
      <c t="s" s="6" r="P499">
        <v>86</v>
      </c>
      <c t="s" s="6" r="Q499">
        <v>87</v>
      </c>
      <c t="s" s="6" r="R499">
        <v>4030</v>
      </c>
      <c t="s" s="6" r="S499">
        <v>4031</v>
      </c>
      <c t="s" s="6" r="T499">
        <v>90</v>
      </c>
      <c t="s" s="6" r="U499">
        <v>4032</v>
      </c>
      <c s="6" r="V499">
        <v>1</v>
      </c>
      <c s="6" r="W499">
        <v>1</v>
      </c>
      <c s="6" r="X499">
        <v>1</v>
      </c>
      <c s="6" r="Y499">
        <v>0</v>
      </c>
      <c s="6" r="Z499">
        <v>0</v>
      </c>
      <c s="6" r="AA499">
        <v>4</v>
      </c>
      <c s="6" r="AB499">
        <v>4</v>
      </c>
      <c t="s" s="6" r="AC499">
        <v>92</v>
      </c>
      <c t="s" s="6" r="AD499">
        <v>92</v>
      </c>
      <c t="s" s="6" r="AE499">
        <v>92</v>
      </c>
      <c t="s" s="6" r="AF499">
        <v>92</v>
      </c>
      <c t="s" s="6" r="AG499">
        <v>92</v>
      </c>
      <c t="s" s="6" r="AH499">
        <v>92</v>
      </c>
      <c t="s" s="6" r="AI499">
        <v>92</v>
      </c>
      <c s="6" r="AJ499">
        <v>4</v>
      </c>
      <c t="s" s="6" r="AK499">
        <v>92</v>
      </c>
      <c t="s" s="6" r="AL499">
        <v>92</v>
      </c>
      <c t="s" s="6" r="AM499">
        <v>92</v>
      </c>
      <c s="6" r="AN499">
        <v>4</v>
      </c>
      <c s="6" r="AP499">
        <v>4</v>
      </c>
      <c t="s" s="6" r="AQ499">
        <v>4033</v>
      </c>
      <c t="s" s="6" r="AR499">
        <v>4034</v>
      </c>
      <c s="6" r="AS499">
        <v>0</v>
      </c>
      <c s="6" r="AT499">
        <v>0</v>
      </c>
      <c s="6" r="AU499">
        <v>0</v>
      </c>
      <c s="6" r="AV499">
        <v>0</v>
      </c>
      <c s="6" r="AW499">
        <v>0</v>
      </c>
      <c s="6" r="AX499">
        <v>0</v>
      </c>
      <c s="6" r="AY499">
        <v>0</v>
      </c>
      <c s="6" r="AZ499">
        <v>0</v>
      </c>
      <c s="6" r="BA499">
        <v>0</v>
      </c>
      <c s="6" r="BB499">
        <v>0</v>
      </c>
      <c s="6" r="BC499">
        <v>0</v>
      </c>
      <c s="6" r="BD499">
        <v>0</v>
      </c>
      <c s="6" r="BE499">
        <v>0</v>
      </c>
      <c s="6" r="BF499">
        <v>0</v>
      </c>
      <c s="6" r="BG499">
        <v>0</v>
      </c>
      <c s="6" r="BH499">
        <v>0</v>
      </c>
      <c s="6" r="BI499">
        <v>0</v>
      </c>
      <c s="6" r="BJ499">
        <v>0</v>
      </c>
      <c s="6" r="BK499">
        <v>0</v>
      </c>
      <c s="6" r="BL499">
        <v>0</v>
      </c>
      <c s="6" r="BM499">
        <v>0</v>
      </c>
      <c s="6" r="BN499">
        <v>0</v>
      </c>
      <c s="6" r="BO499">
        <v>0</v>
      </c>
      <c s="6" r="BP499">
        <v>0</v>
      </c>
      <c s="6" r="BQ499">
        <v>0</v>
      </c>
      <c t="str" s="6" r="BR499">
        <f>HYPERLINK("http://www.d20pfsrd.com/magic/all-spells/s/solid-fog","Solid Fog")</f>
        <v>Solid Fog</v>
      </c>
      <c s="6" r="BS499">
        <v>500</v>
      </c>
      <c t="s" s="6" r="BT499">
        <v>92</v>
      </c>
      <c t="s" s="6" r="BW499">
        <v>4035</v>
      </c>
      <c t="s" s="6" r="BX499">
        <v>4036</v>
      </c>
      <c s="6" r="BY499">
        <v>1</v>
      </c>
    </row>
    <row customHeight="1" r="500" ht="14.25">
      <c t="s" s="6" r="A500">
        <v>4037</v>
      </c>
      <c t="s" s="6" r="B500">
        <v>115</v>
      </c>
      <c t="s" s="6" r="C500">
        <v>116</v>
      </c>
      <c t="s" s="6" r="D500">
        <v>217</v>
      </c>
      <c t="s" s="6" r="E500">
        <v>4038</v>
      </c>
      <c t="s" s="6" r="F500">
        <v>81</v>
      </c>
      <c t="s" s="6" r="G500">
        <v>106</v>
      </c>
      <c s="6" r="H500">
        <v>0</v>
      </c>
      <c t="s" s="6" r="I500">
        <v>97</v>
      </c>
      <c t="s" s="6" r="J500">
        <v>4039</v>
      </c>
      <c t="s" s="6" r="M500">
        <v>99</v>
      </c>
      <c s="6" r="N500">
        <v>0</v>
      </c>
      <c s="6" r="O500">
        <v>0</v>
      </c>
      <c t="s" s="6" r="P500">
        <v>221</v>
      </c>
      <c t="s" s="6" r="Q500">
        <v>188</v>
      </c>
      <c t="s" s="6" r="R500">
        <v>4040</v>
      </c>
      <c t="s" s="6" r="S500">
        <v>4041</v>
      </c>
      <c t="s" s="6" r="T500">
        <v>90</v>
      </c>
      <c t="s" s="6" r="U500">
        <v>4042</v>
      </c>
      <c s="6" r="V500">
        <v>1</v>
      </c>
      <c s="6" r="W500">
        <v>1</v>
      </c>
      <c s="6" r="X500">
        <v>0</v>
      </c>
      <c s="6" r="Y500">
        <v>0</v>
      </c>
      <c s="6" r="Z500">
        <v>0</v>
      </c>
      <c t="s" s="6" r="AA500">
        <v>92</v>
      </c>
      <c t="s" s="6" r="AB500">
        <v>92</v>
      </c>
      <c t="s" s="6" r="AC500">
        <v>92</v>
      </c>
      <c t="s" s="6" r="AD500">
        <v>92</v>
      </c>
      <c t="s" s="6" r="AE500">
        <v>92</v>
      </c>
      <c s="6" r="AF500">
        <v>5</v>
      </c>
      <c t="s" s="6" r="AG500">
        <v>92</v>
      </c>
      <c t="s" s="6" r="AH500">
        <v>92</v>
      </c>
      <c t="s" s="6" r="AI500">
        <v>92</v>
      </c>
      <c t="s" s="6" r="AJ500">
        <v>92</v>
      </c>
      <c t="s" s="6" r="AK500">
        <v>92</v>
      </c>
      <c t="s" s="6" r="AL500">
        <v>92</v>
      </c>
      <c t="s" s="6" r="AM500">
        <v>92</v>
      </c>
      <c t="s" s="6" r="AN500">
        <v>92</v>
      </c>
      <c s="6" r="AP500">
        <v>5</v>
      </c>
      <c t="s" s="6" r="AR500">
        <v>4043</v>
      </c>
      <c s="6" r="AS500">
        <v>0</v>
      </c>
      <c s="6" r="AT500">
        <v>0</v>
      </c>
      <c s="6" r="AU500">
        <v>0</v>
      </c>
      <c s="6" r="AV500">
        <v>0</v>
      </c>
      <c s="6" r="AW500">
        <v>0</v>
      </c>
      <c s="6" r="AX500">
        <v>0</v>
      </c>
      <c s="6" r="AY500">
        <v>0</v>
      </c>
      <c s="6" r="AZ500">
        <v>0</v>
      </c>
      <c s="6" r="BA500">
        <v>0</v>
      </c>
      <c s="6" r="BB500">
        <v>0</v>
      </c>
      <c s="6" r="BC500">
        <v>0</v>
      </c>
      <c s="6" r="BD500">
        <v>0</v>
      </c>
      <c s="6" r="BE500">
        <v>0</v>
      </c>
      <c s="6" r="BF500">
        <v>0</v>
      </c>
      <c s="6" r="BG500">
        <v>0</v>
      </c>
      <c s="6" r="BH500">
        <v>0</v>
      </c>
      <c s="6" r="BI500">
        <v>0</v>
      </c>
      <c s="6" r="BJ500">
        <v>0</v>
      </c>
      <c s="6" r="BK500">
        <v>0</v>
      </c>
      <c s="6" r="BL500">
        <v>1</v>
      </c>
      <c s="6" r="BM500">
        <v>0</v>
      </c>
      <c s="6" r="BN500">
        <v>0</v>
      </c>
      <c s="6" r="BO500">
        <v>0</v>
      </c>
      <c s="6" r="BP500">
        <v>1</v>
      </c>
      <c s="6" r="BQ500">
        <v>0</v>
      </c>
      <c t="str" s="6" r="BR500">
        <f>HYPERLINK("http://www.d20pfsrd.com/magic/all-spells/s/song-of-discord","Song of Discord")</f>
        <v>Song of Discord</v>
      </c>
      <c s="6" r="BS500">
        <v>501</v>
      </c>
      <c t="s" s="6" r="BT500">
        <v>92</v>
      </c>
      <c s="6" r="BY500">
        <v>0</v>
      </c>
    </row>
    <row customHeight="1" r="501" ht="14.25">
      <c t="s" s="6" r="A501">
        <v>4044</v>
      </c>
      <c t="s" s="6" r="B501">
        <v>227</v>
      </c>
      <c t="s" s="6" r="E501">
        <v>350</v>
      </c>
      <c t="s" s="6" r="F501">
        <v>81</v>
      </c>
      <c t="s" s="6" r="G501">
        <v>400</v>
      </c>
      <c s="6" r="H501">
        <v>1</v>
      </c>
      <c t="s" s="6" r="I501">
        <v>107</v>
      </c>
      <c t="s" s="6" r="L501">
        <v>4045</v>
      </c>
      <c t="s" s="6" r="M501">
        <v>323</v>
      </c>
      <c s="6" r="N501">
        <v>0</v>
      </c>
      <c s="6" r="O501">
        <v>0</v>
      </c>
      <c t="s" s="6" r="P501">
        <v>221</v>
      </c>
      <c t="s" s="6" r="Q501">
        <v>87</v>
      </c>
      <c t="s" s="6" r="R501">
        <v>4046</v>
      </c>
      <c t="s" s="6" r="S501">
        <v>4047</v>
      </c>
      <c t="s" s="6" r="T501">
        <v>90</v>
      </c>
      <c t="s" s="6" r="U501">
        <v>4048</v>
      </c>
      <c s="6" r="V501">
        <v>1</v>
      </c>
      <c s="6" r="W501">
        <v>1</v>
      </c>
      <c s="6" r="X501">
        <v>0</v>
      </c>
      <c s="6" r="Y501">
        <v>1</v>
      </c>
      <c s="6" r="Z501">
        <v>0</v>
      </c>
      <c s="6" r="AA501">
        <v>9</v>
      </c>
      <c s="6" r="AB501">
        <v>9</v>
      </c>
      <c s="6" r="AC501">
        <v>9</v>
      </c>
      <c t="s" s="6" r="AD501">
        <v>92</v>
      </c>
      <c t="s" s="6" r="AE501">
        <v>92</v>
      </c>
      <c t="s" s="6" r="AF501">
        <v>92</v>
      </c>
      <c t="s" s="6" r="AG501">
        <v>92</v>
      </c>
      <c t="s" s="6" r="AH501">
        <v>92</v>
      </c>
      <c t="s" s="6" r="AI501">
        <v>92</v>
      </c>
      <c s="6" r="AJ501">
        <v>9</v>
      </c>
      <c t="s" s="6" r="AK501">
        <v>92</v>
      </c>
      <c s="6" r="AL501">
        <v>9</v>
      </c>
      <c t="s" s="6" r="AM501">
        <v>92</v>
      </c>
      <c t="s" s="6" r="AN501">
        <v>92</v>
      </c>
      <c s="6" r="AP501">
        <v>9</v>
      </c>
      <c t="s" s="6" r="AR501">
        <v>4049</v>
      </c>
      <c s="6" r="AS501">
        <v>0</v>
      </c>
      <c s="6" r="AT501">
        <v>0</v>
      </c>
      <c s="6" r="AU501">
        <v>0</v>
      </c>
      <c s="6" r="AV501">
        <v>0</v>
      </c>
      <c s="6" r="AW501">
        <v>0</v>
      </c>
      <c s="6" r="AX501">
        <v>0</v>
      </c>
      <c s="6" r="AY501">
        <v>0</v>
      </c>
      <c s="6" r="AZ501">
        <v>0</v>
      </c>
      <c s="6" r="BA501">
        <v>0</v>
      </c>
      <c s="6" r="BB501">
        <v>0</v>
      </c>
      <c s="6" r="BC501">
        <v>0</v>
      </c>
      <c s="6" r="BD501">
        <v>0</v>
      </c>
      <c s="6" r="BE501">
        <v>0</v>
      </c>
      <c s="6" r="BF501">
        <v>0</v>
      </c>
      <c s="6" r="BG501">
        <v>0</v>
      </c>
      <c s="6" r="BH501">
        <v>0</v>
      </c>
      <c s="6" r="BI501">
        <v>0</v>
      </c>
      <c s="6" r="BJ501">
        <v>0</v>
      </c>
      <c s="6" r="BK501">
        <v>0</v>
      </c>
      <c s="6" r="BL501">
        <v>0</v>
      </c>
      <c s="6" r="BM501">
        <v>0</v>
      </c>
      <c s="6" r="BN501">
        <v>0</v>
      </c>
      <c s="6" r="BO501">
        <v>0</v>
      </c>
      <c s="6" r="BP501">
        <v>0</v>
      </c>
      <c s="6" r="BQ501">
        <v>0</v>
      </c>
      <c t="str" s="6" r="BR501">
        <f>HYPERLINK("http://www.d20pfsrd.com/magic/all-spells/s/soul-bind","Soul Bind")</f>
        <v>Soul Bind</v>
      </c>
      <c s="6" r="BS501">
        <v>502</v>
      </c>
      <c s="6" r="BT501">
        <v>0</v>
      </c>
      <c s="6" r="BY501">
        <v>0</v>
      </c>
    </row>
    <row customHeight="1" r="502" ht="14.25">
      <c t="s" s="6" r="A502">
        <v>4050</v>
      </c>
      <c t="s" s="6" r="B502">
        <v>493</v>
      </c>
      <c t="s" s="6" r="D502">
        <v>67</v>
      </c>
      <c t="s" s="6" r="E502">
        <v>4051</v>
      </c>
      <c t="s" s="6" r="F502">
        <v>81</v>
      </c>
      <c t="s" s="6" r="G502">
        <v>4052</v>
      </c>
      <c s="6" r="H502">
        <v>0</v>
      </c>
      <c t="s" s="6" r="I502">
        <v>107</v>
      </c>
      <c t="s" s="6" r="J502">
        <v>4053</v>
      </c>
      <c t="s" s="6" r="M502">
        <v>109</v>
      </c>
      <c s="6" r="N502">
        <v>0</v>
      </c>
      <c s="6" r="O502">
        <v>0</v>
      </c>
      <c t="s" s="6" r="P502">
        <v>1254</v>
      </c>
      <c t="s" s="6" r="Q502">
        <v>188</v>
      </c>
      <c t="s" s="6" r="R502">
        <v>4054</v>
      </c>
      <c t="s" s="6" r="S502">
        <v>4055</v>
      </c>
      <c t="s" s="6" r="T502">
        <v>90</v>
      </c>
      <c t="s" s="6" r="U502">
        <v>4056</v>
      </c>
      <c s="6" r="V502">
        <v>1</v>
      </c>
      <c s="6" r="W502">
        <v>1</v>
      </c>
      <c s="6" r="X502">
        <v>1</v>
      </c>
      <c s="6" r="Y502">
        <v>1</v>
      </c>
      <c s="6" r="Z502">
        <v>1</v>
      </c>
      <c t="s" s="6" r="AA502">
        <v>92</v>
      </c>
      <c t="s" s="6" r="AB502">
        <v>92</v>
      </c>
      <c s="6" r="AC502">
        <v>2</v>
      </c>
      <c t="s" s="6" r="AD502">
        <v>92</v>
      </c>
      <c t="s" s="6" r="AE502">
        <v>92</v>
      </c>
      <c s="6" r="AF502">
        <v>2</v>
      </c>
      <c t="s" s="6" r="AG502">
        <v>92</v>
      </c>
      <c t="s" s="6" r="AH502">
        <v>92</v>
      </c>
      <c t="s" s="6" r="AI502">
        <v>92</v>
      </c>
      <c t="s" s="6" r="AJ502">
        <v>92</v>
      </c>
      <c t="s" s="6" r="AK502">
        <v>92</v>
      </c>
      <c s="6" r="AL502">
        <v>2</v>
      </c>
      <c t="s" s="6" r="AM502">
        <v>92</v>
      </c>
      <c t="s" s="6" r="AN502">
        <v>92</v>
      </c>
      <c s="6" r="AP502">
        <v>2</v>
      </c>
      <c t="s" s="6" r="AR502">
        <v>4057</v>
      </c>
      <c s="6" r="AS502">
        <v>0</v>
      </c>
      <c s="6" r="AT502">
        <v>0</v>
      </c>
      <c s="6" r="AU502">
        <v>0</v>
      </c>
      <c s="6" r="AV502">
        <v>0</v>
      </c>
      <c s="6" r="AW502">
        <v>0</v>
      </c>
      <c s="6" r="AX502">
        <v>0</v>
      </c>
      <c s="6" r="AY502">
        <v>0</v>
      </c>
      <c s="6" r="AZ502">
        <v>0</v>
      </c>
      <c s="6" r="BA502">
        <v>0</v>
      </c>
      <c s="6" r="BB502">
        <v>0</v>
      </c>
      <c s="6" r="BC502">
        <v>0</v>
      </c>
      <c s="6" r="BD502">
        <v>0</v>
      </c>
      <c s="6" r="BE502">
        <v>0</v>
      </c>
      <c s="6" r="BF502">
        <v>0</v>
      </c>
      <c s="6" r="BG502">
        <v>0</v>
      </c>
      <c s="6" r="BH502">
        <v>0</v>
      </c>
      <c s="6" r="BI502">
        <v>0</v>
      </c>
      <c s="6" r="BJ502">
        <v>0</v>
      </c>
      <c s="6" r="BK502">
        <v>0</v>
      </c>
      <c s="6" r="BL502">
        <v>0</v>
      </c>
      <c s="6" r="BM502">
        <v>0</v>
      </c>
      <c s="6" r="BN502">
        <v>0</v>
      </c>
      <c s="6" r="BO502">
        <v>0</v>
      </c>
      <c s="6" r="BP502">
        <v>1</v>
      </c>
      <c s="6" r="BQ502">
        <v>0</v>
      </c>
      <c t="str" s="6" r="BR502">
        <f>HYPERLINK("http://www.d20pfsrd.com/magic/all-spells/s/sound-burst","Sound Burst")</f>
        <v>Sound Burst</v>
      </c>
      <c s="6" r="BS502">
        <v>503</v>
      </c>
      <c t="s" s="6" r="BT502">
        <v>92</v>
      </c>
      <c s="6" r="BY502">
        <v>0</v>
      </c>
    </row>
    <row customHeight="1" r="503" ht="14.25">
      <c t="s" s="6" r="A503">
        <v>4058</v>
      </c>
      <c t="s" s="6" r="B503">
        <v>174</v>
      </c>
      <c t="s" s="6" r="E503">
        <v>4059</v>
      </c>
      <c t="s" s="6" r="F503">
        <v>81</v>
      </c>
      <c t="s" s="6" r="G503">
        <v>106</v>
      </c>
      <c s="6" r="H503">
        <v>0</v>
      </c>
      <c t="s" s="6" r="I503">
        <v>155</v>
      </c>
      <c t="s" s="6" r="L503">
        <v>156</v>
      </c>
      <c t="s" s="6" r="M503">
        <v>122</v>
      </c>
      <c s="6" r="N503">
        <v>0</v>
      </c>
      <c s="6" r="O503">
        <v>0</v>
      </c>
      <c t="s" s="6" r="R503">
        <v>4060</v>
      </c>
      <c t="s" s="6" r="S503">
        <v>4061</v>
      </c>
      <c t="s" s="6" r="T503">
        <v>90</v>
      </c>
      <c t="s" s="6" r="U503">
        <v>4062</v>
      </c>
      <c s="6" r="V503">
        <v>1</v>
      </c>
      <c s="6" r="W503">
        <v>1</v>
      </c>
      <c s="6" r="X503">
        <v>0</v>
      </c>
      <c s="6" r="Y503">
        <v>0</v>
      </c>
      <c s="6" r="Z503">
        <v>0</v>
      </c>
      <c t="s" s="6" r="AA503">
        <v>92</v>
      </c>
      <c t="s" s="6" r="AB503">
        <v>92</v>
      </c>
      <c t="s" s="6" r="AC503">
        <v>92</v>
      </c>
      <c s="6" r="AD503">
        <v>1</v>
      </c>
      <c s="6" r="AE503">
        <v>1</v>
      </c>
      <c s="6" r="AF503">
        <v>3</v>
      </c>
      <c t="s" s="6" r="AG503">
        <v>92</v>
      </c>
      <c t="s" s="6" r="AH503">
        <v>92</v>
      </c>
      <c t="s" s="6" r="AI503">
        <v>92</v>
      </c>
      <c t="s" s="6" r="AJ503">
        <v>92</v>
      </c>
      <c t="s" s="6" r="AK503">
        <v>92</v>
      </c>
      <c t="s" s="6" r="AL503">
        <v>92</v>
      </c>
      <c t="s" s="6" r="AM503">
        <v>92</v>
      </c>
      <c t="s" s="6" r="AN503">
        <v>92</v>
      </c>
      <c s="6" r="AP503">
        <v>1</v>
      </c>
      <c t="s" s="6" r="AR503">
        <v>4063</v>
      </c>
      <c s="6" r="AS503">
        <v>0</v>
      </c>
      <c s="6" r="AT503">
        <v>0</v>
      </c>
      <c s="6" r="AU503">
        <v>0</v>
      </c>
      <c s="6" r="AV503">
        <v>0</v>
      </c>
      <c s="6" r="AW503">
        <v>0</v>
      </c>
      <c s="6" r="AX503">
        <v>0</v>
      </c>
      <c s="6" r="AY503">
        <v>0</v>
      </c>
      <c s="6" r="AZ503">
        <v>0</v>
      </c>
      <c s="6" r="BA503">
        <v>0</v>
      </c>
      <c s="6" r="BB503">
        <v>0</v>
      </c>
      <c s="6" r="BC503">
        <v>0</v>
      </c>
      <c s="6" r="BD503">
        <v>0</v>
      </c>
      <c s="6" r="BE503">
        <v>0</v>
      </c>
      <c s="6" r="BF503">
        <v>0</v>
      </c>
      <c s="6" r="BG503">
        <v>0</v>
      </c>
      <c s="6" r="BH503">
        <v>0</v>
      </c>
      <c s="6" r="BI503">
        <v>0</v>
      </c>
      <c s="6" r="BJ503">
        <v>0</v>
      </c>
      <c s="6" r="BK503">
        <v>0</v>
      </c>
      <c s="6" r="BL503">
        <v>0</v>
      </c>
      <c s="6" r="BM503">
        <v>0</v>
      </c>
      <c s="6" r="BN503">
        <v>0</v>
      </c>
      <c s="6" r="BO503">
        <v>0</v>
      </c>
      <c s="6" r="BP503">
        <v>0</v>
      </c>
      <c s="6" r="BQ503">
        <v>0</v>
      </c>
      <c t="str" s="6" r="BR503">
        <f>HYPERLINK("http://www.d20pfsrd.com/magic/all-spells/s/speak-with-animals","Speak with Animals")</f>
        <v>Speak with Animals</v>
      </c>
      <c s="6" r="BS503">
        <v>504</v>
      </c>
      <c t="s" s="6" r="BT503">
        <v>92</v>
      </c>
      <c t="s" s="6" r="BV503">
        <v>194</v>
      </c>
      <c s="6" r="BY503">
        <v>0</v>
      </c>
    </row>
    <row customHeight="1" r="504" ht="14.25">
      <c t="s" s="6" r="A504">
        <v>4064</v>
      </c>
      <c t="s" s="6" r="B504">
        <v>227</v>
      </c>
      <c t="s" s="6" r="D504">
        <v>2922</v>
      </c>
      <c t="s" s="6" r="E504">
        <v>4065</v>
      </c>
      <c t="s" s="6" r="F504">
        <v>311</v>
      </c>
      <c t="s" s="6" r="G504">
        <v>119</v>
      </c>
      <c s="6" r="H504">
        <v>0</v>
      </c>
      <c t="s" s="6" r="I504">
        <v>273</v>
      </c>
      <c t="s" s="6" r="L504">
        <v>4066</v>
      </c>
      <c t="s" s="6" r="M504">
        <v>122</v>
      </c>
      <c s="6" r="N504">
        <v>0</v>
      </c>
      <c s="6" r="O504">
        <v>0</v>
      </c>
      <c t="s" s="6" r="P504">
        <v>474</v>
      </c>
      <c t="s" s="6" r="Q504">
        <v>87</v>
      </c>
      <c t="s" s="6" r="R504">
        <v>4067</v>
      </c>
      <c t="s" s="6" r="S504">
        <v>4068</v>
      </c>
      <c t="s" s="6" r="T504">
        <v>90</v>
      </c>
      <c t="s" s="6" r="U504">
        <v>4069</v>
      </c>
      <c s="6" r="V504">
        <v>1</v>
      </c>
      <c s="6" r="W504">
        <v>1</v>
      </c>
      <c s="6" r="X504">
        <v>0</v>
      </c>
      <c s="6" r="Y504">
        <v>0</v>
      </c>
      <c s="6" r="Z504">
        <v>1</v>
      </c>
      <c t="s" s="6" r="AA504">
        <v>92</v>
      </c>
      <c t="s" s="6" r="AB504">
        <v>92</v>
      </c>
      <c s="6" r="AC504">
        <v>3</v>
      </c>
      <c t="s" s="6" r="AD504">
        <v>92</v>
      </c>
      <c t="s" s="6" r="AE504">
        <v>92</v>
      </c>
      <c t="s" s="6" r="AF504">
        <v>92</v>
      </c>
      <c t="s" s="6" r="AG504">
        <v>92</v>
      </c>
      <c t="s" s="6" r="AH504">
        <v>92</v>
      </c>
      <c t="s" s="6" r="AI504">
        <v>92</v>
      </c>
      <c s="6" r="AJ504">
        <v>3</v>
      </c>
      <c s="6" r="AK504">
        <v>3</v>
      </c>
      <c s="6" r="AL504">
        <v>3</v>
      </c>
      <c t="s" s="6" r="AM504">
        <v>92</v>
      </c>
      <c t="s" s="6" r="AN504">
        <v>92</v>
      </c>
      <c s="6" r="AP504">
        <v>3</v>
      </c>
      <c t="s" s="6" r="AQ504">
        <v>4070</v>
      </c>
      <c t="s" s="6" r="AR504">
        <v>4071</v>
      </c>
      <c s="6" r="AS504">
        <v>0</v>
      </c>
      <c s="6" r="AT504">
        <v>0</v>
      </c>
      <c s="6" r="AU504">
        <v>0</v>
      </c>
      <c s="6" r="AV504">
        <v>0</v>
      </c>
      <c s="6" r="AW504">
        <v>0</v>
      </c>
      <c s="6" r="AX504">
        <v>0</v>
      </c>
      <c s="6" r="AY504">
        <v>0</v>
      </c>
      <c s="6" r="AZ504">
        <v>0</v>
      </c>
      <c s="6" r="BA504">
        <v>0</v>
      </c>
      <c s="6" r="BB504">
        <v>0</v>
      </c>
      <c s="6" r="BC504">
        <v>0</v>
      </c>
      <c s="6" r="BD504">
        <v>0</v>
      </c>
      <c s="6" r="BE504">
        <v>0</v>
      </c>
      <c s="6" r="BF504">
        <v>0</v>
      </c>
      <c s="6" r="BG504">
        <v>0</v>
      </c>
      <c s="6" r="BH504">
        <v>0</v>
      </c>
      <c s="6" r="BI504">
        <v>1</v>
      </c>
      <c s="6" r="BJ504">
        <v>0</v>
      </c>
      <c s="6" r="BK504">
        <v>0</v>
      </c>
      <c s="6" r="BL504">
        <v>0</v>
      </c>
      <c s="6" r="BM504">
        <v>0</v>
      </c>
      <c s="6" r="BN504">
        <v>0</v>
      </c>
      <c s="6" r="BO504">
        <v>0</v>
      </c>
      <c s="6" r="BP504">
        <v>0</v>
      </c>
      <c s="6" r="BQ504">
        <v>0</v>
      </c>
      <c t="str" s="6" r="BR504">
        <f>HYPERLINK("http://www.d20pfsrd.com/magic/all-spells/s/speak-with-dead","Speak with Dead")</f>
        <v>Speak with Dead</v>
      </c>
      <c s="6" r="BS504">
        <v>505</v>
      </c>
      <c t="s" s="6" r="BT504">
        <v>92</v>
      </c>
      <c t="s" s="6" r="BV504">
        <v>4072</v>
      </c>
      <c s="6" r="BY504">
        <v>0</v>
      </c>
    </row>
    <row customHeight="1" r="505" ht="14.25">
      <c t="s" s="6" r="A505">
        <v>4073</v>
      </c>
      <c t="s" s="6" r="B505">
        <v>174</v>
      </c>
      <c t="s" s="6" r="E505">
        <v>4074</v>
      </c>
      <c t="s" s="6" r="F505">
        <v>81</v>
      </c>
      <c t="s" s="6" r="G505">
        <v>106</v>
      </c>
      <c s="6" r="H505">
        <v>0</v>
      </c>
      <c t="s" s="6" r="I505">
        <v>155</v>
      </c>
      <c t="s" s="6" r="L505">
        <v>156</v>
      </c>
      <c t="s" s="6" r="M505">
        <v>122</v>
      </c>
      <c s="6" r="N505">
        <v>0</v>
      </c>
      <c s="6" r="O505">
        <v>0</v>
      </c>
      <c t="s" s="6" r="R505">
        <v>4075</v>
      </c>
      <c t="s" s="6" r="S505">
        <v>4076</v>
      </c>
      <c t="s" s="6" r="T505">
        <v>90</v>
      </c>
      <c t="s" s="6" r="U505">
        <v>4077</v>
      </c>
      <c s="6" r="V505">
        <v>1</v>
      </c>
      <c s="6" r="W505">
        <v>1</v>
      </c>
      <c s="6" r="X505">
        <v>0</v>
      </c>
      <c s="6" r="Y505">
        <v>0</v>
      </c>
      <c s="6" r="Z505">
        <v>0</v>
      </c>
      <c t="s" s="6" r="AA505">
        <v>92</v>
      </c>
      <c t="s" s="6" r="AB505">
        <v>92</v>
      </c>
      <c t="s" s="6" r="AC505">
        <v>92</v>
      </c>
      <c s="6" r="AD505">
        <v>3</v>
      </c>
      <c s="6" r="AE505">
        <v>2</v>
      </c>
      <c s="6" r="AF505">
        <v>4</v>
      </c>
      <c t="s" s="6" r="AG505">
        <v>92</v>
      </c>
      <c t="s" s="6" r="AH505">
        <v>92</v>
      </c>
      <c t="s" s="6" r="AI505">
        <v>92</v>
      </c>
      <c t="s" s="6" r="AJ505">
        <v>92</v>
      </c>
      <c t="s" s="6" r="AK505">
        <v>92</v>
      </c>
      <c t="s" s="6" r="AL505">
        <v>92</v>
      </c>
      <c t="s" s="6" r="AM505">
        <v>92</v>
      </c>
      <c t="s" s="6" r="AN505">
        <v>92</v>
      </c>
      <c s="6" r="AP505">
        <v>3</v>
      </c>
      <c t="s" s="6" r="AR505">
        <v>4078</v>
      </c>
      <c s="6" r="AS505">
        <v>0</v>
      </c>
      <c s="6" r="AT505">
        <v>0</v>
      </c>
      <c s="6" r="AU505">
        <v>0</v>
      </c>
      <c s="6" r="AV505">
        <v>0</v>
      </c>
      <c s="6" r="AW505">
        <v>0</v>
      </c>
      <c s="6" r="AX505">
        <v>0</v>
      </c>
      <c s="6" r="AY505">
        <v>0</v>
      </c>
      <c s="6" r="AZ505">
        <v>0</v>
      </c>
      <c s="6" r="BA505">
        <v>0</v>
      </c>
      <c s="6" r="BB505">
        <v>0</v>
      </c>
      <c s="6" r="BC505">
        <v>0</v>
      </c>
      <c s="6" r="BD505">
        <v>0</v>
      </c>
      <c s="6" r="BE505">
        <v>0</v>
      </c>
      <c s="6" r="BF505">
        <v>0</v>
      </c>
      <c s="6" r="BG505">
        <v>0</v>
      </c>
      <c s="6" r="BH505">
        <v>0</v>
      </c>
      <c s="6" r="BI505">
        <v>0</v>
      </c>
      <c s="6" r="BJ505">
        <v>0</v>
      </c>
      <c s="6" r="BK505">
        <v>0</v>
      </c>
      <c s="6" r="BL505">
        <v>0</v>
      </c>
      <c s="6" r="BM505">
        <v>0</v>
      </c>
      <c s="6" r="BN505">
        <v>0</v>
      </c>
      <c s="6" r="BO505">
        <v>0</v>
      </c>
      <c s="6" r="BP505">
        <v>0</v>
      </c>
      <c s="6" r="BQ505">
        <v>0</v>
      </c>
      <c t="str" s="6" r="BR505">
        <f>HYPERLINK("http://www.d20pfsrd.com/magic/all-spells/s/speak-with-plants","Speak with Plants")</f>
        <v>Speak with Plants</v>
      </c>
      <c s="6" r="BS505">
        <v>506</v>
      </c>
      <c t="s" s="6" r="BT505">
        <v>92</v>
      </c>
      <c t="s" s="6" r="BU505">
        <v>259</v>
      </c>
      <c s="6" r="BY505">
        <v>0</v>
      </c>
    </row>
    <row customHeight="1" r="506" ht="14.25">
      <c t="s" s="6" r="A506">
        <v>4079</v>
      </c>
      <c t="s" s="6" r="B506">
        <v>227</v>
      </c>
      <c t="s" s="6" r="E506">
        <v>4080</v>
      </c>
      <c t="s" s="6" r="F506">
        <v>81</v>
      </c>
      <c t="s" s="6" r="G506">
        <v>106</v>
      </c>
      <c s="6" r="H506">
        <v>0</v>
      </c>
      <c t="s" s="6" r="I506">
        <v>97</v>
      </c>
      <c t="s" s="6" r="K506">
        <v>4081</v>
      </c>
      <c t="s" s="6" r="M506">
        <v>122</v>
      </c>
      <c s="6" r="N506">
        <v>1</v>
      </c>
      <c s="6" r="O506">
        <v>0</v>
      </c>
      <c t="s" s="6" r="P506">
        <v>86</v>
      </c>
      <c t="s" s="6" r="Q506">
        <v>87</v>
      </c>
      <c t="s" s="6" r="R506">
        <v>4082</v>
      </c>
      <c t="s" s="6" r="S506">
        <v>4083</v>
      </c>
      <c t="s" s="6" r="T506">
        <v>90</v>
      </c>
      <c t="s" s="6" r="U506">
        <v>4084</v>
      </c>
      <c s="6" r="V506">
        <v>1</v>
      </c>
      <c s="6" r="W506">
        <v>1</v>
      </c>
      <c s="6" r="X506">
        <v>0</v>
      </c>
      <c s="6" r="Y506">
        <v>0</v>
      </c>
      <c s="6" r="Z506">
        <v>0</v>
      </c>
      <c s="6" r="AA506">
        <v>2</v>
      </c>
      <c s="6" r="AB506">
        <v>2</v>
      </c>
      <c t="s" s="6" r="AC506">
        <v>92</v>
      </c>
      <c t="s" s="6" r="AD506">
        <v>92</v>
      </c>
      <c t="s" s="6" r="AE506">
        <v>92</v>
      </c>
      <c t="s" s="6" r="AF506">
        <v>92</v>
      </c>
      <c t="s" s="6" r="AG506">
        <v>92</v>
      </c>
      <c t="s" s="6" r="AH506">
        <v>92</v>
      </c>
      <c t="s" s="6" r="AI506">
        <v>92</v>
      </c>
      <c s="6" r="AJ506">
        <v>2</v>
      </c>
      <c t="s" s="6" r="AK506">
        <v>92</v>
      </c>
      <c t="s" s="6" r="AL506">
        <v>92</v>
      </c>
      <c t="s" s="6" r="AM506">
        <v>92</v>
      </c>
      <c t="s" s="6" r="AN506">
        <v>92</v>
      </c>
      <c s="6" r="AP506">
        <v>2</v>
      </c>
      <c t="s" s="6" r="AR506">
        <v>4085</v>
      </c>
      <c s="6" r="AS506">
        <v>0</v>
      </c>
      <c s="6" r="AT506">
        <v>0</v>
      </c>
      <c s="6" r="AU506">
        <v>0</v>
      </c>
      <c s="6" r="AV506">
        <v>0</v>
      </c>
      <c s="6" r="AW506">
        <v>0</v>
      </c>
      <c s="6" r="AX506">
        <v>0</v>
      </c>
      <c s="6" r="AY506">
        <v>0</v>
      </c>
      <c s="6" r="AZ506">
        <v>0</v>
      </c>
      <c s="6" r="BA506">
        <v>0</v>
      </c>
      <c s="6" r="BB506">
        <v>0</v>
      </c>
      <c s="6" r="BC506">
        <v>0</v>
      </c>
      <c s="6" r="BD506">
        <v>0</v>
      </c>
      <c s="6" r="BE506">
        <v>0</v>
      </c>
      <c s="6" r="BF506">
        <v>0</v>
      </c>
      <c s="6" r="BG506">
        <v>0</v>
      </c>
      <c s="6" r="BH506">
        <v>0</v>
      </c>
      <c s="6" r="BI506">
        <v>0</v>
      </c>
      <c s="6" r="BJ506">
        <v>0</v>
      </c>
      <c s="6" r="BK506">
        <v>0</v>
      </c>
      <c s="6" r="BL506">
        <v>0</v>
      </c>
      <c s="6" r="BM506">
        <v>0</v>
      </c>
      <c s="6" r="BN506">
        <v>0</v>
      </c>
      <c s="6" r="BO506">
        <v>0</v>
      </c>
      <c s="6" r="BP506">
        <v>0</v>
      </c>
      <c s="6" r="BQ506">
        <v>0</v>
      </c>
      <c t="str" s="6" r="BR506">
        <f>HYPERLINK("http://www.d20pfsrd.com/magic/all-spells/s/spectral-hand","Spectral Hand")</f>
        <v>Spectral Hand</v>
      </c>
      <c s="6" r="BS506">
        <v>507</v>
      </c>
      <c t="s" s="6" r="BT506">
        <v>92</v>
      </c>
      <c s="6" r="BY506">
        <v>0</v>
      </c>
    </row>
    <row customHeight="1" r="507" ht="14.25">
      <c t="s" s="6" r="A507">
        <v>4086</v>
      </c>
      <c t="s" s="6" r="B507">
        <v>162</v>
      </c>
      <c t="s" s="6" r="E507">
        <v>4087</v>
      </c>
      <c t="s" s="6" r="F507">
        <v>81</v>
      </c>
      <c t="s" s="6" r="G507">
        <v>119</v>
      </c>
      <c s="6" r="H507">
        <v>0</v>
      </c>
      <c t="s" s="6" r="I507">
        <v>120</v>
      </c>
      <c t="s" s="6" r="L507">
        <v>420</v>
      </c>
      <c t="s" s="6" r="M507">
        <v>134</v>
      </c>
      <c s="6" r="N507">
        <v>0</v>
      </c>
      <c s="6" r="O507">
        <v>0</v>
      </c>
      <c t="s" s="6" r="P507">
        <v>421</v>
      </c>
      <c t="s" s="6" r="Q507">
        <v>123</v>
      </c>
      <c t="s" s="6" r="R507">
        <v>4088</v>
      </c>
      <c t="s" s="6" r="S507">
        <v>4089</v>
      </c>
      <c t="s" s="6" r="T507">
        <v>90</v>
      </c>
      <c t="s" s="6" r="U507">
        <v>4090</v>
      </c>
      <c s="6" r="V507">
        <v>1</v>
      </c>
      <c s="6" r="W507">
        <v>1</v>
      </c>
      <c s="6" r="X507">
        <v>0</v>
      </c>
      <c s="6" r="Y507">
        <v>0</v>
      </c>
      <c s="6" r="Z507">
        <v>1</v>
      </c>
      <c t="s" s="6" r="AA507">
        <v>92</v>
      </c>
      <c t="s" s="6" r="AB507">
        <v>92</v>
      </c>
      <c s="6" r="AC507">
        <v>4</v>
      </c>
      <c t="s" s="6" r="AD507">
        <v>92</v>
      </c>
      <c t="s" s="6" r="AE507">
        <v>92</v>
      </c>
      <c t="s" s="6" r="AF507">
        <v>92</v>
      </c>
      <c t="s" s="6" r="AG507">
        <v>92</v>
      </c>
      <c s="6" r="AH507">
        <v>4</v>
      </c>
      <c t="s" s="6" r="AI507">
        <v>92</v>
      </c>
      <c t="s" s="6" r="AJ507">
        <v>92</v>
      </c>
      <c s="6" r="AK507">
        <v>4</v>
      </c>
      <c s="6" r="AL507">
        <v>4</v>
      </c>
      <c t="s" s="6" r="AM507">
        <v>92</v>
      </c>
      <c t="s" s="6" r="AN507">
        <v>92</v>
      </c>
      <c s="6" r="AP507">
        <v>4</v>
      </c>
      <c t="s" s="6" r="AQ507">
        <v>4091</v>
      </c>
      <c t="s" s="6" r="AR507">
        <v>4092</v>
      </c>
      <c s="6" r="AS507">
        <v>0</v>
      </c>
      <c s="6" r="AT507">
        <v>0</v>
      </c>
      <c s="6" r="AU507">
        <v>0</v>
      </c>
      <c s="6" r="AV507">
        <v>0</v>
      </c>
      <c s="6" r="AW507">
        <v>0</v>
      </c>
      <c s="6" r="AX507">
        <v>0</v>
      </c>
      <c s="6" r="AY507">
        <v>0</v>
      </c>
      <c s="6" r="AZ507">
        <v>0</v>
      </c>
      <c s="6" r="BA507">
        <v>0</v>
      </c>
      <c s="6" r="BB507">
        <v>0</v>
      </c>
      <c s="6" r="BC507">
        <v>0</v>
      </c>
      <c s="6" r="BD507">
        <v>0</v>
      </c>
      <c s="6" r="BE507">
        <v>0</v>
      </c>
      <c s="6" r="BF507">
        <v>0</v>
      </c>
      <c s="6" r="BG507">
        <v>0</v>
      </c>
      <c s="6" r="BH507">
        <v>0</v>
      </c>
      <c s="6" r="BI507">
        <v>0</v>
      </c>
      <c s="6" r="BJ507">
        <v>0</v>
      </c>
      <c s="6" r="BK507">
        <v>0</v>
      </c>
      <c s="6" r="BL507">
        <v>0</v>
      </c>
      <c s="6" r="BM507">
        <v>0</v>
      </c>
      <c s="6" r="BN507">
        <v>0</v>
      </c>
      <c s="6" r="BO507">
        <v>0</v>
      </c>
      <c s="6" r="BP507">
        <v>0</v>
      </c>
      <c s="6" r="BQ507">
        <v>0</v>
      </c>
      <c t="str" s="6" r="BR507">
        <f>HYPERLINK("http://www.d20pfsrd.com/magic/all-spells/s/spell-immunity","Spell Immunity")</f>
        <v>Spell Immunity</v>
      </c>
      <c s="6" r="BS507">
        <v>508</v>
      </c>
      <c t="s" s="6" r="BT507">
        <v>92</v>
      </c>
      <c t="s" s="6" r="BV507">
        <v>434</v>
      </c>
      <c s="6" r="BY507">
        <v>0</v>
      </c>
    </row>
    <row customHeight="1" r="508" ht="14.25">
      <c t="s" s="6" r="A508">
        <v>4093</v>
      </c>
      <c t="s" s="6" r="B508">
        <v>162</v>
      </c>
      <c t="s" s="6" r="E508">
        <v>802</v>
      </c>
      <c t="s" s="6" r="F508">
        <v>81</v>
      </c>
      <c t="s" s="6" r="G508">
        <v>119</v>
      </c>
      <c s="6" r="H508">
        <v>0</v>
      </c>
      <c t="s" s="6" r="I508">
        <v>120</v>
      </c>
      <c t="s" s="6" r="L508">
        <v>420</v>
      </c>
      <c t="s" s="6" r="M508">
        <v>134</v>
      </c>
      <c s="6" r="N508">
        <v>0</v>
      </c>
      <c s="6" r="O508">
        <v>0</v>
      </c>
      <c t="s" s="6" r="P508">
        <v>421</v>
      </c>
      <c t="s" s="6" r="Q508">
        <v>123</v>
      </c>
      <c t="s" s="6" r="R508">
        <v>4094</v>
      </c>
      <c t="s" s="6" r="S508">
        <v>4095</v>
      </c>
      <c t="s" s="6" r="T508">
        <v>90</v>
      </c>
      <c t="s" s="6" r="U508">
        <v>4096</v>
      </c>
      <c s="6" r="V508">
        <v>1</v>
      </c>
      <c s="6" r="W508">
        <v>1</v>
      </c>
      <c s="6" r="X508">
        <v>0</v>
      </c>
      <c s="6" r="Y508">
        <v>0</v>
      </c>
      <c s="6" r="Z508">
        <v>1</v>
      </c>
      <c t="s" s="6" r="AA508">
        <v>92</v>
      </c>
      <c t="s" s="6" r="AB508">
        <v>92</v>
      </c>
      <c s="6" r="AC508">
        <v>8</v>
      </c>
      <c t="s" s="6" r="AD508">
        <v>92</v>
      </c>
      <c t="s" s="6" r="AE508">
        <v>92</v>
      </c>
      <c t="s" s="6" r="AF508">
        <v>92</v>
      </c>
      <c t="s" s="6" r="AG508">
        <v>92</v>
      </c>
      <c t="s" s="6" r="AH508">
        <v>92</v>
      </c>
      <c t="s" s="6" r="AI508">
        <v>92</v>
      </c>
      <c t="s" s="6" r="AJ508">
        <v>92</v>
      </c>
      <c t="s" s="6" r="AK508">
        <v>92</v>
      </c>
      <c s="6" r="AL508">
        <v>8</v>
      </c>
      <c t="s" s="6" r="AM508">
        <v>92</v>
      </c>
      <c t="s" s="6" r="AN508">
        <v>92</v>
      </c>
      <c s="6" r="AP508">
        <v>8</v>
      </c>
      <c t="s" s="6" r="AR508">
        <v>4097</v>
      </c>
      <c s="6" r="AS508">
        <v>0</v>
      </c>
      <c s="6" r="AT508">
        <v>0</v>
      </c>
      <c s="6" r="AU508">
        <v>0</v>
      </c>
      <c s="6" r="AV508">
        <v>0</v>
      </c>
      <c s="6" r="AW508">
        <v>0</v>
      </c>
      <c s="6" r="AX508">
        <v>0</v>
      </c>
      <c s="6" r="AY508">
        <v>0</v>
      </c>
      <c s="6" r="AZ508">
        <v>0</v>
      </c>
      <c s="6" r="BA508">
        <v>0</v>
      </c>
      <c s="6" r="BB508">
        <v>0</v>
      </c>
      <c s="6" r="BC508">
        <v>0</v>
      </c>
      <c s="6" r="BD508">
        <v>0</v>
      </c>
      <c s="6" r="BE508">
        <v>0</v>
      </c>
      <c s="6" r="BF508">
        <v>0</v>
      </c>
      <c s="6" r="BG508">
        <v>0</v>
      </c>
      <c s="6" r="BH508">
        <v>0</v>
      </c>
      <c s="6" r="BI508">
        <v>0</v>
      </c>
      <c s="6" r="BJ508">
        <v>0</v>
      </c>
      <c s="6" r="BK508">
        <v>0</v>
      </c>
      <c s="6" r="BL508">
        <v>0</v>
      </c>
      <c s="6" r="BM508">
        <v>0</v>
      </c>
      <c s="6" r="BN508">
        <v>0</v>
      </c>
      <c s="6" r="BO508">
        <v>0</v>
      </c>
      <c s="6" r="BP508">
        <v>0</v>
      </c>
      <c s="6" r="BQ508">
        <v>0</v>
      </c>
      <c t="str" s="6" r="BR508">
        <f>HYPERLINK("http://www.d20pfsrd.com/magic/all-spells/s/spell-immunity","Spell Immunity, Greater")</f>
        <v>Spell Immunity, Greater</v>
      </c>
      <c s="6" r="BS508">
        <v>509</v>
      </c>
      <c t="s" s="6" r="BT508">
        <v>92</v>
      </c>
      <c s="6" r="BY508">
        <v>0</v>
      </c>
    </row>
    <row customHeight="1" r="509" ht="14.25">
      <c t="s" s="6" r="A509">
        <v>4098</v>
      </c>
      <c t="s" s="6" r="B509">
        <v>162</v>
      </c>
      <c t="s" s="6" r="E509">
        <v>4099</v>
      </c>
      <c t="s" s="6" r="F509">
        <v>81</v>
      </c>
      <c t="s" s="6" r="G509">
        <v>119</v>
      </c>
      <c s="6" r="H509">
        <v>0</v>
      </c>
      <c t="s" s="6" r="I509">
        <v>120</v>
      </c>
      <c t="s" s="6" r="L509">
        <v>420</v>
      </c>
      <c t="s" s="6" r="M509">
        <v>122</v>
      </c>
      <c s="6" r="N509">
        <v>0</v>
      </c>
      <c s="6" r="O509">
        <v>0</v>
      </c>
      <c t="s" s="6" r="P509">
        <v>421</v>
      </c>
      <c t="s" s="6" r="Q509">
        <v>123</v>
      </c>
      <c t="s" s="6" r="R509">
        <v>4100</v>
      </c>
      <c t="s" s="6" r="S509">
        <v>4101</v>
      </c>
      <c t="s" s="6" r="T509">
        <v>90</v>
      </c>
      <c t="s" s="6" r="U509">
        <v>4102</v>
      </c>
      <c s="6" r="V509">
        <v>1</v>
      </c>
      <c s="6" r="W509">
        <v>1</v>
      </c>
      <c s="6" r="X509">
        <v>0</v>
      </c>
      <c s="6" r="Y509">
        <v>0</v>
      </c>
      <c s="6" r="Z509">
        <v>1</v>
      </c>
      <c t="s" s="6" r="AA509">
        <v>92</v>
      </c>
      <c t="s" s="6" r="AB509">
        <v>92</v>
      </c>
      <c s="6" r="AC509">
        <v>5</v>
      </c>
      <c t="s" s="6" r="AD509">
        <v>92</v>
      </c>
      <c t="s" s="6" r="AE509">
        <v>92</v>
      </c>
      <c t="s" s="6" r="AF509">
        <v>92</v>
      </c>
      <c t="s" s="6" r="AG509">
        <v>92</v>
      </c>
      <c s="6" r="AH509">
        <v>5</v>
      </c>
      <c t="s" s="6" r="AI509">
        <v>92</v>
      </c>
      <c t="s" s="6" r="AJ509">
        <v>92</v>
      </c>
      <c s="6" r="AK509">
        <v>5</v>
      </c>
      <c s="6" r="AL509">
        <v>5</v>
      </c>
      <c t="s" s="6" r="AM509">
        <v>92</v>
      </c>
      <c t="s" s="6" r="AN509">
        <v>92</v>
      </c>
      <c s="6" r="AP509">
        <v>5</v>
      </c>
      <c t="s" s="6" r="AQ509">
        <v>287</v>
      </c>
      <c t="s" s="6" r="AR509">
        <v>4103</v>
      </c>
      <c s="6" r="AS509">
        <v>0</v>
      </c>
      <c s="6" r="AT509">
        <v>0</v>
      </c>
      <c s="6" r="AU509">
        <v>0</v>
      </c>
      <c s="6" r="AV509">
        <v>0</v>
      </c>
      <c s="6" r="AW509">
        <v>0</v>
      </c>
      <c s="6" r="AX509">
        <v>0</v>
      </c>
      <c s="6" r="AY509">
        <v>0</v>
      </c>
      <c s="6" r="AZ509">
        <v>0</v>
      </c>
      <c s="6" r="BA509">
        <v>0</v>
      </c>
      <c s="6" r="BB509">
        <v>0</v>
      </c>
      <c s="6" r="BC509">
        <v>0</v>
      </c>
      <c s="6" r="BD509">
        <v>0</v>
      </c>
      <c s="6" r="BE509">
        <v>0</v>
      </c>
      <c s="6" r="BF509">
        <v>0</v>
      </c>
      <c s="6" r="BG509">
        <v>0</v>
      </c>
      <c s="6" r="BH509">
        <v>0</v>
      </c>
      <c s="6" r="BI509">
        <v>0</v>
      </c>
      <c s="6" r="BJ509">
        <v>0</v>
      </c>
      <c s="6" r="BK509">
        <v>0</v>
      </c>
      <c s="6" r="BL509">
        <v>0</v>
      </c>
      <c s="6" r="BM509">
        <v>0</v>
      </c>
      <c s="6" r="BN509">
        <v>0</v>
      </c>
      <c s="6" r="BO509">
        <v>0</v>
      </c>
      <c s="6" r="BP509">
        <v>0</v>
      </c>
      <c s="6" r="BQ509">
        <v>0</v>
      </c>
      <c t="str" s="6" r="BR509">
        <f>HYPERLINK("http://www.d20pfsrd.com/magic/all-spells/s/spell-resistance","Spell Resistance")</f>
        <v>Spell Resistance</v>
      </c>
      <c s="6" r="BS509">
        <v>510</v>
      </c>
      <c t="s" s="6" r="BT509">
        <v>92</v>
      </c>
      <c t="s" s="6" r="BU509">
        <v>1951</v>
      </c>
      <c t="s" s="6" r="BV509">
        <v>434</v>
      </c>
      <c s="6" r="BY509">
        <v>0</v>
      </c>
    </row>
    <row customHeight="1" r="510" ht="14.25">
      <c t="s" s="6" r="A510">
        <v>4104</v>
      </c>
      <c t="s" s="6" r="B510">
        <v>131</v>
      </c>
      <c t="s" s="6" r="E510">
        <v>1799</v>
      </c>
      <c t="s" s="6" r="F510">
        <v>311</v>
      </c>
      <c t="s" s="6" r="G510">
        <v>4105</v>
      </c>
      <c s="6" r="H510">
        <v>0</v>
      </c>
      <c t="s" s="6" r="I510">
        <v>120</v>
      </c>
      <c t="s" s="6" r="L510">
        <v>4106</v>
      </c>
      <c t="s" s="6" r="M510">
        <v>1693</v>
      </c>
      <c s="6" r="N510">
        <v>1</v>
      </c>
      <c s="6" r="O510">
        <v>0</v>
      </c>
      <c t="s" s="6" r="P510">
        <v>535</v>
      </c>
      <c t="s" s="6" r="Q510">
        <v>536</v>
      </c>
      <c t="s" s="6" r="R510">
        <v>4107</v>
      </c>
      <c t="s" s="6" r="S510">
        <v>4108</v>
      </c>
      <c t="s" s="6" r="T510">
        <v>90</v>
      </c>
      <c t="s" s="6" r="U510">
        <v>4109</v>
      </c>
      <c s="6" r="V510">
        <v>1</v>
      </c>
      <c s="6" r="W510">
        <v>1</v>
      </c>
      <c s="6" r="X510">
        <v>0</v>
      </c>
      <c s="6" r="Y510">
        <v>1</v>
      </c>
      <c s="6" r="Z510">
        <v>0</v>
      </c>
      <c t="s" s="6" r="AA510">
        <v>92</v>
      </c>
      <c t="s" s="6" r="AB510">
        <v>92</v>
      </c>
      <c t="s" s="6" r="AC510">
        <v>92</v>
      </c>
      <c s="6" r="AD510">
        <v>6</v>
      </c>
      <c t="s" s="6" r="AE510">
        <v>92</v>
      </c>
      <c t="s" s="6" r="AF510">
        <v>92</v>
      </c>
      <c t="s" s="6" r="AG510">
        <v>92</v>
      </c>
      <c t="s" s="6" r="AH510">
        <v>92</v>
      </c>
      <c t="s" s="6" r="AI510">
        <v>92</v>
      </c>
      <c t="s" s="6" r="AJ510">
        <v>92</v>
      </c>
      <c t="s" s="6" r="AK510">
        <v>92</v>
      </c>
      <c t="s" s="6" r="AL510">
        <v>92</v>
      </c>
      <c t="s" s="6" r="AM510">
        <v>92</v>
      </c>
      <c t="s" s="6" r="AN510">
        <v>92</v>
      </c>
      <c s="6" r="AP510">
        <v>6</v>
      </c>
      <c t="s" s="6" r="AR510">
        <v>4110</v>
      </c>
      <c s="6" r="AS510">
        <v>0</v>
      </c>
      <c s="6" r="AT510">
        <v>0</v>
      </c>
      <c s="6" r="AU510">
        <v>0</v>
      </c>
      <c s="6" r="AV510">
        <v>0</v>
      </c>
      <c s="6" r="AW510">
        <v>0</v>
      </c>
      <c s="6" r="AX510">
        <v>0</v>
      </c>
      <c s="6" r="AY510">
        <v>0</v>
      </c>
      <c s="6" r="AZ510">
        <v>0</v>
      </c>
      <c s="6" r="BA510">
        <v>0</v>
      </c>
      <c s="6" r="BB510">
        <v>0</v>
      </c>
      <c s="6" r="BC510">
        <v>0</v>
      </c>
      <c s="6" r="BD510">
        <v>0</v>
      </c>
      <c s="6" r="BE510">
        <v>0</v>
      </c>
      <c s="6" r="BF510">
        <v>0</v>
      </c>
      <c s="6" r="BG510">
        <v>0</v>
      </c>
      <c s="6" r="BH510">
        <v>0</v>
      </c>
      <c s="6" r="BI510">
        <v>0</v>
      </c>
      <c s="6" r="BJ510">
        <v>0</v>
      </c>
      <c s="6" r="BK510">
        <v>0</v>
      </c>
      <c s="6" r="BL510">
        <v>0</v>
      </c>
      <c s="6" r="BM510">
        <v>0</v>
      </c>
      <c s="6" r="BN510">
        <v>0</v>
      </c>
      <c s="6" r="BO510">
        <v>0</v>
      </c>
      <c s="6" r="BP510">
        <v>0</v>
      </c>
      <c s="6" r="BQ510">
        <v>0</v>
      </c>
      <c t="str" s="6" r="BR510">
        <f>HYPERLINK("http://www.d20pfsrd.com/magic/all-spells/s/spellstaff","Spellstaff")</f>
        <v>Spellstaff</v>
      </c>
      <c s="6" r="BS510">
        <v>511</v>
      </c>
      <c t="s" s="6" r="BT510">
        <v>92</v>
      </c>
      <c s="6" r="BY510">
        <v>0</v>
      </c>
    </row>
    <row customHeight="1" r="511" ht="14.25">
      <c t="s" s="6" r="A511">
        <v>4111</v>
      </c>
      <c t="s" s="6" r="B511">
        <v>162</v>
      </c>
      <c t="s" s="6" r="E511">
        <v>2548</v>
      </c>
      <c t="s" s="6" r="F511">
        <v>81</v>
      </c>
      <c t="s" s="6" r="G511">
        <v>4112</v>
      </c>
      <c s="6" r="H511">
        <v>0</v>
      </c>
      <c t="s" s="6" r="I511">
        <v>155</v>
      </c>
      <c t="s" s="6" r="L511">
        <v>156</v>
      </c>
      <c t="s" s="6" r="M511">
        <v>4113</v>
      </c>
      <c s="6" r="N511">
        <v>0</v>
      </c>
      <c s="6" r="O511">
        <v>0</v>
      </c>
      <c t="s" s="6" r="R511">
        <v>4114</v>
      </c>
      <c t="s" s="6" r="S511">
        <v>4115</v>
      </c>
      <c t="s" s="6" r="T511">
        <v>90</v>
      </c>
      <c t="s" s="6" r="U511">
        <v>4116</v>
      </c>
      <c s="6" r="V511">
        <v>1</v>
      </c>
      <c s="6" r="W511">
        <v>1</v>
      </c>
      <c s="6" r="X511">
        <v>1</v>
      </c>
      <c s="6" r="Y511">
        <v>0</v>
      </c>
      <c s="6" r="Z511">
        <v>1</v>
      </c>
      <c s="6" r="AA511">
        <v>7</v>
      </c>
      <c s="6" r="AB511">
        <v>7</v>
      </c>
      <c t="s" s="6" r="AC511">
        <v>92</v>
      </c>
      <c t="s" s="6" r="AD511">
        <v>92</v>
      </c>
      <c t="s" s="6" r="AE511">
        <v>92</v>
      </c>
      <c t="s" s="6" r="AF511">
        <v>92</v>
      </c>
      <c t="s" s="6" r="AG511">
        <v>92</v>
      </c>
      <c t="s" s="6" r="AH511">
        <v>92</v>
      </c>
      <c s="6" r="AI511">
        <v>5</v>
      </c>
      <c t="s" s="6" r="AJ511">
        <v>92</v>
      </c>
      <c t="s" s="6" r="AK511">
        <v>92</v>
      </c>
      <c t="s" s="6" r="AL511">
        <v>92</v>
      </c>
      <c t="s" s="6" r="AM511">
        <v>92</v>
      </c>
      <c t="s" s="6" r="AN511">
        <v>92</v>
      </c>
      <c s="6" r="AP511">
        <v>7</v>
      </c>
      <c t="s" s="6" r="AQ511">
        <v>4117</v>
      </c>
      <c t="s" s="6" r="AR511">
        <v>4118</v>
      </c>
      <c s="6" r="AS511">
        <v>0</v>
      </c>
      <c s="6" r="AT511">
        <v>0</v>
      </c>
      <c s="6" r="AU511">
        <v>0</v>
      </c>
      <c s="6" r="AV511">
        <v>0</v>
      </c>
      <c s="6" r="AW511">
        <v>0</v>
      </c>
      <c s="6" r="AX511">
        <v>0</v>
      </c>
      <c s="6" r="AY511">
        <v>0</v>
      </c>
      <c s="6" r="AZ511">
        <v>0</v>
      </c>
      <c s="6" r="BA511">
        <v>0</v>
      </c>
      <c s="6" r="BB511">
        <v>0</v>
      </c>
      <c s="6" r="BC511">
        <v>0</v>
      </c>
      <c s="6" r="BD511">
        <v>0</v>
      </c>
      <c s="6" r="BE511">
        <v>0</v>
      </c>
      <c s="6" r="BF511">
        <v>0</v>
      </c>
      <c s="6" r="BG511">
        <v>0</v>
      </c>
      <c s="6" r="BH511">
        <v>0</v>
      </c>
      <c s="6" r="BI511">
        <v>0</v>
      </c>
      <c s="6" r="BJ511">
        <v>0</v>
      </c>
      <c s="6" r="BK511">
        <v>0</v>
      </c>
      <c s="6" r="BL511">
        <v>0</v>
      </c>
      <c s="6" r="BM511">
        <v>0</v>
      </c>
      <c s="6" r="BN511">
        <v>0</v>
      </c>
      <c s="6" r="BO511">
        <v>0</v>
      </c>
      <c s="6" r="BP511">
        <v>0</v>
      </c>
      <c s="6" r="BQ511">
        <v>0</v>
      </c>
      <c t="str" s="6" r="BR511">
        <f>HYPERLINK("http://www.d20pfsrd.com/magic/all-spells/s/spell-turning","Spell Turning")</f>
        <v>Spell Turning</v>
      </c>
      <c s="6" r="BS511">
        <v>512</v>
      </c>
      <c t="s" s="6" r="BT511">
        <v>92</v>
      </c>
      <c t="s" s="6" r="BU511">
        <v>586</v>
      </c>
      <c t="s" s="6" r="BV511">
        <v>2109</v>
      </c>
      <c s="6" r="BY511">
        <v>0</v>
      </c>
    </row>
    <row customHeight="1" r="512" ht="14.25">
      <c t="s" s="6" r="A512">
        <v>4119</v>
      </c>
      <c t="s" s="6" r="B512">
        <v>131</v>
      </c>
      <c t="s" s="6" r="E512">
        <v>4120</v>
      </c>
      <c t="s" s="6" r="F512">
        <v>81</v>
      </c>
      <c t="s" s="6" r="G512">
        <v>4121</v>
      </c>
      <c s="6" r="H512">
        <v>0</v>
      </c>
      <c t="s" s="6" r="I512">
        <v>120</v>
      </c>
      <c t="s" s="6" r="L512">
        <v>420</v>
      </c>
      <c t="s" s="6" r="M512">
        <v>134</v>
      </c>
      <c s="6" r="N512">
        <v>0</v>
      </c>
      <c s="6" r="O512">
        <v>0</v>
      </c>
      <c t="s" s="6" r="P512">
        <v>421</v>
      </c>
      <c t="s" s="6" r="Q512">
        <v>123</v>
      </c>
      <c t="s" s="6" r="R512">
        <v>4122</v>
      </c>
      <c t="s" s="6" r="S512">
        <v>4123</v>
      </c>
      <c t="s" s="6" r="T512">
        <v>90</v>
      </c>
      <c t="s" s="6" r="U512">
        <v>4124</v>
      </c>
      <c s="6" r="V512">
        <v>1</v>
      </c>
      <c s="6" r="W512">
        <v>1</v>
      </c>
      <c s="6" r="X512">
        <v>1</v>
      </c>
      <c s="6" r="Y512">
        <v>0</v>
      </c>
      <c s="6" r="Z512">
        <v>0</v>
      </c>
      <c s="6" r="AA512">
        <v>2</v>
      </c>
      <c s="6" r="AB512">
        <v>2</v>
      </c>
      <c t="s" s="6" r="AC512">
        <v>92</v>
      </c>
      <c s="6" r="AD512">
        <v>2</v>
      </c>
      <c t="s" s="6" r="AE512">
        <v>92</v>
      </c>
      <c t="s" s="6" r="AF512">
        <v>92</v>
      </c>
      <c t="s" s="6" r="AG512">
        <v>92</v>
      </c>
      <c s="6" r="AH512">
        <v>2</v>
      </c>
      <c s="6" r="AI512">
        <v>2</v>
      </c>
      <c t="s" s="6" r="AJ512">
        <v>92</v>
      </c>
      <c t="s" s="6" r="AK512">
        <v>92</v>
      </c>
      <c t="s" s="6" r="AL512">
        <v>92</v>
      </c>
      <c t="s" s="6" r="AM512">
        <v>92</v>
      </c>
      <c s="6" r="AN512">
        <v>2</v>
      </c>
      <c s="6" r="AP512">
        <v>2</v>
      </c>
      <c t="s" s="6" r="AR512">
        <v>4125</v>
      </c>
      <c s="6" r="AS512">
        <v>0</v>
      </c>
      <c s="6" r="AT512">
        <v>0</v>
      </c>
      <c s="6" r="AU512">
        <v>0</v>
      </c>
      <c s="6" r="AV512">
        <v>0</v>
      </c>
      <c s="6" r="AW512">
        <v>0</v>
      </c>
      <c s="6" r="AX512">
        <v>0</v>
      </c>
      <c s="6" r="AY512">
        <v>0</v>
      </c>
      <c s="6" r="AZ512">
        <v>0</v>
      </c>
      <c s="6" r="BA512">
        <v>0</v>
      </c>
      <c s="6" r="BB512">
        <v>0</v>
      </c>
      <c s="6" r="BC512">
        <v>0</v>
      </c>
      <c s="6" r="BD512">
        <v>0</v>
      </c>
      <c s="6" r="BE512">
        <v>0</v>
      </c>
      <c s="6" r="BF512">
        <v>0</v>
      </c>
      <c s="6" r="BG512">
        <v>0</v>
      </c>
      <c s="6" r="BH512">
        <v>0</v>
      </c>
      <c s="6" r="BI512">
        <v>0</v>
      </c>
      <c s="6" r="BJ512">
        <v>0</v>
      </c>
      <c s="6" r="BK512">
        <v>0</v>
      </c>
      <c s="6" r="BL512">
        <v>0</v>
      </c>
      <c s="6" r="BM512">
        <v>0</v>
      </c>
      <c s="6" r="BN512">
        <v>0</v>
      </c>
      <c s="6" r="BO512">
        <v>0</v>
      </c>
      <c s="6" r="BP512">
        <v>0</v>
      </c>
      <c s="6" r="BQ512">
        <v>0</v>
      </c>
      <c t="str" s="6" r="BR512">
        <f>HYPERLINK("http://www.d20pfsrd.com/magic/all-spells/s/spider-climb","Spider Climb")</f>
        <v>Spider Climb</v>
      </c>
      <c s="6" r="BS512">
        <v>513</v>
      </c>
      <c t="s" s="6" r="BT512">
        <v>92</v>
      </c>
      <c t="s" s="6" r="BW512">
        <v>4126</v>
      </c>
      <c s="6" r="BY512">
        <v>1</v>
      </c>
    </row>
    <row customHeight="1" r="513" ht="14.25">
      <c t="s" s="6" r="A513">
        <v>4127</v>
      </c>
      <c t="s" s="6" r="B513">
        <v>131</v>
      </c>
      <c t="s" s="6" r="E513">
        <v>4015</v>
      </c>
      <c t="s" s="6" r="F513">
        <v>81</v>
      </c>
      <c t="s" s="6" r="G513">
        <v>119</v>
      </c>
      <c s="6" r="H513">
        <v>0</v>
      </c>
      <c t="s" s="6" r="I513">
        <v>97</v>
      </c>
      <c t="s" s="6" r="J513">
        <v>4128</v>
      </c>
      <c t="s" s="6" r="M513">
        <v>209</v>
      </c>
      <c s="6" r="N513">
        <v>1</v>
      </c>
      <c s="6" r="O513">
        <v>0</v>
      </c>
      <c t="s" s="6" r="P513">
        <v>4129</v>
      </c>
      <c t="s" s="6" r="Q513">
        <v>188</v>
      </c>
      <c t="s" s="6" r="R513">
        <v>4130</v>
      </c>
      <c t="s" s="6" r="S513">
        <v>4131</v>
      </c>
      <c t="s" s="6" r="T513">
        <v>90</v>
      </c>
      <c t="s" s="6" r="U513">
        <v>4132</v>
      </c>
      <c s="6" r="V513">
        <v>1</v>
      </c>
      <c s="6" r="W513">
        <v>1</v>
      </c>
      <c s="6" r="X513">
        <v>0</v>
      </c>
      <c s="6" r="Y513">
        <v>0</v>
      </c>
      <c s="6" r="Z513">
        <v>1</v>
      </c>
      <c t="s" s="6" r="AA513">
        <v>92</v>
      </c>
      <c t="s" s="6" r="AB513">
        <v>92</v>
      </c>
      <c t="s" s="6" r="AC513">
        <v>92</v>
      </c>
      <c s="6" r="AD513">
        <v>3</v>
      </c>
      <c s="6" r="AE513">
        <v>2</v>
      </c>
      <c t="s" s="6" r="AF513">
        <v>92</v>
      </c>
      <c t="s" s="6" r="AG513">
        <v>92</v>
      </c>
      <c t="s" s="6" r="AH513">
        <v>92</v>
      </c>
      <c t="s" s="6" r="AI513">
        <v>92</v>
      </c>
      <c t="s" s="6" r="AJ513">
        <v>92</v>
      </c>
      <c t="s" s="6" r="AK513">
        <v>92</v>
      </c>
      <c t="s" s="6" r="AL513">
        <v>92</v>
      </c>
      <c t="s" s="6" r="AM513">
        <v>92</v>
      </c>
      <c t="s" s="6" r="AN513">
        <v>92</v>
      </c>
      <c s="6" r="AP513">
        <v>3</v>
      </c>
      <c t="s" s="6" r="AR513">
        <v>4133</v>
      </c>
      <c s="6" r="AS513">
        <v>0</v>
      </c>
      <c s="6" r="AT513">
        <v>0</v>
      </c>
      <c s="6" r="AU513">
        <v>0</v>
      </c>
      <c s="6" r="AV513">
        <v>0</v>
      </c>
      <c s="6" r="AW513">
        <v>0</v>
      </c>
      <c s="6" r="AX513">
        <v>0</v>
      </c>
      <c s="6" r="AY513">
        <v>0</v>
      </c>
      <c s="6" r="AZ513">
        <v>0</v>
      </c>
      <c s="6" r="BA513">
        <v>0</v>
      </c>
      <c s="6" r="BB513">
        <v>0</v>
      </c>
      <c s="6" r="BC513">
        <v>0</v>
      </c>
      <c s="6" r="BD513">
        <v>0</v>
      </c>
      <c s="6" r="BE513">
        <v>0</v>
      </c>
      <c s="6" r="BF513">
        <v>0</v>
      </c>
      <c s="6" r="BG513">
        <v>0</v>
      </c>
      <c s="6" r="BH513">
        <v>0</v>
      </c>
      <c s="6" r="BI513">
        <v>0</v>
      </c>
      <c s="6" r="BJ513">
        <v>0</v>
      </c>
      <c s="6" r="BK513">
        <v>0</v>
      </c>
      <c s="6" r="BL513">
        <v>0</v>
      </c>
      <c s="6" r="BM513">
        <v>0</v>
      </c>
      <c s="6" r="BN513">
        <v>0</v>
      </c>
      <c s="6" r="BO513">
        <v>0</v>
      </c>
      <c s="6" r="BP513">
        <v>0</v>
      </c>
      <c s="6" r="BQ513">
        <v>0</v>
      </c>
      <c t="str" s="6" r="BR513">
        <f>HYPERLINK("http://www.d20pfsrd.com/magic/all-spells/s/spike-growth","Spike Growth")</f>
        <v>Spike Growth</v>
      </c>
      <c s="6" r="BS513">
        <v>514</v>
      </c>
      <c t="s" s="6" r="BT513">
        <v>92</v>
      </c>
      <c s="6" r="BY513">
        <v>0</v>
      </c>
    </row>
    <row customHeight="1" r="514" ht="14.25">
      <c t="s" s="6" r="A514">
        <v>4134</v>
      </c>
      <c t="s" s="6" r="B514">
        <v>131</v>
      </c>
      <c t="s" s="6" r="D514">
        <v>52</v>
      </c>
      <c t="s" s="6" r="E514">
        <v>303</v>
      </c>
      <c t="s" s="6" r="F514">
        <v>81</v>
      </c>
      <c t="s" s="6" r="G514">
        <v>119</v>
      </c>
      <c s="6" r="H514">
        <v>0</v>
      </c>
      <c t="s" s="6" r="I514">
        <v>97</v>
      </c>
      <c t="s" s="6" r="J514">
        <v>4128</v>
      </c>
      <c t="s" s="6" r="M514">
        <v>711</v>
      </c>
      <c s="6" r="N514">
        <v>1</v>
      </c>
      <c s="6" r="O514">
        <v>0</v>
      </c>
      <c t="s" s="6" r="P514">
        <v>4129</v>
      </c>
      <c t="s" s="6" r="Q514">
        <v>188</v>
      </c>
      <c t="s" s="6" r="R514">
        <v>4135</v>
      </c>
      <c t="s" s="6" r="S514">
        <v>4136</v>
      </c>
      <c t="s" s="6" r="T514">
        <v>90</v>
      </c>
      <c t="s" s="6" r="U514">
        <v>4137</v>
      </c>
      <c s="6" r="V514">
        <v>1</v>
      </c>
      <c s="6" r="W514">
        <v>1</v>
      </c>
      <c s="6" r="X514">
        <v>0</v>
      </c>
      <c s="6" r="Y514">
        <v>0</v>
      </c>
      <c s="6" r="Z514">
        <v>1</v>
      </c>
      <c t="s" s="6" r="AA514">
        <v>92</v>
      </c>
      <c t="s" s="6" r="AB514">
        <v>92</v>
      </c>
      <c t="s" s="6" r="AC514">
        <v>92</v>
      </c>
      <c s="6" r="AD514">
        <v>4</v>
      </c>
      <c t="s" s="6" r="AE514">
        <v>92</v>
      </c>
      <c t="s" s="6" r="AF514">
        <v>92</v>
      </c>
      <c t="s" s="6" r="AG514">
        <v>92</v>
      </c>
      <c t="s" s="6" r="AH514">
        <v>92</v>
      </c>
      <c t="s" s="6" r="AI514">
        <v>92</v>
      </c>
      <c t="s" s="6" r="AJ514">
        <v>92</v>
      </c>
      <c t="s" s="6" r="AK514">
        <v>92</v>
      </c>
      <c t="s" s="6" r="AL514">
        <v>92</v>
      </c>
      <c t="s" s="6" r="AM514">
        <v>92</v>
      </c>
      <c t="s" s="6" r="AN514">
        <v>92</v>
      </c>
      <c s="6" r="AP514">
        <v>4</v>
      </c>
      <c t="s" s="6" r="AQ514">
        <v>2833</v>
      </c>
      <c t="s" s="6" r="AR514">
        <v>4138</v>
      </c>
      <c s="6" r="AS514">
        <v>0</v>
      </c>
      <c s="6" r="AT514">
        <v>0</v>
      </c>
      <c s="6" r="AU514">
        <v>0</v>
      </c>
      <c s="6" r="AV514">
        <v>0</v>
      </c>
      <c s="6" r="AW514">
        <v>0</v>
      </c>
      <c s="6" r="AX514">
        <v>0</v>
      </c>
      <c s="6" r="AY514">
        <v>0</v>
      </c>
      <c s="6" r="AZ514">
        <v>0</v>
      </c>
      <c s="6" r="BA514">
        <v>1</v>
      </c>
      <c s="6" r="BB514">
        <v>0</v>
      </c>
      <c s="6" r="BC514">
        <v>0</v>
      </c>
      <c s="6" r="BD514">
        <v>0</v>
      </c>
      <c s="6" r="BE514">
        <v>0</v>
      </c>
      <c s="6" r="BF514">
        <v>0</v>
      </c>
      <c s="6" r="BG514">
        <v>0</v>
      </c>
      <c s="6" r="BH514">
        <v>0</v>
      </c>
      <c s="6" r="BI514">
        <v>0</v>
      </c>
      <c s="6" r="BJ514">
        <v>0</v>
      </c>
      <c s="6" r="BK514">
        <v>0</v>
      </c>
      <c s="6" r="BL514">
        <v>0</v>
      </c>
      <c s="6" r="BM514">
        <v>0</v>
      </c>
      <c s="6" r="BN514">
        <v>0</v>
      </c>
      <c s="6" r="BO514">
        <v>0</v>
      </c>
      <c s="6" r="BP514">
        <v>0</v>
      </c>
      <c s="6" r="BQ514">
        <v>0</v>
      </c>
      <c t="str" s="6" r="BR514">
        <f>HYPERLINK("http://www.d20pfsrd.com/magic/all-spells/s/spike-stones","Spike Stones")</f>
        <v>Spike Stones</v>
      </c>
      <c s="6" r="BS514">
        <v>515</v>
      </c>
      <c t="s" s="6" r="BT514">
        <v>92</v>
      </c>
      <c t="s" s="6" r="BU514">
        <v>1554</v>
      </c>
      <c t="s" s="6" r="BW514">
        <v>4139</v>
      </c>
      <c s="6" r="BY514">
        <v>1</v>
      </c>
    </row>
    <row customHeight="1" r="515" ht="14.25">
      <c t="s" s="6" r="A515">
        <v>4140</v>
      </c>
      <c t="s" s="6" r="B515">
        <v>493</v>
      </c>
      <c t="s" s="6" r="D515">
        <v>58</v>
      </c>
      <c t="s" s="6" r="E515">
        <v>922</v>
      </c>
      <c t="s" s="6" r="F515">
        <v>81</v>
      </c>
      <c t="s" s="6" r="G515">
        <v>119</v>
      </c>
      <c s="6" r="H515">
        <v>0</v>
      </c>
      <c t="s" s="6" r="I515">
        <v>97</v>
      </c>
      <c t="s" s="6" r="K515">
        <v>4141</v>
      </c>
      <c t="s" s="6" r="M515">
        <v>483</v>
      </c>
      <c s="6" r="N515">
        <v>1</v>
      </c>
      <c s="6" r="O515">
        <v>0</v>
      </c>
      <c t="s" s="6" r="P515">
        <v>86</v>
      </c>
      <c t="s" s="6" r="Q515">
        <v>188</v>
      </c>
      <c t="s" s="6" r="R515">
        <v>4142</v>
      </c>
      <c t="s" s="6" r="S515">
        <v>4143</v>
      </c>
      <c t="s" s="6" r="T515">
        <v>90</v>
      </c>
      <c t="s" s="6" r="U515">
        <v>4144</v>
      </c>
      <c s="6" r="V515">
        <v>1</v>
      </c>
      <c s="6" r="W515">
        <v>1</v>
      </c>
      <c s="6" r="X515">
        <v>0</v>
      </c>
      <c s="6" r="Y515">
        <v>0</v>
      </c>
      <c s="6" r="Z515">
        <v>1</v>
      </c>
      <c t="s" s="6" r="AA515">
        <v>92</v>
      </c>
      <c t="s" s="6" r="AB515">
        <v>92</v>
      </c>
      <c s="6" r="AC515">
        <v>2</v>
      </c>
      <c t="s" s="6" r="AD515">
        <v>92</v>
      </c>
      <c t="s" s="6" r="AE515">
        <v>92</v>
      </c>
      <c t="s" s="6" r="AF515">
        <v>92</v>
      </c>
      <c t="s" s="6" r="AG515">
        <v>92</v>
      </c>
      <c t="s" s="6" r="AH515">
        <v>92</v>
      </c>
      <c t="s" s="6" r="AI515">
        <v>92</v>
      </c>
      <c t="s" s="6" r="AJ515">
        <v>92</v>
      </c>
      <c s="6" r="AK515">
        <v>2</v>
      </c>
      <c s="6" r="AL515">
        <v>2</v>
      </c>
      <c t="s" s="6" r="AM515">
        <v>92</v>
      </c>
      <c t="s" s="6" r="AN515">
        <v>92</v>
      </c>
      <c s="6" r="AP515">
        <v>2</v>
      </c>
      <c t="s" s="6" r="AQ515">
        <v>1494</v>
      </c>
      <c t="s" s="6" r="AR515">
        <v>4145</v>
      </c>
      <c s="6" r="AS515">
        <v>0</v>
      </c>
      <c s="6" r="AT515">
        <v>0</v>
      </c>
      <c s="6" r="AU515">
        <v>0</v>
      </c>
      <c s="6" r="AV515">
        <v>0</v>
      </c>
      <c s="6" r="AW515">
        <v>0</v>
      </c>
      <c s="6" r="AX515">
        <v>0</v>
      </c>
      <c s="6" r="AY515">
        <v>0</v>
      </c>
      <c s="6" r="AZ515">
        <v>0</v>
      </c>
      <c s="6" r="BA515">
        <v>0</v>
      </c>
      <c s="6" r="BB515">
        <v>0</v>
      </c>
      <c s="6" r="BC515">
        <v>0</v>
      </c>
      <c s="6" r="BD515">
        <v>0</v>
      </c>
      <c s="6" r="BE515">
        <v>0</v>
      </c>
      <c s="6" r="BF515">
        <v>0</v>
      </c>
      <c s="6" r="BG515">
        <v>1</v>
      </c>
      <c s="6" r="BH515">
        <v>0</v>
      </c>
      <c s="6" r="BI515">
        <v>0</v>
      </c>
      <c s="6" r="BJ515">
        <v>0</v>
      </c>
      <c s="6" r="BK515">
        <v>0</v>
      </c>
      <c s="6" r="BL515">
        <v>0</v>
      </c>
      <c s="6" r="BM515">
        <v>0</v>
      </c>
      <c s="6" r="BN515">
        <v>0</v>
      </c>
      <c s="6" r="BO515">
        <v>0</v>
      </c>
      <c s="6" r="BP515">
        <v>0</v>
      </c>
      <c s="6" r="BQ515">
        <v>0</v>
      </c>
      <c t="str" s="6" r="BR515">
        <f>HYPERLINK("http://www.d20pfsrd.com/magic/all-spells/s/spiritual-weapon","Spiritual Weapon")</f>
        <v>Spiritual Weapon</v>
      </c>
      <c s="6" r="BS515">
        <v>516</v>
      </c>
      <c t="s" s="6" r="BT515">
        <v>92</v>
      </c>
      <c t="s" s="6" r="BW515">
        <v>4146</v>
      </c>
      <c s="6" r="BY515">
        <v>1</v>
      </c>
    </row>
    <row customHeight="1" r="516" ht="14.25">
      <c t="s" s="6" r="A516">
        <v>4147</v>
      </c>
      <c t="s" s="6" r="B516">
        <v>78</v>
      </c>
      <c t="s" s="6" r="C516">
        <v>598</v>
      </c>
      <c t="s" s="6" r="E516">
        <v>4148</v>
      </c>
      <c t="s" s="6" r="F516">
        <v>81</v>
      </c>
      <c t="s" s="6" r="G516">
        <v>106</v>
      </c>
      <c s="6" r="H516">
        <v>0</v>
      </c>
      <c t="s" s="6" r="I516">
        <v>107</v>
      </c>
      <c t="s" s="6" r="L516">
        <v>473</v>
      </c>
      <c t="s" s="6" r="M516">
        <v>109</v>
      </c>
      <c s="6" r="N516">
        <v>0</v>
      </c>
      <c s="6" r="O516">
        <v>0</v>
      </c>
      <c t="s" s="6" r="P516">
        <v>421</v>
      </c>
      <c t="s" s="6" r="Q516">
        <v>123</v>
      </c>
      <c t="s" s="6" r="R516">
        <v>4149</v>
      </c>
      <c t="s" s="6" r="S516">
        <v>4150</v>
      </c>
      <c t="s" s="6" r="T516">
        <v>90</v>
      </c>
      <c t="s" s="6" r="U516">
        <v>4151</v>
      </c>
      <c s="6" r="V516">
        <v>1</v>
      </c>
      <c s="6" r="W516">
        <v>1</v>
      </c>
      <c s="6" r="X516">
        <v>0</v>
      </c>
      <c s="6" r="Y516">
        <v>0</v>
      </c>
      <c s="6" r="Z516">
        <v>0</v>
      </c>
      <c t="s" s="6" r="AA516">
        <v>92</v>
      </c>
      <c t="s" s="6" r="AB516">
        <v>92</v>
      </c>
      <c s="6" r="AC516">
        <v>0</v>
      </c>
      <c s="6" r="AD516">
        <v>0</v>
      </c>
      <c t="s" s="6" r="AE516">
        <v>92</v>
      </c>
      <c t="s" s="6" r="AF516">
        <v>92</v>
      </c>
      <c t="s" s="6" r="AG516">
        <v>92</v>
      </c>
      <c t="s" s="6" r="AH516">
        <v>92</v>
      </c>
      <c t="s" s="6" r="AI516">
        <v>92</v>
      </c>
      <c s="6" r="AJ516">
        <v>0</v>
      </c>
      <c s="6" r="AK516">
        <v>0</v>
      </c>
      <c s="6" r="AL516">
        <v>0</v>
      </c>
      <c t="s" s="6" r="AM516">
        <v>92</v>
      </c>
      <c t="s" s="6" r="AN516">
        <v>92</v>
      </c>
      <c s="6" r="AP516">
        <v>0</v>
      </c>
      <c t="s" s="6" r="AR516">
        <v>4152</v>
      </c>
      <c s="6" r="AS516">
        <v>0</v>
      </c>
      <c s="6" r="AT516">
        <v>0</v>
      </c>
      <c s="6" r="AU516">
        <v>0</v>
      </c>
      <c s="6" r="AV516">
        <v>0</v>
      </c>
      <c s="6" r="AW516">
        <v>0</v>
      </c>
      <c s="6" r="AX516">
        <v>0</v>
      </c>
      <c s="6" r="AY516">
        <v>0</v>
      </c>
      <c s="6" r="AZ516">
        <v>0</v>
      </c>
      <c s="6" r="BA516">
        <v>0</v>
      </c>
      <c s="6" r="BB516">
        <v>0</v>
      </c>
      <c s="6" r="BC516">
        <v>0</v>
      </c>
      <c s="6" r="BD516">
        <v>0</v>
      </c>
      <c s="6" r="BE516">
        <v>0</v>
      </c>
      <c s="6" r="BF516">
        <v>0</v>
      </c>
      <c s="6" r="BG516">
        <v>0</v>
      </c>
      <c s="6" r="BH516">
        <v>0</v>
      </c>
      <c s="6" r="BI516">
        <v>0</v>
      </c>
      <c s="6" r="BJ516">
        <v>0</v>
      </c>
      <c s="6" r="BK516">
        <v>0</v>
      </c>
      <c s="6" r="BL516">
        <v>0</v>
      </c>
      <c s="6" r="BM516">
        <v>0</v>
      </c>
      <c s="6" r="BN516">
        <v>0</v>
      </c>
      <c s="6" r="BO516">
        <v>0</v>
      </c>
      <c s="6" r="BP516">
        <v>0</v>
      </c>
      <c s="6" r="BQ516">
        <v>0</v>
      </c>
      <c t="str" s="6" r="BR516">
        <f>HYPERLINK("http://www.d20pfsrd.com/magic/all-spells/s/stabilize","Stabilize")</f>
        <v>Stabilize</v>
      </c>
      <c s="6" r="BS516">
        <v>517</v>
      </c>
      <c t="s" s="6" r="BT516">
        <v>92</v>
      </c>
      <c s="6" r="BY516">
        <v>0</v>
      </c>
    </row>
    <row customHeight="1" r="517" ht="14.25">
      <c t="s" s="6" r="A517">
        <v>4153</v>
      </c>
      <c t="s" s="6" r="B517">
        <v>131</v>
      </c>
      <c t="s" s="6" r="E517">
        <v>2065</v>
      </c>
      <c t="s" s="6" r="F517">
        <v>272</v>
      </c>
      <c t="s" s="6" r="G517">
        <v>4154</v>
      </c>
      <c s="6" r="H517">
        <v>0</v>
      </c>
      <c t="s" s="6" r="I517">
        <v>120</v>
      </c>
      <c t="s" s="6" r="L517">
        <v>420</v>
      </c>
      <c t="s" s="6" r="M517">
        <v>209</v>
      </c>
      <c s="6" r="N517">
        <v>1</v>
      </c>
      <c s="6" r="O517">
        <v>0</v>
      </c>
      <c t="s" s="6" r="P517">
        <v>421</v>
      </c>
      <c t="s" s="6" r="Q517">
        <v>123</v>
      </c>
      <c t="s" s="6" r="R517">
        <v>4155</v>
      </c>
      <c t="s" s="6" r="S517">
        <v>4156</v>
      </c>
      <c t="s" s="6" r="T517">
        <v>90</v>
      </c>
      <c t="s" s="6" r="U517">
        <v>4157</v>
      </c>
      <c s="6" r="V517">
        <v>1</v>
      </c>
      <c s="6" r="W517">
        <v>1</v>
      </c>
      <c s="6" r="X517">
        <v>1</v>
      </c>
      <c s="6" r="Y517">
        <v>0</v>
      </c>
      <c s="6" r="Z517">
        <v>0</v>
      </c>
      <c s="6" r="AA517">
        <v>7</v>
      </c>
      <c s="6" r="AB517">
        <v>7</v>
      </c>
      <c t="s" s="6" r="AC517">
        <v>92</v>
      </c>
      <c t="s" s="6" r="AD517">
        <v>92</v>
      </c>
      <c t="s" s="6" r="AE517">
        <v>92</v>
      </c>
      <c t="s" s="6" r="AF517">
        <v>92</v>
      </c>
      <c t="s" s="6" r="AG517">
        <v>92</v>
      </c>
      <c s="6" r="AH517">
        <v>6</v>
      </c>
      <c t="s" s="6" r="AI517">
        <v>92</v>
      </c>
      <c t="s" s="6" r="AJ517">
        <v>92</v>
      </c>
      <c t="s" s="6" r="AK517">
        <v>92</v>
      </c>
      <c t="s" s="6" r="AL517">
        <v>92</v>
      </c>
      <c t="s" s="6" r="AM517">
        <v>92</v>
      </c>
      <c t="s" s="6" r="AN517">
        <v>92</v>
      </c>
      <c s="6" r="AP517">
        <v>7</v>
      </c>
      <c t="s" s="6" r="AQ517">
        <v>267</v>
      </c>
      <c t="s" s="6" r="AR517">
        <v>4158</v>
      </c>
      <c s="6" r="AS517">
        <v>0</v>
      </c>
      <c s="6" r="AT517">
        <v>0</v>
      </c>
      <c s="6" r="AU517">
        <v>0</v>
      </c>
      <c s="6" r="AV517">
        <v>0</v>
      </c>
      <c s="6" r="AW517">
        <v>0</v>
      </c>
      <c s="6" r="AX517">
        <v>0</v>
      </c>
      <c s="6" r="AY517">
        <v>0</v>
      </c>
      <c s="6" r="AZ517">
        <v>0</v>
      </c>
      <c s="6" r="BA517">
        <v>0</v>
      </c>
      <c s="6" r="BB517">
        <v>0</v>
      </c>
      <c s="6" r="BC517">
        <v>0</v>
      </c>
      <c s="6" r="BD517">
        <v>0</v>
      </c>
      <c s="6" r="BE517">
        <v>0</v>
      </c>
      <c s="6" r="BF517">
        <v>0</v>
      </c>
      <c s="6" r="BG517">
        <v>0</v>
      </c>
      <c s="6" r="BH517">
        <v>0</v>
      </c>
      <c s="6" r="BI517">
        <v>0</v>
      </c>
      <c s="6" r="BJ517">
        <v>0</v>
      </c>
      <c s="6" r="BK517">
        <v>0</v>
      </c>
      <c s="6" r="BL517">
        <v>0</v>
      </c>
      <c s="6" r="BM517">
        <v>0</v>
      </c>
      <c s="6" r="BN517">
        <v>0</v>
      </c>
      <c s="6" r="BO517">
        <v>0</v>
      </c>
      <c s="6" r="BP517">
        <v>0</v>
      </c>
      <c s="6" r="BQ517">
        <v>0</v>
      </c>
      <c t="str" s="6" r="BR517">
        <f>HYPERLINK("http://www.d20pfsrd.com/magic/all-spells/s/statue","Statue")</f>
        <v>Statue</v>
      </c>
      <c s="6" r="BS517">
        <v>518</v>
      </c>
      <c t="s" s="6" r="BT517">
        <v>92</v>
      </c>
      <c s="6" r="BY517">
        <v>0</v>
      </c>
    </row>
    <row customHeight="1" r="518" ht="14.25">
      <c t="s" s="6" r="A518">
        <v>4159</v>
      </c>
      <c t="s" s="6" r="B518">
        <v>174</v>
      </c>
      <c t="s" s="6" r="E518">
        <v>370</v>
      </c>
      <c t="s" s="6" r="F518">
        <v>81</v>
      </c>
      <c t="s" s="6" r="G518">
        <v>106</v>
      </c>
      <c s="6" r="H518">
        <v>0</v>
      </c>
      <c t="s" s="6" r="I518">
        <v>120</v>
      </c>
      <c t="s" s="6" r="L518">
        <v>4160</v>
      </c>
      <c t="s" s="6" r="M518">
        <v>209</v>
      </c>
      <c s="6" r="N518">
        <v>0</v>
      </c>
      <c s="6" r="O518">
        <v>0</v>
      </c>
      <c t="s" s="6" r="P518">
        <v>421</v>
      </c>
      <c t="s" s="6" r="Q518">
        <v>123</v>
      </c>
      <c t="s" s="6" r="R518">
        <v>4161</v>
      </c>
      <c t="s" s="6" r="S518">
        <v>4162</v>
      </c>
      <c t="s" s="6" r="T518">
        <v>90</v>
      </c>
      <c t="s" s="6" r="U518">
        <v>4163</v>
      </c>
      <c s="6" r="V518">
        <v>1</v>
      </c>
      <c s="6" r="W518">
        <v>1</v>
      </c>
      <c s="6" r="X518">
        <v>0</v>
      </c>
      <c s="6" r="Y518">
        <v>0</v>
      </c>
      <c s="6" r="Z518">
        <v>0</v>
      </c>
      <c t="s" s="6" r="AA518">
        <v>92</v>
      </c>
      <c t="s" s="6" r="AB518">
        <v>92</v>
      </c>
      <c s="6" r="AC518">
        <v>2</v>
      </c>
      <c t="s" s="6" r="AD518">
        <v>92</v>
      </c>
      <c t="s" s="6" r="AE518">
        <v>92</v>
      </c>
      <c t="s" s="6" r="AF518">
        <v>92</v>
      </c>
      <c t="s" s="6" r="AG518">
        <v>92</v>
      </c>
      <c t="s" s="6" r="AH518">
        <v>92</v>
      </c>
      <c t="s" s="6" r="AI518">
        <v>92</v>
      </c>
      <c s="6" r="AJ518">
        <v>2</v>
      </c>
      <c t="s" s="6" r="AK518">
        <v>92</v>
      </c>
      <c s="6" r="AL518">
        <v>2</v>
      </c>
      <c t="s" s="6" r="AM518">
        <v>92</v>
      </c>
      <c t="s" s="6" r="AN518">
        <v>92</v>
      </c>
      <c s="6" r="AP518">
        <v>2</v>
      </c>
      <c t="s" s="6" r="AR518">
        <v>4164</v>
      </c>
      <c s="6" r="AS518">
        <v>0</v>
      </c>
      <c s="6" r="AT518">
        <v>0</v>
      </c>
      <c s="6" r="AU518">
        <v>0</v>
      </c>
      <c s="6" r="AV518">
        <v>0</v>
      </c>
      <c s="6" r="AW518">
        <v>0</v>
      </c>
      <c s="6" r="AX518">
        <v>0</v>
      </c>
      <c s="6" r="AY518">
        <v>0</v>
      </c>
      <c s="6" r="AZ518">
        <v>0</v>
      </c>
      <c s="6" r="BA518">
        <v>0</v>
      </c>
      <c s="6" r="BB518">
        <v>0</v>
      </c>
      <c s="6" r="BC518">
        <v>0</v>
      </c>
      <c s="6" r="BD518">
        <v>0</v>
      </c>
      <c s="6" r="BE518">
        <v>0</v>
      </c>
      <c s="6" r="BF518">
        <v>0</v>
      </c>
      <c s="6" r="BG518">
        <v>0</v>
      </c>
      <c s="6" r="BH518">
        <v>0</v>
      </c>
      <c s="6" r="BI518">
        <v>0</v>
      </c>
      <c s="6" r="BJ518">
        <v>0</v>
      </c>
      <c s="6" r="BK518">
        <v>0</v>
      </c>
      <c s="6" r="BL518">
        <v>0</v>
      </c>
      <c s="6" r="BM518">
        <v>0</v>
      </c>
      <c s="6" r="BN518">
        <v>0</v>
      </c>
      <c s="6" r="BO518">
        <v>0</v>
      </c>
      <c s="6" r="BP518">
        <v>0</v>
      </c>
      <c s="6" r="BQ518">
        <v>0</v>
      </c>
      <c t="str" s="6" r="BR518">
        <f>HYPERLINK("http://www.d20pfsrd.com/magic/all-spells/s/status","Status")</f>
        <v>Status</v>
      </c>
      <c s="6" r="BS518">
        <v>519</v>
      </c>
      <c t="s" s="6" r="BT518">
        <v>92</v>
      </c>
      <c s="6" r="BY518">
        <v>0</v>
      </c>
    </row>
    <row customHeight="1" r="519" ht="14.25">
      <c t="s" s="6" r="A519">
        <v>4165</v>
      </c>
      <c t="s" s="6" r="B519">
        <v>78</v>
      </c>
      <c t="s" s="6" r="C519">
        <v>79</v>
      </c>
      <c t="s" s="6" r="E519">
        <v>4166</v>
      </c>
      <c t="s" s="6" r="F519">
        <v>81</v>
      </c>
      <c t="s" s="6" r="G519">
        <v>4167</v>
      </c>
      <c s="6" r="H519">
        <v>0</v>
      </c>
      <c t="s" s="6" r="I519">
        <v>97</v>
      </c>
      <c t="s" s="6" r="K519">
        <v>821</v>
      </c>
      <c t="s" s="6" r="M519">
        <v>99</v>
      </c>
      <c s="6" r="N519">
        <v>0</v>
      </c>
      <c s="6" r="O519">
        <v>0</v>
      </c>
      <c t="s" s="6" r="P519">
        <v>3271</v>
      </c>
      <c t="s" s="6" r="Q519">
        <v>87</v>
      </c>
      <c t="s" s="6" r="R519">
        <v>4168</v>
      </c>
      <c t="s" s="6" r="S519">
        <v>4169</v>
      </c>
      <c t="s" s="6" r="T519">
        <v>90</v>
      </c>
      <c t="s" s="6" r="U519">
        <v>4170</v>
      </c>
      <c s="6" r="V519">
        <v>1</v>
      </c>
      <c s="6" r="W519">
        <v>1</v>
      </c>
      <c s="6" r="X519">
        <v>1</v>
      </c>
      <c s="6" r="Y519">
        <v>0</v>
      </c>
      <c s="6" r="Z519">
        <v>0</v>
      </c>
      <c s="6" r="AA519">
        <v>3</v>
      </c>
      <c s="6" r="AB519">
        <v>3</v>
      </c>
      <c t="s" s="6" r="AC519">
        <v>92</v>
      </c>
      <c t="s" s="6" r="AD519">
        <v>92</v>
      </c>
      <c t="s" s="6" r="AE519">
        <v>92</v>
      </c>
      <c t="s" s="6" r="AF519">
        <v>92</v>
      </c>
      <c t="s" s="6" r="AG519">
        <v>92</v>
      </c>
      <c t="s" s="6" r="AH519">
        <v>92</v>
      </c>
      <c t="s" s="6" r="AI519">
        <v>92</v>
      </c>
      <c s="6" r="AJ519">
        <v>3</v>
      </c>
      <c t="s" s="6" r="AK519">
        <v>92</v>
      </c>
      <c t="s" s="6" r="AL519">
        <v>92</v>
      </c>
      <c t="s" s="6" r="AM519">
        <v>92</v>
      </c>
      <c s="6" r="AN519">
        <v>3</v>
      </c>
      <c s="6" r="AP519">
        <v>3</v>
      </c>
      <c t="s" s="6" r="AQ519">
        <v>3457</v>
      </c>
      <c t="s" s="6" r="AR519">
        <v>4171</v>
      </c>
      <c s="6" r="AS519">
        <v>0</v>
      </c>
      <c s="6" r="AT519">
        <v>0</v>
      </c>
      <c s="6" r="AU519">
        <v>0</v>
      </c>
      <c s="6" r="AV519">
        <v>0</v>
      </c>
      <c s="6" r="AW519">
        <v>0</v>
      </c>
      <c s="6" r="AX519">
        <v>0</v>
      </c>
      <c s="6" r="AY519">
        <v>0</v>
      </c>
      <c s="6" r="AZ519">
        <v>0</v>
      </c>
      <c s="6" r="BA519">
        <v>0</v>
      </c>
      <c s="6" r="BB519">
        <v>0</v>
      </c>
      <c s="6" r="BC519">
        <v>0</v>
      </c>
      <c s="6" r="BD519">
        <v>0</v>
      </c>
      <c s="6" r="BE519">
        <v>0</v>
      </c>
      <c s="6" r="BF519">
        <v>0</v>
      </c>
      <c s="6" r="BG519">
        <v>0</v>
      </c>
      <c s="6" r="BH519">
        <v>0</v>
      </c>
      <c s="6" r="BI519">
        <v>0</v>
      </c>
      <c s="6" r="BJ519">
        <v>0</v>
      </c>
      <c s="6" r="BK519">
        <v>0</v>
      </c>
      <c s="6" r="BL519">
        <v>0</v>
      </c>
      <c s="6" r="BM519">
        <v>0</v>
      </c>
      <c s="6" r="BN519">
        <v>0</v>
      </c>
      <c s="6" r="BO519">
        <v>0</v>
      </c>
      <c s="6" r="BP519">
        <v>0</v>
      </c>
      <c s="6" r="BQ519">
        <v>0</v>
      </c>
      <c t="str" s="6" r="BR519">
        <f>HYPERLINK("http://www.d20pfsrd.com/magic/all-spells/s/stinking-cloud","Stinking Cloud")</f>
        <v>Stinking Cloud</v>
      </c>
      <c s="6" r="BS519">
        <v>520</v>
      </c>
      <c t="s" s="6" r="BT519">
        <v>92</v>
      </c>
      <c t="s" s="6" r="BW519">
        <v>4172</v>
      </c>
      <c s="6" r="BY519">
        <v>1</v>
      </c>
    </row>
    <row customHeight="1" r="520" ht="14.25">
      <c t="s" s="6" r="A520">
        <v>4173</v>
      </c>
      <c t="s" s="6" r="B520">
        <v>131</v>
      </c>
      <c t="s" s="6" r="D520">
        <v>52</v>
      </c>
      <c t="s" s="6" r="E520">
        <v>4174</v>
      </c>
      <c t="s" s="6" r="F520">
        <v>81</v>
      </c>
      <c t="s" s="6" r="G520">
        <v>4175</v>
      </c>
      <c s="6" r="H520">
        <v>0</v>
      </c>
      <c t="s" s="6" r="I520">
        <v>120</v>
      </c>
      <c t="s" s="6" r="L520">
        <v>4176</v>
      </c>
      <c t="s" s="6" r="M520">
        <v>109</v>
      </c>
      <c s="6" r="N520">
        <v>0</v>
      </c>
      <c s="6" r="O520">
        <v>0</v>
      </c>
      <c t="s" s="6" r="P520">
        <v>86</v>
      </c>
      <c t="s" s="6" r="Q520">
        <v>87</v>
      </c>
      <c t="s" s="6" r="R520">
        <v>4177</v>
      </c>
      <c t="s" s="6" r="S520">
        <v>4178</v>
      </c>
      <c t="s" s="6" r="T520">
        <v>90</v>
      </c>
      <c t="s" s="6" r="U520">
        <v>4179</v>
      </c>
      <c s="6" r="V520">
        <v>1</v>
      </c>
      <c s="6" r="W520">
        <v>1</v>
      </c>
      <c s="6" r="X520">
        <v>1</v>
      </c>
      <c s="6" r="Y520">
        <v>0</v>
      </c>
      <c s="6" r="Z520">
        <v>1</v>
      </c>
      <c s="6" r="AA520">
        <v>4</v>
      </c>
      <c s="6" r="AB520">
        <v>4</v>
      </c>
      <c s="6" r="AC520">
        <v>3</v>
      </c>
      <c s="6" r="AD520">
        <v>3</v>
      </c>
      <c t="s" s="6" r="AE520">
        <v>92</v>
      </c>
      <c t="s" s="6" r="AF520">
        <v>92</v>
      </c>
      <c t="s" s="6" r="AG520">
        <v>92</v>
      </c>
      <c t="s" s="6" r="AH520">
        <v>92</v>
      </c>
      <c t="s" s="6" r="AI520">
        <v>92</v>
      </c>
      <c t="s" s="6" r="AJ520">
        <v>92</v>
      </c>
      <c t="s" s="6" r="AK520">
        <v>92</v>
      </c>
      <c s="6" r="AL520">
        <v>3</v>
      </c>
      <c t="s" s="6" r="AM520">
        <v>92</v>
      </c>
      <c t="s" s="6" r="AN520">
        <v>92</v>
      </c>
      <c s="6" r="AP520">
        <v>4</v>
      </c>
      <c t="s" s="6" r="AQ520">
        <v>4180</v>
      </c>
      <c t="s" s="6" r="AR520">
        <v>4181</v>
      </c>
      <c s="6" r="AS520">
        <v>0</v>
      </c>
      <c s="6" r="AT520">
        <v>0</v>
      </c>
      <c s="6" r="AU520">
        <v>0</v>
      </c>
      <c s="6" r="AV520">
        <v>0</v>
      </c>
      <c s="6" r="AW520">
        <v>0</v>
      </c>
      <c s="6" r="AX520">
        <v>0</v>
      </c>
      <c s="6" r="AY520">
        <v>0</v>
      </c>
      <c s="6" r="AZ520">
        <v>0</v>
      </c>
      <c s="6" r="BA520">
        <v>1</v>
      </c>
      <c s="6" r="BB520">
        <v>0</v>
      </c>
      <c s="6" r="BC520">
        <v>0</v>
      </c>
      <c s="6" r="BD520">
        <v>0</v>
      </c>
      <c s="6" r="BE520">
        <v>0</v>
      </c>
      <c s="6" r="BF520">
        <v>0</v>
      </c>
      <c s="6" r="BG520">
        <v>0</v>
      </c>
      <c s="6" r="BH520">
        <v>0</v>
      </c>
      <c s="6" r="BI520">
        <v>0</v>
      </c>
      <c s="6" r="BJ520">
        <v>0</v>
      </c>
      <c s="6" r="BK520">
        <v>0</v>
      </c>
      <c s="6" r="BL520">
        <v>0</v>
      </c>
      <c s="6" r="BM520">
        <v>0</v>
      </c>
      <c s="6" r="BN520">
        <v>0</v>
      </c>
      <c s="6" r="BO520">
        <v>0</v>
      </c>
      <c s="6" r="BP520">
        <v>0</v>
      </c>
      <c s="6" r="BQ520">
        <v>0</v>
      </c>
      <c t="str" s="6" r="BR520">
        <f>HYPERLINK("http://www.d20pfsrd.com/magic/all-spells/s/stone-shape","Stone Shape")</f>
        <v>Stone Shape</v>
      </c>
      <c s="6" r="BS520">
        <v>521</v>
      </c>
      <c t="s" s="6" r="BT520">
        <v>92</v>
      </c>
      <c t="s" s="6" r="BW520">
        <v>4182</v>
      </c>
      <c s="6" r="BY520">
        <v>1</v>
      </c>
    </row>
    <row customHeight="1" r="521" ht="14.25">
      <c t="s" s="6" r="A521">
        <v>4183</v>
      </c>
      <c t="s" s="6" r="B521">
        <v>162</v>
      </c>
      <c t="s" s="6" r="E521">
        <v>4184</v>
      </c>
      <c t="s" s="6" r="F521">
        <v>81</v>
      </c>
      <c t="s" s="6" r="G521">
        <v>4185</v>
      </c>
      <c s="6" r="H521">
        <v>1</v>
      </c>
      <c t="s" s="6" r="I521">
        <v>120</v>
      </c>
      <c t="s" s="6" r="L521">
        <v>420</v>
      </c>
      <c t="s" s="6" r="M521">
        <v>4186</v>
      </c>
      <c s="6" r="N521">
        <v>0</v>
      </c>
      <c s="6" r="O521">
        <v>0</v>
      </c>
      <c t="s" s="6" r="P521">
        <v>421</v>
      </c>
      <c t="s" s="6" r="Q521">
        <v>123</v>
      </c>
      <c t="s" s="6" r="R521">
        <v>4187</v>
      </c>
      <c t="s" s="6" r="S521">
        <v>4188</v>
      </c>
      <c t="s" s="6" r="T521">
        <v>90</v>
      </c>
      <c t="s" s="6" r="U521">
        <v>4189</v>
      </c>
      <c s="6" r="V521">
        <v>1</v>
      </c>
      <c s="6" r="W521">
        <v>1</v>
      </c>
      <c s="6" r="X521">
        <v>1</v>
      </c>
      <c s="6" r="Y521">
        <v>0</v>
      </c>
      <c s="6" r="Z521">
        <v>0</v>
      </c>
      <c s="6" r="AA521">
        <v>4</v>
      </c>
      <c s="6" r="AB521">
        <v>4</v>
      </c>
      <c t="s" s="6" r="AC521">
        <v>92</v>
      </c>
      <c s="6" r="AD521">
        <v>5</v>
      </c>
      <c t="s" s="6" r="AE521">
        <v>92</v>
      </c>
      <c t="s" s="6" r="AF521">
        <v>92</v>
      </c>
      <c t="s" s="6" r="AG521">
        <v>92</v>
      </c>
      <c s="6" r="AH521">
        <v>4</v>
      </c>
      <c s="6" r="AI521">
        <v>3</v>
      </c>
      <c t="s" s="6" r="AJ521">
        <v>92</v>
      </c>
      <c s="6" r="AK521">
        <v>4</v>
      </c>
      <c t="s" s="6" r="AL521">
        <v>92</v>
      </c>
      <c t="s" s="6" r="AM521">
        <v>92</v>
      </c>
      <c s="6" r="AN521">
        <v>4</v>
      </c>
      <c s="6" r="AP521">
        <v>4</v>
      </c>
      <c t="s" s="6" r="AQ521">
        <v>4190</v>
      </c>
      <c t="s" s="6" r="AR521">
        <v>4191</v>
      </c>
      <c s="6" r="AS521">
        <v>0</v>
      </c>
      <c s="6" r="AT521">
        <v>0</v>
      </c>
      <c s="6" r="AU521">
        <v>0</v>
      </c>
      <c s="6" r="AV521">
        <v>0</v>
      </c>
      <c s="6" r="AW521">
        <v>0</v>
      </c>
      <c s="6" r="AX521">
        <v>0</v>
      </c>
      <c s="6" r="AY521">
        <v>0</v>
      </c>
      <c s="6" r="AZ521">
        <v>0</v>
      </c>
      <c s="6" r="BA521">
        <v>0</v>
      </c>
      <c s="6" r="BB521">
        <v>0</v>
      </c>
      <c s="6" r="BC521">
        <v>0</v>
      </c>
      <c s="6" r="BD521">
        <v>0</v>
      </c>
      <c s="6" r="BE521">
        <v>0</v>
      </c>
      <c s="6" r="BF521">
        <v>0</v>
      </c>
      <c s="6" r="BG521">
        <v>0</v>
      </c>
      <c s="6" r="BH521">
        <v>0</v>
      </c>
      <c s="6" r="BI521">
        <v>0</v>
      </c>
      <c s="6" r="BJ521">
        <v>0</v>
      </c>
      <c s="6" r="BK521">
        <v>0</v>
      </c>
      <c s="6" r="BL521">
        <v>0</v>
      </c>
      <c s="6" r="BM521">
        <v>0</v>
      </c>
      <c s="6" r="BN521">
        <v>0</v>
      </c>
      <c s="6" r="BO521">
        <v>0</v>
      </c>
      <c s="6" r="BP521">
        <v>0</v>
      </c>
      <c s="6" r="BQ521">
        <v>0</v>
      </c>
      <c t="str" s="6" r="BR521">
        <f>HYPERLINK("http://www.d20pfsrd.com/magic/all-spells/s/stoneskin","Stoneskin")</f>
        <v>Stoneskin</v>
      </c>
      <c s="6" r="BS521">
        <v>522</v>
      </c>
      <c s="6" r="BT521">
        <v>250</v>
      </c>
      <c t="s" s="6" r="BU521">
        <v>4192</v>
      </c>
      <c t="s" s="6" r="BW521">
        <v>4193</v>
      </c>
      <c s="6" r="BY521">
        <v>1</v>
      </c>
    </row>
    <row customHeight="1" r="522" ht="14.25">
      <c t="s" s="6" r="A522">
        <v>4194</v>
      </c>
      <c t="s" s="6" r="B522">
        <v>174</v>
      </c>
      <c t="s" s="6" r="E522">
        <v>1799</v>
      </c>
      <c t="s" s="6" r="F522">
        <v>311</v>
      </c>
      <c t="s" s="6" r="G522">
        <v>119</v>
      </c>
      <c s="6" r="H522">
        <v>0</v>
      </c>
      <c t="s" s="6" r="I522">
        <v>155</v>
      </c>
      <c t="s" s="6" r="L522">
        <v>156</v>
      </c>
      <c t="s" s="6" r="M522">
        <v>122</v>
      </c>
      <c s="6" r="N522">
        <v>0</v>
      </c>
      <c s="6" r="O522">
        <v>0</v>
      </c>
      <c t="s" s="6" r="R522">
        <v>4195</v>
      </c>
      <c t="s" s="6" r="S522">
        <v>4196</v>
      </c>
      <c t="s" s="6" r="T522">
        <v>90</v>
      </c>
      <c t="s" s="6" r="U522">
        <v>4197</v>
      </c>
      <c s="6" r="V522">
        <v>1</v>
      </c>
      <c s="6" r="W522">
        <v>1</v>
      </c>
      <c s="6" r="X522">
        <v>0</v>
      </c>
      <c s="6" r="Y522">
        <v>0</v>
      </c>
      <c s="6" r="Z522">
        <v>1</v>
      </c>
      <c t="s" s="6" r="AA522">
        <v>92</v>
      </c>
      <c t="s" s="6" r="AB522">
        <v>92</v>
      </c>
      <c t="s" s="6" r="AC522">
        <v>92</v>
      </c>
      <c s="6" r="AD522">
        <v>6</v>
      </c>
      <c t="s" s="6" r="AE522">
        <v>92</v>
      </c>
      <c t="s" s="6" r="AF522">
        <v>92</v>
      </c>
      <c t="s" s="6" r="AG522">
        <v>92</v>
      </c>
      <c t="s" s="6" r="AH522">
        <v>92</v>
      </c>
      <c t="s" s="6" r="AI522">
        <v>92</v>
      </c>
      <c t="s" s="6" r="AJ522">
        <v>92</v>
      </c>
      <c t="s" s="6" r="AK522">
        <v>92</v>
      </c>
      <c t="s" s="6" r="AL522">
        <v>92</v>
      </c>
      <c t="s" s="6" r="AM522">
        <v>92</v>
      </c>
      <c t="s" s="6" r="AN522">
        <v>92</v>
      </c>
      <c s="6" r="AP522">
        <v>6</v>
      </c>
      <c t="s" s="6" r="AR522">
        <v>4198</v>
      </c>
      <c s="6" r="AS522">
        <v>0</v>
      </c>
      <c s="6" r="AT522">
        <v>0</v>
      </c>
      <c s="6" r="AU522">
        <v>0</v>
      </c>
      <c s="6" r="AV522">
        <v>0</v>
      </c>
      <c s="6" r="AW522">
        <v>0</v>
      </c>
      <c s="6" r="AX522">
        <v>0</v>
      </c>
      <c s="6" r="AY522">
        <v>0</v>
      </c>
      <c s="6" r="AZ522">
        <v>0</v>
      </c>
      <c s="6" r="BA522">
        <v>0</v>
      </c>
      <c s="6" r="BB522">
        <v>0</v>
      </c>
      <c s="6" r="BC522">
        <v>0</v>
      </c>
      <c s="6" r="BD522">
        <v>0</v>
      </c>
      <c s="6" r="BE522">
        <v>0</v>
      </c>
      <c s="6" r="BF522">
        <v>0</v>
      </c>
      <c s="6" r="BG522">
        <v>0</v>
      </c>
      <c s="6" r="BH522">
        <v>0</v>
      </c>
      <c s="6" r="BI522">
        <v>0</v>
      </c>
      <c s="6" r="BJ522">
        <v>0</v>
      </c>
      <c s="6" r="BK522">
        <v>0</v>
      </c>
      <c s="6" r="BL522">
        <v>0</v>
      </c>
      <c s="6" r="BM522">
        <v>0</v>
      </c>
      <c s="6" r="BN522">
        <v>0</v>
      </c>
      <c s="6" r="BO522">
        <v>0</v>
      </c>
      <c s="6" r="BP522">
        <v>0</v>
      </c>
      <c s="6" r="BQ522">
        <v>0</v>
      </c>
      <c t="str" s="6" r="BR522">
        <f>HYPERLINK("http://www.d20pfsrd.com/magic/all-spells/s/stone-tell","Stone Tell")</f>
        <v>Stone Tell</v>
      </c>
      <c s="6" r="BS522">
        <v>523</v>
      </c>
      <c t="s" s="6" r="BT522">
        <v>92</v>
      </c>
      <c t="s" s="6" r="BU522">
        <v>1554</v>
      </c>
      <c s="6" r="BY522">
        <v>0</v>
      </c>
    </row>
    <row customHeight="1" r="523" ht="14.25">
      <c t="s" s="6" r="A523">
        <v>4199</v>
      </c>
      <c t="s" s="6" r="B523">
        <v>131</v>
      </c>
      <c t="s" s="6" r="E523">
        <v>1878</v>
      </c>
      <c t="s" s="6" r="F523">
        <v>81</v>
      </c>
      <c t="s" s="6" r="G523">
        <v>4200</v>
      </c>
      <c s="6" r="H523">
        <v>0</v>
      </c>
      <c t="s" s="6" r="I523">
        <v>97</v>
      </c>
      <c t="s" s="6" r="L523">
        <v>4201</v>
      </c>
      <c t="s" s="6" r="M523">
        <v>109</v>
      </c>
      <c s="6" r="N523">
        <v>0</v>
      </c>
      <c s="6" r="O523">
        <v>0</v>
      </c>
      <c t="s" s="6" r="P523">
        <v>3299</v>
      </c>
      <c t="s" s="6" r="Q523">
        <v>188</v>
      </c>
      <c t="s" s="6" r="R523">
        <v>4202</v>
      </c>
      <c t="s" s="6" r="S523">
        <v>4203</v>
      </c>
      <c t="s" s="6" r="T523">
        <v>90</v>
      </c>
      <c t="s" s="6" r="U523">
        <v>4204</v>
      </c>
      <c s="6" r="V523">
        <v>1</v>
      </c>
      <c s="6" r="W523">
        <v>1</v>
      </c>
      <c s="6" r="X523">
        <v>1</v>
      </c>
      <c s="6" r="Y523">
        <v>0</v>
      </c>
      <c s="6" r="Z523">
        <v>0</v>
      </c>
      <c s="6" r="AA523">
        <v>6</v>
      </c>
      <c s="6" r="AB523">
        <v>6</v>
      </c>
      <c t="s" s="6" r="AC523">
        <v>92</v>
      </c>
      <c t="s" s="6" r="AD523">
        <v>92</v>
      </c>
      <c t="s" s="6" r="AE523">
        <v>92</v>
      </c>
      <c t="s" s="6" r="AF523">
        <v>92</v>
      </c>
      <c t="s" s="6" r="AG523">
        <v>92</v>
      </c>
      <c t="s" s="6" r="AH523">
        <v>92</v>
      </c>
      <c t="s" s="6" r="AI523">
        <v>92</v>
      </c>
      <c s="6" r="AJ523">
        <v>6</v>
      </c>
      <c t="s" s="6" r="AK523">
        <v>92</v>
      </c>
      <c t="s" s="6" r="AL523">
        <v>92</v>
      </c>
      <c t="s" s="6" r="AM523">
        <v>92</v>
      </c>
      <c s="6" r="AN523">
        <v>6</v>
      </c>
      <c s="6" r="AP523">
        <v>6</v>
      </c>
      <c t="s" s="6" r="AR523">
        <v>4205</v>
      </c>
      <c s="6" r="AS523">
        <v>0</v>
      </c>
      <c s="6" r="AT523">
        <v>0</v>
      </c>
      <c s="6" r="AU523">
        <v>0</v>
      </c>
      <c s="6" r="AV523">
        <v>0</v>
      </c>
      <c s="6" r="AW523">
        <v>0</v>
      </c>
      <c s="6" r="AX523">
        <v>0</v>
      </c>
      <c s="6" r="AY523">
        <v>0</v>
      </c>
      <c s="6" r="AZ523">
        <v>0</v>
      </c>
      <c s="6" r="BA523">
        <v>0</v>
      </c>
      <c s="6" r="BB523">
        <v>0</v>
      </c>
      <c s="6" r="BC523">
        <v>0</v>
      </c>
      <c s="6" r="BD523">
        <v>0</v>
      </c>
      <c s="6" r="BE523">
        <v>0</v>
      </c>
      <c s="6" r="BF523">
        <v>0</v>
      </c>
      <c s="6" r="BG523">
        <v>0</v>
      </c>
      <c s="6" r="BH523">
        <v>0</v>
      </c>
      <c s="6" r="BI523">
        <v>0</v>
      </c>
      <c s="6" r="BJ523">
        <v>0</v>
      </c>
      <c s="6" r="BK523">
        <v>0</v>
      </c>
      <c s="6" r="BL523">
        <v>0</v>
      </c>
      <c s="6" r="BM523">
        <v>0</v>
      </c>
      <c s="6" r="BN523">
        <v>0</v>
      </c>
      <c s="6" r="BO523">
        <v>0</v>
      </c>
      <c s="6" r="BP523">
        <v>0</v>
      </c>
      <c s="6" r="BQ523">
        <v>0</v>
      </c>
      <c t="str" s="6" r="BR523">
        <f>HYPERLINK("http://www.d20pfsrd.com/magic/all-spells/s/stone-to-flesh","Stone to Flesh")</f>
        <v>Stone to Flesh</v>
      </c>
      <c s="6" r="BS523">
        <v>524</v>
      </c>
      <c t="s" s="6" r="BT523">
        <v>92</v>
      </c>
      <c s="6" r="BY523">
        <v>0</v>
      </c>
    </row>
    <row customHeight="1" r="524" ht="14.25">
      <c t="s" s="6" r="A524">
        <v>4206</v>
      </c>
      <c t="s" s="6" r="B524">
        <v>78</v>
      </c>
      <c t="s" s="6" r="C524">
        <v>1042</v>
      </c>
      <c t="s" s="6" r="E524">
        <v>4207</v>
      </c>
      <c t="s" s="6" r="F524">
        <v>272</v>
      </c>
      <c t="s" s="6" r="G524">
        <v>106</v>
      </c>
      <c s="6" r="H524">
        <v>0</v>
      </c>
      <c t="s" s="6" r="I524">
        <v>83</v>
      </c>
      <c t="s" s="6" r="K524">
        <v>4208</v>
      </c>
      <c t="s" s="6" r="M524">
        <v>4209</v>
      </c>
      <c s="6" r="N524">
        <v>1</v>
      </c>
      <c s="6" r="O524">
        <v>0</v>
      </c>
      <c t="s" s="6" r="P524">
        <v>141</v>
      </c>
      <c t="s" s="6" r="Q524">
        <v>188</v>
      </c>
      <c t="s" s="6" r="R524">
        <v>4210</v>
      </c>
      <c t="s" s="6" r="S524">
        <v>4211</v>
      </c>
      <c t="s" s="6" r="T524">
        <v>90</v>
      </c>
      <c t="s" s="6" r="U524">
        <v>4212</v>
      </c>
      <c s="6" r="V524">
        <v>1</v>
      </c>
      <c s="6" r="W524">
        <v>1</v>
      </c>
      <c s="6" r="X524">
        <v>0</v>
      </c>
      <c s="6" r="Y524">
        <v>0</v>
      </c>
      <c s="6" r="Z524">
        <v>0</v>
      </c>
      <c t="s" s="6" r="AA524">
        <v>92</v>
      </c>
      <c t="s" s="6" r="AB524">
        <v>92</v>
      </c>
      <c s="6" r="AC524">
        <v>9</v>
      </c>
      <c s="6" r="AD524">
        <v>9</v>
      </c>
      <c t="s" s="6" r="AE524">
        <v>92</v>
      </c>
      <c t="s" s="6" r="AF524">
        <v>92</v>
      </c>
      <c t="s" s="6" r="AG524">
        <v>92</v>
      </c>
      <c t="s" s="6" r="AH524">
        <v>92</v>
      </c>
      <c t="s" s="6" r="AI524">
        <v>92</v>
      </c>
      <c s="6" r="AJ524">
        <v>9</v>
      </c>
      <c t="s" s="6" r="AK524">
        <v>92</v>
      </c>
      <c s="6" r="AL524">
        <v>9</v>
      </c>
      <c t="s" s="6" r="AM524">
        <v>92</v>
      </c>
      <c t="s" s="6" r="AN524">
        <v>92</v>
      </c>
      <c s="6" r="AP524">
        <v>9</v>
      </c>
      <c t="s" s="6" r="AQ524">
        <v>4213</v>
      </c>
      <c t="s" s="6" r="AR524">
        <v>4214</v>
      </c>
      <c s="6" r="AS524">
        <v>0</v>
      </c>
      <c s="6" r="AT524">
        <v>0</v>
      </c>
      <c s="6" r="AU524">
        <v>0</v>
      </c>
      <c s="6" r="AV524">
        <v>0</v>
      </c>
      <c s="6" r="AW524">
        <v>0</v>
      </c>
      <c s="6" r="AX524">
        <v>0</v>
      </c>
      <c s="6" r="AY524">
        <v>0</v>
      </c>
      <c s="6" r="AZ524">
        <v>0</v>
      </c>
      <c s="6" r="BA524">
        <v>0</v>
      </c>
      <c s="6" r="BB524">
        <v>0</v>
      </c>
      <c s="6" r="BC524">
        <v>0</v>
      </c>
      <c s="6" r="BD524">
        <v>0</v>
      </c>
      <c s="6" r="BE524">
        <v>0</v>
      </c>
      <c s="6" r="BF524">
        <v>0</v>
      </c>
      <c s="6" r="BG524">
        <v>0</v>
      </c>
      <c s="6" r="BH524">
        <v>0</v>
      </c>
      <c s="6" r="BI524">
        <v>0</v>
      </c>
      <c s="6" r="BJ524">
        <v>0</v>
      </c>
      <c s="6" r="BK524">
        <v>0</v>
      </c>
      <c s="6" r="BL524">
        <v>0</v>
      </c>
      <c s="6" r="BM524">
        <v>0</v>
      </c>
      <c s="6" r="BN524">
        <v>0</v>
      </c>
      <c s="6" r="BO524">
        <v>0</v>
      </c>
      <c s="6" r="BP524">
        <v>0</v>
      </c>
      <c s="6" r="BQ524">
        <v>0</v>
      </c>
      <c t="str" s="6" r="BR524">
        <f>HYPERLINK("http://www.d20pfsrd.com/magic/all-spells/s/storm-of-vengeance","Storm of Vengeance")</f>
        <v>Storm of Vengeance</v>
      </c>
      <c s="6" r="BS524">
        <v>525</v>
      </c>
      <c t="s" s="6" r="BT524">
        <v>92</v>
      </c>
      <c t="s" s="6" r="BU524">
        <v>999</v>
      </c>
      <c t="s" s="6" r="BW524">
        <v>4215</v>
      </c>
      <c t="s" s="6" r="BX524">
        <v>4216</v>
      </c>
      <c s="6" r="BY524">
        <v>1</v>
      </c>
    </row>
    <row customHeight="1" r="525" ht="14.25">
      <c t="s" s="6" r="A525">
        <v>4217</v>
      </c>
      <c t="s" s="6" r="B525">
        <v>115</v>
      </c>
      <c t="s" s="6" r="C525">
        <v>116</v>
      </c>
      <c t="s" s="6" r="D525">
        <v>841</v>
      </c>
      <c t="s" s="6" r="E525">
        <v>4218</v>
      </c>
      <c t="s" s="6" r="F525">
        <v>81</v>
      </c>
      <c t="s" s="6" r="G525">
        <v>4219</v>
      </c>
      <c s="6" r="H525">
        <v>0</v>
      </c>
      <c t="s" s="6" r="I525">
        <v>107</v>
      </c>
      <c t="s" s="6" r="L525">
        <v>473</v>
      </c>
      <c t="s" s="6" r="M525">
        <v>4220</v>
      </c>
      <c s="6" r="N525">
        <v>0</v>
      </c>
      <c s="6" r="O525">
        <v>0</v>
      </c>
      <c t="s" s="6" r="P525">
        <v>221</v>
      </c>
      <c t="s" s="6" r="Q525">
        <v>188</v>
      </c>
      <c t="s" s="6" r="R525">
        <v>4221</v>
      </c>
      <c t="s" s="6" r="S525">
        <v>4222</v>
      </c>
      <c t="s" s="6" r="T525">
        <v>90</v>
      </c>
      <c t="s" s="6" r="U525">
        <v>4223</v>
      </c>
      <c s="6" r="V525">
        <v>1</v>
      </c>
      <c s="6" r="W525">
        <v>0</v>
      </c>
      <c s="6" r="X525">
        <v>1</v>
      </c>
      <c s="6" r="Y525">
        <v>0</v>
      </c>
      <c s="6" r="Z525">
        <v>0</v>
      </c>
      <c s="6" r="AA525">
        <v>3</v>
      </c>
      <c s="6" r="AB525">
        <v>3</v>
      </c>
      <c t="s" s="6" r="AC525">
        <v>92</v>
      </c>
      <c t="s" s="6" r="AD525">
        <v>92</v>
      </c>
      <c t="s" s="6" r="AE525">
        <v>92</v>
      </c>
      <c s="6" r="AF525">
        <v>2</v>
      </c>
      <c t="s" s="6" r="AG525">
        <v>92</v>
      </c>
      <c t="s" s="6" r="AH525">
        <v>92</v>
      </c>
      <c t="s" s="6" r="AI525">
        <v>92</v>
      </c>
      <c s="6" r="AJ525">
        <v>3</v>
      </c>
      <c t="s" s="6" r="AK525">
        <v>92</v>
      </c>
      <c t="s" s="6" r="AL525">
        <v>92</v>
      </c>
      <c t="s" s="6" r="AM525">
        <v>92</v>
      </c>
      <c t="s" s="6" r="AN525">
        <v>92</v>
      </c>
      <c s="6" r="AP525">
        <v>3</v>
      </c>
      <c t="s" s="6" r="AQ525">
        <v>4224</v>
      </c>
      <c t="s" s="6" r="AR525">
        <v>4225</v>
      </c>
      <c s="6" r="AS525">
        <v>0</v>
      </c>
      <c s="6" r="AT525">
        <v>0</v>
      </c>
      <c s="6" r="AU525">
        <v>0</v>
      </c>
      <c s="6" r="AV525">
        <v>0</v>
      </c>
      <c s="6" r="AW525">
        <v>0</v>
      </c>
      <c s="6" r="AX525">
        <v>0</v>
      </c>
      <c s="6" r="AY525">
        <v>0</v>
      </c>
      <c s="6" r="AZ525">
        <v>0</v>
      </c>
      <c s="6" r="BA525">
        <v>0</v>
      </c>
      <c s="6" r="BB525">
        <v>0</v>
      </c>
      <c s="6" r="BC525">
        <v>0</v>
      </c>
      <c s="6" r="BD525">
        <v>0</v>
      </c>
      <c s="6" r="BE525">
        <v>0</v>
      </c>
      <c s="6" r="BF525">
        <v>0</v>
      </c>
      <c s="6" r="BG525">
        <v>0</v>
      </c>
      <c s="6" r="BH525">
        <v>0</v>
      </c>
      <c s="6" r="BI525">
        <v>1</v>
      </c>
      <c s="6" r="BJ525">
        <v>0</v>
      </c>
      <c s="6" r="BK525">
        <v>0</v>
      </c>
      <c s="6" r="BL525">
        <v>1</v>
      </c>
      <c s="6" r="BM525">
        <v>0</v>
      </c>
      <c s="6" r="BN525">
        <v>0</v>
      </c>
      <c s="6" r="BO525">
        <v>0</v>
      </c>
      <c s="6" r="BP525">
        <v>0</v>
      </c>
      <c s="6" r="BQ525">
        <v>0</v>
      </c>
      <c t="str" s="6" r="BR525">
        <f>HYPERLINK("http://www.d20pfsrd.com/magic/all-spells/s/suggestion","Suggestion")</f>
        <v>Suggestion</v>
      </c>
      <c s="6" r="BS525">
        <v>526</v>
      </c>
      <c t="s" s="6" r="BT525">
        <v>92</v>
      </c>
      <c t="s" s="6" r="BU525">
        <v>4226</v>
      </c>
      <c t="s" s="6" r="BW525">
        <v>4227</v>
      </c>
      <c s="6" r="BY525">
        <v>1</v>
      </c>
    </row>
    <row customHeight="1" r="526" ht="14.25">
      <c t="s" s="6" r="A526">
        <v>4228</v>
      </c>
      <c t="s" s="6" r="B526">
        <v>115</v>
      </c>
      <c t="s" s="6" r="C526">
        <v>116</v>
      </c>
      <c t="s" s="6" r="D526">
        <v>841</v>
      </c>
      <c t="s" s="6" r="E526">
        <v>4229</v>
      </c>
      <c t="s" s="6" r="F526">
        <v>81</v>
      </c>
      <c t="s" s="6" r="G526">
        <v>4219</v>
      </c>
      <c s="6" r="H526">
        <v>0</v>
      </c>
      <c t="s" s="6" r="I526">
        <v>97</v>
      </c>
      <c t="s" s="6" r="L526">
        <v>620</v>
      </c>
      <c t="s" s="6" r="M526">
        <v>4220</v>
      </c>
      <c s="6" r="N526">
        <v>0</v>
      </c>
      <c s="6" r="O526">
        <v>0</v>
      </c>
      <c t="s" s="6" r="P526">
        <v>221</v>
      </c>
      <c t="s" s="6" r="Q526">
        <v>188</v>
      </c>
      <c t="s" s="6" r="R526">
        <v>4230</v>
      </c>
      <c t="s" s="6" r="S526">
        <v>4231</v>
      </c>
      <c t="s" s="6" r="T526">
        <v>90</v>
      </c>
      <c t="s" s="6" r="U526">
        <v>4232</v>
      </c>
      <c s="6" r="V526">
        <v>1</v>
      </c>
      <c s="6" r="W526">
        <v>0</v>
      </c>
      <c s="6" r="X526">
        <v>1</v>
      </c>
      <c s="6" r="Y526">
        <v>0</v>
      </c>
      <c s="6" r="Z526">
        <v>0</v>
      </c>
      <c s="6" r="AA526">
        <v>6</v>
      </c>
      <c s="6" r="AB526">
        <v>6</v>
      </c>
      <c t="s" s="6" r="AC526">
        <v>92</v>
      </c>
      <c t="s" s="6" r="AD526">
        <v>92</v>
      </c>
      <c t="s" s="6" r="AE526">
        <v>92</v>
      </c>
      <c s="6" r="AF526">
        <v>5</v>
      </c>
      <c t="s" s="6" r="AG526">
        <v>92</v>
      </c>
      <c t="s" s="6" r="AH526">
        <v>92</v>
      </c>
      <c t="s" s="6" r="AI526">
        <v>92</v>
      </c>
      <c s="6" r="AJ526">
        <v>6</v>
      </c>
      <c t="s" s="6" r="AK526">
        <v>92</v>
      </c>
      <c t="s" s="6" r="AL526">
        <v>92</v>
      </c>
      <c t="s" s="6" r="AM526">
        <v>92</v>
      </c>
      <c t="s" s="6" r="AN526">
        <v>92</v>
      </c>
      <c s="6" r="AP526">
        <v>6</v>
      </c>
      <c t="s" s="6" r="AR526">
        <v>4233</v>
      </c>
      <c s="6" r="AS526">
        <v>0</v>
      </c>
      <c s="6" r="AT526">
        <v>0</v>
      </c>
      <c s="6" r="AU526">
        <v>0</v>
      </c>
      <c s="6" r="AV526">
        <v>0</v>
      </c>
      <c s="6" r="AW526">
        <v>0</v>
      </c>
      <c s="6" r="AX526">
        <v>0</v>
      </c>
      <c s="6" r="AY526">
        <v>0</v>
      </c>
      <c s="6" r="AZ526">
        <v>0</v>
      </c>
      <c s="6" r="BA526">
        <v>0</v>
      </c>
      <c s="6" r="BB526">
        <v>0</v>
      </c>
      <c s="6" r="BC526">
        <v>0</v>
      </c>
      <c s="6" r="BD526">
        <v>0</v>
      </c>
      <c s="6" r="BE526">
        <v>0</v>
      </c>
      <c s="6" r="BF526">
        <v>0</v>
      </c>
      <c s="6" r="BG526">
        <v>0</v>
      </c>
      <c s="6" r="BH526">
        <v>0</v>
      </c>
      <c s="6" r="BI526">
        <v>1</v>
      </c>
      <c s="6" r="BJ526">
        <v>0</v>
      </c>
      <c s="6" r="BK526">
        <v>0</v>
      </c>
      <c s="6" r="BL526">
        <v>1</v>
      </c>
      <c s="6" r="BM526">
        <v>0</v>
      </c>
      <c s="6" r="BN526">
        <v>0</v>
      </c>
      <c s="6" r="BO526">
        <v>0</v>
      </c>
      <c s="6" r="BP526">
        <v>0</v>
      </c>
      <c s="6" r="BQ526">
        <v>0</v>
      </c>
      <c t="str" s="6" r="BR526">
        <f>HYPERLINK("http://www.d20pfsrd.com/magic/all-spells/s/suggestion","Suggestion, Mass")</f>
        <v>Suggestion, Mass</v>
      </c>
      <c s="6" r="BS526">
        <v>527</v>
      </c>
      <c t="s" s="6" r="BT526">
        <v>92</v>
      </c>
      <c t="s" s="6" r="BU526">
        <v>4234</v>
      </c>
      <c s="6" r="BY526">
        <v>0</v>
      </c>
    </row>
    <row customHeight="1" r="527" ht="14.25">
      <c t="s" s="6" r="A527">
        <v>4235</v>
      </c>
      <c t="s" s="6" r="B527">
        <v>78</v>
      </c>
      <c t="s" s="6" r="C527">
        <v>1042</v>
      </c>
      <c t="s" s="6" r="E527">
        <v>2694</v>
      </c>
      <c t="s" s="6" r="F527">
        <v>272</v>
      </c>
      <c t="s" s="6" r="G527">
        <v>106</v>
      </c>
      <c s="6" r="H527">
        <v>0</v>
      </c>
      <c t="s" s="6" r="I527">
        <v>813</v>
      </c>
      <c t="s" s="6" r="K527">
        <v>4236</v>
      </c>
      <c t="s" s="6" r="M527">
        <v>122</v>
      </c>
      <c s="6" r="N527">
        <v>1</v>
      </c>
      <c s="6" r="O527">
        <v>0</v>
      </c>
      <c t="s" s="6" r="P527">
        <v>86</v>
      </c>
      <c t="s" s="6" r="Q527">
        <v>87</v>
      </c>
      <c t="s" s="6" r="R527">
        <v>4237</v>
      </c>
      <c t="s" s="6" r="S527">
        <v>4238</v>
      </c>
      <c t="s" s="6" r="T527">
        <v>90</v>
      </c>
      <c t="s" s="6" r="U527">
        <v>4239</v>
      </c>
      <c s="6" r="V527">
        <v>1</v>
      </c>
      <c s="6" r="W527">
        <v>1</v>
      </c>
      <c s="6" r="X527">
        <v>0</v>
      </c>
      <c s="6" r="Y527">
        <v>0</v>
      </c>
      <c s="6" r="Z527">
        <v>0</v>
      </c>
      <c t="s" s="6" r="AA527">
        <v>92</v>
      </c>
      <c t="s" s="6" r="AB527">
        <v>92</v>
      </c>
      <c t="s" s="6" r="AC527">
        <v>92</v>
      </c>
      <c t="s" s="6" r="AD527">
        <v>92</v>
      </c>
      <c t="s" s="6" r="AE527">
        <v>92</v>
      </c>
      <c s="6" r="AF527">
        <v>0</v>
      </c>
      <c t="s" s="6" r="AG527">
        <v>92</v>
      </c>
      <c t="s" s="6" r="AH527">
        <v>92</v>
      </c>
      <c t="s" s="6" r="AI527">
        <v>92</v>
      </c>
      <c t="s" s="6" r="AJ527">
        <v>92</v>
      </c>
      <c t="s" s="6" r="AK527">
        <v>92</v>
      </c>
      <c t="s" s="6" r="AL527">
        <v>92</v>
      </c>
      <c t="s" s="6" r="AM527">
        <v>92</v>
      </c>
      <c t="s" s="6" r="AN527">
        <v>92</v>
      </c>
      <c s="6" r="AP527">
        <v>0</v>
      </c>
      <c t="s" s="6" r="AR527">
        <v>4240</v>
      </c>
      <c s="6" r="AS527">
        <v>0</v>
      </c>
      <c s="6" r="AT527">
        <v>0</v>
      </c>
      <c s="6" r="AU527">
        <v>0</v>
      </c>
      <c s="6" r="AV527">
        <v>0</v>
      </c>
      <c s="6" r="AW527">
        <v>0</v>
      </c>
      <c s="6" r="AX527">
        <v>0</v>
      </c>
      <c s="6" r="AY527">
        <v>0</v>
      </c>
      <c s="6" r="AZ527">
        <v>0</v>
      </c>
      <c s="6" r="BA527">
        <v>0</v>
      </c>
      <c s="6" r="BB527">
        <v>0</v>
      </c>
      <c s="6" r="BC527">
        <v>0</v>
      </c>
      <c s="6" r="BD527">
        <v>0</v>
      </c>
      <c s="6" r="BE527">
        <v>0</v>
      </c>
      <c s="6" r="BF527">
        <v>0</v>
      </c>
      <c s="6" r="BG527">
        <v>0</v>
      </c>
      <c s="6" r="BH527">
        <v>0</v>
      </c>
      <c s="6" r="BI527">
        <v>0</v>
      </c>
      <c s="6" r="BJ527">
        <v>0</v>
      </c>
      <c s="6" r="BK527">
        <v>0</v>
      </c>
      <c s="6" r="BL527">
        <v>0</v>
      </c>
      <c s="6" r="BM527">
        <v>0</v>
      </c>
      <c s="6" r="BN527">
        <v>0</v>
      </c>
      <c s="6" r="BO527">
        <v>0</v>
      </c>
      <c s="6" r="BP527">
        <v>0</v>
      </c>
      <c s="6" r="BQ527">
        <v>0</v>
      </c>
      <c t="str" s="6" r="BR527">
        <f>HYPERLINK("http://www.d20pfsrd.com/magic/all-spells/s/summon-instrument","Summon Instrument")</f>
        <v>Summon Instrument</v>
      </c>
      <c s="6" r="BS527">
        <v>528</v>
      </c>
      <c t="s" s="6" r="BT527">
        <v>92</v>
      </c>
      <c s="6" r="BY527">
        <v>0</v>
      </c>
    </row>
    <row customHeight="1" r="528" ht="14.25">
      <c t="s" s="6" r="A528">
        <v>4241</v>
      </c>
      <c t="s" s="6" r="B528">
        <v>78</v>
      </c>
      <c t="s" s="6" r="C528">
        <v>1042</v>
      </c>
      <c t="s" s="6" r="D528">
        <v>141</v>
      </c>
      <c t="s" s="6" r="E528">
        <v>4242</v>
      </c>
      <c t="s" s="6" r="F528">
        <v>272</v>
      </c>
      <c t="s" s="6" r="G528">
        <v>4243</v>
      </c>
      <c s="6" r="H528">
        <v>0</v>
      </c>
      <c t="s" s="6" r="I528">
        <v>107</v>
      </c>
      <c t="s" s="6" r="K528">
        <v>4244</v>
      </c>
      <c t="s" s="6" r="M528">
        <v>99</v>
      </c>
      <c s="6" r="N528">
        <v>1</v>
      </c>
      <c s="6" r="O528">
        <v>0</v>
      </c>
      <c t="s" s="6" r="P528">
        <v>86</v>
      </c>
      <c t="s" s="6" r="Q528">
        <v>87</v>
      </c>
      <c t="s" s="6" r="R528">
        <v>4245</v>
      </c>
      <c t="s" s="6" r="S528">
        <v>4246</v>
      </c>
      <c t="s" s="6" r="T528">
        <v>90</v>
      </c>
      <c t="s" s="6" r="U528">
        <v>4247</v>
      </c>
      <c s="6" r="V528">
        <v>1</v>
      </c>
      <c s="6" r="W528">
        <v>1</v>
      </c>
      <c s="6" r="X528">
        <v>1</v>
      </c>
      <c s="6" r="Y528">
        <v>1</v>
      </c>
      <c s="6" r="Z528">
        <v>1</v>
      </c>
      <c s="6" r="AA528">
        <v>1</v>
      </c>
      <c s="6" r="AB528">
        <v>1</v>
      </c>
      <c s="6" r="AC528">
        <v>1</v>
      </c>
      <c t="s" s="6" r="AD528">
        <v>92</v>
      </c>
      <c t="s" s="6" r="AE528">
        <v>92</v>
      </c>
      <c s="6" r="AF528">
        <v>1</v>
      </c>
      <c t="s" s="6" r="AG528">
        <v>92</v>
      </c>
      <c t="s" s="6" r="AH528">
        <v>92</v>
      </c>
      <c s="6" r="AI528">
        <v>1</v>
      </c>
      <c s="6" r="AJ528">
        <v>1</v>
      </c>
      <c t="s" s="6" r="AK528">
        <v>92</v>
      </c>
      <c s="6" r="AL528">
        <v>1</v>
      </c>
      <c s="6" r="AM528">
        <v>1</v>
      </c>
      <c t="s" s="6" r="AN528">
        <v>92</v>
      </c>
      <c s="6" r="AP528">
        <v>1</v>
      </c>
      <c t="s" s="6" r="AR528">
        <v>4248</v>
      </c>
      <c s="6" r="AS528">
        <v>0</v>
      </c>
      <c s="6" r="AT528">
        <v>0</v>
      </c>
      <c s="6" r="AU528">
        <v>0</v>
      </c>
      <c s="6" r="AV528">
        <v>0</v>
      </c>
      <c s="6" r="AW528">
        <v>0</v>
      </c>
      <c s="6" r="AX528">
        <v>0</v>
      </c>
      <c s="6" r="AY528">
        <v>0</v>
      </c>
      <c s="6" r="AZ528">
        <v>0</v>
      </c>
      <c s="6" r="BA528">
        <v>0</v>
      </c>
      <c s="6" r="BB528">
        <v>0</v>
      </c>
      <c s="6" r="BC528">
        <v>0</v>
      </c>
      <c s="6" r="BD528">
        <v>0</v>
      </c>
      <c s="6" r="BE528">
        <v>0</v>
      </c>
      <c s="6" r="BF528">
        <v>0</v>
      </c>
      <c s="6" r="BG528">
        <v>0</v>
      </c>
      <c s="6" r="BH528">
        <v>0</v>
      </c>
      <c s="6" r="BI528">
        <v>0</v>
      </c>
      <c s="6" r="BJ528">
        <v>0</v>
      </c>
      <c s="6" r="BK528">
        <v>0</v>
      </c>
      <c s="6" r="BL528">
        <v>0</v>
      </c>
      <c s="6" r="BM528">
        <v>0</v>
      </c>
      <c s="6" r="BN528">
        <v>0</v>
      </c>
      <c s="6" r="BO528">
        <v>0</v>
      </c>
      <c s="6" r="BP528">
        <v>0</v>
      </c>
      <c s="6" r="BQ528">
        <v>0</v>
      </c>
      <c t="str" s="6" r="BR528">
        <f>HYPERLINK("http://www.d20pfsrd.com/magic/all-spells/s/summon-monster-i","Summon Monster I")</f>
        <v>Summon Monster I</v>
      </c>
      <c s="6" r="BS528">
        <v>529</v>
      </c>
      <c t="s" s="6" r="BT528">
        <v>92</v>
      </c>
      <c s="6" r="BY528">
        <v>0</v>
      </c>
    </row>
    <row customHeight="1" r="529" ht="14.25">
      <c t="s" s="6" r="A529">
        <v>4249</v>
      </c>
      <c t="s" s="6" r="B529">
        <v>78</v>
      </c>
      <c t="s" s="6" r="C529">
        <v>1042</v>
      </c>
      <c t="s" s="6" r="E529">
        <v>4250</v>
      </c>
      <c t="s" s="6" r="F529">
        <v>272</v>
      </c>
      <c t="s" s="6" r="G529">
        <v>4243</v>
      </c>
      <c s="6" r="H529">
        <v>0</v>
      </c>
      <c t="s" s="6" r="I529">
        <v>107</v>
      </c>
      <c t="s" s="6" r="K529">
        <v>4244</v>
      </c>
      <c t="s" s="6" r="M529">
        <v>99</v>
      </c>
      <c s="6" r="N529">
        <v>1</v>
      </c>
      <c s="6" r="O529">
        <v>0</v>
      </c>
      <c t="s" s="6" r="P529">
        <v>86</v>
      </c>
      <c t="s" s="6" r="Q529">
        <v>87</v>
      </c>
      <c t="s" s="6" r="R529">
        <v>4251</v>
      </c>
      <c t="s" s="6" r="S529">
        <v>4252</v>
      </c>
      <c t="s" s="6" r="T529">
        <v>90</v>
      </c>
      <c t="s" s="6" r="U529">
        <v>4253</v>
      </c>
      <c s="6" r="V529">
        <v>1</v>
      </c>
      <c s="6" r="W529">
        <v>1</v>
      </c>
      <c s="6" r="X529">
        <v>1</v>
      </c>
      <c s="6" r="Y529">
        <v>1</v>
      </c>
      <c s="6" r="Z529">
        <v>1</v>
      </c>
      <c s="6" r="AA529">
        <v>2</v>
      </c>
      <c s="6" r="AB529">
        <v>2</v>
      </c>
      <c s="6" r="AC529">
        <v>2</v>
      </c>
      <c t="s" s="6" r="AD529">
        <v>92</v>
      </c>
      <c t="s" s="6" r="AE529">
        <v>92</v>
      </c>
      <c s="6" r="AF529">
        <v>2</v>
      </c>
      <c t="s" s="6" r="AG529">
        <v>92</v>
      </c>
      <c t="s" s="6" r="AH529">
        <v>92</v>
      </c>
      <c s="6" r="AI529">
        <v>2</v>
      </c>
      <c s="6" r="AJ529">
        <v>2</v>
      </c>
      <c t="s" s="6" r="AK529">
        <v>92</v>
      </c>
      <c s="6" r="AL529">
        <v>2</v>
      </c>
      <c s="6" r="AM529">
        <v>2</v>
      </c>
      <c t="s" s="6" r="AN529">
        <v>92</v>
      </c>
      <c s="6" r="AP529">
        <v>2</v>
      </c>
      <c t="s" s="6" r="AR529">
        <v>4248</v>
      </c>
      <c s="6" r="AS529">
        <v>0</v>
      </c>
      <c s="6" r="AT529">
        <v>0</v>
      </c>
      <c s="6" r="AU529">
        <v>0</v>
      </c>
      <c s="6" r="AV529">
        <v>0</v>
      </c>
      <c s="6" r="AW529">
        <v>0</v>
      </c>
      <c s="6" r="AX529">
        <v>0</v>
      </c>
      <c s="6" r="AY529">
        <v>0</v>
      </c>
      <c s="6" r="AZ529">
        <v>0</v>
      </c>
      <c s="6" r="BA529">
        <v>0</v>
      </c>
      <c s="6" r="BB529">
        <v>0</v>
      </c>
      <c s="6" r="BC529">
        <v>0</v>
      </c>
      <c s="6" r="BD529">
        <v>0</v>
      </c>
      <c s="6" r="BE529">
        <v>0</v>
      </c>
      <c s="6" r="BF529">
        <v>0</v>
      </c>
      <c s="6" r="BG529">
        <v>0</v>
      </c>
      <c s="6" r="BH529">
        <v>0</v>
      </c>
      <c s="6" r="BI529">
        <v>0</v>
      </c>
      <c s="6" r="BJ529">
        <v>0</v>
      </c>
      <c s="6" r="BK529">
        <v>0</v>
      </c>
      <c s="6" r="BL529">
        <v>0</v>
      </c>
      <c s="6" r="BM529">
        <v>0</v>
      </c>
      <c s="6" r="BN529">
        <v>0</v>
      </c>
      <c s="6" r="BO529">
        <v>0</v>
      </c>
      <c s="6" r="BP529">
        <v>0</v>
      </c>
      <c s="6" r="BQ529">
        <v>0</v>
      </c>
      <c t="str" s="6" r="BR529">
        <f>HYPERLINK("http://www.d20pfsrd.com/magic/all-spells/s/summon-monster-i#TOC-Summon-Monster-II","Summon Monster II")</f>
        <v>Summon Monster II</v>
      </c>
      <c s="6" r="BS529">
        <v>530</v>
      </c>
      <c t="s" s="6" r="BT529">
        <v>92</v>
      </c>
      <c s="6" r="BY529">
        <v>0</v>
      </c>
    </row>
    <row customHeight="1" r="530" ht="14.25">
      <c t="s" s="6" r="A530">
        <v>4254</v>
      </c>
      <c t="s" s="6" r="B530">
        <v>78</v>
      </c>
      <c t="s" s="6" r="C530">
        <v>1042</v>
      </c>
      <c t="s" s="6" r="E530">
        <v>4255</v>
      </c>
      <c t="s" s="6" r="F530">
        <v>272</v>
      </c>
      <c t="s" s="6" r="G530">
        <v>4243</v>
      </c>
      <c s="6" r="H530">
        <v>0</v>
      </c>
      <c t="s" s="6" r="I530">
        <v>107</v>
      </c>
      <c t="s" s="6" r="K530">
        <v>4244</v>
      </c>
      <c t="s" s="6" r="M530">
        <v>99</v>
      </c>
      <c s="6" r="N530">
        <v>1</v>
      </c>
      <c s="6" r="O530">
        <v>0</v>
      </c>
      <c t="s" s="6" r="P530">
        <v>86</v>
      </c>
      <c t="s" s="6" r="Q530">
        <v>87</v>
      </c>
      <c t="s" s="6" r="R530">
        <v>4256</v>
      </c>
      <c t="s" s="6" r="S530">
        <v>4257</v>
      </c>
      <c t="s" s="6" r="T530">
        <v>90</v>
      </c>
      <c t="s" s="6" r="U530">
        <v>4258</v>
      </c>
      <c s="6" r="V530">
        <v>1</v>
      </c>
      <c s="6" r="W530">
        <v>1</v>
      </c>
      <c s="6" r="X530">
        <v>1</v>
      </c>
      <c s="6" r="Y530">
        <v>1</v>
      </c>
      <c s="6" r="Z530">
        <v>1</v>
      </c>
      <c s="6" r="AA530">
        <v>3</v>
      </c>
      <c s="6" r="AB530">
        <v>3</v>
      </c>
      <c s="6" r="AC530">
        <v>3</v>
      </c>
      <c t="s" s="6" r="AD530">
        <v>92</v>
      </c>
      <c t="s" s="6" r="AE530">
        <v>92</v>
      </c>
      <c s="6" r="AF530">
        <v>3</v>
      </c>
      <c t="s" s="6" r="AG530">
        <v>92</v>
      </c>
      <c t="s" s="6" r="AH530">
        <v>92</v>
      </c>
      <c t="s" s="6" r="AI530">
        <v>92</v>
      </c>
      <c s="6" r="AJ530">
        <v>3</v>
      </c>
      <c t="s" s="6" r="AK530">
        <v>92</v>
      </c>
      <c s="6" r="AL530">
        <v>3</v>
      </c>
      <c s="6" r="AM530">
        <v>3</v>
      </c>
      <c t="s" s="6" r="AN530">
        <v>92</v>
      </c>
      <c s="6" r="AP530">
        <v>3</v>
      </c>
      <c t="s" s="6" r="AR530">
        <v>4248</v>
      </c>
      <c s="6" r="AS530">
        <v>0</v>
      </c>
      <c s="6" r="AT530">
        <v>0</v>
      </c>
      <c s="6" r="AU530">
        <v>0</v>
      </c>
      <c s="6" r="AV530">
        <v>0</v>
      </c>
      <c s="6" r="AW530">
        <v>0</v>
      </c>
      <c s="6" r="AX530">
        <v>0</v>
      </c>
      <c s="6" r="AY530">
        <v>0</v>
      </c>
      <c s="6" r="AZ530">
        <v>0</v>
      </c>
      <c s="6" r="BA530">
        <v>0</v>
      </c>
      <c s="6" r="BB530">
        <v>0</v>
      </c>
      <c s="6" r="BC530">
        <v>0</v>
      </c>
      <c s="6" r="BD530">
        <v>0</v>
      </c>
      <c s="6" r="BE530">
        <v>0</v>
      </c>
      <c s="6" r="BF530">
        <v>0</v>
      </c>
      <c s="6" r="BG530">
        <v>0</v>
      </c>
      <c s="6" r="BH530">
        <v>0</v>
      </c>
      <c s="6" r="BI530">
        <v>0</v>
      </c>
      <c s="6" r="BJ530">
        <v>0</v>
      </c>
      <c s="6" r="BK530">
        <v>0</v>
      </c>
      <c s="6" r="BL530">
        <v>0</v>
      </c>
      <c s="6" r="BM530">
        <v>0</v>
      </c>
      <c s="6" r="BN530">
        <v>0</v>
      </c>
      <c s="6" r="BO530">
        <v>0</v>
      </c>
      <c s="6" r="BP530">
        <v>0</v>
      </c>
      <c s="6" r="BQ530">
        <v>0</v>
      </c>
      <c t="str" s="6" r="BR530">
        <f>HYPERLINK("http://www.d20pfsrd.com/magic/all-spells/s/summon-monster-i#TOC-Summon-Monster-III","Summon Monster III")</f>
        <v>Summon Monster III</v>
      </c>
      <c s="6" r="BS530">
        <v>531</v>
      </c>
      <c t="s" s="6" r="BT530">
        <v>92</v>
      </c>
      <c t="s" s="6" r="BU530">
        <v>1232</v>
      </c>
      <c s="6" r="BY530">
        <v>0</v>
      </c>
    </row>
    <row customHeight="1" r="531" ht="14.25">
      <c t="s" s="6" r="A531">
        <v>4259</v>
      </c>
      <c t="s" s="6" r="B531">
        <v>78</v>
      </c>
      <c t="s" s="6" r="C531">
        <v>1042</v>
      </c>
      <c t="s" s="6" r="E531">
        <v>4260</v>
      </c>
      <c t="s" s="6" r="F531">
        <v>272</v>
      </c>
      <c t="s" s="6" r="G531">
        <v>4243</v>
      </c>
      <c s="6" r="H531">
        <v>0</v>
      </c>
      <c t="s" s="6" r="I531">
        <v>107</v>
      </c>
      <c t="s" s="6" r="K531">
        <v>4244</v>
      </c>
      <c t="s" s="6" r="M531">
        <v>99</v>
      </c>
      <c s="6" r="N531">
        <v>1</v>
      </c>
      <c s="6" r="O531">
        <v>0</v>
      </c>
      <c t="s" s="6" r="P531">
        <v>86</v>
      </c>
      <c t="s" s="6" r="Q531">
        <v>87</v>
      </c>
      <c t="s" s="6" r="R531">
        <v>4261</v>
      </c>
      <c t="s" s="6" r="S531">
        <v>4262</v>
      </c>
      <c t="s" s="6" r="T531">
        <v>90</v>
      </c>
      <c t="s" s="6" r="U531">
        <v>4263</v>
      </c>
      <c s="6" r="V531">
        <v>1</v>
      </c>
      <c s="6" r="W531">
        <v>1</v>
      </c>
      <c s="6" r="X531">
        <v>1</v>
      </c>
      <c s="6" r="Y531">
        <v>1</v>
      </c>
      <c s="6" r="Z531">
        <v>1</v>
      </c>
      <c s="6" r="AA531">
        <v>4</v>
      </c>
      <c s="6" r="AB531">
        <v>4</v>
      </c>
      <c s="6" r="AC531">
        <v>4</v>
      </c>
      <c t="s" s="6" r="AD531">
        <v>92</v>
      </c>
      <c t="s" s="6" r="AE531">
        <v>92</v>
      </c>
      <c s="6" r="AF531">
        <v>4</v>
      </c>
      <c t="s" s="6" r="AG531">
        <v>92</v>
      </c>
      <c t="s" s="6" r="AH531">
        <v>92</v>
      </c>
      <c s="6" r="AI531">
        <v>3</v>
      </c>
      <c s="6" r="AJ531">
        <v>4</v>
      </c>
      <c t="s" s="6" r="AK531">
        <v>92</v>
      </c>
      <c s="6" r="AL531">
        <v>4</v>
      </c>
      <c s="6" r="AM531">
        <v>4</v>
      </c>
      <c t="s" s="6" r="AN531">
        <v>92</v>
      </c>
      <c s="6" r="AP531">
        <v>4</v>
      </c>
      <c t="s" s="6" r="AR531">
        <v>4248</v>
      </c>
      <c s="6" r="AS531">
        <v>0</v>
      </c>
      <c s="6" r="AT531">
        <v>0</v>
      </c>
      <c s="6" r="AU531">
        <v>0</v>
      </c>
      <c s="6" r="AV531">
        <v>0</v>
      </c>
      <c s="6" r="AW531">
        <v>0</v>
      </c>
      <c s="6" r="AX531">
        <v>0</v>
      </c>
      <c s="6" r="AY531">
        <v>0</v>
      </c>
      <c s="6" r="AZ531">
        <v>0</v>
      </c>
      <c s="6" r="BA531">
        <v>0</v>
      </c>
      <c s="6" r="BB531">
        <v>0</v>
      </c>
      <c s="6" r="BC531">
        <v>0</v>
      </c>
      <c s="6" r="BD531">
        <v>0</v>
      </c>
      <c s="6" r="BE531">
        <v>0</v>
      </c>
      <c s="6" r="BF531">
        <v>0</v>
      </c>
      <c s="6" r="BG531">
        <v>0</v>
      </c>
      <c s="6" r="BH531">
        <v>0</v>
      </c>
      <c s="6" r="BI531">
        <v>0</v>
      </c>
      <c s="6" r="BJ531">
        <v>0</v>
      </c>
      <c s="6" r="BK531">
        <v>0</v>
      </c>
      <c s="6" r="BL531">
        <v>0</v>
      </c>
      <c s="6" r="BM531">
        <v>0</v>
      </c>
      <c s="6" r="BN531">
        <v>0</v>
      </c>
      <c s="6" r="BO531">
        <v>0</v>
      </c>
      <c s="6" r="BP531">
        <v>0</v>
      </c>
      <c s="6" r="BQ531">
        <v>0</v>
      </c>
      <c t="str" s="6" r="BR531">
        <f>HYPERLINK("http://www.d20pfsrd.com/magic/all-spells/s/summon-monster-i#TOC-Summon-Monster-IV","Summon Monster IV")</f>
        <v>Summon Monster IV</v>
      </c>
      <c s="6" r="BS531">
        <v>532</v>
      </c>
      <c t="s" s="6" r="BT531">
        <v>92</v>
      </c>
      <c s="6" r="BY531">
        <v>0</v>
      </c>
    </row>
    <row customHeight="1" r="532" ht="14.25">
      <c t="s" s="6" r="A532">
        <v>4264</v>
      </c>
      <c t="s" s="6" r="B532">
        <v>78</v>
      </c>
      <c t="s" s="6" r="C532">
        <v>1042</v>
      </c>
      <c t="s" s="6" r="E532">
        <v>4265</v>
      </c>
      <c t="s" s="6" r="F532">
        <v>272</v>
      </c>
      <c t="s" s="6" r="G532">
        <v>4243</v>
      </c>
      <c s="6" r="H532">
        <v>0</v>
      </c>
      <c t="s" s="6" r="I532">
        <v>107</v>
      </c>
      <c t="s" s="6" r="K532">
        <v>4244</v>
      </c>
      <c t="s" s="6" r="M532">
        <v>99</v>
      </c>
      <c s="6" r="N532">
        <v>1</v>
      </c>
      <c s="6" r="O532">
        <v>0</v>
      </c>
      <c t="s" s="6" r="P532">
        <v>86</v>
      </c>
      <c t="s" s="6" r="Q532">
        <v>87</v>
      </c>
      <c t="s" s="6" r="R532">
        <v>4266</v>
      </c>
      <c t="s" s="6" r="S532">
        <v>4267</v>
      </c>
      <c t="s" s="6" r="T532">
        <v>90</v>
      </c>
      <c t="s" s="6" r="U532">
        <v>4268</v>
      </c>
      <c s="6" r="V532">
        <v>1</v>
      </c>
      <c s="6" r="W532">
        <v>1</v>
      </c>
      <c s="6" r="X532">
        <v>1</v>
      </c>
      <c s="6" r="Y532">
        <v>1</v>
      </c>
      <c s="6" r="Z532">
        <v>1</v>
      </c>
      <c s="6" r="AA532">
        <v>5</v>
      </c>
      <c s="6" r="AB532">
        <v>5</v>
      </c>
      <c s="6" r="AC532">
        <v>5</v>
      </c>
      <c t="s" s="6" r="AD532">
        <v>92</v>
      </c>
      <c t="s" s="6" r="AE532">
        <v>92</v>
      </c>
      <c s="6" r="AF532">
        <v>5</v>
      </c>
      <c t="s" s="6" r="AG532">
        <v>92</v>
      </c>
      <c t="s" s="6" r="AH532">
        <v>92</v>
      </c>
      <c s="6" r="AI532">
        <v>4</v>
      </c>
      <c s="6" r="AJ532">
        <v>5</v>
      </c>
      <c t="s" s="6" r="AK532">
        <v>92</v>
      </c>
      <c s="6" r="AL532">
        <v>5</v>
      </c>
      <c t="s" s="6" r="AM532">
        <v>92</v>
      </c>
      <c t="s" s="6" r="AN532">
        <v>92</v>
      </c>
      <c s="6" r="AP532">
        <v>5</v>
      </c>
      <c t="s" s="6" r="AQ532">
        <v>565</v>
      </c>
      <c t="s" s="6" r="AR532">
        <v>4248</v>
      </c>
      <c s="6" r="AS532">
        <v>0</v>
      </c>
      <c s="6" r="AT532">
        <v>0</v>
      </c>
      <c s="6" r="AU532">
        <v>0</v>
      </c>
      <c s="6" r="AV532">
        <v>0</v>
      </c>
      <c s="6" r="AW532">
        <v>0</v>
      </c>
      <c s="6" r="AX532">
        <v>0</v>
      </c>
      <c s="6" r="AY532">
        <v>0</v>
      </c>
      <c s="6" r="AZ532">
        <v>0</v>
      </c>
      <c s="6" r="BA532">
        <v>0</v>
      </c>
      <c s="6" r="BB532">
        <v>0</v>
      </c>
      <c s="6" r="BC532">
        <v>0</v>
      </c>
      <c s="6" r="BD532">
        <v>0</v>
      </c>
      <c s="6" r="BE532">
        <v>0</v>
      </c>
      <c s="6" r="BF532">
        <v>0</v>
      </c>
      <c s="6" r="BG532">
        <v>0</v>
      </c>
      <c s="6" r="BH532">
        <v>0</v>
      </c>
      <c s="6" r="BI532">
        <v>0</v>
      </c>
      <c s="6" r="BJ532">
        <v>0</v>
      </c>
      <c s="6" r="BK532">
        <v>0</v>
      </c>
      <c s="6" r="BL532">
        <v>0</v>
      </c>
      <c s="6" r="BM532">
        <v>0</v>
      </c>
      <c s="6" r="BN532">
        <v>0</v>
      </c>
      <c s="6" r="BO532">
        <v>0</v>
      </c>
      <c s="6" r="BP532">
        <v>0</v>
      </c>
      <c s="6" r="BQ532">
        <v>0</v>
      </c>
      <c t="str" s="6" r="BR532">
        <f>HYPERLINK("http://www.d20pfsrd.com/magic/all-spells/s/summon-monster-i#TOC-Summon-Monster-V","Summon Monster V")</f>
        <v>Summon Monster V</v>
      </c>
      <c s="6" r="BS532">
        <v>533</v>
      </c>
      <c t="s" s="6" r="BT532">
        <v>92</v>
      </c>
      <c s="6" r="BY532">
        <v>0</v>
      </c>
    </row>
    <row customHeight="1" r="533" ht="14.25">
      <c t="s" s="6" r="A533">
        <v>4269</v>
      </c>
      <c t="s" s="6" r="B533">
        <v>78</v>
      </c>
      <c t="s" s="6" r="C533">
        <v>1042</v>
      </c>
      <c t="s" s="6" r="E533">
        <v>4270</v>
      </c>
      <c t="s" s="6" r="F533">
        <v>272</v>
      </c>
      <c t="s" s="6" r="G533">
        <v>4243</v>
      </c>
      <c s="6" r="H533">
        <v>0</v>
      </c>
      <c t="s" s="6" r="I533">
        <v>107</v>
      </c>
      <c t="s" s="6" r="K533">
        <v>4244</v>
      </c>
      <c t="s" s="6" r="M533">
        <v>99</v>
      </c>
      <c s="6" r="N533">
        <v>1</v>
      </c>
      <c s="6" r="O533">
        <v>0</v>
      </c>
      <c t="s" s="6" r="P533">
        <v>86</v>
      </c>
      <c t="s" s="6" r="Q533">
        <v>87</v>
      </c>
      <c t="s" s="6" r="R533">
        <v>4271</v>
      </c>
      <c t="s" s="6" r="S533">
        <v>4272</v>
      </c>
      <c t="s" s="6" r="T533">
        <v>90</v>
      </c>
      <c t="s" s="6" r="U533">
        <v>4273</v>
      </c>
      <c s="6" r="V533">
        <v>1</v>
      </c>
      <c s="6" r="W533">
        <v>1</v>
      </c>
      <c s="6" r="X533">
        <v>1</v>
      </c>
      <c s="6" r="Y533">
        <v>1</v>
      </c>
      <c s="6" r="Z533">
        <v>1</v>
      </c>
      <c s="6" r="AA533">
        <v>6</v>
      </c>
      <c s="6" r="AB533">
        <v>6</v>
      </c>
      <c s="6" r="AC533">
        <v>6</v>
      </c>
      <c t="s" s="6" r="AD533">
        <v>92</v>
      </c>
      <c t="s" s="6" r="AE533">
        <v>92</v>
      </c>
      <c s="6" r="AF533">
        <v>6</v>
      </c>
      <c t="s" s="6" r="AG533">
        <v>92</v>
      </c>
      <c t="s" s="6" r="AH533">
        <v>92</v>
      </c>
      <c t="s" s="6" r="AI533">
        <v>92</v>
      </c>
      <c s="6" r="AJ533">
        <v>6</v>
      </c>
      <c t="s" s="6" r="AK533">
        <v>92</v>
      </c>
      <c s="6" r="AL533">
        <v>6</v>
      </c>
      <c t="s" s="6" r="AM533">
        <v>92</v>
      </c>
      <c t="s" s="6" r="AN533">
        <v>92</v>
      </c>
      <c s="6" r="AP533">
        <v>6</v>
      </c>
      <c t="s" s="6" r="AR533">
        <v>4248</v>
      </c>
      <c s="6" r="AS533">
        <v>0</v>
      </c>
      <c s="6" r="AT533">
        <v>0</v>
      </c>
      <c s="6" r="AU533">
        <v>0</v>
      </c>
      <c s="6" r="AV533">
        <v>0</v>
      </c>
      <c s="6" r="AW533">
        <v>0</v>
      </c>
      <c s="6" r="AX533">
        <v>0</v>
      </c>
      <c s="6" r="AY533">
        <v>0</v>
      </c>
      <c s="6" r="AZ533">
        <v>0</v>
      </c>
      <c s="6" r="BA533">
        <v>0</v>
      </c>
      <c s="6" r="BB533">
        <v>0</v>
      </c>
      <c s="6" r="BC533">
        <v>0</v>
      </c>
      <c s="6" r="BD533">
        <v>0</v>
      </c>
      <c s="6" r="BE533">
        <v>0</v>
      </c>
      <c s="6" r="BF533">
        <v>0</v>
      </c>
      <c s="6" r="BG533">
        <v>0</v>
      </c>
      <c s="6" r="BH533">
        <v>0</v>
      </c>
      <c s="6" r="BI533">
        <v>0</v>
      </c>
      <c s="6" r="BJ533">
        <v>0</v>
      </c>
      <c s="6" r="BK533">
        <v>0</v>
      </c>
      <c s="6" r="BL533">
        <v>0</v>
      </c>
      <c s="6" r="BM533">
        <v>0</v>
      </c>
      <c s="6" r="BN533">
        <v>0</v>
      </c>
      <c s="6" r="BO533">
        <v>0</v>
      </c>
      <c s="6" r="BP533">
        <v>0</v>
      </c>
      <c s="6" r="BQ533">
        <v>0</v>
      </c>
      <c t="str" s="6" r="BR533">
        <f>HYPERLINK("http://www.d20pfsrd.com/magic/all-spells/s/summon-monster-i#TOC-Summon-Monster-VI","Summon Monster VI")</f>
        <v>Summon Monster VI</v>
      </c>
      <c s="6" r="BS533">
        <v>534</v>
      </c>
      <c t="s" s="6" r="BT533">
        <v>92</v>
      </c>
      <c s="6" r="BY533">
        <v>0</v>
      </c>
    </row>
    <row customHeight="1" r="534" ht="14.25">
      <c t="s" s="6" r="A534">
        <v>4274</v>
      </c>
      <c t="s" s="6" r="B534">
        <v>78</v>
      </c>
      <c t="s" s="6" r="C534">
        <v>1042</v>
      </c>
      <c t="s" s="6" r="E534">
        <v>4275</v>
      </c>
      <c t="s" s="6" r="F534">
        <v>272</v>
      </c>
      <c t="s" s="6" r="G534">
        <v>4243</v>
      </c>
      <c s="6" r="H534">
        <v>0</v>
      </c>
      <c t="s" s="6" r="I534">
        <v>107</v>
      </c>
      <c t="s" s="6" r="K534">
        <v>4244</v>
      </c>
      <c t="s" s="6" r="M534">
        <v>99</v>
      </c>
      <c s="6" r="N534">
        <v>1</v>
      </c>
      <c s="6" r="O534">
        <v>0</v>
      </c>
      <c t="s" s="6" r="P534">
        <v>86</v>
      </c>
      <c t="s" s="6" r="Q534">
        <v>87</v>
      </c>
      <c t="s" s="6" r="R534">
        <v>4276</v>
      </c>
      <c t="s" s="6" r="S534">
        <v>4277</v>
      </c>
      <c t="s" s="6" r="T534">
        <v>90</v>
      </c>
      <c t="s" s="6" r="U534">
        <v>4278</v>
      </c>
      <c s="6" r="V534">
        <v>1</v>
      </c>
      <c s="6" r="W534">
        <v>1</v>
      </c>
      <c s="6" r="X534">
        <v>1</v>
      </c>
      <c s="6" r="Y534">
        <v>1</v>
      </c>
      <c s="6" r="Z534">
        <v>1</v>
      </c>
      <c s="6" r="AA534">
        <v>8</v>
      </c>
      <c s="6" r="AB534">
        <v>8</v>
      </c>
      <c s="6" r="AC534">
        <v>8</v>
      </c>
      <c t="s" s="6" r="AD534">
        <v>92</v>
      </c>
      <c t="s" s="6" r="AE534">
        <v>92</v>
      </c>
      <c t="s" s="6" r="AF534">
        <v>92</v>
      </c>
      <c t="s" s="6" r="AG534">
        <v>92</v>
      </c>
      <c t="s" s="6" r="AH534">
        <v>92</v>
      </c>
      <c s="6" r="AI534">
        <v>6</v>
      </c>
      <c s="6" r="AJ534">
        <v>8</v>
      </c>
      <c t="s" s="6" r="AK534">
        <v>92</v>
      </c>
      <c s="6" r="AL534">
        <v>8</v>
      </c>
      <c t="s" s="6" r="AM534">
        <v>92</v>
      </c>
      <c t="s" s="6" r="AN534">
        <v>92</v>
      </c>
      <c s="6" r="AP534">
        <v>8</v>
      </c>
      <c t="s" s="6" r="AR534">
        <v>4248</v>
      </c>
      <c s="6" r="AS534">
        <v>0</v>
      </c>
      <c s="6" r="AT534">
        <v>0</v>
      </c>
      <c s="6" r="AU534">
        <v>0</v>
      </c>
      <c s="6" r="AV534">
        <v>0</v>
      </c>
      <c s="6" r="AW534">
        <v>0</v>
      </c>
      <c s="6" r="AX534">
        <v>0</v>
      </c>
      <c s="6" r="AY534">
        <v>0</v>
      </c>
      <c s="6" r="AZ534">
        <v>0</v>
      </c>
      <c s="6" r="BA534">
        <v>0</v>
      </c>
      <c s="6" r="BB534">
        <v>0</v>
      </c>
      <c s="6" r="BC534">
        <v>0</v>
      </c>
      <c s="6" r="BD534">
        <v>0</v>
      </c>
      <c s="6" r="BE534">
        <v>0</v>
      </c>
      <c s="6" r="BF534">
        <v>0</v>
      </c>
      <c s="6" r="BG534">
        <v>0</v>
      </c>
      <c s="6" r="BH534">
        <v>0</v>
      </c>
      <c s="6" r="BI534">
        <v>0</v>
      </c>
      <c s="6" r="BJ534">
        <v>0</v>
      </c>
      <c s="6" r="BK534">
        <v>0</v>
      </c>
      <c s="6" r="BL534">
        <v>0</v>
      </c>
      <c s="6" r="BM534">
        <v>0</v>
      </c>
      <c s="6" r="BN534">
        <v>0</v>
      </c>
      <c s="6" r="BO534">
        <v>0</v>
      </c>
      <c s="6" r="BP534">
        <v>0</v>
      </c>
      <c s="6" r="BQ534">
        <v>0</v>
      </c>
      <c t="str" s="6" r="BR534">
        <f>HYPERLINK("http://www.d20pfsrd.com/magic/all-spells/s/summon-monster-i#TOC-Summon-Monster-VIII","Summon Monster VIII")</f>
        <v>Summon Monster VIII</v>
      </c>
      <c s="6" r="BS534">
        <v>535</v>
      </c>
      <c t="s" s="6" r="BT534">
        <v>92</v>
      </c>
      <c t="s" s="6" r="BU534">
        <v>1564</v>
      </c>
      <c s="6" r="BY534">
        <v>0</v>
      </c>
    </row>
    <row customHeight="1" r="535" ht="14.25">
      <c t="s" s="6" r="A535">
        <v>4279</v>
      </c>
      <c t="s" s="6" r="B535">
        <v>78</v>
      </c>
      <c t="s" s="6" r="C535">
        <v>1042</v>
      </c>
      <c t="s" s="6" r="E535">
        <v>4280</v>
      </c>
      <c t="s" s="6" r="F535">
        <v>272</v>
      </c>
      <c t="s" s="6" r="G535">
        <v>4243</v>
      </c>
      <c s="6" r="H535">
        <v>0</v>
      </c>
      <c t="s" s="6" r="I535">
        <v>107</v>
      </c>
      <c t="s" s="6" r="K535">
        <v>4244</v>
      </c>
      <c t="s" s="6" r="M535">
        <v>99</v>
      </c>
      <c s="6" r="N535">
        <v>1</v>
      </c>
      <c s="6" r="O535">
        <v>0</v>
      </c>
      <c t="s" s="6" r="P535">
        <v>86</v>
      </c>
      <c t="s" s="6" r="Q535">
        <v>87</v>
      </c>
      <c t="s" s="6" r="R535">
        <v>4281</v>
      </c>
      <c t="s" s="6" r="S535">
        <v>4282</v>
      </c>
      <c t="s" s="6" r="T535">
        <v>90</v>
      </c>
      <c t="s" s="6" r="U535">
        <v>4283</v>
      </c>
      <c s="6" r="V535">
        <v>1</v>
      </c>
      <c s="6" r="W535">
        <v>1</v>
      </c>
      <c s="6" r="X535">
        <v>1</v>
      </c>
      <c s="6" r="Y535">
        <v>1</v>
      </c>
      <c s="6" r="Z535">
        <v>1</v>
      </c>
      <c s="6" r="AA535">
        <v>7</v>
      </c>
      <c s="6" r="AB535">
        <v>7</v>
      </c>
      <c s="6" r="AC535">
        <v>7</v>
      </c>
      <c t="s" s="6" r="AD535">
        <v>92</v>
      </c>
      <c t="s" s="6" r="AE535">
        <v>92</v>
      </c>
      <c t="s" s="6" r="AF535">
        <v>92</v>
      </c>
      <c t="s" s="6" r="AG535">
        <v>92</v>
      </c>
      <c t="s" s="6" r="AH535">
        <v>92</v>
      </c>
      <c s="6" r="AI535">
        <v>5</v>
      </c>
      <c s="6" r="AJ535">
        <v>7</v>
      </c>
      <c t="s" s="6" r="AK535">
        <v>92</v>
      </c>
      <c s="6" r="AL535">
        <v>7</v>
      </c>
      <c t="s" s="6" r="AM535">
        <v>92</v>
      </c>
      <c t="s" s="6" r="AN535">
        <v>92</v>
      </c>
      <c s="6" r="AP535">
        <v>7</v>
      </c>
      <c t="s" s="6" r="AR535">
        <v>4248</v>
      </c>
      <c s="6" r="AS535">
        <v>0</v>
      </c>
      <c s="6" r="AT535">
        <v>0</v>
      </c>
      <c s="6" r="AU535">
        <v>0</v>
      </c>
      <c s="6" r="AV535">
        <v>0</v>
      </c>
      <c s="6" r="AW535">
        <v>0</v>
      </c>
      <c s="6" r="AX535">
        <v>0</v>
      </c>
      <c s="6" r="AY535">
        <v>0</v>
      </c>
      <c s="6" r="AZ535">
        <v>0</v>
      </c>
      <c s="6" r="BA535">
        <v>0</v>
      </c>
      <c s="6" r="BB535">
        <v>0</v>
      </c>
      <c s="6" r="BC535">
        <v>0</v>
      </c>
      <c s="6" r="BD535">
        <v>0</v>
      </c>
      <c s="6" r="BE535">
        <v>0</v>
      </c>
      <c s="6" r="BF535">
        <v>0</v>
      </c>
      <c s="6" r="BG535">
        <v>0</v>
      </c>
      <c s="6" r="BH535">
        <v>0</v>
      </c>
      <c s="6" r="BI535">
        <v>0</v>
      </c>
      <c s="6" r="BJ535">
        <v>0</v>
      </c>
      <c s="6" r="BK535">
        <v>0</v>
      </c>
      <c s="6" r="BL535">
        <v>0</v>
      </c>
      <c s="6" r="BM535">
        <v>0</v>
      </c>
      <c s="6" r="BN535">
        <v>0</v>
      </c>
      <c s="6" r="BO535">
        <v>0</v>
      </c>
      <c s="6" r="BP535">
        <v>0</v>
      </c>
      <c s="6" r="BQ535">
        <v>0</v>
      </c>
      <c t="str" s="6" r="BR535">
        <f>HYPERLINK("http://www.d20pfsrd.com/magic/all-spells/s/summon-monster-i#TOC-Summon-Monster-VII","Summon Monster VII")</f>
        <v>Summon Monster VII</v>
      </c>
      <c s="6" r="BS535">
        <v>536</v>
      </c>
      <c t="s" s="6" r="BT535">
        <v>92</v>
      </c>
      <c t="s" s="6" r="BU535">
        <v>4284</v>
      </c>
      <c s="6" r="BY535">
        <v>0</v>
      </c>
    </row>
    <row customHeight="1" r="536" ht="14.25">
      <c t="s" s="6" r="A536">
        <v>4285</v>
      </c>
      <c t="s" s="6" r="B536">
        <v>78</v>
      </c>
      <c t="s" s="6" r="C536">
        <v>1042</v>
      </c>
      <c t="s" s="6" r="E536">
        <v>350</v>
      </c>
      <c t="s" s="6" r="F536">
        <v>272</v>
      </c>
      <c t="s" s="6" r="G536">
        <v>4243</v>
      </c>
      <c s="6" r="H536">
        <v>0</v>
      </c>
      <c t="s" s="6" r="I536">
        <v>107</v>
      </c>
      <c t="s" s="6" r="K536">
        <v>4244</v>
      </c>
      <c t="s" s="6" r="M536">
        <v>99</v>
      </c>
      <c s="6" r="N536">
        <v>1</v>
      </c>
      <c s="6" r="O536">
        <v>0</v>
      </c>
      <c t="s" s="6" r="P536">
        <v>86</v>
      </c>
      <c t="s" s="6" r="Q536">
        <v>87</v>
      </c>
      <c t="s" s="6" r="R536">
        <v>4286</v>
      </c>
      <c t="s" s="6" r="S536">
        <v>4287</v>
      </c>
      <c t="s" s="6" r="T536">
        <v>90</v>
      </c>
      <c t="s" s="6" r="U536">
        <v>4288</v>
      </c>
      <c s="6" r="V536">
        <v>1</v>
      </c>
      <c s="6" r="W536">
        <v>1</v>
      </c>
      <c s="6" r="X536">
        <v>1</v>
      </c>
      <c s="6" r="Y536">
        <v>1</v>
      </c>
      <c s="6" r="Z536">
        <v>1</v>
      </c>
      <c s="6" r="AA536">
        <v>9</v>
      </c>
      <c s="6" r="AB536">
        <v>9</v>
      </c>
      <c s="6" r="AC536">
        <v>9</v>
      </c>
      <c t="s" s="6" r="AD536">
        <v>92</v>
      </c>
      <c t="s" s="6" r="AE536">
        <v>92</v>
      </c>
      <c t="s" s="6" r="AF536">
        <v>92</v>
      </c>
      <c t="s" s="6" r="AG536">
        <v>92</v>
      </c>
      <c t="s" s="6" r="AH536">
        <v>92</v>
      </c>
      <c t="s" s="6" r="AI536">
        <v>92</v>
      </c>
      <c s="6" r="AJ536">
        <v>9</v>
      </c>
      <c t="s" s="6" r="AK536">
        <v>92</v>
      </c>
      <c s="6" r="AL536">
        <v>9</v>
      </c>
      <c t="s" s="6" r="AM536">
        <v>92</v>
      </c>
      <c t="s" s="6" r="AN536">
        <v>92</v>
      </c>
      <c s="6" r="AP536">
        <v>9</v>
      </c>
      <c t="s" s="6" r="AQ536">
        <v>149</v>
      </c>
      <c t="s" s="6" r="AR536">
        <v>4248</v>
      </c>
      <c s="6" r="AS536">
        <v>0</v>
      </c>
      <c s="6" r="AT536">
        <v>0</v>
      </c>
      <c s="6" r="AU536">
        <v>0</v>
      </c>
      <c s="6" r="AV536">
        <v>0</v>
      </c>
      <c s="6" r="AW536">
        <v>0</v>
      </c>
      <c s="6" r="AX536">
        <v>0</v>
      </c>
      <c s="6" r="AY536">
        <v>0</v>
      </c>
      <c s="6" r="AZ536">
        <v>0</v>
      </c>
      <c s="6" r="BA536">
        <v>0</v>
      </c>
      <c s="6" r="BB536">
        <v>0</v>
      </c>
      <c s="6" r="BC536">
        <v>0</v>
      </c>
      <c s="6" r="BD536">
        <v>0</v>
      </c>
      <c s="6" r="BE536">
        <v>0</v>
      </c>
      <c s="6" r="BF536">
        <v>0</v>
      </c>
      <c s="6" r="BG536">
        <v>0</v>
      </c>
      <c s="6" r="BH536">
        <v>0</v>
      </c>
      <c s="6" r="BI536">
        <v>0</v>
      </c>
      <c s="6" r="BJ536">
        <v>0</v>
      </c>
      <c s="6" r="BK536">
        <v>0</v>
      </c>
      <c s="6" r="BL536">
        <v>0</v>
      </c>
      <c s="6" r="BM536">
        <v>0</v>
      </c>
      <c s="6" r="BN536">
        <v>0</v>
      </c>
      <c s="6" r="BO536">
        <v>0</v>
      </c>
      <c s="6" r="BP536">
        <v>0</v>
      </c>
      <c s="6" r="BQ536">
        <v>0</v>
      </c>
      <c t="str" s="6" r="BR536">
        <f>HYPERLINK("http://www.d20pfsrd.com/magic/all-spells/s/summon-monster-i#TOC-Summon-Monster-IX","Summon Monster IX")</f>
        <v>Summon Monster IX</v>
      </c>
      <c s="6" r="BS536">
        <v>537</v>
      </c>
      <c t="s" s="6" r="BT536">
        <v>92</v>
      </c>
      <c t="s" s="6" r="BU536">
        <v>697</v>
      </c>
      <c s="6" r="BY536">
        <v>0</v>
      </c>
    </row>
    <row customHeight="1" r="537" ht="14.25">
      <c t="s" s="6" r="A537">
        <v>4289</v>
      </c>
      <c t="s" s="6" r="B537">
        <v>78</v>
      </c>
      <c t="s" s="6" r="C537">
        <v>1042</v>
      </c>
      <c t="s" s="6" r="E537">
        <v>656</v>
      </c>
      <c t="s" s="6" r="F537">
        <v>272</v>
      </c>
      <c t="s" s="6" r="G537">
        <v>119</v>
      </c>
      <c s="6" r="H537">
        <v>0</v>
      </c>
      <c t="s" s="6" r="I537">
        <v>107</v>
      </c>
      <c t="s" s="6" r="K537">
        <v>4244</v>
      </c>
      <c t="s" s="6" r="M537">
        <v>99</v>
      </c>
      <c s="6" r="N537">
        <v>1</v>
      </c>
      <c s="6" r="O537">
        <v>0</v>
      </c>
      <c t="s" s="6" r="P537">
        <v>86</v>
      </c>
      <c t="s" s="6" r="Q537">
        <v>87</v>
      </c>
      <c t="s" s="6" r="R537">
        <v>4290</v>
      </c>
      <c t="s" s="6" r="S537">
        <v>4291</v>
      </c>
      <c t="s" s="6" r="T537">
        <v>90</v>
      </c>
      <c t="s" s="6" r="U537">
        <v>4292</v>
      </c>
      <c s="6" r="V537">
        <v>1</v>
      </c>
      <c s="6" r="W537">
        <v>1</v>
      </c>
      <c s="6" r="X537">
        <v>0</v>
      </c>
      <c s="6" r="Y537">
        <v>0</v>
      </c>
      <c s="6" r="Z537">
        <v>1</v>
      </c>
      <c t="s" s="6" r="AA537">
        <v>92</v>
      </c>
      <c t="s" s="6" r="AB537">
        <v>92</v>
      </c>
      <c t="s" s="6" r="AC537">
        <v>92</v>
      </c>
      <c s="6" r="AD537">
        <v>1</v>
      </c>
      <c s="6" r="AE537">
        <v>1</v>
      </c>
      <c t="s" s="6" r="AF537">
        <v>92</v>
      </c>
      <c t="s" s="6" r="AG537">
        <v>92</v>
      </c>
      <c t="s" s="6" r="AH537">
        <v>92</v>
      </c>
      <c t="s" s="6" r="AI537">
        <v>92</v>
      </c>
      <c t="s" s="6" r="AJ537">
        <v>92</v>
      </c>
      <c t="s" s="6" r="AK537">
        <v>92</v>
      </c>
      <c t="s" s="6" r="AL537">
        <v>92</v>
      </c>
      <c t="s" s="6" r="AM537">
        <v>92</v>
      </c>
      <c t="s" s="6" r="AN537">
        <v>92</v>
      </c>
      <c s="6" r="AP537">
        <v>1</v>
      </c>
      <c t="s" s="6" r="AR537">
        <v>4293</v>
      </c>
      <c s="6" r="AS537">
        <v>0</v>
      </c>
      <c s="6" r="AT537">
        <v>0</v>
      </c>
      <c s="6" r="AU537">
        <v>0</v>
      </c>
      <c s="6" r="AV537">
        <v>0</v>
      </c>
      <c s="6" r="AW537">
        <v>0</v>
      </c>
      <c s="6" r="AX537">
        <v>0</v>
      </c>
      <c s="6" r="AY537">
        <v>0</v>
      </c>
      <c s="6" r="AZ537">
        <v>0</v>
      </c>
      <c s="6" r="BA537">
        <v>0</v>
      </c>
      <c s="6" r="BB537">
        <v>0</v>
      </c>
      <c s="6" r="BC537">
        <v>0</v>
      </c>
      <c s="6" r="BD537">
        <v>0</v>
      </c>
      <c s="6" r="BE537">
        <v>0</v>
      </c>
      <c s="6" r="BF537">
        <v>0</v>
      </c>
      <c s="6" r="BG537">
        <v>0</v>
      </c>
      <c s="6" r="BH537">
        <v>0</v>
      </c>
      <c s="6" r="BI537">
        <v>0</v>
      </c>
      <c s="6" r="BJ537">
        <v>0</v>
      </c>
      <c s="6" r="BK537">
        <v>0</v>
      </c>
      <c s="6" r="BL537">
        <v>0</v>
      </c>
      <c s="6" r="BM537">
        <v>0</v>
      </c>
      <c s="6" r="BN537">
        <v>0</v>
      </c>
      <c s="6" r="BO537">
        <v>0</v>
      </c>
      <c s="6" r="BP537">
        <v>0</v>
      </c>
      <c s="6" r="BQ537">
        <v>0</v>
      </c>
      <c t="str" s="6" r="BR537">
        <f>HYPERLINK("http://www.d20pfsrd.com/magic/all-spells/s/summon-nature-s-ally-i","Summon Nature's Ally I")</f>
        <v>Summon Nature's Ally I</v>
      </c>
      <c s="6" r="BS537">
        <v>538</v>
      </c>
      <c t="s" s="6" r="BT537">
        <v>92</v>
      </c>
      <c s="6" r="BY537">
        <v>0</v>
      </c>
    </row>
    <row customHeight="1" r="538" ht="14.25">
      <c t="s" s="6" r="A538">
        <v>4294</v>
      </c>
      <c t="s" s="6" r="B538">
        <v>78</v>
      </c>
      <c t="s" s="6" r="C538">
        <v>1042</v>
      </c>
      <c t="s" s="6" r="E538">
        <v>4295</v>
      </c>
      <c t="s" s="6" r="F538">
        <v>272</v>
      </c>
      <c t="s" s="6" r="G538">
        <v>119</v>
      </c>
      <c s="6" r="H538">
        <v>0</v>
      </c>
      <c t="s" s="6" r="I538">
        <v>107</v>
      </c>
      <c t="s" s="6" r="K538">
        <v>4244</v>
      </c>
      <c t="s" s="6" r="M538">
        <v>99</v>
      </c>
      <c s="6" r="N538">
        <v>1</v>
      </c>
      <c s="6" r="O538">
        <v>0</v>
      </c>
      <c t="s" s="6" r="P538">
        <v>86</v>
      </c>
      <c t="s" s="6" r="Q538">
        <v>87</v>
      </c>
      <c t="s" s="6" r="R538">
        <v>4296</v>
      </c>
      <c t="s" s="6" r="S538">
        <v>4297</v>
      </c>
      <c t="s" s="6" r="T538">
        <v>90</v>
      </c>
      <c t="s" s="6" r="U538">
        <v>4298</v>
      </c>
      <c s="6" r="V538">
        <v>1</v>
      </c>
      <c s="6" r="W538">
        <v>1</v>
      </c>
      <c s="6" r="X538">
        <v>0</v>
      </c>
      <c s="6" r="Y538">
        <v>0</v>
      </c>
      <c s="6" r="Z538">
        <v>1</v>
      </c>
      <c t="s" s="6" r="AA538">
        <v>92</v>
      </c>
      <c t="s" s="6" r="AB538">
        <v>92</v>
      </c>
      <c t="s" s="6" r="AC538">
        <v>92</v>
      </c>
      <c s="6" r="AD538">
        <v>2</v>
      </c>
      <c s="6" r="AE538">
        <v>2</v>
      </c>
      <c t="s" s="6" r="AF538">
        <v>92</v>
      </c>
      <c t="s" s="6" r="AG538">
        <v>92</v>
      </c>
      <c t="s" s="6" r="AH538">
        <v>92</v>
      </c>
      <c t="s" s="6" r="AI538">
        <v>92</v>
      </c>
      <c t="s" s="6" r="AJ538">
        <v>92</v>
      </c>
      <c t="s" s="6" r="AK538">
        <v>92</v>
      </c>
      <c t="s" s="6" r="AL538">
        <v>92</v>
      </c>
      <c t="s" s="6" r="AM538">
        <v>92</v>
      </c>
      <c t="s" s="6" r="AN538">
        <v>92</v>
      </c>
      <c s="6" r="AP538">
        <v>2</v>
      </c>
      <c t="s" s="6" r="AR538">
        <v>4293</v>
      </c>
      <c s="6" r="AS538">
        <v>0</v>
      </c>
      <c s="6" r="AT538">
        <v>0</v>
      </c>
      <c s="6" r="AU538">
        <v>0</v>
      </c>
      <c s="6" r="AV538">
        <v>0</v>
      </c>
      <c s="6" r="AW538">
        <v>0</v>
      </c>
      <c s="6" r="AX538">
        <v>0</v>
      </c>
      <c s="6" r="AY538">
        <v>0</v>
      </c>
      <c s="6" r="AZ538">
        <v>0</v>
      </c>
      <c s="6" r="BA538">
        <v>0</v>
      </c>
      <c s="6" r="BB538">
        <v>0</v>
      </c>
      <c s="6" r="BC538">
        <v>0</v>
      </c>
      <c s="6" r="BD538">
        <v>0</v>
      </c>
      <c s="6" r="BE538">
        <v>0</v>
      </c>
      <c s="6" r="BF538">
        <v>0</v>
      </c>
      <c s="6" r="BG538">
        <v>0</v>
      </c>
      <c s="6" r="BH538">
        <v>0</v>
      </c>
      <c s="6" r="BI538">
        <v>0</v>
      </c>
      <c s="6" r="BJ538">
        <v>0</v>
      </c>
      <c s="6" r="BK538">
        <v>0</v>
      </c>
      <c s="6" r="BL538">
        <v>0</v>
      </c>
      <c s="6" r="BM538">
        <v>0</v>
      </c>
      <c s="6" r="BN538">
        <v>0</v>
      </c>
      <c s="6" r="BO538">
        <v>0</v>
      </c>
      <c s="6" r="BP538">
        <v>0</v>
      </c>
      <c s="6" r="BQ538">
        <v>0</v>
      </c>
      <c t="str" s="6" r="BR538">
        <f>HYPERLINK("http://www.d20pfsrd.com/magic/all-spells/s/summon-nature-s-ally-i","Summon Nature's Ally II")</f>
        <v>Summon Nature's Ally II</v>
      </c>
      <c s="6" r="BS538">
        <v>539</v>
      </c>
      <c t="s" s="6" r="BT538">
        <v>92</v>
      </c>
      <c s="6" r="BY538">
        <v>0</v>
      </c>
    </row>
    <row customHeight="1" r="539" ht="14.25">
      <c t="s" s="6" r="A539">
        <v>4299</v>
      </c>
      <c t="s" s="6" r="B539">
        <v>78</v>
      </c>
      <c t="s" s="6" r="C539">
        <v>1042</v>
      </c>
      <c t="s" s="6" r="D539">
        <v>141</v>
      </c>
      <c t="s" s="6" r="E539">
        <v>1366</v>
      </c>
      <c t="s" s="6" r="F539">
        <v>272</v>
      </c>
      <c t="s" s="6" r="G539">
        <v>119</v>
      </c>
      <c s="6" r="H539">
        <v>0</v>
      </c>
      <c t="s" s="6" r="I539">
        <v>107</v>
      </c>
      <c t="s" s="6" r="K539">
        <v>4244</v>
      </c>
      <c t="s" s="6" r="M539">
        <v>99</v>
      </c>
      <c s="6" r="N539">
        <v>1</v>
      </c>
      <c s="6" r="O539">
        <v>0</v>
      </c>
      <c t="s" s="6" r="P539">
        <v>86</v>
      </c>
      <c t="s" s="6" r="Q539">
        <v>87</v>
      </c>
      <c t="s" s="6" r="R539">
        <v>4300</v>
      </c>
      <c t="s" s="6" r="S539">
        <v>4301</v>
      </c>
      <c t="s" s="6" r="T539">
        <v>90</v>
      </c>
      <c t="s" s="6" r="U539">
        <v>4302</v>
      </c>
      <c s="6" r="V539">
        <v>1</v>
      </c>
      <c s="6" r="W539">
        <v>1</v>
      </c>
      <c s="6" r="X539">
        <v>0</v>
      </c>
      <c s="6" r="Y539">
        <v>0</v>
      </c>
      <c s="6" r="Z539">
        <v>1</v>
      </c>
      <c t="s" s="6" r="AA539">
        <v>92</v>
      </c>
      <c t="s" s="6" r="AB539">
        <v>92</v>
      </c>
      <c t="s" s="6" r="AC539">
        <v>92</v>
      </c>
      <c s="6" r="AD539">
        <v>3</v>
      </c>
      <c s="6" r="AE539">
        <v>3</v>
      </c>
      <c t="s" s="6" r="AF539">
        <v>92</v>
      </c>
      <c t="s" s="6" r="AG539">
        <v>92</v>
      </c>
      <c t="s" s="6" r="AH539">
        <v>92</v>
      </c>
      <c t="s" s="6" r="AI539">
        <v>92</v>
      </c>
      <c t="s" s="6" r="AJ539">
        <v>92</v>
      </c>
      <c t="s" s="6" r="AK539">
        <v>92</v>
      </c>
      <c t="s" s="6" r="AL539">
        <v>92</v>
      </c>
      <c t="s" s="6" r="AM539">
        <v>92</v>
      </c>
      <c t="s" s="6" r="AN539">
        <v>92</v>
      </c>
      <c s="6" r="AP539">
        <v>3</v>
      </c>
      <c t="s" s="6" r="AR539">
        <v>4293</v>
      </c>
      <c s="6" r="AS539">
        <v>0</v>
      </c>
      <c s="6" r="AT539">
        <v>0</v>
      </c>
      <c s="6" r="AU539">
        <v>0</v>
      </c>
      <c s="6" r="AV539">
        <v>0</v>
      </c>
      <c s="6" r="AW539">
        <v>0</v>
      </c>
      <c s="6" r="AX539">
        <v>0</v>
      </c>
      <c s="6" r="AY539">
        <v>0</v>
      </c>
      <c s="6" r="AZ539">
        <v>0</v>
      </c>
      <c s="6" r="BA539">
        <v>0</v>
      </c>
      <c s="6" r="BB539">
        <v>0</v>
      </c>
      <c s="6" r="BC539">
        <v>0</v>
      </c>
      <c s="6" r="BD539">
        <v>0</v>
      </c>
      <c s="6" r="BE539">
        <v>0</v>
      </c>
      <c s="6" r="BF539">
        <v>0</v>
      </c>
      <c s="6" r="BG539">
        <v>0</v>
      </c>
      <c s="6" r="BH539">
        <v>0</v>
      </c>
      <c s="6" r="BI539">
        <v>0</v>
      </c>
      <c s="6" r="BJ539">
        <v>0</v>
      </c>
      <c s="6" r="BK539">
        <v>0</v>
      </c>
      <c s="6" r="BL539">
        <v>0</v>
      </c>
      <c s="6" r="BM539">
        <v>0</v>
      </c>
      <c s="6" r="BN539">
        <v>0</v>
      </c>
      <c s="6" r="BO539">
        <v>0</v>
      </c>
      <c s="6" r="BP539">
        <v>0</v>
      </c>
      <c s="6" r="BQ539">
        <v>0</v>
      </c>
      <c t="str" s="6" r="BR539">
        <f>HYPERLINK("http://www.d20pfsrd.com/magic/all-spells/s/summon-nature-s-ally-i","Summon Nature's Ally III")</f>
        <v>Summon Nature's Ally III</v>
      </c>
      <c s="6" r="BS539">
        <v>540</v>
      </c>
      <c t="s" s="6" r="BT539">
        <v>92</v>
      </c>
      <c s="6" r="BY539">
        <v>0</v>
      </c>
    </row>
    <row customHeight="1" r="540" ht="14.25">
      <c t="s" s="6" r="A540">
        <v>4303</v>
      </c>
      <c t="s" s="6" r="B540">
        <v>78</v>
      </c>
      <c t="s" s="6" r="C540">
        <v>1042</v>
      </c>
      <c t="s" s="6" r="D540">
        <v>141</v>
      </c>
      <c t="s" s="6" r="E540">
        <v>4304</v>
      </c>
      <c t="s" s="6" r="F540">
        <v>272</v>
      </c>
      <c t="s" s="6" r="G540">
        <v>119</v>
      </c>
      <c s="6" r="H540">
        <v>0</v>
      </c>
      <c t="s" s="6" r="I540">
        <v>107</v>
      </c>
      <c t="s" s="6" r="K540">
        <v>4244</v>
      </c>
      <c t="s" s="6" r="M540">
        <v>99</v>
      </c>
      <c s="6" r="N540">
        <v>1</v>
      </c>
      <c s="6" r="O540">
        <v>0</v>
      </c>
      <c t="s" s="6" r="P540">
        <v>86</v>
      </c>
      <c t="s" s="6" r="Q540">
        <v>87</v>
      </c>
      <c t="s" s="6" r="R540">
        <v>4305</v>
      </c>
      <c t="s" s="6" r="S540">
        <v>4306</v>
      </c>
      <c t="s" s="6" r="T540">
        <v>90</v>
      </c>
      <c t="s" s="6" r="U540">
        <v>4307</v>
      </c>
      <c s="6" r="V540">
        <v>1</v>
      </c>
      <c s="6" r="W540">
        <v>1</v>
      </c>
      <c s="6" r="X540">
        <v>0</v>
      </c>
      <c s="6" r="Y540">
        <v>0</v>
      </c>
      <c s="6" r="Z540">
        <v>1</v>
      </c>
      <c t="s" s="6" r="AA540">
        <v>92</v>
      </c>
      <c t="s" s="6" r="AB540">
        <v>92</v>
      </c>
      <c t="s" s="6" r="AC540">
        <v>92</v>
      </c>
      <c s="6" r="AD540">
        <v>4</v>
      </c>
      <c s="6" r="AE540">
        <v>4</v>
      </c>
      <c t="s" s="6" r="AF540">
        <v>92</v>
      </c>
      <c t="s" s="6" r="AG540">
        <v>92</v>
      </c>
      <c t="s" s="6" r="AH540">
        <v>92</v>
      </c>
      <c t="s" s="6" r="AI540">
        <v>92</v>
      </c>
      <c t="s" s="6" r="AJ540">
        <v>92</v>
      </c>
      <c t="s" s="6" r="AK540">
        <v>92</v>
      </c>
      <c t="s" s="6" r="AL540">
        <v>92</v>
      </c>
      <c t="s" s="6" r="AM540">
        <v>92</v>
      </c>
      <c t="s" s="6" r="AN540">
        <v>92</v>
      </c>
      <c s="6" r="AP540">
        <v>4</v>
      </c>
      <c t="s" s="6" r="AQ540">
        <v>454</v>
      </c>
      <c t="s" s="6" r="AR540">
        <v>4293</v>
      </c>
      <c s="6" r="AS540">
        <v>0</v>
      </c>
      <c s="6" r="AT540">
        <v>0</v>
      </c>
      <c s="6" r="AU540">
        <v>0</v>
      </c>
      <c s="6" r="AV540">
        <v>0</v>
      </c>
      <c s="6" r="AW540">
        <v>0</v>
      </c>
      <c s="6" r="AX540">
        <v>0</v>
      </c>
      <c s="6" r="AY540">
        <v>0</v>
      </c>
      <c s="6" r="AZ540">
        <v>0</v>
      </c>
      <c s="6" r="BA540">
        <v>0</v>
      </c>
      <c s="6" r="BB540">
        <v>0</v>
      </c>
      <c s="6" r="BC540">
        <v>0</v>
      </c>
      <c s="6" r="BD540">
        <v>0</v>
      </c>
      <c s="6" r="BE540">
        <v>0</v>
      </c>
      <c s="6" r="BF540">
        <v>0</v>
      </c>
      <c s="6" r="BG540">
        <v>0</v>
      </c>
      <c s="6" r="BH540">
        <v>0</v>
      </c>
      <c s="6" r="BI540">
        <v>0</v>
      </c>
      <c s="6" r="BJ540">
        <v>0</v>
      </c>
      <c s="6" r="BK540">
        <v>0</v>
      </c>
      <c s="6" r="BL540">
        <v>0</v>
      </c>
      <c s="6" r="BM540">
        <v>0</v>
      </c>
      <c s="6" r="BN540">
        <v>0</v>
      </c>
      <c s="6" r="BO540">
        <v>0</v>
      </c>
      <c s="6" r="BP540">
        <v>0</v>
      </c>
      <c s="6" r="BQ540">
        <v>0</v>
      </c>
      <c t="str" s="6" r="BR540">
        <f>HYPERLINK("http://www.d20pfsrd.com/magic/all-spells/s/summon-nature-s-ally-i","Summon Nature's Ally IV")</f>
        <v>Summon Nature's Ally IV</v>
      </c>
      <c s="6" r="BS540">
        <v>541</v>
      </c>
      <c t="s" s="6" r="BT540">
        <v>92</v>
      </c>
      <c t="s" s="6" r="BV540">
        <v>194</v>
      </c>
      <c s="6" r="BY540">
        <v>0</v>
      </c>
    </row>
    <row customHeight="1" r="541" ht="14.25">
      <c t="s" s="6" r="A541">
        <v>4308</v>
      </c>
      <c t="s" s="6" r="B541">
        <v>78</v>
      </c>
      <c t="s" s="6" r="C541">
        <v>1042</v>
      </c>
      <c t="s" s="6" r="D541">
        <v>141</v>
      </c>
      <c t="s" s="6" r="E541">
        <v>378</v>
      </c>
      <c t="s" s="6" r="F541">
        <v>272</v>
      </c>
      <c t="s" s="6" r="G541">
        <v>119</v>
      </c>
      <c s="6" r="H541">
        <v>0</v>
      </c>
      <c t="s" s="6" r="I541">
        <v>107</v>
      </c>
      <c t="s" s="6" r="K541">
        <v>4244</v>
      </c>
      <c t="s" s="6" r="M541">
        <v>99</v>
      </c>
      <c s="6" r="N541">
        <v>1</v>
      </c>
      <c s="6" r="O541">
        <v>0</v>
      </c>
      <c t="s" s="6" r="P541">
        <v>86</v>
      </c>
      <c t="s" s="6" r="Q541">
        <v>87</v>
      </c>
      <c t="s" s="6" r="R541">
        <v>4309</v>
      </c>
      <c t="s" s="6" r="S541">
        <v>4310</v>
      </c>
      <c t="s" s="6" r="T541">
        <v>90</v>
      </c>
      <c t="s" s="6" r="U541">
        <v>4311</v>
      </c>
      <c s="6" r="V541">
        <v>1</v>
      </c>
      <c s="6" r="W541">
        <v>1</v>
      </c>
      <c s="6" r="X541">
        <v>0</v>
      </c>
      <c s="6" r="Y541">
        <v>0</v>
      </c>
      <c s="6" r="Z541">
        <v>1</v>
      </c>
      <c t="s" s="6" r="AA541">
        <v>92</v>
      </c>
      <c t="s" s="6" r="AB541">
        <v>92</v>
      </c>
      <c t="s" s="6" r="AC541">
        <v>92</v>
      </c>
      <c s="6" r="AD541">
        <v>5</v>
      </c>
      <c t="s" s="6" r="AE541">
        <v>92</v>
      </c>
      <c t="s" s="6" r="AF541">
        <v>92</v>
      </c>
      <c t="s" s="6" r="AG541">
        <v>92</v>
      </c>
      <c t="s" s="6" r="AH541">
        <v>92</v>
      </c>
      <c t="s" s="6" r="AI541">
        <v>92</v>
      </c>
      <c t="s" s="6" r="AJ541">
        <v>92</v>
      </c>
      <c t="s" s="6" r="AK541">
        <v>92</v>
      </c>
      <c t="s" s="6" r="AL541">
        <v>92</v>
      </c>
      <c t="s" s="6" r="AM541">
        <v>92</v>
      </c>
      <c t="s" s="6" r="AN541">
        <v>92</v>
      </c>
      <c s="6" r="AP541">
        <v>5</v>
      </c>
      <c t="s" s="6" r="AR541">
        <v>4312</v>
      </c>
      <c s="6" r="AS541">
        <v>0</v>
      </c>
      <c s="6" r="AT541">
        <v>0</v>
      </c>
      <c s="6" r="AU541">
        <v>0</v>
      </c>
      <c s="6" r="AV541">
        <v>0</v>
      </c>
      <c s="6" r="AW541">
        <v>0</v>
      </c>
      <c s="6" r="AX541">
        <v>0</v>
      </c>
      <c s="6" r="AY541">
        <v>0</v>
      </c>
      <c s="6" r="AZ541">
        <v>0</v>
      </c>
      <c s="6" r="BA541">
        <v>0</v>
      </c>
      <c s="6" r="BB541">
        <v>0</v>
      </c>
      <c s="6" r="BC541">
        <v>0</v>
      </c>
      <c s="6" r="BD541">
        <v>0</v>
      </c>
      <c s="6" r="BE541">
        <v>0</v>
      </c>
      <c s="6" r="BF541">
        <v>0</v>
      </c>
      <c s="6" r="BG541">
        <v>0</v>
      </c>
      <c s="6" r="BH541">
        <v>0</v>
      </c>
      <c s="6" r="BI541">
        <v>0</v>
      </c>
      <c s="6" r="BJ541">
        <v>0</v>
      </c>
      <c s="6" r="BK541">
        <v>0</v>
      </c>
      <c s="6" r="BL541">
        <v>0</v>
      </c>
      <c s="6" r="BM541">
        <v>0</v>
      </c>
      <c s="6" r="BN541">
        <v>0</v>
      </c>
      <c s="6" r="BO541">
        <v>0</v>
      </c>
      <c s="6" r="BP541">
        <v>0</v>
      </c>
      <c s="6" r="BQ541">
        <v>0</v>
      </c>
      <c t="str" s="6" r="BR541">
        <f>HYPERLINK("http://www.d20pfsrd.com/magic/all-spells/s/summon-nature-s-ally-i","Summon Nature's Ally V")</f>
        <v>Summon Nature's Ally V</v>
      </c>
      <c s="6" r="BS541">
        <v>542</v>
      </c>
      <c t="s" s="6" r="BT541">
        <v>92</v>
      </c>
      <c s="6" r="BY541">
        <v>0</v>
      </c>
    </row>
    <row customHeight="1" r="542" ht="14.25">
      <c t="s" s="6" r="A542">
        <v>4313</v>
      </c>
      <c t="s" s="6" r="B542">
        <v>78</v>
      </c>
      <c t="s" s="6" r="C542">
        <v>1042</v>
      </c>
      <c t="s" s="6" r="D542">
        <v>141</v>
      </c>
      <c t="s" s="6" r="E542">
        <v>1799</v>
      </c>
      <c t="s" s="6" r="F542">
        <v>272</v>
      </c>
      <c t="s" s="6" r="G542">
        <v>119</v>
      </c>
      <c s="6" r="H542">
        <v>0</v>
      </c>
      <c t="s" s="6" r="I542">
        <v>107</v>
      </c>
      <c t="s" s="6" r="K542">
        <v>4244</v>
      </c>
      <c t="s" s="6" r="M542">
        <v>99</v>
      </c>
      <c s="6" r="N542">
        <v>1</v>
      </c>
      <c s="6" r="O542">
        <v>0</v>
      </c>
      <c t="s" s="6" r="P542">
        <v>86</v>
      </c>
      <c t="s" s="6" r="Q542">
        <v>87</v>
      </c>
      <c t="s" s="6" r="R542">
        <v>4314</v>
      </c>
      <c t="s" s="6" r="S542">
        <v>4315</v>
      </c>
      <c t="s" s="6" r="T542">
        <v>90</v>
      </c>
      <c t="s" s="6" r="U542">
        <v>4316</v>
      </c>
      <c s="6" r="V542">
        <v>1</v>
      </c>
      <c s="6" r="W542">
        <v>1</v>
      </c>
      <c s="6" r="X542">
        <v>0</v>
      </c>
      <c s="6" r="Y542">
        <v>0</v>
      </c>
      <c s="6" r="Z542">
        <v>1</v>
      </c>
      <c t="s" s="6" r="AA542">
        <v>92</v>
      </c>
      <c t="s" s="6" r="AB542">
        <v>92</v>
      </c>
      <c t="s" s="6" r="AC542">
        <v>92</v>
      </c>
      <c s="6" r="AD542">
        <v>6</v>
      </c>
      <c t="s" s="6" r="AE542">
        <v>92</v>
      </c>
      <c t="s" s="6" r="AF542">
        <v>92</v>
      </c>
      <c t="s" s="6" r="AG542">
        <v>92</v>
      </c>
      <c t="s" s="6" r="AH542">
        <v>92</v>
      </c>
      <c t="s" s="6" r="AI542">
        <v>92</v>
      </c>
      <c t="s" s="6" r="AJ542">
        <v>92</v>
      </c>
      <c t="s" s="6" r="AK542">
        <v>92</v>
      </c>
      <c t="s" s="6" r="AL542">
        <v>92</v>
      </c>
      <c t="s" s="6" r="AM542">
        <v>92</v>
      </c>
      <c t="s" s="6" r="AN542">
        <v>92</v>
      </c>
      <c s="6" r="AP542">
        <v>6</v>
      </c>
      <c t="s" s="6" r="AR542">
        <v>4312</v>
      </c>
      <c s="6" r="AS542">
        <v>0</v>
      </c>
      <c s="6" r="AT542">
        <v>0</v>
      </c>
      <c s="6" r="AU542">
        <v>0</v>
      </c>
      <c s="6" r="AV542">
        <v>0</v>
      </c>
      <c s="6" r="AW542">
        <v>0</v>
      </c>
      <c s="6" r="AX542">
        <v>0</v>
      </c>
      <c s="6" r="AY542">
        <v>0</v>
      </c>
      <c s="6" r="AZ542">
        <v>0</v>
      </c>
      <c s="6" r="BA542">
        <v>0</v>
      </c>
      <c s="6" r="BB542">
        <v>0</v>
      </c>
      <c s="6" r="BC542">
        <v>0</v>
      </c>
      <c s="6" r="BD542">
        <v>0</v>
      </c>
      <c s="6" r="BE542">
        <v>0</v>
      </c>
      <c s="6" r="BF542">
        <v>0</v>
      </c>
      <c s="6" r="BG542">
        <v>0</v>
      </c>
      <c s="6" r="BH542">
        <v>0</v>
      </c>
      <c s="6" r="BI542">
        <v>0</v>
      </c>
      <c s="6" r="BJ542">
        <v>0</v>
      </c>
      <c s="6" r="BK542">
        <v>0</v>
      </c>
      <c s="6" r="BL542">
        <v>0</v>
      </c>
      <c s="6" r="BM542">
        <v>0</v>
      </c>
      <c s="6" r="BN542">
        <v>0</v>
      </c>
      <c s="6" r="BO542">
        <v>0</v>
      </c>
      <c s="6" r="BP542">
        <v>0</v>
      </c>
      <c s="6" r="BQ542">
        <v>0</v>
      </c>
      <c t="str" s="6" r="BR542">
        <f>HYPERLINK("http://www.d20pfsrd.com/magic/all-spells/s/summon-nature-s-ally-i","Summon Nature's Ally VI")</f>
        <v>Summon Nature's Ally VI</v>
      </c>
      <c s="6" r="BS542">
        <v>543</v>
      </c>
      <c t="s" s="6" r="BT542">
        <v>92</v>
      </c>
      <c s="6" r="BY542">
        <v>0</v>
      </c>
    </row>
    <row customHeight="1" r="543" ht="14.25">
      <c t="s" s="6" r="A543">
        <v>4317</v>
      </c>
      <c t="s" s="6" r="B543">
        <v>78</v>
      </c>
      <c t="s" s="6" r="C543">
        <v>1042</v>
      </c>
      <c t="s" s="6" r="D543">
        <v>141</v>
      </c>
      <c t="s" s="6" r="E543">
        <v>250</v>
      </c>
      <c t="s" s="6" r="F543">
        <v>272</v>
      </c>
      <c t="s" s="6" r="G543">
        <v>119</v>
      </c>
      <c s="6" r="H543">
        <v>0</v>
      </c>
      <c t="s" s="6" r="I543">
        <v>107</v>
      </c>
      <c t="s" s="6" r="K543">
        <v>4244</v>
      </c>
      <c t="s" s="6" r="M543">
        <v>99</v>
      </c>
      <c s="6" r="N543">
        <v>1</v>
      </c>
      <c s="6" r="O543">
        <v>0</v>
      </c>
      <c t="s" s="6" r="P543">
        <v>86</v>
      </c>
      <c t="s" s="6" r="Q543">
        <v>87</v>
      </c>
      <c t="s" s="6" r="R543">
        <v>4318</v>
      </c>
      <c t="s" s="6" r="S543">
        <v>4319</v>
      </c>
      <c t="s" s="6" r="T543">
        <v>90</v>
      </c>
      <c t="s" s="6" r="U543">
        <v>4320</v>
      </c>
      <c s="6" r="V543">
        <v>1</v>
      </c>
      <c s="6" r="W543">
        <v>1</v>
      </c>
      <c s="6" r="X543">
        <v>0</v>
      </c>
      <c s="6" r="Y543">
        <v>0</v>
      </c>
      <c s="6" r="Z543">
        <v>1</v>
      </c>
      <c t="s" s="6" r="AA543">
        <v>92</v>
      </c>
      <c t="s" s="6" r="AB543">
        <v>92</v>
      </c>
      <c t="s" s="6" r="AC543">
        <v>92</v>
      </c>
      <c s="6" r="AD543">
        <v>7</v>
      </c>
      <c t="s" s="6" r="AE543">
        <v>92</v>
      </c>
      <c t="s" s="6" r="AF543">
        <v>92</v>
      </c>
      <c t="s" s="6" r="AG543">
        <v>92</v>
      </c>
      <c t="s" s="6" r="AH543">
        <v>92</v>
      </c>
      <c t="s" s="6" r="AI543">
        <v>92</v>
      </c>
      <c t="s" s="6" r="AJ543">
        <v>92</v>
      </c>
      <c t="s" s="6" r="AK543">
        <v>92</v>
      </c>
      <c t="s" s="6" r="AL543">
        <v>92</v>
      </c>
      <c t="s" s="6" r="AM543">
        <v>92</v>
      </c>
      <c t="s" s="6" r="AN543">
        <v>92</v>
      </c>
      <c s="6" r="AP543">
        <v>7</v>
      </c>
      <c t="s" s="6" r="AQ543">
        <v>4321</v>
      </c>
      <c t="s" s="6" r="AR543">
        <v>4312</v>
      </c>
      <c s="6" r="AS543">
        <v>0</v>
      </c>
      <c s="6" r="AT543">
        <v>0</v>
      </c>
      <c s="6" r="AU543">
        <v>0</v>
      </c>
      <c s="6" r="AV543">
        <v>0</v>
      </c>
      <c s="6" r="AW543">
        <v>0</v>
      </c>
      <c s="6" r="AX543">
        <v>0</v>
      </c>
      <c s="6" r="AY543">
        <v>0</v>
      </c>
      <c s="6" r="AZ543">
        <v>0</v>
      </c>
      <c s="6" r="BA543">
        <v>0</v>
      </c>
      <c s="6" r="BB543">
        <v>0</v>
      </c>
      <c s="6" r="BC543">
        <v>0</v>
      </c>
      <c s="6" r="BD543">
        <v>0</v>
      </c>
      <c s="6" r="BE543">
        <v>0</v>
      </c>
      <c s="6" r="BF543">
        <v>0</v>
      </c>
      <c s="6" r="BG543">
        <v>0</v>
      </c>
      <c s="6" r="BH543">
        <v>0</v>
      </c>
      <c s="6" r="BI543">
        <v>0</v>
      </c>
      <c s="6" r="BJ543">
        <v>0</v>
      </c>
      <c s="6" r="BK543">
        <v>0</v>
      </c>
      <c s="6" r="BL543">
        <v>0</v>
      </c>
      <c s="6" r="BM543">
        <v>0</v>
      </c>
      <c s="6" r="BN543">
        <v>0</v>
      </c>
      <c s="6" r="BO543">
        <v>0</v>
      </c>
      <c s="6" r="BP543">
        <v>0</v>
      </c>
      <c s="6" r="BQ543">
        <v>0</v>
      </c>
      <c t="str" s="6" r="BR543">
        <f>HYPERLINK("http://www.d20pfsrd.com/magic/all-spells/s/summon-nature-s-ally-i","Summon Nature's Ally VII")</f>
        <v>Summon Nature's Ally VII</v>
      </c>
      <c s="6" r="BS543">
        <v>544</v>
      </c>
      <c t="s" s="6" r="BT543">
        <v>92</v>
      </c>
      <c s="6" r="BY543">
        <v>0</v>
      </c>
    </row>
    <row customHeight="1" r="544" ht="14.25">
      <c t="s" s="6" r="A544">
        <v>4322</v>
      </c>
      <c t="s" s="6" r="B544">
        <v>78</v>
      </c>
      <c t="s" s="6" r="C544">
        <v>1042</v>
      </c>
      <c t="s" s="6" r="D544">
        <v>141</v>
      </c>
      <c t="s" s="6" r="E544">
        <v>207</v>
      </c>
      <c t="s" s="6" r="F544">
        <v>272</v>
      </c>
      <c t="s" s="6" r="G544">
        <v>119</v>
      </c>
      <c s="6" r="H544">
        <v>0</v>
      </c>
      <c t="s" s="6" r="I544">
        <v>107</v>
      </c>
      <c t="s" s="6" r="K544">
        <v>4244</v>
      </c>
      <c t="s" s="6" r="M544">
        <v>99</v>
      </c>
      <c s="6" r="N544">
        <v>1</v>
      </c>
      <c s="6" r="O544">
        <v>0</v>
      </c>
      <c t="s" s="6" r="P544">
        <v>86</v>
      </c>
      <c t="s" s="6" r="Q544">
        <v>87</v>
      </c>
      <c t="s" s="6" r="R544">
        <v>4323</v>
      </c>
      <c t="s" s="6" r="S544">
        <v>4324</v>
      </c>
      <c t="s" s="6" r="T544">
        <v>90</v>
      </c>
      <c t="s" s="6" r="U544">
        <v>4325</v>
      </c>
      <c s="6" r="V544">
        <v>1</v>
      </c>
      <c s="6" r="W544">
        <v>1</v>
      </c>
      <c s="6" r="X544">
        <v>0</v>
      </c>
      <c s="6" r="Y544">
        <v>0</v>
      </c>
      <c s="6" r="Z544">
        <v>1</v>
      </c>
      <c t="s" s="6" r="AA544">
        <v>92</v>
      </c>
      <c t="s" s="6" r="AB544">
        <v>92</v>
      </c>
      <c t="s" s="6" r="AC544">
        <v>92</v>
      </c>
      <c s="6" r="AD544">
        <v>8</v>
      </c>
      <c t="s" s="6" r="AE544">
        <v>92</v>
      </c>
      <c t="s" s="6" r="AF544">
        <v>92</v>
      </c>
      <c t="s" s="6" r="AG544">
        <v>92</v>
      </c>
      <c t="s" s="6" r="AH544">
        <v>92</v>
      </c>
      <c t="s" s="6" r="AI544">
        <v>92</v>
      </c>
      <c t="s" s="6" r="AJ544">
        <v>92</v>
      </c>
      <c t="s" s="6" r="AK544">
        <v>92</v>
      </c>
      <c t="s" s="6" r="AL544">
        <v>92</v>
      </c>
      <c t="s" s="6" r="AM544">
        <v>92</v>
      </c>
      <c t="s" s="6" r="AN544">
        <v>92</v>
      </c>
      <c s="6" r="AP544">
        <v>8</v>
      </c>
      <c t="s" s="6" r="AQ544">
        <v>661</v>
      </c>
      <c t="s" s="6" r="AR544">
        <v>4312</v>
      </c>
      <c s="6" r="AS544">
        <v>0</v>
      </c>
      <c s="6" r="AT544">
        <v>0</v>
      </c>
      <c s="6" r="AU544">
        <v>0</v>
      </c>
      <c s="6" r="AV544">
        <v>0</v>
      </c>
      <c s="6" r="AW544">
        <v>0</v>
      </c>
      <c s="6" r="AX544">
        <v>0</v>
      </c>
      <c s="6" r="AY544">
        <v>0</v>
      </c>
      <c s="6" r="AZ544">
        <v>0</v>
      </c>
      <c s="6" r="BA544">
        <v>0</v>
      </c>
      <c s="6" r="BB544">
        <v>0</v>
      </c>
      <c s="6" r="BC544">
        <v>0</v>
      </c>
      <c s="6" r="BD544">
        <v>0</v>
      </c>
      <c s="6" r="BE544">
        <v>0</v>
      </c>
      <c s="6" r="BF544">
        <v>0</v>
      </c>
      <c s="6" r="BG544">
        <v>0</v>
      </c>
      <c s="6" r="BH544">
        <v>0</v>
      </c>
      <c s="6" r="BI544">
        <v>0</v>
      </c>
      <c s="6" r="BJ544">
        <v>0</v>
      </c>
      <c s="6" r="BK544">
        <v>0</v>
      </c>
      <c s="6" r="BL544">
        <v>0</v>
      </c>
      <c s="6" r="BM544">
        <v>0</v>
      </c>
      <c s="6" r="BN544">
        <v>0</v>
      </c>
      <c s="6" r="BO544">
        <v>0</v>
      </c>
      <c s="6" r="BP544">
        <v>0</v>
      </c>
      <c s="6" r="BQ544">
        <v>0</v>
      </c>
      <c t="str" s="6" r="BR544">
        <f>HYPERLINK("http://www.d20pfsrd.com/magic/all-spells/s/summon-nature-s-ally-i","Summon Nature's Ally VIII")</f>
        <v>Summon Nature's Ally VIII</v>
      </c>
      <c s="6" r="BS544">
        <v>545</v>
      </c>
      <c t="s" s="6" r="BT544">
        <v>92</v>
      </c>
      <c s="6" r="BY544">
        <v>0</v>
      </c>
    </row>
    <row customHeight="1" r="545" ht="14.25">
      <c t="s" s="6" r="A545">
        <v>4326</v>
      </c>
      <c t="s" s="6" r="B545">
        <v>78</v>
      </c>
      <c t="s" s="6" r="C545">
        <v>1042</v>
      </c>
      <c t="s" s="6" r="D545">
        <v>141</v>
      </c>
      <c t="s" s="6" r="E545">
        <v>3866</v>
      </c>
      <c t="s" s="6" r="F545">
        <v>272</v>
      </c>
      <c t="s" s="6" r="G545">
        <v>119</v>
      </c>
      <c s="6" r="H545">
        <v>0</v>
      </c>
      <c t="s" s="6" r="I545">
        <v>107</v>
      </c>
      <c t="s" s="6" r="K545">
        <v>4244</v>
      </c>
      <c t="s" s="6" r="M545">
        <v>99</v>
      </c>
      <c s="6" r="N545">
        <v>1</v>
      </c>
      <c s="6" r="O545">
        <v>0</v>
      </c>
      <c t="s" s="6" r="P545">
        <v>86</v>
      </c>
      <c t="s" s="6" r="Q545">
        <v>87</v>
      </c>
      <c t="s" s="6" r="R545">
        <v>4327</v>
      </c>
      <c t="s" s="6" r="S545">
        <v>4328</v>
      </c>
      <c t="s" s="6" r="T545">
        <v>90</v>
      </c>
      <c t="s" s="6" r="U545">
        <v>4329</v>
      </c>
      <c s="6" r="V545">
        <v>1</v>
      </c>
      <c s="6" r="W545">
        <v>1</v>
      </c>
      <c s="6" r="X545">
        <v>0</v>
      </c>
      <c s="6" r="Y545">
        <v>0</v>
      </c>
      <c s="6" r="Z545">
        <v>1</v>
      </c>
      <c t="s" s="6" r="AA545">
        <v>92</v>
      </c>
      <c t="s" s="6" r="AB545">
        <v>92</v>
      </c>
      <c t="s" s="6" r="AC545">
        <v>92</v>
      </c>
      <c s="6" r="AD545">
        <v>9</v>
      </c>
      <c t="s" s="6" r="AE545">
        <v>92</v>
      </c>
      <c t="s" s="6" r="AF545">
        <v>92</v>
      </c>
      <c t="s" s="6" r="AG545">
        <v>92</v>
      </c>
      <c t="s" s="6" r="AH545">
        <v>92</v>
      </c>
      <c t="s" s="6" r="AI545">
        <v>92</v>
      </c>
      <c t="s" s="6" r="AJ545">
        <v>92</v>
      </c>
      <c t="s" s="6" r="AK545">
        <v>92</v>
      </c>
      <c t="s" s="6" r="AL545">
        <v>92</v>
      </c>
      <c t="s" s="6" r="AM545">
        <v>92</v>
      </c>
      <c t="s" s="6" r="AN545">
        <v>92</v>
      </c>
      <c s="6" r="AP545">
        <v>9</v>
      </c>
      <c t="s" s="6" r="AR545">
        <v>4312</v>
      </c>
      <c s="6" r="AS545">
        <v>0</v>
      </c>
      <c s="6" r="AT545">
        <v>0</v>
      </c>
      <c s="6" r="AU545">
        <v>0</v>
      </c>
      <c s="6" r="AV545">
        <v>0</v>
      </c>
      <c s="6" r="AW545">
        <v>0</v>
      </c>
      <c s="6" r="AX545">
        <v>0</v>
      </c>
      <c s="6" r="AY545">
        <v>0</v>
      </c>
      <c s="6" r="AZ545">
        <v>0</v>
      </c>
      <c s="6" r="BA545">
        <v>0</v>
      </c>
      <c s="6" r="BB545">
        <v>0</v>
      </c>
      <c s="6" r="BC545">
        <v>0</v>
      </c>
      <c s="6" r="BD545">
        <v>0</v>
      </c>
      <c s="6" r="BE545">
        <v>0</v>
      </c>
      <c s="6" r="BF545">
        <v>0</v>
      </c>
      <c s="6" r="BG545">
        <v>0</v>
      </c>
      <c s="6" r="BH545">
        <v>0</v>
      </c>
      <c s="6" r="BI545">
        <v>0</v>
      </c>
      <c s="6" r="BJ545">
        <v>0</v>
      </c>
      <c s="6" r="BK545">
        <v>0</v>
      </c>
      <c s="6" r="BL545">
        <v>0</v>
      </c>
      <c s="6" r="BM545">
        <v>0</v>
      </c>
      <c s="6" r="BN545">
        <v>0</v>
      </c>
      <c s="6" r="BO545">
        <v>0</v>
      </c>
      <c s="6" r="BP545">
        <v>0</v>
      </c>
      <c s="6" r="BQ545">
        <v>0</v>
      </c>
      <c t="str" s="6" r="BR545">
        <f>HYPERLINK("http://www.d20pfsrd.com/magic/all-spells/s/summon-nature-s-ally-i","Summon Nature's Ally IX")</f>
        <v>Summon Nature's Ally IX</v>
      </c>
      <c s="6" r="BS545">
        <v>546</v>
      </c>
      <c t="s" s="6" r="BT545">
        <v>92</v>
      </c>
      <c t="s" s="6" r="BV545">
        <v>194</v>
      </c>
      <c s="6" r="BY545">
        <v>0</v>
      </c>
    </row>
    <row customHeight="1" r="546" ht="14.25">
      <c t="s" s="6" r="A546">
        <v>4330</v>
      </c>
      <c t="s" s="6" r="B546">
        <v>78</v>
      </c>
      <c t="s" s="6" r="C546">
        <v>1042</v>
      </c>
      <c t="s" s="6" r="E546">
        <v>4331</v>
      </c>
      <c t="s" s="6" r="F546">
        <v>272</v>
      </c>
      <c t="s" s="6" r="G546">
        <v>4332</v>
      </c>
      <c s="6" r="H546">
        <v>0</v>
      </c>
      <c t="s" s="6" r="I546">
        <v>107</v>
      </c>
      <c t="s" s="6" r="K546">
        <v>4333</v>
      </c>
      <c t="s" s="6" r="M546">
        <v>2957</v>
      </c>
      <c s="6" r="N546">
        <v>0</v>
      </c>
      <c s="6" r="O546">
        <v>0</v>
      </c>
      <c t="s" s="6" r="P546">
        <v>86</v>
      </c>
      <c t="s" s="6" r="Q546">
        <v>87</v>
      </c>
      <c t="s" s="6" r="R546">
        <v>4334</v>
      </c>
      <c t="s" s="6" r="S546">
        <v>4335</v>
      </c>
      <c t="s" s="6" r="T546">
        <v>90</v>
      </c>
      <c t="s" s="6" r="U546">
        <v>4336</v>
      </c>
      <c s="6" r="V546">
        <v>1</v>
      </c>
      <c s="6" r="W546">
        <v>1</v>
      </c>
      <c s="6" r="X546">
        <v>1</v>
      </c>
      <c s="6" r="Y546">
        <v>0</v>
      </c>
      <c s="6" r="Z546">
        <v>1</v>
      </c>
      <c s="6" r="AA546">
        <v>2</v>
      </c>
      <c s="6" r="AB546">
        <v>2</v>
      </c>
      <c t="s" s="6" r="AC546">
        <v>92</v>
      </c>
      <c s="6" r="AD546">
        <v>2</v>
      </c>
      <c t="s" s="6" r="AE546">
        <v>92</v>
      </c>
      <c s="6" r="AF546">
        <v>2</v>
      </c>
      <c t="s" s="6" r="AG546">
        <v>92</v>
      </c>
      <c t="s" s="6" r="AH546">
        <v>92</v>
      </c>
      <c s="6" r="AI546">
        <v>2</v>
      </c>
      <c s="6" r="AJ546">
        <v>2</v>
      </c>
      <c t="s" s="6" r="AK546">
        <v>92</v>
      </c>
      <c t="s" s="6" r="AL546">
        <v>92</v>
      </c>
      <c t="s" s="6" r="AM546">
        <v>92</v>
      </c>
      <c t="s" s="6" r="AN546">
        <v>92</v>
      </c>
      <c s="6" r="AP546">
        <v>2</v>
      </c>
      <c t="s" s="6" r="AR546">
        <v>4337</v>
      </c>
      <c s="6" r="AS546">
        <v>0</v>
      </c>
      <c s="6" r="AT546">
        <v>0</v>
      </c>
      <c s="6" r="AU546">
        <v>0</v>
      </c>
      <c s="6" r="AV546">
        <v>0</v>
      </c>
      <c s="6" r="AW546">
        <v>0</v>
      </c>
      <c s="6" r="AX546">
        <v>0</v>
      </c>
      <c s="6" r="AY546">
        <v>0</v>
      </c>
      <c s="6" r="AZ546">
        <v>0</v>
      </c>
      <c s="6" r="BA546">
        <v>0</v>
      </c>
      <c s="6" r="BB546">
        <v>0</v>
      </c>
      <c s="6" r="BC546">
        <v>0</v>
      </c>
      <c s="6" r="BD546">
        <v>0</v>
      </c>
      <c s="6" r="BE546">
        <v>0</v>
      </c>
      <c s="6" r="BF546">
        <v>0</v>
      </c>
      <c s="6" r="BG546">
        <v>0</v>
      </c>
      <c s="6" r="BH546">
        <v>0</v>
      </c>
      <c s="6" r="BI546">
        <v>0</v>
      </c>
      <c s="6" r="BJ546">
        <v>0</v>
      </c>
      <c s="6" r="BK546">
        <v>0</v>
      </c>
      <c s="6" r="BL546">
        <v>0</v>
      </c>
      <c s="6" r="BM546">
        <v>0</v>
      </c>
      <c s="6" r="BN546">
        <v>0</v>
      </c>
      <c s="6" r="BO546">
        <v>0</v>
      </c>
      <c s="6" r="BP546">
        <v>0</v>
      </c>
      <c s="6" r="BQ546">
        <v>0</v>
      </c>
      <c t="str" s="6" r="BR546">
        <f>HYPERLINK("http://www.d20pfsrd.com/magic/all-spells/s/summon-swarm","Summon Swarm")</f>
        <v>Summon Swarm</v>
      </c>
      <c s="6" r="BS546">
        <v>547</v>
      </c>
      <c t="s" s="6" r="BT546">
        <v>92</v>
      </c>
      <c t="s" s="6" r="BU546">
        <v>744</v>
      </c>
      <c t="s" s="6" r="BW546">
        <v>4338</v>
      </c>
      <c s="6" r="BY546">
        <v>1</v>
      </c>
    </row>
    <row customHeight="1" r="547" ht="14.25">
      <c t="s" s="6" r="A547">
        <v>4339</v>
      </c>
      <c t="s" s="6" r="B547">
        <v>493</v>
      </c>
      <c t="s" s="6" r="D547">
        <v>62</v>
      </c>
      <c t="s" s="6" r="E547">
        <v>250</v>
      </c>
      <c t="s" s="6" r="F547">
        <v>81</v>
      </c>
      <c t="s" s="6" r="G547">
        <v>119</v>
      </c>
      <c s="6" r="H547">
        <v>0</v>
      </c>
      <c t="s" s="6" r="I547">
        <v>897</v>
      </c>
      <c t="s" s="6" r="J547">
        <v>4340</v>
      </c>
      <c t="s" s="6" r="M547">
        <v>4341</v>
      </c>
      <c s="6" r="N547">
        <v>0</v>
      </c>
      <c s="6" r="O547">
        <v>0</v>
      </c>
      <c t="s" s="6" r="P547">
        <v>4342</v>
      </c>
      <c t="s" s="6" r="Q547">
        <v>188</v>
      </c>
      <c t="s" s="6" r="R547">
        <v>4343</v>
      </c>
      <c t="s" s="6" r="S547">
        <v>4344</v>
      </c>
      <c t="s" s="6" r="T547">
        <v>90</v>
      </c>
      <c t="s" s="6" r="U547">
        <v>4345</v>
      </c>
      <c s="6" r="V547">
        <v>1</v>
      </c>
      <c s="6" r="W547">
        <v>1</v>
      </c>
      <c s="6" r="X547">
        <v>0</v>
      </c>
      <c s="6" r="Y547">
        <v>0</v>
      </c>
      <c s="6" r="Z547">
        <v>1</v>
      </c>
      <c t="s" s="6" r="AA547">
        <v>92</v>
      </c>
      <c t="s" s="6" r="AB547">
        <v>92</v>
      </c>
      <c t="s" s="6" r="AC547">
        <v>92</v>
      </c>
      <c s="6" r="AD547">
        <v>7</v>
      </c>
      <c t="s" s="6" r="AE547">
        <v>92</v>
      </c>
      <c t="s" s="6" r="AF547">
        <v>92</v>
      </c>
      <c t="s" s="6" r="AG547">
        <v>92</v>
      </c>
      <c t="s" s="6" r="AH547">
        <v>92</v>
      </c>
      <c t="s" s="6" r="AI547">
        <v>92</v>
      </c>
      <c t="s" s="6" r="AJ547">
        <v>92</v>
      </c>
      <c t="s" s="6" r="AK547">
        <v>92</v>
      </c>
      <c t="s" s="6" r="AL547">
        <v>92</v>
      </c>
      <c t="s" s="6" r="AM547">
        <v>92</v>
      </c>
      <c t="s" s="6" r="AN547">
        <v>92</v>
      </c>
      <c s="6" r="AP547">
        <v>7</v>
      </c>
      <c t="s" s="6" r="AQ547">
        <v>1594</v>
      </c>
      <c t="s" s="6" r="AR547">
        <v>4346</v>
      </c>
      <c s="6" r="AS547">
        <v>0</v>
      </c>
      <c s="6" r="AT547">
        <v>0</v>
      </c>
      <c s="6" r="AU547">
        <v>0</v>
      </c>
      <c s="6" r="AV547">
        <v>0</v>
      </c>
      <c s="6" r="AW547">
        <v>0</v>
      </c>
      <c s="6" r="AX547">
        <v>0</v>
      </c>
      <c s="6" r="AY547">
        <v>0</v>
      </c>
      <c s="6" r="AZ547">
        <v>0</v>
      </c>
      <c s="6" r="BA547">
        <v>0</v>
      </c>
      <c s="6" r="BB547">
        <v>0</v>
      </c>
      <c s="6" r="BC547">
        <v>0</v>
      </c>
      <c s="6" r="BD547">
        <v>0</v>
      </c>
      <c s="6" r="BE547">
        <v>0</v>
      </c>
      <c s="6" r="BF547">
        <v>0</v>
      </c>
      <c s="6" r="BG547">
        <v>0</v>
      </c>
      <c s="6" r="BH547">
        <v>0</v>
      </c>
      <c s="6" r="BI547">
        <v>0</v>
      </c>
      <c s="6" r="BJ547">
        <v>0</v>
      </c>
      <c s="6" r="BK547">
        <v>1</v>
      </c>
      <c s="6" r="BL547">
        <v>0</v>
      </c>
      <c s="6" r="BM547">
        <v>0</v>
      </c>
      <c s="6" r="BN547">
        <v>0</v>
      </c>
      <c s="6" r="BO547">
        <v>0</v>
      </c>
      <c s="6" r="BP547">
        <v>0</v>
      </c>
      <c s="6" r="BQ547">
        <v>0</v>
      </c>
      <c t="str" s="6" r="BR547">
        <f>HYPERLINK("http://www.d20pfsrd.com/magic/all-spells/s/sunbeam","Sunbeam")</f>
        <v>Sunbeam</v>
      </c>
      <c s="6" r="BS547">
        <v>548</v>
      </c>
      <c t="s" s="6" r="BT547">
        <v>92</v>
      </c>
      <c t="s" s="6" r="BV547">
        <v>966</v>
      </c>
      <c t="s" s="6" r="BW547">
        <v>4347</v>
      </c>
      <c t="s" s="6" r="BX547">
        <v>4348</v>
      </c>
      <c s="6" r="BY547">
        <v>1</v>
      </c>
    </row>
    <row customHeight="1" r="548" ht="14.25">
      <c t="s" s="6" r="A548">
        <v>4349</v>
      </c>
      <c t="s" s="6" r="B548">
        <v>493</v>
      </c>
      <c t="s" s="6" r="D548">
        <v>62</v>
      </c>
      <c t="s" s="6" r="E548">
        <v>4350</v>
      </c>
      <c t="s" s="6" r="F548">
        <v>81</v>
      </c>
      <c t="s" s="6" r="G548">
        <v>4351</v>
      </c>
      <c s="6" r="H548">
        <v>0</v>
      </c>
      <c t="s" s="6" r="I548">
        <v>83</v>
      </c>
      <c t="s" s="6" r="J548">
        <v>4352</v>
      </c>
      <c t="s" s="6" r="M548">
        <v>109</v>
      </c>
      <c s="6" r="N548">
        <v>0</v>
      </c>
      <c s="6" r="O548">
        <v>0</v>
      </c>
      <c t="s" s="6" r="P548">
        <v>1635</v>
      </c>
      <c t="s" s="6" r="Q548">
        <v>188</v>
      </c>
      <c t="s" s="6" r="R548">
        <v>4353</v>
      </c>
      <c t="s" s="6" r="S548">
        <v>4354</v>
      </c>
      <c t="s" s="6" r="T548">
        <v>90</v>
      </c>
      <c t="s" s="6" r="U548">
        <v>4355</v>
      </c>
      <c s="6" r="V548">
        <v>1</v>
      </c>
      <c s="6" r="W548">
        <v>1</v>
      </c>
      <c s="6" r="X548">
        <v>1</v>
      </c>
      <c s="6" r="Y548">
        <v>0</v>
      </c>
      <c s="6" r="Z548">
        <v>1</v>
      </c>
      <c s="6" r="AA548">
        <v>8</v>
      </c>
      <c s="6" r="AB548">
        <v>8</v>
      </c>
      <c t="s" s="6" r="AC548">
        <v>92</v>
      </c>
      <c s="6" r="AD548">
        <v>8</v>
      </c>
      <c t="s" s="6" r="AE548">
        <v>92</v>
      </c>
      <c t="s" s="6" r="AF548">
        <v>92</v>
      </c>
      <c t="s" s="6" r="AG548">
        <v>92</v>
      </c>
      <c t="s" s="6" r="AH548">
        <v>92</v>
      </c>
      <c t="s" s="6" r="AI548">
        <v>92</v>
      </c>
      <c t="s" s="6" r="AJ548">
        <v>92</v>
      </c>
      <c t="s" s="6" r="AK548">
        <v>92</v>
      </c>
      <c t="s" s="6" r="AL548">
        <v>92</v>
      </c>
      <c t="s" s="6" r="AM548">
        <v>92</v>
      </c>
      <c t="s" s="6" r="AN548">
        <v>92</v>
      </c>
      <c s="6" r="AP548">
        <v>8</v>
      </c>
      <c t="s" s="6" r="AQ548">
        <v>4356</v>
      </c>
      <c t="s" s="6" r="AR548">
        <v>4357</v>
      </c>
      <c s="6" r="AS548">
        <v>0</v>
      </c>
      <c s="6" r="AT548">
        <v>0</v>
      </c>
      <c s="6" r="AU548">
        <v>0</v>
      </c>
      <c s="6" r="AV548">
        <v>0</v>
      </c>
      <c s="6" r="AW548">
        <v>0</v>
      </c>
      <c s="6" r="AX548">
        <v>0</v>
      </c>
      <c s="6" r="AY548">
        <v>0</v>
      </c>
      <c s="6" r="AZ548">
        <v>0</v>
      </c>
      <c s="6" r="BA548">
        <v>0</v>
      </c>
      <c s="6" r="BB548">
        <v>0</v>
      </c>
      <c s="6" r="BC548">
        <v>0</v>
      </c>
      <c s="6" r="BD548">
        <v>0</v>
      </c>
      <c s="6" r="BE548">
        <v>0</v>
      </c>
      <c s="6" r="BF548">
        <v>0</v>
      </c>
      <c s="6" r="BG548">
        <v>0</v>
      </c>
      <c s="6" r="BH548">
        <v>0</v>
      </c>
      <c s="6" r="BI548">
        <v>0</v>
      </c>
      <c s="6" r="BJ548">
        <v>0</v>
      </c>
      <c s="6" r="BK548">
        <v>1</v>
      </c>
      <c s="6" r="BL548">
        <v>0</v>
      </c>
      <c s="6" r="BM548">
        <v>0</v>
      </c>
      <c s="6" r="BN548">
        <v>0</v>
      </c>
      <c s="6" r="BO548">
        <v>0</v>
      </c>
      <c s="6" r="BP548">
        <v>0</v>
      </c>
      <c s="6" r="BQ548">
        <v>0</v>
      </c>
      <c t="str" s="6" r="BR548">
        <f>HYPERLINK("http://www.d20pfsrd.com/magic/all-spells/s/sunburst","Sunburst")</f>
        <v>Sunburst</v>
      </c>
      <c s="6" r="BS548">
        <v>549</v>
      </c>
      <c t="s" s="6" r="BT548">
        <v>92</v>
      </c>
      <c t="s" s="6" r="BU548">
        <v>406</v>
      </c>
      <c t="s" s="6" r="BV548">
        <v>966</v>
      </c>
      <c s="6" r="BY548">
        <v>0</v>
      </c>
    </row>
    <row customHeight="1" r="549" ht="14.25">
      <c t="s" s="6" r="A549">
        <v>4358</v>
      </c>
      <c t="s" s="6" r="B549">
        <v>227</v>
      </c>
      <c t="s" s="6" r="D549">
        <v>50</v>
      </c>
      <c t="s" s="6" r="E549">
        <v>4359</v>
      </c>
      <c t="s" s="6" r="F549">
        <v>311</v>
      </c>
      <c t="s" s="6" r="G549">
        <v>4360</v>
      </c>
      <c s="6" r="H549">
        <v>1</v>
      </c>
      <c t="s" s="6" r="I549">
        <v>4361</v>
      </c>
      <c t="s" s="6" r="K549">
        <v>4362</v>
      </c>
      <c t="s" s="6" r="M549">
        <v>141</v>
      </c>
      <c s="6" r="N549">
        <v>0</v>
      </c>
      <c s="6" r="O549">
        <v>0</v>
      </c>
      <c t="s" s="6" r="P549">
        <v>187</v>
      </c>
      <c t="s" s="6" r="Q549">
        <v>188</v>
      </c>
      <c t="s" s="6" r="R549">
        <v>4363</v>
      </c>
      <c t="s" s="6" r="S549">
        <v>4364</v>
      </c>
      <c t="s" s="6" r="T549">
        <v>90</v>
      </c>
      <c t="s" s="6" r="U549">
        <v>4365</v>
      </c>
      <c s="6" r="V549">
        <v>1</v>
      </c>
      <c s="6" r="W549">
        <v>1</v>
      </c>
      <c s="6" r="X549">
        <v>1</v>
      </c>
      <c s="6" r="Y549">
        <v>0</v>
      </c>
      <c s="6" r="Z549">
        <v>0</v>
      </c>
      <c s="6" r="AA549">
        <v>8</v>
      </c>
      <c s="6" r="AB549">
        <v>8</v>
      </c>
      <c s="6" r="AC549">
        <v>8</v>
      </c>
      <c t="s" s="6" r="AD549">
        <v>92</v>
      </c>
      <c t="s" s="6" r="AE549">
        <v>92</v>
      </c>
      <c t="s" s="6" r="AF549">
        <v>92</v>
      </c>
      <c t="s" s="6" r="AG549">
        <v>92</v>
      </c>
      <c t="s" s="6" r="AH549">
        <v>92</v>
      </c>
      <c t="s" s="6" r="AI549">
        <v>92</v>
      </c>
      <c s="6" r="AJ549">
        <v>8</v>
      </c>
      <c t="s" s="6" r="AK549">
        <v>92</v>
      </c>
      <c s="6" r="AL549">
        <v>8</v>
      </c>
      <c t="s" s="6" r="AM549">
        <v>92</v>
      </c>
      <c t="s" s="6" r="AN549">
        <v>92</v>
      </c>
      <c s="6" r="AP549">
        <v>8</v>
      </c>
      <c t="s" s="6" r="AQ549">
        <v>1664</v>
      </c>
      <c t="s" s="6" r="AR549">
        <v>4366</v>
      </c>
      <c s="6" r="AS549">
        <v>0</v>
      </c>
      <c s="6" r="AT549">
        <v>0</v>
      </c>
      <c s="6" r="AU549">
        <v>0</v>
      </c>
      <c s="6" r="AV549">
        <v>0</v>
      </c>
      <c s="6" r="AW549">
        <v>0</v>
      </c>
      <c s="6" r="AX549">
        <v>0</v>
      </c>
      <c s="6" r="AY549">
        <v>1</v>
      </c>
      <c s="6" r="AZ549">
        <v>0</v>
      </c>
      <c s="6" r="BA549">
        <v>0</v>
      </c>
      <c s="6" r="BB549">
        <v>0</v>
      </c>
      <c s="6" r="BC549">
        <v>0</v>
      </c>
      <c s="6" r="BD549">
        <v>0</v>
      </c>
      <c s="6" r="BE549">
        <v>0</v>
      </c>
      <c s="6" r="BF549">
        <v>0</v>
      </c>
      <c s="6" r="BG549">
        <v>0</v>
      </c>
      <c s="6" r="BH549">
        <v>0</v>
      </c>
      <c s="6" r="BI549">
        <v>0</v>
      </c>
      <c s="6" r="BJ549">
        <v>0</v>
      </c>
      <c s="6" r="BK549">
        <v>0</v>
      </c>
      <c s="6" r="BL549">
        <v>0</v>
      </c>
      <c s="6" r="BM549">
        <v>0</v>
      </c>
      <c s="6" r="BN549">
        <v>0</v>
      </c>
      <c s="6" r="BO549">
        <v>0</v>
      </c>
      <c s="6" r="BP549">
        <v>0</v>
      </c>
      <c s="6" r="BQ549">
        <v>0</v>
      </c>
      <c t="str" s="6" r="BR549">
        <f>HYPERLINK("http://www.d20pfsrd.com/magic/all-spells/s/symbol-of-death","Symbol of Death")</f>
        <v>Symbol of Death</v>
      </c>
      <c s="6" r="BS549">
        <v>550</v>
      </c>
      <c s="6" r="BT549">
        <v>5000</v>
      </c>
      <c t="s" s="6" r="BV549">
        <v>783</v>
      </c>
      <c s="6" r="BY549">
        <v>0</v>
      </c>
    </row>
    <row customHeight="1" r="550" ht="14.25">
      <c t="s" s="6" r="A550">
        <v>4367</v>
      </c>
      <c t="s" s="6" r="B550">
        <v>227</v>
      </c>
      <c t="s" s="6" r="D550">
        <v>3713</v>
      </c>
      <c t="s" s="6" r="E550">
        <v>4368</v>
      </c>
      <c t="s" s="6" r="F550">
        <v>311</v>
      </c>
      <c t="s" s="6" r="G550">
        <v>4369</v>
      </c>
      <c s="6" r="H550">
        <v>1</v>
      </c>
      <c t="s" s="6" r="I550">
        <v>4361</v>
      </c>
      <c t="s" s="6" r="K550">
        <v>4362</v>
      </c>
      <c t="s" s="6" r="M550">
        <v>141</v>
      </c>
      <c s="6" r="N550">
        <v>0</v>
      </c>
      <c s="6" r="O550">
        <v>0</v>
      </c>
      <c t="s" s="6" r="P550">
        <v>221</v>
      </c>
      <c t="s" s="6" r="Q550">
        <v>188</v>
      </c>
      <c t="s" s="6" r="R550">
        <v>4370</v>
      </c>
      <c t="s" s="6" r="S550">
        <v>4371</v>
      </c>
      <c t="s" s="6" r="T550">
        <v>90</v>
      </c>
      <c t="s" s="6" r="U550">
        <v>4372</v>
      </c>
      <c s="6" r="V550">
        <v>1</v>
      </c>
      <c s="6" r="W550">
        <v>1</v>
      </c>
      <c s="6" r="X550">
        <v>1</v>
      </c>
      <c s="6" r="Y550">
        <v>0</v>
      </c>
      <c s="6" r="Z550">
        <v>0</v>
      </c>
      <c s="6" r="AA550">
        <v>6</v>
      </c>
      <c s="6" r="AB550">
        <v>6</v>
      </c>
      <c s="6" r="AC550">
        <v>6</v>
      </c>
      <c t="s" s="6" r="AD550">
        <v>92</v>
      </c>
      <c t="s" s="6" r="AE550">
        <v>92</v>
      </c>
      <c t="s" s="6" r="AF550">
        <v>92</v>
      </c>
      <c t="s" s="6" r="AG550">
        <v>92</v>
      </c>
      <c t="s" s="6" r="AH550">
        <v>92</v>
      </c>
      <c t="s" s="6" r="AI550">
        <v>92</v>
      </c>
      <c s="6" r="AJ550">
        <v>6</v>
      </c>
      <c t="s" s="6" r="AK550">
        <v>92</v>
      </c>
      <c s="6" r="AL550">
        <v>6</v>
      </c>
      <c t="s" s="6" r="AM550">
        <v>92</v>
      </c>
      <c t="s" s="6" r="AN550">
        <v>92</v>
      </c>
      <c s="6" r="AP550">
        <v>6</v>
      </c>
      <c t="s" s="6" r="AR550">
        <v>4373</v>
      </c>
      <c s="6" r="AS550">
        <v>0</v>
      </c>
      <c s="6" r="AT550">
        <v>0</v>
      </c>
      <c s="6" r="AU550">
        <v>0</v>
      </c>
      <c s="6" r="AV550">
        <v>0</v>
      </c>
      <c s="6" r="AW550">
        <v>0</v>
      </c>
      <c s="6" r="AX550">
        <v>0</v>
      </c>
      <c s="6" r="AY550">
        <v>0</v>
      </c>
      <c s="6" r="AZ550">
        <v>0</v>
      </c>
      <c s="6" r="BA550">
        <v>0</v>
      </c>
      <c s="6" r="BB550">
        <v>0</v>
      </c>
      <c s="6" r="BC550">
        <v>1</v>
      </c>
      <c s="6" r="BD550">
        <v>0</v>
      </c>
      <c s="6" r="BE550">
        <v>1</v>
      </c>
      <c s="6" r="BF550">
        <v>0</v>
      </c>
      <c s="6" r="BG550">
        <v>0</v>
      </c>
      <c s="6" r="BH550">
        <v>0</v>
      </c>
      <c s="6" r="BI550">
        <v>0</v>
      </c>
      <c s="6" r="BJ550">
        <v>0</v>
      </c>
      <c s="6" r="BK550">
        <v>0</v>
      </c>
      <c s="6" r="BL550">
        <v>1</v>
      </c>
      <c s="6" r="BM550">
        <v>0</v>
      </c>
      <c s="6" r="BN550">
        <v>0</v>
      </c>
      <c s="6" r="BO550">
        <v>0</v>
      </c>
      <c s="6" r="BP550">
        <v>0</v>
      </c>
      <c s="6" r="BQ550">
        <v>0</v>
      </c>
      <c t="str" s="6" r="BR550">
        <f>HYPERLINK("http://www.d20pfsrd.com/magic/all-spells/s/symbol-of-fear","Symbol of Fear")</f>
        <v>Symbol of Fear</v>
      </c>
      <c s="6" r="BS550">
        <v>551</v>
      </c>
      <c s="6" r="BT550">
        <v>1000</v>
      </c>
      <c s="6" r="BY550">
        <v>0</v>
      </c>
    </row>
    <row customHeight="1" r="551" ht="14.25">
      <c t="s" s="6" r="A551">
        <v>4374</v>
      </c>
      <c t="s" s="6" r="B551">
        <v>115</v>
      </c>
      <c t="s" s="6" r="C551">
        <v>116</v>
      </c>
      <c t="s" s="6" r="D551">
        <v>117</v>
      </c>
      <c t="s" s="6" r="E551">
        <v>4359</v>
      </c>
      <c t="s" s="6" r="F551">
        <v>311</v>
      </c>
      <c t="s" s="6" r="G551">
        <v>4375</v>
      </c>
      <c s="6" r="H551">
        <v>1</v>
      </c>
      <c t="s" s="6" r="I551">
        <v>4361</v>
      </c>
      <c t="s" s="6" r="K551">
        <v>4362</v>
      </c>
      <c t="s" s="6" r="M551">
        <v>141</v>
      </c>
      <c s="6" r="N551">
        <v>0</v>
      </c>
      <c s="6" r="O551">
        <v>0</v>
      </c>
      <c t="s" s="6" r="P551">
        <v>221</v>
      </c>
      <c t="s" s="6" r="Q551">
        <v>188</v>
      </c>
      <c t="s" s="6" r="R551">
        <v>4376</v>
      </c>
      <c t="s" s="6" r="S551">
        <v>4377</v>
      </c>
      <c t="s" s="6" r="T551">
        <v>90</v>
      </c>
      <c t="s" s="6" r="U551">
        <v>4378</v>
      </c>
      <c s="6" r="V551">
        <v>1</v>
      </c>
      <c s="6" r="W551">
        <v>1</v>
      </c>
      <c s="6" r="X551">
        <v>1</v>
      </c>
      <c s="6" r="Y551">
        <v>0</v>
      </c>
      <c s="6" r="Z551">
        <v>0</v>
      </c>
      <c s="6" r="AA551">
        <v>8</v>
      </c>
      <c s="6" r="AB551">
        <v>8</v>
      </c>
      <c s="6" r="AC551">
        <v>8</v>
      </c>
      <c t="s" s="6" r="AD551">
        <v>92</v>
      </c>
      <c t="s" s="6" r="AE551">
        <v>92</v>
      </c>
      <c t="s" s="6" r="AF551">
        <v>92</v>
      </c>
      <c t="s" s="6" r="AG551">
        <v>92</v>
      </c>
      <c t="s" s="6" r="AH551">
        <v>92</v>
      </c>
      <c t="s" s="6" r="AI551">
        <v>92</v>
      </c>
      <c s="6" r="AJ551">
        <v>8</v>
      </c>
      <c t="s" s="6" r="AK551">
        <v>92</v>
      </c>
      <c s="6" r="AL551">
        <v>8</v>
      </c>
      <c t="s" s="6" r="AM551">
        <v>92</v>
      </c>
      <c t="s" s="6" r="AN551">
        <v>92</v>
      </c>
      <c s="6" r="AP551">
        <v>8</v>
      </c>
      <c t="s" s="6" r="AR551">
        <v>4379</v>
      </c>
      <c s="6" r="AS551">
        <v>0</v>
      </c>
      <c s="6" r="AT551">
        <v>0</v>
      </c>
      <c s="6" r="AU551">
        <v>0</v>
      </c>
      <c s="6" r="AV551">
        <v>0</v>
      </c>
      <c s="6" r="AW551">
        <v>0</v>
      </c>
      <c s="6" r="AX551">
        <v>0</v>
      </c>
      <c s="6" r="AY551">
        <v>0</v>
      </c>
      <c s="6" r="AZ551">
        <v>0</v>
      </c>
      <c s="6" r="BA551">
        <v>0</v>
      </c>
      <c s="6" r="BB551">
        <v>0</v>
      </c>
      <c s="6" r="BC551">
        <v>0</v>
      </c>
      <c s="6" r="BD551">
        <v>0</v>
      </c>
      <c s="6" r="BE551">
        <v>0</v>
      </c>
      <c s="6" r="BF551">
        <v>0</v>
      </c>
      <c s="6" r="BG551">
        <v>0</v>
      </c>
      <c s="6" r="BH551">
        <v>0</v>
      </c>
      <c s="6" r="BI551">
        <v>0</v>
      </c>
      <c s="6" r="BJ551">
        <v>0</v>
      </c>
      <c s="6" r="BK551">
        <v>0</v>
      </c>
      <c s="6" r="BL551">
        <v>1</v>
      </c>
      <c s="6" r="BM551">
        <v>0</v>
      </c>
      <c s="6" r="BN551">
        <v>0</v>
      </c>
      <c s="6" r="BO551">
        <v>0</v>
      </c>
      <c s="6" r="BP551">
        <v>0</v>
      </c>
      <c s="6" r="BQ551">
        <v>0</v>
      </c>
      <c t="str" s="6" r="BR551">
        <f>HYPERLINK("http://www.d20pfsrd.com/magic/all-spells/s/symbol-of-insanity","Symbol of Insanity")</f>
        <v>Symbol of Insanity</v>
      </c>
      <c s="6" r="BS551">
        <v>552</v>
      </c>
      <c s="6" r="BT551">
        <v>5000</v>
      </c>
      <c t="s" s="6" r="BV551">
        <v>2317</v>
      </c>
      <c s="6" r="BY551">
        <v>0</v>
      </c>
    </row>
    <row customHeight="1" r="552" ht="14.25">
      <c t="s" s="6" r="A552">
        <v>4380</v>
      </c>
      <c t="s" s="6" r="B552">
        <v>227</v>
      </c>
      <c t="s" s="6" r="D552">
        <v>4381</v>
      </c>
      <c t="s" s="6" r="E552">
        <v>4382</v>
      </c>
      <c t="s" s="6" r="F552">
        <v>311</v>
      </c>
      <c t="s" s="6" r="G552">
        <v>4369</v>
      </c>
      <c s="6" r="H552">
        <v>1</v>
      </c>
      <c t="s" s="6" r="I552">
        <v>4361</v>
      </c>
      <c t="s" s="6" r="K552">
        <v>4362</v>
      </c>
      <c t="s" s="6" r="M552">
        <v>141</v>
      </c>
      <c s="6" r="N552">
        <v>0</v>
      </c>
      <c s="6" r="O552">
        <v>0</v>
      </c>
      <c t="s" s="6" r="P552">
        <v>187</v>
      </c>
      <c t="s" s="6" r="Q552">
        <v>188</v>
      </c>
      <c t="s" s="6" r="R552">
        <v>4383</v>
      </c>
      <c t="s" s="6" r="S552">
        <v>4384</v>
      </c>
      <c t="s" s="6" r="T552">
        <v>90</v>
      </c>
      <c t="s" s="6" r="U552">
        <v>4385</v>
      </c>
      <c s="6" r="V552">
        <v>1</v>
      </c>
      <c s="6" r="W552">
        <v>1</v>
      </c>
      <c s="6" r="X552">
        <v>1</v>
      </c>
      <c s="6" r="Y552">
        <v>0</v>
      </c>
      <c s="6" r="Z552">
        <v>0</v>
      </c>
      <c s="6" r="AA552">
        <v>5</v>
      </c>
      <c s="6" r="AB552">
        <v>5</v>
      </c>
      <c s="6" r="AC552">
        <v>5</v>
      </c>
      <c t="s" s="6" r="AD552">
        <v>92</v>
      </c>
      <c t="s" s="6" r="AE552">
        <v>92</v>
      </c>
      <c t="s" s="6" r="AF552">
        <v>92</v>
      </c>
      <c t="s" s="6" r="AG552">
        <v>92</v>
      </c>
      <c t="s" s="6" r="AH552">
        <v>92</v>
      </c>
      <c t="s" s="6" r="AI552">
        <v>92</v>
      </c>
      <c s="6" r="AJ552">
        <v>5</v>
      </c>
      <c t="s" s="6" r="AK552">
        <v>92</v>
      </c>
      <c s="6" r="AL552">
        <v>5</v>
      </c>
      <c t="s" s="6" r="AM552">
        <v>92</v>
      </c>
      <c t="s" s="6" r="AN552">
        <v>92</v>
      </c>
      <c s="6" r="AP552">
        <v>5</v>
      </c>
      <c t="s" s="6" r="AR552">
        <v>4386</v>
      </c>
      <c s="6" r="AS552">
        <v>0</v>
      </c>
      <c s="6" r="AT552">
        <v>0</v>
      </c>
      <c s="6" r="AU552">
        <v>0</v>
      </c>
      <c s="6" r="AV552">
        <v>0</v>
      </c>
      <c s="6" r="AW552">
        <v>0</v>
      </c>
      <c s="6" r="AX552">
        <v>0</v>
      </c>
      <c s="6" r="AY552">
        <v>0</v>
      </c>
      <c s="6" r="AZ552">
        <v>0</v>
      </c>
      <c s="6" r="BA552">
        <v>0</v>
      </c>
      <c s="6" r="BB552">
        <v>0</v>
      </c>
      <c s="6" r="BC552">
        <v>0</v>
      </c>
      <c s="6" r="BD552">
        <v>1</v>
      </c>
      <c s="6" r="BE552">
        <v>0</v>
      </c>
      <c s="6" r="BF552">
        <v>0</v>
      </c>
      <c s="6" r="BG552">
        <v>0</v>
      </c>
      <c s="6" r="BH552">
        <v>0</v>
      </c>
      <c s="6" r="BI552">
        <v>0</v>
      </c>
      <c s="6" r="BJ552">
        <v>0</v>
      </c>
      <c s="6" r="BK552">
        <v>0</v>
      </c>
      <c s="6" r="BL552">
        <v>0</v>
      </c>
      <c s="6" r="BM552">
        <v>1</v>
      </c>
      <c s="6" r="BN552">
        <v>0</v>
      </c>
      <c s="6" r="BO552">
        <v>0</v>
      </c>
      <c s="6" r="BP552">
        <v>0</v>
      </c>
      <c s="6" r="BQ552">
        <v>0</v>
      </c>
      <c t="str" s="6" r="BR552">
        <f>HYPERLINK("http://www.d20pfsrd.com/magic/all-spells/s/symbol-of-pain","Symbol of Pain")</f>
        <v>Symbol of Pain</v>
      </c>
      <c s="6" r="BS552">
        <v>553</v>
      </c>
      <c s="6" r="BT552">
        <v>1000</v>
      </c>
      <c t="s" s="6" r="BV552">
        <v>638</v>
      </c>
      <c s="6" r="BY552">
        <v>0</v>
      </c>
    </row>
    <row customHeight="1" r="553" ht="14.25">
      <c t="s" s="6" r="A553">
        <v>4387</v>
      </c>
      <c t="s" s="6" r="B553">
        <v>115</v>
      </c>
      <c t="s" s="6" r="C553">
        <v>729</v>
      </c>
      <c t="s" s="6" r="D553">
        <v>117</v>
      </c>
      <c t="s" s="6" r="E553">
        <v>4368</v>
      </c>
      <c t="s" s="6" r="F553">
        <v>311</v>
      </c>
      <c t="s" s="6" r="G553">
        <v>4375</v>
      </c>
      <c s="6" r="H553">
        <v>1</v>
      </c>
      <c t="s" s="6" r="I553">
        <v>4361</v>
      </c>
      <c t="s" s="6" r="K553">
        <v>4362</v>
      </c>
      <c t="s" s="6" r="M553">
        <v>141</v>
      </c>
      <c s="6" r="N553">
        <v>0</v>
      </c>
      <c s="6" r="O553">
        <v>0</v>
      </c>
      <c t="s" s="6" r="P553">
        <v>221</v>
      </c>
      <c t="s" s="6" r="Q553">
        <v>188</v>
      </c>
      <c t="s" s="6" r="R553">
        <v>4388</v>
      </c>
      <c t="s" s="6" r="S553">
        <v>4389</v>
      </c>
      <c t="s" s="6" r="T553">
        <v>90</v>
      </c>
      <c t="s" s="6" r="U553">
        <v>4390</v>
      </c>
      <c s="6" r="V553">
        <v>1</v>
      </c>
      <c s="6" r="W553">
        <v>1</v>
      </c>
      <c s="6" r="X553">
        <v>1</v>
      </c>
      <c s="6" r="Y553">
        <v>0</v>
      </c>
      <c s="6" r="Z553">
        <v>0</v>
      </c>
      <c s="6" r="AA553">
        <v>6</v>
      </c>
      <c s="6" r="AB553">
        <v>6</v>
      </c>
      <c s="6" r="AC553">
        <v>6</v>
      </c>
      <c t="s" s="6" r="AD553">
        <v>92</v>
      </c>
      <c t="s" s="6" r="AE553">
        <v>92</v>
      </c>
      <c t="s" s="6" r="AF553">
        <v>92</v>
      </c>
      <c t="s" s="6" r="AG553">
        <v>92</v>
      </c>
      <c t="s" s="6" r="AH553">
        <v>92</v>
      </c>
      <c t="s" s="6" r="AI553">
        <v>92</v>
      </c>
      <c s="6" r="AJ553">
        <v>6</v>
      </c>
      <c t="s" s="6" r="AK553">
        <v>92</v>
      </c>
      <c s="6" r="AL553">
        <v>6</v>
      </c>
      <c t="s" s="6" r="AM553">
        <v>92</v>
      </c>
      <c t="s" s="6" r="AN553">
        <v>92</v>
      </c>
      <c s="6" r="AP553">
        <v>6</v>
      </c>
      <c t="s" s="6" r="AQ553">
        <v>4391</v>
      </c>
      <c t="s" s="6" r="AR553">
        <v>4392</v>
      </c>
      <c s="6" r="AS553">
        <v>0</v>
      </c>
      <c s="6" r="AT553">
        <v>0</v>
      </c>
      <c s="6" r="AU553">
        <v>0</v>
      </c>
      <c s="6" r="AV553">
        <v>0</v>
      </c>
      <c s="6" r="AW553">
        <v>0</v>
      </c>
      <c s="6" r="AX553">
        <v>0</v>
      </c>
      <c s="6" r="AY553">
        <v>0</v>
      </c>
      <c s="6" r="AZ553">
        <v>0</v>
      </c>
      <c s="6" r="BA553">
        <v>0</v>
      </c>
      <c s="6" r="BB553">
        <v>0</v>
      </c>
      <c s="6" r="BC553">
        <v>0</v>
      </c>
      <c s="6" r="BD553">
        <v>0</v>
      </c>
      <c s="6" r="BE553">
        <v>0</v>
      </c>
      <c s="6" r="BF553">
        <v>0</v>
      </c>
      <c s="6" r="BG553">
        <v>0</v>
      </c>
      <c s="6" r="BH553">
        <v>0</v>
      </c>
      <c s="6" r="BI553">
        <v>0</v>
      </c>
      <c s="6" r="BJ553">
        <v>0</v>
      </c>
      <c s="6" r="BK553">
        <v>0</v>
      </c>
      <c s="6" r="BL553">
        <v>1</v>
      </c>
      <c s="6" r="BM553">
        <v>0</v>
      </c>
      <c s="6" r="BN553">
        <v>0</v>
      </c>
      <c s="6" r="BO553">
        <v>0</v>
      </c>
      <c s="6" r="BP553">
        <v>0</v>
      </c>
      <c s="6" r="BQ553">
        <v>0</v>
      </c>
      <c t="str" s="6" r="BR553">
        <f>HYPERLINK("http://www.d20pfsrd.com/magic/all-spells/s/symbol-of-persuasion","Symbol of Persuasion")</f>
        <v>Symbol of Persuasion</v>
      </c>
      <c s="6" r="BS553">
        <v>554</v>
      </c>
      <c s="6" r="BT553">
        <v>5000</v>
      </c>
      <c s="6" r="BY553">
        <v>0</v>
      </c>
    </row>
    <row customHeight="1" r="554" ht="14.25">
      <c t="s" s="6" r="A554">
        <v>4393</v>
      </c>
      <c t="s" s="6" r="B554">
        <v>115</v>
      </c>
      <c t="s" s="6" r="C554">
        <v>116</v>
      </c>
      <c t="s" s="6" r="D554">
        <v>117</v>
      </c>
      <c t="s" s="6" r="E554">
        <v>4382</v>
      </c>
      <c t="s" s="6" r="F554">
        <v>311</v>
      </c>
      <c t="s" s="6" r="G554">
        <v>4369</v>
      </c>
      <c s="6" r="H554">
        <v>1</v>
      </c>
      <c t="s" s="6" r="I554">
        <v>4361</v>
      </c>
      <c t="s" s="6" r="K554">
        <v>4362</v>
      </c>
      <c t="s" s="6" r="M554">
        <v>141</v>
      </c>
      <c s="6" r="N554">
        <v>0</v>
      </c>
      <c s="6" r="O554">
        <v>0</v>
      </c>
      <c t="s" s="6" r="P554">
        <v>221</v>
      </c>
      <c t="s" s="6" r="Q554">
        <v>188</v>
      </c>
      <c t="s" s="6" r="R554">
        <v>4394</v>
      </c>
      <c t="s" s="6" r="S554">
        <v>4395</v>
      </c>
      <c t="s" s="6" r="T554">
        <v>90</v>
      </c>
      <c t="s" s="6" r="U554">
        <v>4396</v>
      </c>
      <c s="6" r="V554">
        <v>1</v>
      </c>
      <c s="6" r="W554">
        <v>1</v>
      </c>
      <c s="6" r="X554">
        <v>1</v>
      </c>
      <c s="6" r="Y554">
        <v>0</v>
      </c>
      <c s="6" r="Z554">
        <v>0</v>
      </c>
      <c s="6" r="AA554">
        <v>5</v>
      </c>
      <c s="6" r="AB554">
        <v>5</v>
      </c>
      <c s="6" r="AC554">
        <v>5</v>
      </c>
      <c t="s" s="6" r="AD554">
        <v>92</v>
      </c>
      <c t="s" s="6" r="AE554">
        <v>92</v>
      </c>
      <c t="s" s="6" r="AF554">
        <v>92</v>
      </c>
      <c t="s" s="6" r="AG554">
        <v>92</v>
      </c>
      <c t="s" s="6" r="AH554">
        <v>92</v>
      </c>
      <c t="s" s="6" r="AI554">
        <v>92</v>
      </c>
      <c s="6" r="AJ554">
        <v>5</v>
      </c>
      <c t="s" s="6" r="AK554">
        <v>92</v>
      </c>
      <c s="6" r="AL554">
        <v>5</v>
      </c>
      <c t="s" s="6" r="AM554">
        <v>92</v>
      </c>
      <c t="s" s="6" r="AN554">
        <v>92</v>
      </c>
      <c s="6" r="AP554">
        <v>5</v>
      </c>
      <c t="s" s="6" r="AR554">
        <v>4397</v>
      </c>
      <c s="6" r="AS554">
        <v>0</v>
      </c>
      <c s="6" r="AT554">
        <v>0</v>
      </c>
      <c s="6" r="AU554">
        <v>0</v>
      </c>
      <c s="6" r="AV554">
        <v>0</v>
      </c>
      <c s="6" r="AW554">
        <v>0</v>
      </c>
      <c s="6" r="AX554">
        <v>0</v>
      </c>
      <c s="6" r="AY554">
        <v>0</v>
      </c>
      <c s="6" r="AZ554">
        <v>0</v>
      </c>
      <c s="6" r="BA554">
        <v>0</v>
      </c>
      <c s="6" r="BB554">
        <v>0</v>
      </c>
      <c s="6" r="BC554">
        <v>0</v>
      </c>
      <c s="6" r="BD554">
        <v>0</v>
      </c>
      <c s="6" r="BE554">
        <v>0</v>
      </c>
      <c s="6" r="BF554">
        <v>0</v>
      </c>
      <c s="6" r="BG554">
        <v>0</v>
      </c>
      <c s="6" r="BH554">
        <v>0</v>
      </c>
      <c s="6" r="BI554">
        <v>0</v>
      </c>
      <c s="6" r="BJ554">
        <v>0</v>
      </c>
      <c s="6" r="BK554">
        <v>0</v>
      </c>
      <c s="6" r="BL554">
        <v>1</v>
      </c>
      <c s="6" r="BM554">
        <v>0</v>
      </c>
      <c s="6" r="BN554">
        <v>0</v>
      </c>
      <c s="6" r="BO554">
        <v>0</v>
      </c>
      <c s="6" r="BP554">
        <v>0</v>
      </c>
      <c s="6" r="BQ554">
        <v>0</v>
      </c>
      <c t="str" s="6" r="BR554">
        <f>HYPERLINK("http://www.d20pfsrd.com/magic/all-spells/s/symbol-of-sleep","Symbol of Sleep")</f>
        <v>Symbol of Sleep</v>
      </c>
      <c s="6" r="BS554">
        <v>555</v>
      </c>
      <c s="6" r="BT554">
        <v>1000</v>
      </c>
      <c s="6" r="BY554">
        <v>0</v>
      </c>
    </row>
    <row customHeight="1" r="555" ht="14.25">
      <c t="s" s="6" r="A555">
        <v>4398</v>
      </c>
      <c t="s" s="6" r="B555">
        <v>115</v>
      </c>
      <c t="s" s="6" r="C555">
        <v>116</v>
      </c>
      <c t="s" s="6" r="D555">
        <v>117</v>
      </c>
      <c t="s" s="6" r="E555">
        <v>4399</v>
      </c>
      <c t="s" s="6" r="F555">
        <v>311</v>
      </c>
      <c t="s" s="6" r="G555">
        <v>4375</v>
      </c>
      <c s="6" r="H555">
        <v>1</v>
      </c>
      <c t="s" s="6" r="I555">
        <v>4361</v>
      </c>
      <c t="s" s="6" r="K555">
        <v>4362</v>
      </c>
      <c t="s" s="6" r="M555">
        <v>141</v>
      </c>
      <c s="6" r="N555">
        <v>0</v>
      </c>
      <c s="6" r="O555">
        <v>0</v>
      </c>
      <c t="s" s="6" r="P555">
        <v>221</v>
      </c>
      <c t="s" s="6" r="Q555">
        <v>188</v>
      </c>
      <c t="s" s="6" r="R555">
        <v>4400</v>
      </c>
      <c t="s" s="6" r="S555">
        <v>4401</v>
      </c>
      <c t="s" s="6" r="T555">
        <v>90</v>
      </c>
      <c t="s" s="6" r="U555">
        <v>4402</v>
      </c>
      <c s="6" r="V555">
        <v>1</v>
      </c>
      <c s="6" r="W555">
        <v>1</v>
      </c>
      <c s="6" r="X555">
        <v>1</v>
      </c>
      <c s="6" r="Y555">
        <v>0</v>
      </c>
      <c s="6" r="Z555">
        <v>0</v>
      </c>
      <c s="6" r="AA555">
        <v>7</v>
      </c>
      <c s="6" r="AB555">
        <v>7</v>
      </c>
      <c s="6" r="AC555">
        <v>7</v>
      </c>
      <c t="s" s="6" r="AD555">
        <v>92</v>
      </c>
      <c t="s" s="6" r="AE555">
        <v>92</v>
      </c>
      <c t="s" s="6" r="AF555">
        <v>92</v>
      </c>
      <c t="s" s="6" r="AG555">
        <v>92</v>
      </c>
      <c t="s" s="6" r="AH555">
        <v>92</v>
      </c>
      <c t="s" s="6" r="AI555">
        <v>92</v>
      </c>
      <c s="6" r="AJ555">
        <v>7</v>
      </c>
      <c t="s" s="6" r="AK555">
        <v>92</v>
      </c>
      <c s="6" r="AL555">
        <v>7</v>
      </c>
      <c t="s" s="6" r="AM555">
        <v>92</v>
      </c>
      <c t="s" s="6" r="AN555">
        <v>92</v>
      </c>
      <c s="6" r="AP555">
        <v>7</v>
      </c>
      <c t="s" s="6" r="AR555">
        <v>4403</v>
      </c>
      <c s="6" r="AS555">
        <v>0</v>
      </c>
      <c s="6" r="AT555">
        <v>0</v>
      </c>
      <c s="6" r="AU555">
        <v>0</v>
      </c>
      <c s="6" r="AV555">
        <v>0</v>
      </c>
      <c s="6" r="AW555">
        <v>0</v>
      </c>
      <c s="6" r="AX555">
        <v>0</v>
      </c>
      <c s="6" r="AY555">
        <v>0</v>
      </c>
      <c s="6" r="AZ555">
        <v>0</v>
      </c>
      <c s="6" r="BA555">
        <v>0</v>
      </c>
      <c s="6" r="BB555">
        <v>0</v>
      </c>
      <c s="6" r="BC555">
        <v>0</v>
      </c>
      <c s="6" r="BD555">
        <v>0</v>
      </c>
      <c s="6" r="BE555">
        <v>0</v>
      </c>
      <c s="6" r="BF555">
        <v>0</v>
      </c>
      <c s="6" r="BG555">
        <v>0</v>
      </c>
      <c s="6" r="BH555">
        <v>0</v>
      </c>
      <c s="6" r="BI555">
        <v>0</v>
      </c>
      <c s="6" r="BJ555">
        <v>0</v>
      </c>
      <c s="6" r="BK555">
        <v>0</v>
      </c>
      <c s="6" r="BL555">
        <v>1</v>
      </c>
      <c s="6" r="BM555">
        <v>0</v>
      </c>
      <c s="6" r="BN555">
        <v>0</v>
      </c>
      <c s="6" r="BO555">
        <v>0</v>
      </c>
      <c s="6" r="BP555">
        <v>0</v>
      </c>
      <c s="6" r="BQ555">
        <v>0</v>
      </c>
      <c t="str" s="6" r="BR555">
        <f>HYPERLINK("http://www.d20pfsrd.com/magic/all-spells/s/symbol-of-stunning","Symbol of Stunning")</f>
        <v>Symbol of Stunning</v>
      </c>
      <c s="6" r="BS555">
        <v>556</v>
      </c>
      <c s="6" r="BT555">
        <v>5000</v>
      </c>
      <c s="6" r="BY555">
        <v>0</v>
      </c>
    </row>
    <row customHeight="1" r="556" ht="14.25">
      <c t="s" s="6" r="A556">
        <v>4404</v>
      </c>
      <c t="s" s="6" r="B556">
        <v>227</v>
      </c>
      <c t="s" s="6" r="E556">
        <v>4399</v>
      </c>
      <c t="s" s="6" r="F556">
        <v>311</v>
      </c>
      <c t="s" s="6" r="G556">
        <v>4375</v>
      </c>
      <c s="6" r="H556">
        <v>1</v>
      </c>
      <c t="s" s="6" r="I556">
        <v>4361</v>
      </c>
      <c t="s" s="6" r="K556">
        <v>4362</v>
      </c>
      <c t="s" s="6" r="M556">
        <v>141</v>
      </c>
      <c s="6" r="N556">
        <v>0</v>
      </c>
      <c s="6" r="O556">
        <v>0</v>
      </c>
      <c t="s" s="6" r="P556">
        <v>187</v>
      </c>
      <c t="s" s="6" r="Q556">
        <v>188</v>
      </c>
      <c t="s" s="6" r="R556">
        <v>4400</v>
      </c>
      <c t="s" s="6" r="S556">
        <v>4401</v>
      </c>
      <c t="s" s="6" r="T556">
        <v>90</v>
      </c>
      <c t="s" s="6" r="U556">
        <v>4405</v>
      </c>
      <c s="6" r="V556">
        <v>1</v>
      </c>
      <c s="6" r="W556">
        <v>1</v>
      </c>
      <c s="6" r="X556">
        <v>1</v>
      </c>
      <c s="6" r="Y556">
        <v>0</v>
      </c>
      <c s="6" r="Z556">
        <v>0</v>
      </c>
      <c s="6" r="AA556">
        <v>7</v>
      </c>
      <c s="6" r="AB556">
        <v>7</v>
      </c>
      <c s="6" r="AC556">
        <v>7</v>
      </c>
      <c t="s" s="6" r="AD556">
        <v>92</v>
      </c>
      <c t="s" s="6" r="AE556">
        <v>92</v>
      </c>
      <c t="s" s="6" r="AF556">
        <v>92</v>
      </c>
      <c t="s" s="6" r="AG556">
        <v>92</v>
      </c>
      <c t="s" s="6" r="AH556">
        <v>92</v>
      </c>
      <c t="s" s="6" r="AI556">
        <v>92</v>
      </c>
      <c s="6" r="AJ556">
        <v>7</v>
      </c>
      <c t="s" s="6" r="AK556">
        <v>92</v>
      </c>
      <c s="6" r="AL556">
        <v>7</v>
      </c>
      <c t="s" s="6" r="AM556">
        <v>92</v>
      </c>
      <c t="s" s="6" r="AN556">
        <v>92</v>
      </c>
      <c s="6" r="AP556">
        <v>7</v>
      </c>
      <c t="s" s="6" r="AR556">
        <v>4406</v>
      </c>
      <c s="6" r="AS556">
        <v>0</v>
      </c>
      <c s="6" r="AT556">
        <v>0</v>
      </c>
      <c s="6" r="AU556">
        <v>0</v>
      </c>
      <c s="6" r="AV556">
        <v>0</v>
      </c>
      <c s="6" r="AW556">
        <v>0</v>
      </c>
      <c s="6" r="AX556">
        <v>0</v>
      </c>
      <c s="6" r="AY556">
        <v>0</v>
      </c>
      <c s="6" r="AZ556">
        <v>0</v>
      </c>
      <c s="6" r="BA556">
        <v>0</v>
      </c>
      <c s="6" r="BB556">
        <v>0</v>
      </c>
      <c s="6" r="BC556">
        <v>0</v>
      </c>
      <c s="6" r="BD556">
        <v>0</v>
      </c>
      <c s="6" r="BE556">
        <v>0</v>
      </c>
      <c s="6" r="BF556">
        <v>0</v>
      </c>
      <c s="6" r="BG556">
        <v>0</v>
      </c>
      <c s="6" r="BH556">
        <v>0</v>
      </c>
      <c s="6" r="BI556">
        <v>0</v>
      </c>
      <c s="6" r="BJ556">
        <v>0</v>
      </c>
      <c s="6" r="BK556">
        <v>0</v>
      </c>
      <c s="6" r="BL556">
        <v>0</v>
      </c>
      <c s="6" r="BM556">
        <v>0</v>
      </c>
      <c s="6" r="BN556">
        <v>0</v>
      </c>
      <c s="6" r="BO556">
        <v>0</v>
      </c>
      <c s="6" r="BP556">
        <v>0</v>
      </c>
      <c s="6" r="BQ556">
        <v>0</v>
      </c>
      <c t="str" s="6" r="BR556">
        <f>HYPERLINK("http://www.d20pfsrd.com/magic/all-spells/s/symbol-of-weakness","Symbol of Weakness")</f>
        <v>Symbol of Weakness</v>
      </c>
      <c s="6" r="BS556">
        <v>557</v>
      </c>
      <c s="6" r="BT556">
        <v>5000</v>
      </c>
      <c s="6" r="BY556">
        <v>0</v>
      </c>
    </row>
    <row customHeight="1" r="557" ht="14.25">
      <c t="s" s="6" r="A557">
        <v>4407</v>
      </c>
      <c t="s" s="6" r="B557">
        <v>493</v>
      </c>
      <c t="s" s="6" r="D557">
        <v>67</v>
      </c>
      <c t="s" s="6" r="E557">
        <v>4408</v>
      </c>
      <c t="s" s="6" r="F557">
        <v>311</v>
      </c>
      <c t="s" s="6" r="G557">
        <v>4409</v>
      </c>
      <c s="6" r="H557">
        <v>0</v>
      </c>
      <c t="s" s="6" r="I557">
        <v>120</v>
      </c>
      <c t="s" s="6" r="L557">
        <v>4410</v>
      </c>
      <c t="s" s="6" r="M557">
        <v>4411</v>
      </c>
      <c s="6" r="N557">
        <v>0</v>
      </c>
      <c s="6" r="O557">
        <v>0</v>
      </c>
      <c t="s" s="6" r="P557">
        <v>201</v>
      </c>
      <c t="s" s="6" r="Q557">
        <v>188</v>
      </c>
      <c t="s" s="6" r="R557">
        <v>4412</v>
      </c>
      <c t="s" s="6" r="S557">
        <v>4413</v>
      </c>
      <c t="s" s="6" r="T557">
        <v>90</v>
      </c>
      <c t="s" s="6" r="U557">
        <v>4414</v>
      </c>
      <c s="6" r="V557">
        <v>1</v>
      </c>
      <c s="6" r="W557">
        <v>1</v>
      </c>
      <c s="6" r="X557">
        <v>0</v>
      </c>
      <c s="6" r="Y557">
        <v>1</v>
      </c>
      <c s="6" r="Z557">
        <v>0</v>
      </c>
      <c t="s" s="6" r="AA557">
        <v>92</v>
      </c>
      <c t="s" s="6" r="AB557">
        <v>92</v>
      </c>
      <c t="s" s="6" r="AC557">
        <v>92</v>
      </c>
      <c t="s" s="6" r="AD557">
        <v>92</v>
      </c>
      <c t="s" s="6" r="AE557">
        <v>92</v>
      </c>
      <c s="6" r="AF557">
        <v>6</v>
      </c>
      <c t="s" s="6" r="AG557">
        <v>92</v>
      </c>
      <c t="s" s="6" r="AH557">
        <v>92</v>
      </c>
      <c t="s" s="6" r="AI557">
        <v>92</v>
      </c>
      <c t="s" s="6" r="AJ557">
        <v>92</v>
      </c>
      <c t="s" s="6" r="AK557">
        <v>92</v>
      </c>
      <c t="s" s="6" r="AL557">
        <v>92</v>
      </c>
      <c t="s" s="6" r="AM557">
        <v>92</v>
      </c>
      <c t="s" s="6" r="AN557">
        <v>92</v>
      </c>
      <c s="6" r="AP557">
        <v>6</v>
      </c>
      <c t="s" s="6" r="AR557">
        <v>4415</v>
      </c>
      <c s="6" r="AS557">
        <v>0</v>
      </c>
      <c s="6" r="AT557">
        <v>0</v>
      </c>
      <c s="6" r="AU557">
        <v>0</v>
      </c>
      <c s="6" r="AV557">
        <v>0</v>
      </c>
      <c s="6" r="AW557">
        <v>0</v>
      </c>
      <c s="6" r="AX557">
        <v>0</v>
      </c>
      <c s="6" r="AY557">
        <v>0</v>
      </c>
      <c s="6" r="AZ557">
        <v>0</v>
      </c>
      <c s="6" r="BA557">
        <v>0</v>
      </c>
      <c s="6" r="BB557">
        <v>0</v>
      </c>
      <c s="6" r="BC557">
        <v>0</v>
      </c>
      <c s="6" r="BD557">
        <v>0</v>
      </c>
      <c s="6" r="BE557">
        <v>0</v>
      </c>
      <c s="6" r="BF557">
        <v>0</v>
      </c>
      <c s="6" r="BG557">
        <v>0</v>
      </c>
      <c s="6" r="BH557">
        <v>0</v>
      </c>
      <c s="6" r="BI557">
        <v>0</v>
      </c>
      <c s="6" r="BJ557">
        <v>0</v>
      </c>
      <c s="6" r="BK557">
        <v>0</v>
      </c>
      <c s="6" r="BL557">
        <v>0</v>
      </c>
      <c s="6" r="BM557">
        <v>0</v>
      </c>
      <c s="6" r="BN557">
        <v>0</v>
      </c>
      <c s="6" r="BO557">
        <v>0</v>
      </c>
      <c s="6" r="BP557">
        <v>1</v>
      </c>
      <c s="6" r="BQ557">
        <v>0</v>
      </c>
      <c t="str" s="6" r="BR557">
        <f>HYPERLINK("http://www.d20pfsrd.com/magic/all-spells/s/sympathetic-vibration","Sympathetic Vibration")</f>
        <v>Sympathetic Vibration</v>
      </c>
      <c s="6" r="BS557">
        <v>558</v>
      </c>
      <c t="s" s="6" r="BT557">
        <v>92</v>
      </c>
      <c s="6" r="BY557">
        <v>0</v>
      </c>
    </row>
    <row customHeight="1" r="558" ht="14.25">
      <c t="s" s="6" r="A558">
        <v>4416</v>
      </c>
      <c t="s" s="6" r="B558">
        <v>115</v>
      </c>
      <c t="s" s="6" r="C558">
        <v>116</v>
      </c>
      <c t="s" s="6" r="D558">
        <v>291</v>
      </c>
      <c t="s" s="6" r="E558">
        <v>4417</v>
      </c>
      <c t="s" s="6" r="F558">
        <v>293</v>
      </c>
      <c t="s" s="6" r="G558">
        <v>4418</v>
      </c>
      <c s="6" r="H558">
        <v>1</v>
      </c>
      <c t="s" s="6" r="I558">
        <v>107</v>
      </c>
      <c t="s" s="6" r="L558">
        <v>295</v>
      </c>
      <c t="s" s="6" r="M558">
        <v>166</v>
      </c>
      <c s="6" r="N558">
        <v>1</v>
      </c>
      <c s="6" r="O558">
        <v>0</v>
      </c>
      <c t="s" s="6" r="P558">
        <v>474</v>
      </c>
      <c t="s" s="6" r="Q558">
        <v>188</v>
      </c>
      <c t="s" s="6" r="R558">
        <v>4419</v>
      </c>
      <c t="s" s="6" r="S558">
        <v>4420</v>
      </c>
      <c t="s" s="6" r="T558">
        <v>90</v>
      </c>
      <c t="s" s="6" r="U558">
        <v>4421</v>
      </c>
      <c s="6" r="V558">
        <v>1</v>
      </c>
      <c s="6" r="W558">
        <v>1</v>
      </c>
      <c s="6" r="X558">
        <v>1</v>
      </c>
      <c s="6" r="Y558">
        <v>0</v>
      </c>
      <c s="6" r="Z558">
        <v>0</v>
      </c>
      <c s="6" r="AA558">
        <v>8</v>
      </c>
      <c s="6" r="AB558">
        <v>8</v>
      </c>
      <c t="s" s="6" r="AC558">
        <v>92</v>
      </c>
      <c s="6" r="AD558">
        <v>9</v>
      </c>
      <c t="s" s="6" r="AE558">
        <v>92</v>
      </c>
      <c t="s" s="6" r="AF558">
        <v>92</v>
      </c>
      <c t="s" s="6" r="AG558">
        <v>92</v>
      </c>
      <c t="s" s="6" r="AH558">
        <v>92</v>
      </c>
      <c s="6" r="AI558">
        <v>6</v>
      </c>
      <c s="6" r="AJ558">
        <v>8</v>
      </c>
      <c t="s" s="6" r="AK558">
        <v>92</v>
      </c>
      <c t="s" s="6" r="AL558">
        <v>92</v>
      </c>
      <c t="s" s="6" r="AM558">
        <v>92</v>
      </c>
      <c t="s" s="6" r="AN558">
        <v>92</v>
      </c>
      <c s="6" r="AP558">
        <v>8</v>
      </c>
      <c t="s" s="6" r="AR558">
        <v>4422</v>
      </c>
      <c s="6" r="AS558">
        <v>0</v>
      </c>
      <c s="6" r="AT558">
        <v>0</v>
      </c>
      <c s="6" r="AU558">
        <v>0</v>
      </c>
      <c s="6" r="AV558">
        <v>0</v>
      </c>
      <c s="6" r="AW558">
        <v>0</v>
      </c>
      <c s="6" r="AX558">
        <v>0</v>
      </c>
      <c s="6" r="AY558">
        <v>0</v>
      </c>
      <c s="6" r="AZ558">
        <v>0</v>
      </c>
      <c s="6" r="BA558">
        <v>0</v>
      </c>
      <c s="6" r="BB558">
        <v>0</v>
      </c>
      <c s="6" r="BC558">
        <v>1</v>
      </c>
      <c s="6" r="BD558">
        <v>0</v>
      </c>
      <c s="6" r="BE558">
        <v>0</v>
      </c>
      <c s="6" r="BF558">
        <v>0</v>
      </c>
      <c s="6" r="BG558">
        <v>0</v>
      </c>
      <c s="6" r="BH558">
        <v>0</v>
      </c>
      <c s="6" r="BI558">
        <v>0</v>
      </c>
      <c s="6" r="BJ558">
        <v>0</v>
      </c>
      <c s="6" r="BK558">
        <v>0</v>
      </c>
      <c s="6" r="BL558">
        <v>1</v>
      </c>
      <c s="6" r="BM558">
        <v>0</v>
      </c>
      <c s="6" r="BN558">
        <v>0</v>
      </c>
      <c s="6" r="BO558">
        <v>0</v>
      </c>
      <c s="6" r="BP558">
        <v>0</v>
      </c>
      <c s="6" r="BQ558">
        <v>0</v>
      </c>
      <c t="str" s="6" r="BR558">
        <f>HYPERLINK("http://www.d20pfsrd.com/magic/all-spells/s/sympathy","Sympathy")</f>
        <v>Sympathy</v>
      </c>
      <c s="6" r="BS558">
        <v>559</v>
      </c>
      <c s="6" r="BT558">
        <v>1500</v>
      </c>
      <c s="6" r="BY558">
        <v>0</v>
      </c>
    </row>
    <row customHeight="1" r="559" ht="14.25">
      <c t="s" s="6" r="A559">
        <v>4423</v>
      </c>
      <c t="s" s="6" r="B559">
        <v>131</v>
      </c>
      <c t="s" s="6" r="E559">
        <v>2522</v>
      </c>
      <c t="s" s="6" r="F559">
        <v>81</v>
      </c>
      <c t="s" s="6" r="G559">
        <v>106</v>
      </c>
      <c s="6" r="H559">
        <v>0</v>
      </c>
      <c t="s" s="6" r="I559">
        <v>83</v>
      </c>
      <c t="s" s="6" r="L559">
        <v>4424</v>
      </c>
      <c t="s" s="6" r="M559">
        <v>4425</v>
      </c>
      <c s="6" r="N559">
        <v>0</v>
      </c>
      <c s="6" r="O559">
        <v>0</v>
      </c>
      <c t="s" s="6" r="P559">
        <v>4426</v>
      </c>
      <c t="s" s="6" r="Q559">
        <v>4427</v>
      </c>
      <c t="s" s="6" r="R559">
        <v>4428</v>
      </c>
      <c t="s" s="6" r="S559">
        <v>4429</v>
      </c>
      <c t="s" s="6" r="T559">
        <v>90</v>
      </c>
      <c t="s" s="6" r="U559">
        <v>4430</v>
      </c>
      <c s="6" r="V559">
        <v>1</v>
      </c>
      <c s="6" r="W559">
        <v>1</v>
      </c>
      <c s="6" r="X559">
        <v>0</v>
      </c>
      <c s="6" r="Y559">
        <v>0</v>
      </c>
      <c s="6" r="Z559">
        <v>0</v>
      </c>
      <c s="6" r="AA559">
        <v>5</v>
      </c>
      <c s="6" r="AB559">
        <v>5</v>
      </c>
      <c t="s" s="6" r="AC559">
        <v>92</v>
      </c>
      <c t="s" s="6" r="AD559">
        <v>92</v>
      </c>
      <c t="s" s="6" r="AE559">
        <v>92</v>
      </c>
      <c t="s" s="6" r="AF559">
        <v>92</v>
      </c>
      <c t="s" s="6" r="AG559">
        <v>92</v>
      </c>
      <c t="s" s="6" r="AH559">
        <v>92</v>
      </c>
      <c t="s" s="6" r="AI559">
        <v>92</v>
      </c>
      <c t="s" s="6" r="AJ559">
        <v>92</v>
      </c>
      <c t="s" s="6" r="AK559">
        <v>92</v>
      </c>
      <c t="s" s="6" r="AL559">
        <v>92</v>
      </c>
      <c t="s" s="6" r="AM559">
        <v>92</v>
      </c>
      <c s="6" r="AN559">
        <v>5</v>
      </c>
      <c s="6" r="AP559">
        <v>5</v>
      </c>
      <c t="s" s="6" r="AR559">
        <v>4431</v>
      </c>
      <c s="6" r="AS559">
        <v>0</v>
      </c>
      <c s="6" r="AT559">
        <v>0</v>
      </c>
      <c s="6" r="AU559">
        <v>0</v>
      </c>
      <c s="6" r="AV559">
        <v>0</v>
      </c>
      <c s="6" r="AW559">
        <v>0</v>
      </c>
      <c s="6" r="AX559">
        <v>0</v>
      </c>
      <c s="6" r="AY559">
        <v>0</v>
      </c>
      <c s="6" r="AZ559">
        <v>0</v>
      </c>
      <c s="6" r="BA559">
        <v>0</v>
      </c>
      <c s="6" r="BB559">
        <v>0</v>
      </c>
      <c s="6" r="BC559">
        <v>0</v>
      </c>
      <c s="6" r="BD559">
        <v>0</v>
      </c>
      <c s="6" r="BE559">
        <v>0</v>
      </c>
      <c s="6" r="BF559">
        <v>0</v>
      </c>
      <c s="6" r="BG559">
        <v>0</v>
      </c>
      <c s="6" r="BH559">
        <v>0</v>
      </c>
      <c s="6" r="BI559">
        <v>0</v>
      </c>
      <c s="6" r="BJ559">
        <v>0</v>
      </c>
      <c s="6" r="BK559">
        <v>0</v>
      </c>
      <c s="6" r="BL559">
        <v>0</v>
      </c>
      <c s="6" r="BM559">
        <v>0</v>
      </c>
      <c s="6" r="BN559">
        <v>0</v>
      </c>
      <c s="6" r="BO559">
        <v>0</v>
      </c>
      <c s="6" r="BP559">
        <v>0</v>
      </c>
      <c s="6" r="BQ559">
        <v>0</v>
      </c>
      <c t="str" s="6" r="BR559">
        <f>HYPERLINK("http://www.d20pfsrd.com/magic/all-spells/t/telekinesis","Telekinesis")</f>
        <v>Telekinesis</v>
      </c>
      <c s="6" r="BS559">
        <v>560</v>
      </c>
      <c t="s" s="6" r="BT559">
        <v>92</v>
      </c>
      <c t="s" s="6" r="BW559">
        <v>4432</v>
      </c>
      <c s="6" r="BY559">
        <v>1</v>
      </c>
    </row>
    <row customHeight="1" r="560" ht="14.25">
      <c t="s" s="6" r="A560">
        <v>4433</v>
      </c>
      <c t="s" s="6" r="B560">
        <v>493</v>
      </c>
      <c t="s" s="6" r="D560">
        <v>58</v>
      </c>
      <c t="s" s="6" r="E560">
        <v>794</v>
      </c>
      <c t="s" s="6" r="F560">
        <v>81</v>
      </c>
      <c t="s" s="6" r="G560">
        <v>4434</v>
      </c>
      <c s="6" r="H560">
        <v>0</v>
      </c>
      <c t="s" s="6" r="I560">
        <v>107</v>
      </c>
      <c t="s" s="6" r="K560">
        <v>4435</v>
      </c>
      <c t="s" s="6" r="M560">
        <v>122</v>
      </c>
      <c s="6" r="N560">
        <v>1</v>
      </c>
      <c s="6" r="O560">
        <v>0</v>
      </c>
      <c t="s" s="6" r="P560">
        <v>4436</v>
      </c>
      <c t="s" s="6" r="Q560">
        <v>536</v>
      </c>
      <c t="s" s="6" r="R560">
        <v>4437</v>
      </c>
      <c t="s" s="6" r="S560">
        <v>4438</v>
      </c>
      <c t="s" s="6" r="T560">
        <v>90</v>
      </c>
      <c t="s" s="6" r="U560">
        <v>4439</v>
      </c>
      <c s="6" r="V560">
        <v>1</v>
      </c>
      <c s="6" r="W560">
        <v>1</v>
      </c>
      <c s="6" r="X560">
        <v>1</v>
      </c>
      <c s="6" r="Y560">
        <v>0</v>
      </c>
      <c s="6" r="Z560">
        <v>0</v>
      </c>
      <c s="6" r="AA560">
        <v>8</v>
      </c>
      <c s="6" r="AB560">
        <v>8</v>
      </c>
      <c t="s" s="6" r="AC560">
        <v>92</v>
      </c>
      <c t="s" s="6" r="AD560">
        <v>92</v>
      </c>
      <c t="s" s="6" r="AE560">
        <v>92</v>
      </c>
      <c t="s" s="6" r="AF560">
        <v>92</v>
      </c>
      <c t="s" s="6" r="AG560">
        <v>92</v>
      </c>
      <c t="s" s="6" r="AH560">
        <v>92</v>
      </c>
      <c t="s" s="6" r="AI560">
        <v>92</v>
      </c>
      <c t="s" s="6" r="AJ560">
        <v>92</v>
      </c>
      <c t="s" s="6" r="AK560">
        <v>92</v>
      </c>
      <c t="s" s="6" r="AL560">
        <v>92</v>
      </c>
      <c t="s" s="6" r="AM560">
        <v>92</v>
      </c>
      <c t="s" s="6" r="AN560">
        <v>92</v>
      </c>
      <c s="6" r="AP560">
        <v>8</v>
      </c>
      <c t="s" s="6" r="AR560">
        <v>4440</v>
      </c>
      <c s="6" r="AS560">
        <v>0</v>
      </c>
      <c s="6" r="AT560">
        <v>0</v>
      </c>
      <c s="6" r="AU560">
        <v>0</v>
      </c>
      <c s="6" r="AV560">
        <v>0</v>
      </c>
      <c s="6" r="AW560">
        <v>0</v>
      </c>
      <c s="6" r="AX560">
        <v>0</v>
      </c>
      <c s="6" r="AY560">
        <v>0</v>
      </c>
      <c s="6" r="AZ560">
        <v>0</v>
      </c>
      <c s="6" r="BA560">
        <v>0</v>
      </c>
      <c s="6" r="BB560">
        <v>0</v>
      </c>
      <c s="6" r="BC560">
        <v>0</v>
      </c>
      <c s="6" r="BD560">
        <v>0</v>
      </c>
      <c s="6" r="BE560">
        <v>0</v>
      </c>
      <c s="6" r="BF560">
        <v>0</v>
      </c>
      <c s="6" r="BG560">
        <v>1</v>
      </c>
      <c s="6" r="BH560">
        <v>0</v>
      </c>
      <c s="6" r="BI560">
        <v>0</v>
      </c>
      <c s="6" r="BJ560">
        <v>0</v>
      </c>
      <c s="6" r="BK560">
        <v>0</v>
      </c>
      <c s="6" r="BL560">
        <v>0</v>
      </c>
      <c s="6" r="BM560">
        <v>0</v>
      </c>
      <c s="6" r="BN560">
        <v>0</v>
      </c>
      <c s="6" r="BO560">
        <v>0</v>
      </c>
      <c s="6" r="BP560">
        <v>0</v>
      </c>
      <c s="6" r="BQ560">
        <v>0</v>
      </c>
      <c t="str" s="6" r="BR560">
        <f>HYPERLINK("http://www.d20pfsrd.com/magic/all-spells/t/telekinetic-sphere","Telekinetic Sphere")</f>
        <v>Telekinetic Sphere</v>
      </c>
      <c s="6" r="BS560">
        <v>561</v>
      </c>
      <c t="s" s="6" r="BT560">
        <v>92</v>
      </c>
      <c s="6" r="BY560">
        <v>0</v>
      </c>
    </row>
    <row customHeight="1" r="561" ht="14.25">
      <c t="s" s="6" r="A561">
        <v>4441</v>
      </c>
      <c t="s" s="6" r="B561">
        <v>174</v>
      </c>
      <c t="s" s="6" r="E561">
        <v>4442</v>
      </c>
      <c t="s" s="6" r="F561">
        <v>81</v>
      </c>
      <c t="s" s="6" r="G561">
        <v>4443</v>
      </c>
      <c s="6" r="H561">
        <v>0</v>
      </c>
      <c t="s" s="6" r="I561">
        <v>107</v>
      </c>
      <c t="s" s="6" r="L561">
        <v>4444</v>
      </c>
      <c t="s" s="6" r="M561">
        <v>134</v>
      </c>
      <c s="6" r="N561">
        <v>1</v>
      </c>
      <c s="6" r="O561">
        <v>0</v>
      </c>
      <c t="s" s="6" r="P561">
        <v>86</v>
      </c>
      <c t="s" s="6" r="Q561">
        <v>87</v>
      </c>
      <c t="s" s="6" r="R561">
        <v>4445</v>
      </c>
      <c t="s" s="6" r="S561">
        <v>4446</v>
      </c>
      <c t="s" s="6" r="T561">
        <v>90</v>
      </c>
      <c t="s" s="6" r="U561">
        <v>4447</v>
      </c>
      <c s="6" r="V561">
        <v>1</v>
      </c>
      <c s="6" r="W561">
        <v>1</v>
      </c>
      <c s="6" r="X561">
        <v>1</v>
      </c>
      <c s="6" r="Y561">
        <v>0</v>
      </c>
      <c s="6" r="Z561">
        <v>0</v>
      </c>
      <c s="6" r="AA561">
        <v>5</v>
      </c>
      <c s="6" r="AB561">
        <v>5</v>
      </c>
      <c t="s" s="6" r="AC561">
        <v>92</v>
      </c>
      <c t="s" s="6" r="AD561">
        <v>92</v>
      </c>
      <c t="s" s="6" r="AE561">
        <v>92</v>
      </c>
      <c t="s" s="6" r="AF561">
        <v>92</v>
      </c>
      <c t="s" s="6" r="AG561">
        <v>92</v>
      </c>
      <c t="s" s="6" r="AH561">
        <v>92</v>
      </c>
      <c t="s" s="6" r="AI561">
        <v>92</v>
      </c>
      <c s="6" r="AJ561">
        <v>5</v>
      </c>
      <c s="6" r="AK561">
        <v>5</v>
      </c>
      <c t="s" s="6" r="AL561">
        <v>92</v>
      </c>
      <c t="s" s="6" r="AM561">
        <v>92</v>
      </c>
      <c t="s" s="6" r="AN561">
        <v>92</v>
      </c>
      <c s="6" r="AP561">
        <v>5</v>
      </c>
      <c t="s" s="6" r="AQ561">
        <v>4448</v>
      </c>
      <c t="s" s="6" r="AR561">
        <v>4449</v>
      </c>
      <c s="6" r="AS561">
        <v>0</v>
      </c>
      <c s="6" r="AT561">
        <v>0</v>
      </c>
      <c s="6" r="AU561">
        <v>0</v>
      </c>
      <c s="6" r="AV561">
        <v>0</v>
      </c>
      <c s="6" r="AW561">
        <v>0</v>
      </c>
      <c s="6" r="AX561">
        <v>0</v>
      </c>
      <c s="6" r="AY561">
        <v>0</v>
      </c>
      <c s="6" r="AZ561">
        <v>0</v>
      </c>
      <c s="6" r="BA561">
        <v>0</v>
      </c>
      <c s="6" r="BB561">
        <v>0</v>
      </c>
      <c s="6" r="BC561">
        <v>0</v>
      </c>
      <c s="6" r="BD561">
        <v>0</v>
      </c>
      <c s="6" r="BE561">
        <v>0</v>
      </c>
      <c s="6" r="BF561">
        <v>0</v>
      </c>
      <c s="6" r="BG561">
        <v>0</v>
      </c>
      <c s="6" r="BH561">
        <v>0</v>
      </c>
      <c s="6" r="BI561">
        <v>0</v>
      </c>
      <c s="6" r="BJ561">
        <v>0</v>
      </c>
      <c s="6" r="BK561">
        <v>0</v>
      </c>
      <c s="6" r="BL561">
        <v>0</v>
      </c>
      <c s="6" r="BM561">
        <v>0</v>
      </c>
      <c s="6" r="BN561">
        <v>0</v>
      </c>
      <c s="6" r="BO561">
        <v>0</v>
      </c>
      <c s="6" r="BP561">
        <v>0</v>
      </c>
      <c s="6" r="BQ561">
        <v>0</v>
      </c>
      <c t="str" s="6" r="BR561">
        <f>HYPERLINK("http://www.d20pfsrd.com/magic/all-spells/t/telepathic-bond","Telepathic Bond")</f>
        <v>Telepathic Bond</v>
      </c>
      <c s="6" r="BS561">
        <v>562</v>
      </c>
      <c t="s" s="6" r="BT561">
        <v>92</v>
      </c>
      <c s="6" r="BY561">
        <v>0</v>
      </c>
    </row>
    <row customHeight="1" r="562" ht="14.25">
      <c t="s" s="6" r="A562">
        <v>4450</v>
      </c>
      <c t="s" s="6" r="B562">
        <v>78</v>
      </c>
      <c t="s" s="6" r="C562">
        <v>1356</v>
      </c>
      <c t="s" s="6" r="E562">
        <v>4451</v>
      </c>
      <c t="s" s="6" r="F562">
        <v>81</v>
      </c>
      <c t="s" s="6" r="G562">
        <v>251</v>
      </c>
      <c s="6" r="H562">
        <v>0</v>
      </c>
      <c t="s" s="6" r="I562">
        <v>4452</v>
      </c>
      <c t="s" s="6" r="L562">
        <v>1358</v>
      </c>
      <c t="s" s="6" r="M562">
        <v>109</v>
      </c>
      <c s="6" r="N562">
        <v>0</v>
      </c>
      <c s="6" r="O562">
        <v>0</v>
      </c>
      <c t="s" s="6" r="P562">
        <v>1359</v>
      </c>
      <c t="s" s="6" r="Q562">
        <v>1360</v>
      </c>
      <c t="s" s="6" r="R562">
        <v>4453</v>
      </c>
      <c t="s" s="6" r="S562">
        <v>4454</v>
      </c>
      <c t="s" s="6" r="T562">
        <v>90</v>
      </c>
      <c t="s" s="6" r="U562">
        <v>4455</v>
      </c>
      <c s="6" r="V562">
        <v>1</v>
      </c>
      <c s="6" r="W562">
        <v>0</v>
      </c>
      <c s="6" r="X562">
        <v>0</v>
      </c>
      <c s="6" r="Y562">
        <v>0</v>
      </c>
      <c s="6" r="Z562">
        <v>0</v>
      </c>
      <c s="6" r="AA562">
        <v>5</v>
      </c>
      <c s="6" r="AB562">
        <v>5</v>
      </c>
      <c t="s" s="6" r="AC562">
        <v>92</v>
      </c>
      <c t="s" s="6" r="AD562">
        <v>92</v>
      </c>
      <c t="s" s="6" r="AE562">
        <v>92</v>
      </c>
      <c t="s" s="6" r="AF562">
        <v>92</v>
      </c>
      <c t="s" s="6" r="AG562">
        <v>92</v>
      </c>
      <c t="s" s="6" r="AH562">
        <v>92</v>
      </c>
      <c s="6" r="AI562">
        <v>4</v>
      </c>
      <c s="6" r="AJ562">
        <v>5</v>
      </c>
      <c t="s" s="6" r="AK562">
        <v>92</v>
      </c>
      <c t="s" s="6" r="AL562">
        <v>92</v>
      </c>
      <c t="s" s="6" r="AM562">
        <v>92</v>
      </c>
      <c s="6" r="AN562">
        <v>5</v>
      </c>
      <c s="6" r="AP562">
        <v>5</v>
      </c>
      <c t="s" s="6" r="AQ562">
        <v>357</v>
      </c>
      <c t="s" s="6" r="AR562">
        <v>4456</v>
      </c>
      <c s="6" r="AS562">
        <v>0</v>
      </c>
      <c s="6" r="AT562">
        <v>0</v>
      </c>
      <c s="6" r="AU562">
        <v>0</v>
      </c>
      <c s="6" r="AV562">
        <v>0</v>
      </c>
      <c s="6" r="AW562">
        <v>0</v>
      </c>
      <c s="6" r="AX562">
        <v>0</v>
      </c>
      <c s="6" r="AY562">
        <v>0</v>
      </c>
      <c s="6" r="AZ562">
        <v>0</v>
      </c>
      <c s="6" r="BA562">
        <v>0</v>
      </c>
      <c s="6" r="BB562">
        <v>0</v>
      </c>
      <c s="6" r="BC562">
        <v>0</v>
      </c>
      <c s="6" r="BD562">
        <v>0</v>
      </c>
      <c s="6" r="BE562">
        <v>0</v>
      </c>
      <c s="6" r="BF562">
        <v>0</v>
      </c>
      <c s="6" r="BG562">
        <v>0</v>
      </c>
      <c s="6" r="BH562">
        <v>0</v>
      </c>
      <c s="6" r="BI562">
        <v>0</v>
      </c>
      <c s="6" r="BJ562">
        <v>0</v>
      </c>
      <c s="6" r="BK562">
        <v>0</v>
      </c>
      <c s="6" r="BL562">
        <v>0</v>
      </c>
      <c s="6" r="BM562">
        <v>0</v>
      </c>
      <c s="6" r="BN562">
        <v>0</v>
      </c>
      <c s="6" r="BO562">
        <v>0</v>
      </c>
      <c s="6" r="BP562">
        <v>0</v>
      </c>
      <c s="6" r="BQ562">
        <v>0</v>
      </c>
      <c t="str" s="6" r="BR562">
        <f>HYPERLINK("http://www.d20pfsrd.com/magic/all-spells/t/teleport","Teleport")</f>
        <v>Teleport</v>
      </c>
      <c s="6" r="BS562">
        <v>563</v>
      </c>
      <c t="s" s="6" r="BT562">
        <v>92</v>
      </c>
      <c t="s" s="6" r="BV562">
        <v>1399</v>
      </c>
      <c s="6" r="BY562">
        <v>0</v>
      </c>
    </row>
    <row customHeight="1" r="563" ht="14.25">
      <c t="s" s="6" r="A563">
        <v>4457</v>
      </c>
      <c t="s" s="6" r="B563">
        <v>78</v>
      </c>
      <c t="s" s="6" r="C563">
        <v>1356</v>
      </c>
      <c t="s" s="6" r="E563">
        <v>4458</v>
      </c>
      <c t="s" s="6" r="F563">
        <v>81</v>
      </c>
      <c t="s" s="6" r="G563">
        <v>251</v>
      </c>
      <c s="6" r="H563">
        <v>0</v>
      </c>
      <c t="s" s="6" r="I563">
        <v>4452</v>
      </c>
      <c t="s" s="6" r="L563">
        <v>1358</v>
      </c>
      <c t="s" s="6" r="M563">
        <v>109</v>
      </c>
      <c s="6" r="N563">
        <v>0</v>
      </c>
      <c s="6" r="O563">
        <v>0</v>
      </c>
      <c t="s" s="6" r="P563">
        <v>1359</v>
      </c>
      <c t="s" s="6" r="Q563">
        <v>1360</v>
      </c>
      <c t="s" s="6" r="R563">
        <v>4459</v>
      </c>
      <c t="s" s="6" r="S563">
        <v>4460</v>
      </c>
      <c t="s" s="6" r="T563">
        <v>90</v>
      </c>
      <c t="s" s="6" r="U563">
        <v>4461</v>
      </c>
      <c s="6" r="V563">
        <v>1</v>
      </c>
      <c s="6" r="W563">
        <v>0</v>
      </c>
      <c s="6" r="X563">
        <v>0</v>
      </c>
      <c s="6" r="Y563">
        <v>0</v>
      </c>
      <c s="6" r="Z563">
        <v>0</v>
      </c>
      <c s="6" r="AA563">
        <v>7</v>
      </c>
      <c s="6" r="AB563">
        <v>7</v>
      </c>
      <c t="s" s="6" r="AC563">
        <v>92</v>
      </c>
      <c t="s" s="6" r="AD563">
        <v>92</v>
      </c>
      <c t="s" s="6" r="AE563">
        <v>92</v>
      </c>
      <c t="s" s="6" r="AF563">
        <v>92</v>
      </c>
      <c t="s" s="6" r="AG563">
        <v>92</v>
      </c>
      <c t="s" s="6" r="AH563">
        <v>92</v>
      </c>
      <c s="6" r="AI563">
        <v>5</v>
      </c>
      <c s="6" r="AJ563">
        <v>7</v>
      </c>
      <c t="s" s="6" r="AK563">
        <v>92</v>
      </c>
      <c t="s" s="6" r="AL563">
        <v>92</v>
      </c>
      <c t="s" s="6" r="AM563">
        <v>92</v>
      </c>
      <c t="s" s="6" r="AN563">
        <v>92</v>
      </c>
      <c s="6" r="AP563">
        <v>7</v>
      </c>
      <c t="s" s="6" r="AQ563">
        <v>357</v>
      </c>
      <c t="s" s="6" r="AR563">
        <v>4462</v>
      </c>
      <c s="6" r="AS563">
        <v>0</v>
      </c>
      <c s="6" r="AT563">
        <v>0</v>
      </c>
      <c s="6" r="AU563">
        <v>0</v>
      </c>
      <c s="6" r="AV563">
        <v>0</v>
      </c>
      <c s="6" r="AW563">
        <v>0</v>
      </c>
      <c s="6" r="AX563">
        <v>0</v>
      </c>
      <c s="6" r="AY563">
        <v>0</v>
      </c>
      <c s="6" r="AZ563">
        <v>0</v>
      </c>
      <c s="6" r="BA563">
        <v>0</v>
      </c>
      <c s="6" r="BB563">
        <v>0</v>
      </c>
      <c s="6" r="BC563">
        <v>0</v>
      </c>
      <c s="6" r="BD563">
        <v>0</v>
      </c>
      <c s="6" r="BE563">
        <v>0</v>
      </c>
      <c s="6" r="BF563">
        <v>0</v>
      </c>
      <c s="6" r="BG563">
        <v>0</v>
      </c>
      <c s="6" r="BH563">
        <v>0</v>
      </c>
      <c s="6" r="BI563">
        <v>0</v>
      </c>
      <c s="6" r="BJ563">
        <v>0</v>
      </c>
      <c s="6" r="BK563">
        <v>0</v>
      </c>
      <c s="6" r="BL563">
        <v>0</v>
      </c>
      <c s="6" r="BM563">
        <v>0</v>
      </c>
      <c s="6" r="BN563">
        <v>0</v>
      </c>
      <c s="6" r="BO563">
        <v>0</v>
      </c>
      <c s="6" r="BP563">
        <v>0</v>
      </c>
      <c s="6" r="BQ563">
        <v>0</v>
      </c>
      <c t="str" s="6" r="BR563">
        <f>HYPERLINK("http://www.d20pfsrd.com/magic/all-spells/t/teleport","Teleport, Greater")</f>
        <v>Teleport, Greater</v>
      </c>
      <c s="6" r="BS563">
        <v>564</v>
      </c>
      <c t="s" s="6" r="BT563">
        <v>92</v>
      </c>
      <c t="s" s="6" r="BU563">
        <v>4463</v>
      </c>
      <c s="6" r="BY563">
        <v>0</v>
      </c>
    </row>
    <row customHeight="1" r="564" ht="14.25">
      <c t="s" s="6" r="A564">
        <v>4464</v>
      </c>
      <c t="s" s="6" r="B564">
        <v>78</v>
      </c>
      <c t="s" s="6" r="C564">
        <v>1356</v>
      </c>
      <c t="s" s="6" r="E564">
        <v>344</v>
      </c>
      <c t="s" s="6" r="F564">
        <v>81</v>
      </c>
      <c t="s" s="6" r="G564">
        <v>251</v>
      </c>
      <c s="6" r="H564">
        <v>0</v>
      </c>
      <c t="s" s="6" r="I564">
        <v>120</v>
      </c>
      <c t="s" s="6" r="L564">
        <v>4465</v>
      </c>
      <c t="s" s="6" r="M564">
        <v>109</v>
      </c>
      <c s="6" r="N564">
        <v>0</v>
      </c>
      <c s="6" r="O564">
        <v>0</v>
      </c>
      <c t="s" s="6" r="P564">
        <v>535</v>
      </c>
      <c t="s" s="6" r="Q564">
        <v>536</v>
      </c>
      <c t="s" s="6" r="R564">
        <v>4466</v>
      </c>
      <c t="s" s="6" r="S564">
        <v>4467</v>
      </c>
      <c t="s" s="6" r="T564">
        <v>90</v>
      </c>
      <c t="s" s="6" r="U564">
        <v>4468</v>
      </c>
      <c s="6" r="V564">
        <v>1</v>
      </c>
      <c s="6" r="W564">
        <v>0</v>
      </c>
      <c s="6" r="X564">
        <v>0</v>
      </c>
      <c s="6" r="Y564">
        <v>0</v>
      </c>
      <c s="6" r="Z564">
        <v>0</v>
      </c>
      <c s="6" r="AA564">
        <v>7</v>
      </c>
      <c s="6" r="AB564">
        <v>7</v>
      </c>
      <c t="s" s="6" r="AC564">
        <v>92</v>
      </c>
      <c t="s" s="6" r="AD564">
        <v>92</v>
      </c>
      <c t="s" s="6" r="AE564">
        <v>92</v>
      </c>
      <c t="s" s="6" r="AF564">
        <v>92</v>
      </c>
      <c t="s" s="6" r="AG564">
        <v>92</v>
      </c>
      <c t="s" s="6" r="AH564">
        <v>92</v>
      </c>
      <c t="s" s="6" r="AI564">
        <v>92</v>
      </c>
      <c s="6" r="AJ564">
        <v>7</v>
      </c>
      <c t="s" s="6" r="AK564">
        <v>92</v>
      </c>
      <c t="s" s="6" r="AL564">
        <v>92</v>
      </c>
      <c t="s" s="6" r="AM564">
        <v>92</v>
      </c>
      <c t="s" s="6" r="AN564">
        <v>92</v>
      </c>
      <c s="6" r="AP564">
        <v>7</v>
      </c>
      <c t="s" s="6" r="AR564">
        <v>4469</v>
      </c>
      <c s="6" r="AS564">
        <v>0</v>
      </c>
      <c s="6" r="AT564">
        <v>0</v>
      </c>
      <c s="6" r="AU564">
        <v>0</v>
      </c>
      <c s="6" r="AV564">
        <v>0</v>
      </c>
      <c s="6" r="AW564">
        <v>0</v>
      </c>
      <c s="6" r="AX564">
        <v>0</v>
      </c>
      <c s="6" r="AY564">
        <v>0</v>
      </c>
      <c s="6" r="AZ564">
        <v>0</v>
      </c>
      <c s="6" r="BA564">
        <v>0</v>
      </c>
      <c s="6" r="BB564">
        <v>0</v>
      </c>
      <c s="6" r="BC564">
        <v>0</v>
      </c>
      <c s="6" r="BD564">
        <v>0</v>
      </c>
      <c s="6" r="BE564">
        <v>0</v>
      </c>
      <c s="6" r="BF564">
        <v>0</v>
      </c>
      <c s="6" r="BG564">
        <v>0</v>
      </c>
      <c s="6" r="BH564">
        <v>0</v>
      </c>
      <c s="6" r="BI564">
        <v>0</v>
      </c>
      <c s="6" r="BJ564">
        <v>0</v>
      </c>
      <c s="6" r="BK564">
        <v>0</v>
      </c>
      <c s="6" r="BL564">
        <v>0</v>
      </c>
      <c s="6" r="BM564">
        <v>0</v>
      </c>
      <c s="6" r="BN564">
        <v>0</v>
      </c>
      <c s="6" r="BO564">
        <v>0</v>
      </c>
      <c s="6" r="BP564">
        <v>0</v>
      </c>
      <c s="6" r="BQ564">
        <v>0</v>
      </c>
      <c t="str" s="6" r="BR564">
        <f>HYPERLINK("http://www.d20pfsrd.com/magic/all-spells/t/teleport-object","Teleport Object")</f>
        <v>Teleport Object</v>
      </c>
      <c s="6" r="BS564">
        <v>565</v>
      </c>
      <c t="s" s="6" r="BT564">
        <v>92</v>
      </c>
      <c s="6" r="BY564">
        <v>0</v>
      </c>
    </row>
    <row customHeight="1" r="565" ht="14.25">
      <c t="s" s="6" r="A565">
        <v>4470</v>
      </c>
      <c t="s" s="6" r="B565">
        <v>78</v>
      </c>
      <c t="s" s="6" r="C565">
        <v>1356</v>
      </c>
      <c t="s" s="6" r="E565">
        <v>1502</v>
      </c>
      <c t="s" s="6" r="F565">
        <v>311</v>
      </c>
      <c t="s" s="6" r="G565">
        <v>4471</v>
      </c>
      <c s="6" r="H565">
        <v>1</v>
      </c>
      <c t="s" s="6" r="I565">
        <v>813</v>
      </c>
      <c t="s" s="6" r="K565">
        <v>4472</v>
      </c>
      <c t="s" s="6" r="M565">
        <v>134</v>
      </c>
      <c s="6" r="N565">
        <v>1</v>
      </c>
      <c s="6" r="O565">
        <v>0</v>
      </c>
      <c t="s" s="6" r="P565">
        <v>86</v>
      </c>
      <c t="s" s="6" r="Q565">
        <v>188</v>
      </c>
      <c t="s" s="6" r="R565">
        <v>4473</v>
      </c>
      <c t="s" s="6" r="S565">
        <v>4474</v>
      </c>
      <c t="s" s="6" r="T565">
        <v>90</v>
      </c>
      <c t="s" s="6" r="U565">
        <v>4475</v>
      </c>
      <c s="6" r="V565">
        <v>1</v>
      </c>
      <c s="6" r="W565">
        <v>0</v>
      </c>
      <c s="6" r="X565">
        <v>1</v>
      </c>
      <c s="6" r="Y565">
        <v>0</v>
      </c>
      <c s="6" r="Z565">
        <v>0</v>
      </c>
      <c s="6" r="AA565">
        <v>9</v>
      </c>
      <c s="6" r="AB565">
        <v>9</v>
      </c>
      <c t="s" s="6" r="AC565">
        <v>92</v>
      </c>
      <c t="s" s="6" r="AD565">
        <v>92</v>
      </c>
      <c t="s" s="6" r="AE565">
        <v>92</v>
      </c>
      <c t="s" s="6" r="AF565">
        <v>92</v>
      </c>
      <c t="s" s="6" r="AG565">
        <v>92</v>
      </c>
      <c t="s" s="6" r="AH565">
        <v>92</v>
      </c>
      <c s="6" r="AI565">
        <v>6</v>
      </c>
      <c s="6" r="AJ565">
        <v>9</v>
      </c>
      <c t="s" s="6" r="AK565">
        <v>92</v>
      </c>
      <c t="s" s="6" r="AL565">
        <v>92</v>
      </c>
      <c t="s" s="6" r="AM565">
        <v>92</v>
      </c>
      <c t="s" s="6" r="AN565">
        <v>92</v>
      </c>
      <c s="6" r="AP565">
        <v>9</v>
      </c>
      <c t="s" s="6" r="AQ565">
        <v>1664</v>
      </c>
      <c t="s" s="6" r="AR565">
        <v>4476</v>
      </c>
      <c s="6" r="AS565">
        <v>0</v>
      </c>
      <c s="6" r="AT565">
        <v>0</v>
      </c>
      <c s="6" r="AU565">
        <v>0</v>
      </c>
      <c s="6" r="AV565">
        <v>0</v>
      </c>
      <c s="6" r="AW565">
        <v>0</v>
      </c>
      <c s="6" r="AX565">
        <v>0</v>
      </c>
      <c s="6" r="AY565">
        <v>0</v>
      </c>
      <c s="6" r="AZ565">
        <v>0</v>
      </c>
      <c s="6" r="BA565">
        <v>0</v>
      </c>
      <c s="6" r="BB565">
        <v>0</v>
      </c>
      <c s="6" r="BC565">
        <v>0</v>
      </c>
      <c s="6" r="BD565">
        <v>0</v>
      </c>
      <c s="6" r="BE565">
        <v>0</v>
      </c>
      <c s="6" r="BF565">
        <v>0</v>
      </c>
      <c s="6" r="BG565">
        <v>0</v>
      </c>
      <c s="6" r="BH565">
        <v>0</v>
      </c>
      <c s="6" r="BI565">
        <v>0</v>
      </c>
      <c s="6" r="BJ565">
        <v>0</v>
      </c>
      <c s="6" r="BK565">
        <v>0</v>
      </c>
      <c s="6" r="BL565">
        <v>0</v>
      </c>
      <c s="6" r="BM565">
        <v>0</v>
      </c>
      <c s="6" r="BN565">
        <v>0</v>
      </c>
      <c s="6" r="BO565">
        <v>0</v>
      </c>
      <c s="6" r="BP565">
        <v>0</v>
      </c>
      <c s="6" r="BQ565">
        <v>0</v>
      </c>
      <c t="str" s="6" r="BR565">
        <f>HYPERLINK("http://www.d20pfsrd.com/magic/all-spells/t/teleportation-circle","Teleportation Circle")</f>
        <v>Teleportation Circle</v>
      </c>
      <c s="6" r="BS565">
        <v>566</v>
      </c>
      <c s="6" r="BT565">
        <v>1000</v>
      </c>
      <c s="6" r="BY565">
        <v>0</v>
      </c>
    </row>
    <row customHeight="1" r="566" ht="14.25">
      <c t="s" s="6" r="A566">
        <v>4477</v>
      </c>
      <c t="s" s="6" r="B566">
        <v>131</v>
      </c>
      <c t="s" s="6" r="E566">
        <v>794</v>
      </c>
      <c t="s" s="6" r="F566">
        <v>81</v>
      </c>
      <c t="s" s="6" r="G566">
        <v>4478</v>
      </c>
      <c s="6" r="H566">
        <v>1</v>
      </c>
      <c t="s" s="6" r="I566">
        <v>120</v>
      </c>
      <c t="s" s="6" r="L566">
        <v>420</v>
      </c>
      <c t="s" s="6" r="M566">
        <v>323</v>
      </c>
      <c s="6" r="N566">
        <v>0</v>
      </c>
      <c s="6" r="O566">
        <v>0</v>
      </c>
      <c t="s" s="6" r="P566">
        <v>187</v>
      </c>
      <c t="s" s="6" r="Q566">
        <v>188</v>
      </c>
      <c t="s" s="6" r="R566">
        <v>4479</v>
      </c>
      <c t="s" s="6" r="S566">
        <v>4480</v>
      </c>
      <c t="s" s="6" r="T566">
        <v>90</v>
      </c>
      <c t="s" s="6" r="U566">
        <v>4481</v>
      </c>
      <c s="6" r="V566">
        <v>1</v>
      </c>
      <c s="6" r="W566">
        <v>1</v>
      </c>
      <c s="6" r="X566">
        <v>1</v>
      </c>
      <c s="6" r="Y566">
        <v>0</v>
      </c>
      <c s="6" r="Z566">
        <v>0</v>
      </c>
      <c s="6" r="AA566">
        <v>8</v>
      </c>
      <c s="6" r="AB566">
        <v>8</v>
      </c>
      <c t="s" s="6" r="AC566">
        <v>92</v>
      </c>
      <c t="s" s="6" r="AD566">
        <v>92</v>
      </c>
      <c t="s" s="6" r="AE566">
        <v>92</v>
      </c>
      <c t="s" s="6" r="AF566">
        <v>92</v>
      </c>
      <c t="s" s="6" r="AG566">
        <v>92</v>
      </c>
      <c t="s" s="6" r="AH566">
        <v>92</v>
      </c>
      <c t="s" s="6" r="AI566">
        <v>92</v>
      </c>
      <c t="s" s="6" r="AJ566">
        <v>92</v>
      </c>
      <c t="s" s="6" r="AK566">
        <v>92</v>
      </c>
      <c t="s" s="6" r="AL566">
        <v>92</v>
      </c>
      <c t="s" s="6" r="AM566">
        <v>92</v>
      </c>
      <c t="s" s="6" r="AN566">
        <v>92</v>
      </c>
      <c s="6" r="AP566">
        <v>8</v>
      </c>
      <c t="s" s="6" r="AR566">
        <v>4482</v>
      </c>
      <c s="6" r="AS566">
        <v>0</v>
      </c>
      <c s="6" r="AT566">
        <v>0</v>
      </c>
      <c s="6" r="AU566">
        <v>0</v>
      </c>
      <c s="6" r="AV566">
        <v>0</v>
      </c>
      <c s="6" r="AW566">
        <v>0</v>
      </c>
      <c s="6" r="AX566">
        <v>0</v>
      </c>
      <c s="6" r="AY566">
        <v>0</v>
      </c>
      <c s="6" r="AZ566">
        <v>0</v>
      </c>
      <c s="6" r="BA566">
        <v>0</v>
      </c>
      <c s="6" r="BB566">
        <v>0</v>
      </c>
      <c s="6" r="BC566">
        <v>0</v>
      </c>
      <c s="6" r="BD566">
        <v>0</v>
      </c>
      <c s="6" r="BE566">
        <v>0</v>
      </c>
      <c s="6" r="BF566">
        <v>0</v>
      </c>
      <c s="6" r="BG566">
        <v>0</v>
      </c>
      <c s="6" r="BH566">
        <v>0</v>
      </c>
      <c s="6" r="BI566">
        <v>0</v>
      </c>
      <c s="6" r="BJ566">
        <v>0</v>
      </c>
      <c s="6" r="BK566">
        <v>0</v>
      </c>
      <c s="6" r="BL566">
        <v>0</v>
      </c>
      <c s="6" r="BM566">
        <v>0</v>
      </c>
      <c s="6" r="BN566">
        <v>0</v>
      </c>
      <c s="6" r="BO566">
        <v>0</v>
      </c>
      <c s="6" r="BP566">
        <v>0</v>
      </c>
      <c s="6" r="BQ566">
        <v>0</v>
      </c>
      <c t="str" s="6" r="BR566">
        <f>HYPERLINK("http://www.d20pfsrd.com/magic/all-spells/t/temporal-stasis","Temporal Stasis")</f>
        <v>Temporal Stasis</v>
      </c>
      <c s="6" r="BS566">
        <v>567</v>
      </c>
      <c s="6" r="BT566">
        <v>5000</v>
      </c>
      <c t="s" s="6" r="BV566">
        <v>1399</v>
      </c>
      <c s="6" r="BY566">
        <v>0</v>
      </c>
    </row>
    <row customHeight="1" r="567" ht="14.25">
      <c t="s" s="6" r="A567">
        <v>4483</v>
      </c>
      <c t="s" s="6" r="B567">
        <v>131</v>
      </c>
      <c t="s" s="6" r="E567">
        <v>1058</v>
      </c>
      <c t="s" s="6" r="F567">
        <v>81</v>
      </c>
      <c t="s" s="6" r="G567">
        <v>251</v>
      </c>
      <c s="6" r="H567">
        <v>0</v>
      </c>
      <c t="s" s="6" r="I567">
        <v>155</v>
      </c>
      <c t="s" s="6" r="L567">
        <v>156</v>
      </c>
      <c t="s" s="6" r="M567">
        <v>4484</v>
      </c>
      <c s="6" r="N567">
        <v>0</v>
      </c>
      <c s="6" r="O567">
        <v>0</v>
      </c>
      <c t="s" s="6" r="R567">
        <v>4485</v>
      </c>
      <c t="s" s="6" r="S567">
        <v>4486</v>
      </c>
      <c t="s" s="6" r="T567">
        <v>90</v>
      </c>
      <c t="s" s="6" r="U567">
        <v>4487</v>
      </c>
      <c s="6" r="V567">
        <v>1</v>
      </c>
      <c s="6" r="W567">
        <v>0</v>
      </c>
      <c s="6" r="X567">
        <v>0</v>
      </c>
      <c s="6" r="Y567">
        <v>0</v>
      </c>
      <c s="6" r="Z567">
        <v>0</v>
      </c>
      <c s="6" r="AA567">
        <v>9</v>
      </c>
      <c s="6" r="AB567">
        <v>9</v>
      </c>
      <c t="s" s="6" r="AC567">
        <v>92</v>
      </c>
      <c t="s" s="6" r="AD567">
        <v>92</v>
      </c>
      <c t="s" s="6" r="AE567">
        <v>92</v>
      </c>
      <c t="s" s="6" r="AF567">
        <v>92</v>
      </c>
      <c t="s" s="6" r="AG567">
        <v>92</v>
      </c>
      <c t="s" s="6" r="AH567">
        <v>92</v>
      </c>
      <c t="s" s="6" r="AI567">
        <v>92</v>
      </c>
      <c t="s" s="6" r="AJ567">
        <v>92</v>
      </c>
      <c t="s" s="6" r="AK567">
        <v>92</v>
      </c>
      <c t="s" s="6" r="AL567">
        <v>92</v>
      </c>
      <c t="s" s="6" r="AM567">
        <v>92</v>
      </c>
      <c t="s" s="6" r="AN567">
        <v>92</v>
      </c>
      <c s="6" r="AP567">
        <v>9</v>
      </c>
      <c t="s" s="6" r="AQ567">
        <v>269</v>
      </c>
      <c t="s" s="6" r="AR567">
        <v>4488</v>
      </c>
      <c s="6" r="AS567">
        <v>0</v>
      </c>
      <c s="6" r="AT567">
        <v>0</v>
      </c>
      <c s="6" r="AU567">
        <v>0</v>
      </c>
      <c s="6" r="AV567">
        <v>0</v>
      </c>
      <c s="6" r="AW567">
        <v>0</v>
      </c>
      <c s="6" r="AX567">
        <v>0</v>
      </c>
      <c s="6" r="AY567">
        <v>0</v>
      </c>
      <c s="6" r="AZ567">
        <v>0</v>
      </c>
      <c s="6" r="BA567">
        <v>0</v>
      </c>
      <c s="6" r="BB567">
        <v>0</v>
      </c>
      <c s="6" r="BC567">
        <v>0</v>
      </c>
      <c s="6" r="BD567">
        <v>0</v>
      </c>
      <c s="6" r="BE567">
        <v>0</v>
      </c>
      <c s="6" r="BF567">
        <v>0</v>
      </c>
      <c s="6" r="BG567">
        <v>0</v>
      </c>
      <c s="6" r="BH567">
        <v>0</v>
      </c>
      <c s="6" r="BI567">
        <v>0</v>
      </c>
      <c s="6" r="BJ567">
        <v>0</v>
      </c>
      <c s="6" r="BK567">
        <v>0</v>
      </c>
      <c s="6" r="BL567">
        <v>0</v>
      </c>
      <c s="6" r="BM567">
        <v>0</v>
      </c>
      <c s="6" r="BN567">
        <v>0</v>
      </c>
      <c s="6" r="BO567">
        <v>0</v>
      </c>
      <c s="6" r="BP567">
        <v>0</v>
      </c>
      <c s="6" r="BQ567">
        <v>0</v>
      </c>
      <c t="str" s="6" r="BR567">
        <f>HYPERLINK("http://www.d20pfsrd.com/magic/all-spells/t/time-stop","Time Stop")</f>
        <v>Time Stop</v>
      </c>
      <c s="6" r="BS567">
        <v>568</v>
      </c>
      <c t="s" s="6" r="BT567">
        <v>92</v>
      </c>
      <c t="s" s="6" r="BV567">
        <v>4489</v>
      </c>
      <c t="s" s="6" r="BW567">
        <v>4490</v>
      </c>
      <c t="s" s="6" r="BX567">
        <v>4491</v>
      </c>
      <c s="6" r="BY567">
        <v>1</v>
      </c>
    </row>
    <row customHeight="1" r="568" ht="14.25">
      <c t="s" s="6" r="A568">
        <v>4492</v>
      </c>
      <c t="s" s="6" r="B568">
        <v>493</v>
      </c>
      <c t="s" s="6" r="D568">
        <v>58</v>
      </c>
      <c t="s" s="6" r="E568">
        <v>2426</v>
      </c>
      <c t="s" s="6" r="F568">
        <v>81</v>
      </c>
      <c t="s" s="6" r="G568">
        <v>4493</v>
      </c>
      <c s="6" r="H568">
        <v>0</v>
      </c>
      <c t="s" s="6" r="I568">
        <v>804</v>
      </c>
      <c t="s" s="6" r="K568">
        <v>4494</v>
      </c>
      <c t="s" s="6" r="M568">
        <v>166</v>
      </c>
      <c s="6" r="N568">
        <v>1</v>
      </c>
      <c s="6" r="O568">
        <v>0</v>
      </c>
      <c t="s" s="6" r="P568">
        <v>86</v>
      </c>
      <c t="s" s="6" r="Q568">
        <v>87</v>
      </c>
      <c t="s" s="6" r="R568">
        <v>4495</v>
      </c>
      <c t="s" s="6" r="S568">
        <v>4496</v>
      </c>
      <c t="s" s="6" r="T568">
        <v>90</v>
      </c>
      <c t="s" s="6" r="U568">
        <v>4497</v>
      </c>
      <c s="6" r="V568">
        <v>1</v>
      </c>
      <c s="6" r="W568">
        <v>1</v>
      </c>
      <c s="6" r="X568">
        <v>1</v>
      </c>
      <c s="6" r="Y568">
        <v>0</v>
      </c>
      <c s="6" r="Z568">
        <v>0</v>
      </c>
      <c s="6" r="AA568">
        <v>3</v>
      </c>
      <c s="6" r="AB568">
        <v>3</v>
      </c>
      <c t="s" s="6" r="AC568">
        <v>92</v>
      </c>
      <c t="s" s="6" r="AD568">
        <v>92</v>
      </c>
      <c t="s" s="6" r="AE568">
        <v>92</v>
      </c>
      <c s="6" r="AF568">
        <v>3</v>
      </c>
      <c t="s" s="6" r="AG568">
        <v>92</v>
      </c>
      <c t="s" s="6" r="AH568">
        <v>92</v>
      </c>
      <c t="s" s="6" r="AI568">
        <v>92</v>
      </c>
      <c t="s" s="6" r="AJ568">
        <v>92</v>
      </c>
      <c t="s" s="6" r="AK568">
        <v>92</v>
      </c>
      <c t="s" s="6" r="AL568">
        <v>92</v>
      </c>
      <c t="s" s="6" r="AM568">
        <v>92</v>
      </c>
      <c t="s" s="6" r="AN568">
        <v>92</v>
      </c>
      <c s="6" r="AP568">
        <v>3</v>
      </c>
      <c t="s" s="6" r="AR568">
        <v>4498</v>
      </c>
      <c s="6" r="AS568">
        <v>0</v>
      </c>
      <c s="6" r="AT568">
        <v>0</v>
      </c>
      <c s="6" r="AU568">
        <v>0</v>
      </c>
      <c s="6" r="AV568">
        <v>0</v>
      </c>
      <c s="6" r="AW568">
        <v>0</v>
      </c>
      <c s="6" r="AX568">
        <v>0</v>
      </c>
      <c s="6" r="AY568">
        <v>0</v>
      </c>
      <c s="6" r="AZ568">
        <v>0</v>
      </c>
      <c s="6" r="BA568">
        <v>0</v>
      </c>
      <c s="6" r="BB568">
        <v>0</v>
      </c>
      <c s="6" r="BC568">
        <v>0</v>
      </c>
      <c s="6" r="BD568">
        <v>0</v>
      </c>
      <c s="6" r="BE568">
        <v>0</v>
      </c>
      <c s="6" r="BF568">
        <v>0</v>
      </c>
      <c s="6" r="BG568">
        <v>1</v>
      </c>
      <c s="6" r="BH568">
        <v>0</v>
      </c>
      <c s="6" r="BI568">
        <v>0</v>
      </c>
      <c s="6" r="BJ568">
        <v>0</v>
      </c>
      <c s="6" r="BK568">
        <v>0</v>
      </c>
      <c s="6" r="BL568">
        <v>0</v>
      </c>
      <c s="6" r="BM568">
        <v>0</v>
      </c>
      <c s="6" r="BN568">
        <v>0</v>
      </c>
      <c s="6" r="BO568">
        <v>0</v>
      </c>
      <c s="6" r="BP568">
        <v>0</v>
      </c>
      <c s="6" r="BQ568">
        <v>0</v>
      </c>
      <c t="str" s="6" r="BR568">
        <f>HYPERLINK("http://www.d20pfsrd.com/magic/all-spells/t/tiny-hut","Tiny Hut")</f>
        <v>Tiny Hut</v>
      </c>
      <c s="6" r="BS568">
        <v>569</v>
      </c>
      <c t="s" s="6" r="BT568">
        <v>92</v>
      </c>
      <c s="6" r="BY568">
        <v>0</v>
      </c>
    </row>
    <row customHeight="1" r="569" ht="14.25">
      <c t="s" s="6" r="A569">
        <v>4499</v>
      </c>
      <c t="s" s="6" r="B569">
        <v>174</v>
      </c>
      <c t="s" s="6" r="E569">
        <v>4500</v>
      </c>
      <c t="s" s="6" r="F569">
        <v>81</v>
      </c>
      <c t="s" s="6" r="G569">
        <v>4501</v>
      </c>
      <c s="6" r="H569">
        <v>0</v>
      </c>
      <c t="s" s="6" r="I569">
        <v>120</v>
      </c>
      <c t="s" s="6" r="L569">
        <v>420</v>
      </c>
      <c t="s" s="6" r="M569">
        <v>134</v>
      </c>
      <c s="6" r="N569">
        <v>0</v>
      </c>
      <c s="6" r="O569">
        <v>0</v>
      </c>
      <c t="s" s="6" r="P569">
        <v>421</v>
      </c>
      <c t="s" s="6" r="Q569">
        <v>87</v>
      </c>
      <c t="s" s="6" r="R569">
        <v>4502</v>
      </c>
      <c t="s" s="6" r="S569">
        <v>4503</v>
      </c>
      <c t="s" s="6" r="T569">
        <v>90</v>
      </c>
      <c t="s" s="6" r="U569">
        <v>4504</v>
      </c>
      <c s="6" r="V569">
        <v>1</v>
      </c>
      <c s="6" r="W569">
        <v>0</v>
      </c>
      <c s="6" r="X569">
        <v>1</v>
      </c>
      <c s="6" r="Y569">
        <v>0</v>
      </c>
      <c s="6" r="Z569">
        <v>1</v>
      </c>
      <c s="6" r="AA569">
        <v>3</v>
      </c>
      <c s="6" r="AB569">
        <v>3</v>
      </c>
      <c s="6" r="AC569">
        <v>4</v>
      </c>
      <c t="s" s="6" r="AD569">
        <v>92</v>
      </c>
      <c t="s" s="6" r="AE569">
        <v>92</v>
      </c>
      <c s="6" r="AF569">
        <v>2</v>
      </c>
      <c t="s" s="6" r="AG569">
        <v>92</v>
      </c>
      <c s="6" r="AH569">
        <v>3</v>
      </c>
      <c s="6" r="AI569">
        <v>3</v>
      </c>
      <c s="6" r="AJ569">
        <v>3</v>
      </c>
      <c s="6" r="AK569">
        <v>2</v>
      </c>
      <c s="6" r="AL569">
        <v>4</v>
      </c>
      <c t="s" s="6" r="AM569">
        <v>92</v>
      </c>
      <c t="s" s="6" r="AN569">
        <v>92</v>
      </c>
      <c s="6" r="AP569">
        <v>3</v>
      </c>
      <c t="s" s="6" r="AQ569">
        <v>4505</v>
      </c>
      <c t="s" s="6" r="AR569">
        <v>4506</v>
      </c>
      <c s="6" r="AS569">
        <v>0</v>
      </c>
      <c s="6" r="AT569">
        <v>0</v>
      </c>
      <c s="6" r="AU569">
        <v>0</v>
      </c>
      <c s="6" r="AV569">
        <v>0</v>
      </c>
      <c s="6" r="AW569">
        <v>0</v>
      </c>
      <c s="6" r="AX569">
        <v>0</v>
      </c>
      <c s="6" r="AY569">
        <v>0</v>
      </c>
      <c s="6" r="AZ569">
        <v>0</v>
      </c>
      <c s="6" r="BA569">
        <v>0</v>
      </c>
      <c s="6" r="BB569">
        <v>0</v>
      </c>
      <c s="6" r="BC569">
        <v>0</v>
      </c>
      <c s="6" r="BD569">
        <v>0</v>
      </c>
      <c s="6" r="BE569">
        <v>0</v>
      </c>
      <c s="6" r="BF569">
        <v>0</v>
      </c>
      <c s="6" r="BG569">
        <v>0</v>
      </c>
      <c s="6" r="BH569">
        <v>0</v>
      </c>
      <c s="6" r="BI569">
        <v>0</v>
      </c>
      <c s="6" r="BJ569">
        <v>0</v>
      </c>
      <c s="6" r="BK569">
        <v>0</v>
      </c>
      <c s="6" r="BL569">
        <v>0</v>
      </c>
      <c s="6" r="BM569">
        <v>0</v>
      </c>
      <c s="6" r="BN569">
        <v>0</v>
      </c>
      <c s="6" r="BO569">
        <v>0</v>
      </c>
      <c s="6" r="BP569">
        <v>0</v>
      </c>
      <c s="6" r="BQ569">
        <v>0</v>
      </c>
      <c t="str" s="6" r="BR569">
        <f>HYPERLINK("http://www.d20pfsrd.com/magic/all-spells/t/tongues","Tongues")</f>
        <v>Tongues</v>
      </c>
      <c s="6" r="BS569">
        <v>570</v>
      </c>
      <c t="s" s="6" r="BT569">
        <v>92</v>
      </c>
      <c t="s" s="6" r="BU569">
        <v>488</v>
      </c>
      <c s="6" r="BY569">
        <v>0</v>
      </c>
    </row>
    <row customHeight="1" r="570" ht="14.25">
      <c t="s" s="6" r="A570">
        <v>4507</v>
      </c>
      <c t="s" s="6" r="B570">
        <v>227</v>
      </c>
      <c t="s" s="6" r="E570">
        <v>4508</v>
      </c>
      <c t="s" s="6" r="F570">
        <v>81</v>
      </c>
      <c t="s" s="6" r="G570">
        <v>3502</v>
      </c>
      <c s="6" r="H570">
        <v>0</v>
      </c>
      <c t="s" s="6" r="I570">
        <v>120</v>
      </c>
      <c t="s" s="6" r="L570">
        <v>420</v>
      </c>
      <c t="s" s="6" r="M570">
        <v>99</v>
      </c>
      <c s="6" r="N570">
        <v>0</v>
      </c>
      <c s="6" r="O570">
        <v>0</v>
      </c>
      <c t="s" s="6" r="P570">
        <v>187</v>
      </c>
      <c t="s" s="6" r="Q570">
        <v>188</v>
      </c>
      <c t="s" s="6" r="R570">
        <v>4509</v>
      </c>
      <c t="s" s="6" r="S570">
        <v>4510</v>
      </c>
      <c t="s" s="6" r="T570">
        <v>90</v>
      </c>
      <c t="s" s="6" r="U570">
        <v>4511</v>
      </c>
      <c s="6" r="V570">
        <v>1</v>
      </c>
      <c s="6" r="W570">
        <v>1</v>
      </c>
      <c s="6" r="X570">
        <v>1</v>
      </c>
      <c s="6" r="Y570">
        <v>0</v>
      </c>
      <c s="6" r="Z570">
        <v>0</v>
      </c>
      <c s="6" r="AA570">
        <v>0</v>
      </c>
      <c s="6" r="AB570">
        <v>0</v>
      </c>
      <c t="s" s="6" r="AC570">
        <v>92</v>
      </c>
      <c t="s" s="6" r="AD570">
        <v>92</v>
      </c>
      <c t="s" s="6" r="AE570">
        <v>92</v>
      </c>
      <c t="s" s="6" r="AF570">
        <v>92</v>
      </c>
      <c t="s" s="6" r="AG570">
        <v>92</v>
      </c>
      <c t="s" s="6" r="AH570">
        <v>92</v>
      </c>
      <c t="s" s="6" r="AI570">
        <v>92</v>
      </c>
      <c s="6" r="AJ570">
        <v>0</v>
      </c>
      <c t="s" s="6" r="AK570">
        <v>92</v>
      </c>
      <c t="s" s="6" r="AL570">
        <v>92</v>
      </c>
      <c t="s" s="6" r="AM570">
        <v>92</v>
      </c>
      <c t="s" s="6" r="AN570">
        <v>92</v>
      </c>
      <c s="6" r="AP570">
        <v>0</v>
      </c>
      <c t="s" s="6" r="AR570">
        <v>4512</v>
      </c>
      <c s="6" r="AS570">
        <v>0</v>
      </c>
      <c s="6" r="AT570">
        <v>0</v>
      </c>
      <c s="6" r="AU570">
        <v>0</v>
      </c>
      <c s="6" r="AV570">
        <v>0</v>
      </c>
      <c s="6" r="AW570">
        <v>0</v>
      </c>
      <c s="6" r="AX570">
        <v>0</v>
      </c>
      <c s="6" r="AY570">
        <v>0</v>
      </c>
      <c s="6" r="AZ570">
        <v>0</v>
      </c>
      <c s="6" r="BA570">
        <v>0</v>
      </c>
      <c s="6" r="BB570">
        <v>0</v>
      </c>
      <c s="6" r="BC570">
        <v>0</v>
      </c>
      <c s="6" r="BD570">
        <v>0</v>
      </c>
      <c s="6" r="BE570">
        <v>0</v>
      </c>
      <c s="6" r="BF570">
        <v>0</v>
      </c>
      <c s="6" r="BG570">
        <v>0</v>
      </c>
      <c s="6" r="BH570">
        <v>0</v>
      </c>
      <c s="6" r="BI570">
        <v>0</v>
      </c>
      <c s="6" r="BJ570">
        <v>0</v>
      </c>
      <c s="6" r="BK570">
        <v>0</v>
      </c>
      <c s="6" r="BL570">
        <v>0</v>
      </c>
      <c s="6" r="BM570">
        <v>0</v>
      </c>
      <c s="6" r="BN570">
        <v>0</v>
      </c>
      <c s="6" r="BO570">
        <v>0</v>
      </c>
      <c s="6" r="BP570">
        <v>0</v>
      </c>
      <c s="6" r="BQ570">
        <v>0</v>
      </c>
      <c t="str" s="6" r="BR570">
        <f>HYPERLINK("http://www.d20pfsrd.com/magic/all-spells/t/touch-of-fatigue","Touch of Fatigue")</f>
        <v>Touch of Fatigue</v>
      </c>
      <c s="6" r="BS570">
        <v>571</v>
      </c>
      <c t="s" s="6" r="BT570">
        <v>92</v>
      </c>
      <c s="6" r="BY570">
        <v>0</v>
      </c>
    </row>
    <row customHeight="1" r="571" ht="14.25">
      <c t="s" s="6" r="A571">
        <v>4513</v>
      </c>
      <c t="s" s="6" r="B571">
        <v>115</v>
      </c>
      <c t="s" s="6" r="C571">
        <v>116</v>
      </c>
      <c t="s" s="6" r="D571">
        <v>117</v>
      </c>
      <c t="s" s="6" r="E571">
        <v>4080</v>
      </c>
      <c t="s" s="6" r="F571">
        <v>81</v>
      </c>
      <c t="s" s="6" r="G571">
        <v>106</v>
      </c>
      <c s="6" r="H571">
        <v>0</v>
      </c>
      <c t="s" s="6" r="I571">
        <v>120</v>
      </c>
      <c t="s" s="6" r="L571">
        <v>121</v>
      </c>
      <c t="s" s="6" r="M571">
        <v>134</v>
      </c>
      <c s="6" r="N571">
        <v>0</v>
      </c>
      <c s="6" r="O571">
        <v>0</v>
      </c>
      <c t="s" s="6" r="P571">
        <v>86</v>
      </c>
      <c t="s" s="6" r="Q571">
        <v>188</v>
      </c>
      <c t="s" s="6" r="R571">
        <v>4514</v>
      </c>
      <c t="s" s="6" r="S571">
        <v>4515</v>
      </c>
      <c t="s" s="6" r="T571">
        <v>90</v>
      </c>
      <c t="s" s="6" r="U571">
        <v>4516</v>
      </c>
      <c s="6" r="V571">
        <v>1</v>
      </c>
      <c s="6" r="W571">
        <v>1</v>
      </c>
      <c s="6" r="X571">
        <v>0</v>
      </c>
      <c s="6" r="Y571">
        <v>0</v>
      </c>
      <c s="6" r="Z571">
        <v>0</v>
      </c>
      <c s="6" r="AA571">
        <v>2</v>
      </c>
      <c s="6" r="AB571">
        <v>2</v>
      </c>
      <c t="s" s="6" r="AC571">
        <v>92</v>
      </c>
      <c t="s" s="6" r="AD571">
        <v>92</v>
      </c>
      <c t="s" s="6" r="AE571">
        <v>92</v>
      </c>
      <c t="s" s="6" r="AF571">
        <v>92</v>
      </c>
      <c t="s" s="6" r="AG571">
        <v>92</v>
      </c>
      <c t="s" s="6" r="AH571">
        <v>92</v>
      </c>
      <c t="s" s="6" r="AI571">
        <v>92</v>
      </c>
      <c s="6" r="AJ571">
        <v>2</v>
      </c>
      <c t="s" s="6" r="AK571">
        <v>92</v>
      </c>
      <c t="s" s="6" r="AL571">
        <v>92</v>
      </c>
      <c t="s" s="6" r="AM571">
        <v>92</v>
      </c>
      <c t="s" s="6" r="AN571">
        <v>92</v>
      </c>
      <c s="6" r="AP571">
        <v>2</v>
      </c>
      <c t="s" s="6" r="AQ571">
        <v>4517</v>
      </c>
      <c t="s" s="6" r="AR571">
        <v>4518</v>
      </c>
      <c s="6" r="AS571">
        <v>0</v>
      </c>
      <c s="6" r="AT571">
        <v>0</v>
      </c>
      <c s="6" r="AU571">
        <v>0</v>
      </c>
      <c s="6" r="AV571">
        <v>0</v>
      </c>
      <c s="6" r="AW571">
        <v>0</v>
      </c>
      <c s="6" r="AX571">
        <v>0</v>
      </c>
      <c s="6" r="AY571">
        <v>0</v>
      </c>
      <c s="6" r="AZ571">
        <v>0</v>
      </c>
      <c s="6" r="BA571">
        <v>0</v>
      </c>
      <c s="6" r="BB571">
        <v>0</v>
      </c>
      <c s="6" r="BC571">
        <v>0</v>
      </c>
      <c s="6" r="BD571">
        <v>0</v>
      </c>
      <c s="6" r="BE571">
        <v>0</v>
      </c>
      <c s="6" r="BF571">
        <v>0</v>
      </c>
      <c s="6" r="BG571">
        <v>0</v>
      </c>
      <c s="6" r="BH571">
        <v>0</v>
      </c>
      <c s="6" r="BI571">
        <v>0</v>
      </c>
      <c s="6" r="BJ571">
        <v>0</v>
      </c>
      <c s="6" r="BK571">
        <v>0</v>
      </c>
      <c s="6" r="BL571">
        <v>1</v>
      </c>
      <c s="6" r="BM571">
        <v>0</v>
      </c>
      <c s="6" r="BN571">
        <v>0</v>
      </c>
      <c s="6" r="BO571">
        <v>0</v>
      </c>
      <c s="6" r="BP571">
        <v>0</v>
      </c>
      <c s="6" r="BQ571">
        <v>0</v>
      </c>
      <c t="str" s="6" r="BR571">
        <f>HYPERLINK("http://www.d20pfsrd.com/magic/all-spells/t/touch-of-idiocy","Touch of Idiocy")</f>
        <v>Touch of Idiocy</v>
      </c>
      <c s="6" r="BS571">
        <v>572</v>
      </c>
      <c t="s" s="6" r="BT571">
        <v>92</v>
      </c>
      <c t="s" s="6" r="BU571">
        <v>469</v>
      </c>
      <c s="6" r="BY571">
        <v>0</v>
      </c>
    </row>
    <row customHeight="1" r="572" ht="14.25">
      <c t="s" s="6" r="A572">
        <v>442</v>
      </c>
      <c t="s" s="6" r="B572">
        <v>131</v>
      </c>
      <c t="s" s="6" r="E572">
        <v>4519</v>
      </c>
      <c t="s" s="6" r="F572">
        <v>81</v>
      </c>
      <c t="s" s="6" r="G572">
        <v>4520</v>
      </c>
      <c s="6" r="H572">
        <v>0</v>
      </c>
      <c t="s" s="6" r="I572">
        <v>155</v>
      </c>
      <c t="s" s="6" r="L572">
        <v>156</v>
      </c>
      <c t="s" s="6" r="M572">
        <v>99</v>
      </c>
      <c s="6" r="N572">
        <v>0</v>
      </c>
      <c s="6" r="O572">
        <v>0</v>
      </c>
      <c t="s" s="6" r="R572">
        <v>4521</v>
      </c>
      <c t="s" s="6" r="S572">
        <v>4522</v>
      </c>
      <c t="s" s="6" r="T572">
        <v>90</v>
      </c>
      <c t="s" s="6" r="U572">
        <v>4523</v>
      </c>
      <c s="6" r="V572">
        <v>1</v>
      </c>
      <c s="6" r="W572">
        <v>1</v>
      </c>
      <c s="6" r="X572">
        <v>1</v>
      </c>
      <c s="6" r="Y572">
        <v>0</v>
      </c>
      <c s="6" r="Z572">
        <v>0</v>
      </c>
      <c s="6" r="AA572">
        <v>6</v>
      </c>
      <c s="6" r="AB572">
        <v>6</v>
      </c>
      <c t="s" s="6" r="AC572">
        <v>92</v>
      </c>
      <c t="s" s="6" r="AD572">
        <v>92</v>
      </c>
      <c t="s" s="6" r="AE572">
        <v>92</v>
      </c>
      <c t="s" s="6" r="AF572">
        <v>92</v>
      </c>
      <c t="s" s="6" r="AG572">
        <v>92</v>
      </c>
      <c s="6" r="AH572">
        <v>6</v>
      </c>
      <c t="s" s="6" r="AI572">
        <v>92</v>
      </c>
      <c s="6" r="AJ572">
        <v>6</v>
      </c>
      <c t="s" s="6" r="AK572">
        <v>92</v>
      </c>
      <c t="s" s="6" r="AL572">
        <v>92</v>
      </c>
      <c t="s" s="6" r="AM572">
        <v>92</v>
      </c>
      <c s="6" r="AN572">
        <v>6</v>
      </c>
      <c s="6" r="AP572">
        <v>6</v>
      </c>
      <c t="s" s="6" r="AR572">
        <v>4524</v>
      </c>
      <c s="6" r="AS572">
        <v>0</v>
      </c>
      <c s="6" r="AT572">
        <v>0</v>
      </c>
      <c s="6" r="AU572">
        <v>0</v>
      </c>
      <c s="6" r="AV572">
        <v>0</v>
      </c>
      <c s="6" r="AW572">
        <v>0</v>
      </c>
      <c s="6" r="AX572">
        <v>0</v>
      </c>
      <c s="6" r="AY572">
        <v>0</v>
      </c>
      <c s="6" r="AZ572">
        <v>0</v>
      </c>
      <c s="6" r="BA572">
        <v>0</v>
      </c>
      <c s="6" r="BB572">
        <v>0</v>
      </c>
      <c s="6" r="BC572">
        <v>0</v>
      </c>
      <c s="6" r="BD572">
        <v>0</v>
      </c>
      <c s="6" r="BE572">
        <v>0</v>
      </c>
      <c s="6" r="BF572">
        <v>0</v>
      </c>
      <c s="6" r="BG572">
        <v>0</v>
      </c>
      <c s="6" r="BH572">
        <v>0</v>
      </c>
      <c s="6" r="BI572">
        <v>0</v>
      </c>
      <c s="6" r="BJ572">
        <v>0</v>
      </c>
      <c s="6" r="BK572">
        <v>0</v>
      </c>
      <c s="6" r="BL572">
        <v>0</v>
      </c>
      <c s="6" r="BM572">
        <v>0</v>
      </c>
      <c s="6" r="BN572">
        <v>0</v>
      </c>
      <c s="6" r="BO572">
        <v>0</v>
      </c>
      <c s="6" r="BP572">
        <v>0</v>
      </c>
      <c s="6" r="BQ572">
        <v>0</v>
      </c>
      <c t="str" s="6" r="BR572">
        <f>HYPERLINK("http://www.d20pfsrd.com/magic/all-spells/t/transformation","Transformation")</f>
        <v>Transformation</v>
      </c>
      <c s="6" r="BS572">
        <v>573</v>
      </c>
      <c t="s" s="6" r="BT572">
        <v>92</v>
      </c>
      <c t="s" s="6" r="BU572">
        <v>3476</v>
      </c>
      <c t="s" s="6" r="BW572">
        <v>4525</v>
      </c>
      <c s="6" r="BY572">
        <v>1</v>
      </c>
    </row>
    <row customHeight="1" r="573" ht="14.25">
      <c t="s" s="6" r="A573">
        <v>4526</v>
      </c>
      <c t="s" s="6" r="B573">
        <v>131</v>
      </c>
      <c t="s" s="6" r="E573">
        <v>250</v>
      </c>
      <c t="s" s="6" r="F573">
        <v>81</v>
      </c>
      <c t="s" s="6" r="G573">
        <v>119</v>
      </c>
      <c s="6" r="H573">
        <v>0</v>
      </c>
      <c t="s" s="6" r="I573">
        <v>83</v>
      </c>
      <c t="s" s="6" r="J573">
        <v>4527</v>
      </c>
      <c t="s" s="6" r="M573">
        <v>109</v>
      </c>
      <c s="6" r="N573">
        <v>0</v>
      </c>
      <c s="6" r="O573">
        <v>0</v>
      </c>
      <c t="s" s="6" r="P573">
        <v>86</v>
      </c>
      <c t="s" s="6" r="Q573">
        <v>4528</v>
      </c>
      <c t="s" s="6" r="R573">
        <v>4529</v>
      </c>
      <c t="s" s="6" r="S573">
        <v>4530</v>
      </c>
      <c t="s" s="6" r="T573">
        <v>90</v>
      </c>
      <c t="s" s="6" r="U573">
        <v>4531</v>
      </c>
      <c s="6" r="V573">
        <v>1</v>
      </c>
      <c s="6" r="W573">
        <v>1</v>
      </c>
      <c s="6" r="X573">
        <v>0</v>
      </c>
      <c s="6" r="Y573">
        <v>0</v>
      </c>
      <c s="6" r="Z573">
        <v>1</v>
      </c>
      <c t="s" s="6" r="AA573">
        <v>92</v>
      </c>
      <c t="s" s="6" r="AB573">
        <v>92</v>
      </c>
      <c t="s" s="6" r="AC573">
        <v>92</v>
      </c>
      <c s="6" r="AD573">
        <v>7</v>
      </c>
      <c t="s" s="6" r="AE573">
        <v>92</v>
      </c>
      <c t="s" s="6" r="AF573">
        <v>92</v>
      </c>
      <c t="s" s="6" r="AG573">
        <v>92</v>
      </c>
      <c t="s" s="6" r="AH573">
        <v>92</v>
      </c>
      <c t="s" s="6" r="AI573">
        <v>92</v>
      </c>
      <c t="s" s="6" r="AJ573">
        <v>92</v>
      </c>
      <c t="s" s="6" r="AK573">
        <v>92</v>
      </c>
      <c t="s" s="6" r="AL573">
        <v>92</v>
      </c>
      <c t="s" s="6" r="AM573">
        <v>92</v>
      </c>
      <c t="s" s="6" r="AN573">
        <v>92</v>
      </c>
      <c s="6" r="AP573">
        <v>7</v>
      </c>
      <c t="s" s="6" r="AR573">
        <v>4532</v>
      </c>
      <c s="6" r="AS573">
        <v>0</v>
      </c>
      <c s="6" r="AT573">
        <v>0</v>
      </c>
      <c s="6" r="AU573">
        <v>0</v>
      </c>
      <c s="6" r="AV573">
        <v>0</v>
      </c>
      <c s="6" r="AW573">
        <v>0</v>
      </c>
      <c s="6" r="AX573">
        <v>0</v>
      </c>
      <c s="6" r="AY573">
        <v>0</v>
      </c>
      <c s="6" r="AZ573">
        <v>0</v>
      </c>
      <c s="6" r="BA573">
        <v>0</v>
      </c>
      <c s="6" r="BB573">
        <v>0</v>
      </c>
      <c s="6" r="BC573">
        <v>0</v>
      </c>
      <c s="6" r="BD573">
        <v>0</v>
      </c>
      <c s="6" r="BE573">
        <v>0</v>
      </c>
      <c s="6" r="BF573">
        <v>0</v>
      </c>
      <c s="6" r="BG573">
        <v>0</v>
      </c>
      <c s="6" r="BH573">
        <v>0</v>
      </c>
      <c s="6" r="BI573">
        <v>0</v>
      </c>
      <c s="6" r="BJ573">
        <v>0</v>
      </c>
      <c s="6" r="BK573">
        <v>0</v>
      </c>
      <c s="6" r="BL573">
        <v>0</v>
      </c>
      <c s="6" r="BM573">
        <v>0</v>
      </c>
      <c s="6" r="BN573">
        <v>0</v>
      </c>
      <c s="6" r="BO573">
        <v>0</v>
      </c>
      <c s="6" r="BP573">
        <v>0</v>
      </c>
      <c s="6" r="BQ573">
        <v>0</v>
      </c>
      <c t="str" s="6" r="BR573">
        <f>HYPERLINK("http://www.d20pfsrd.com/magic/all-spells/t/transmute-metal-to-wood","Transmute Metal to Wood")</f>
        <v>Transmute Metal to Wood</v>
      </c>
      <c s="6" r="BS573">
        <v>574</v>
      </c>
      <c t="s" s="6" r="BT573">
        <v>92</v>
      </c>
      <c s="6" r="BY573">
        <v>0</v>
      </c>
    </row>
    <row customHeight="1" r="574" ht="14.25">
      <c t="s" s="6" r="A574">
        <v>4533</v>
      </c>
      <c t="s" s="6" r="B574">
        <v>131</v>
      </c>
      <c t="s" s="6" r="D574">
        <v>52</v>
      </c>
      <c t="s" s="6" r="E574">
        <v>4534</v>
      </c>
      <c t="s" s="6" r="F574">
        <v>81</v>
      </c>
      <c t="s" s="6" r="G574">
        <v>4535</v>
      </c>
      <c s="6" r="H574">
        <v>0</v>
      </c>
      <c t="s" s="6" r="I574">
        <v>97</v>
      </c>
      <c t="s" s="6" r="J574">
        <v>4536</v>
      </c>
      <c t="s" s="6" r="M574">
        <v>323</v>
      </c>
      <c s="6" r="N574">
        <v>0</v>
      </c>
      <c s="6" r="O574">
        <v>1</v>
      </c>
      <c t="s" s="6" r="P574">
        <v>141</v>
      </c>
      <c t="s" s="6" r="Q574">
        <v>87</v>
      </c>
      <c t="s" s="6" r="R574">
        <v>4537</v>
      </c>
      <c t="s" s="6" r="S574">
        <v>4538</v>
      </c>
      <c t="s" s="6" r="T574">
        <v>90</v>
      </c>
      <c t="s" s="6" r="U574">
        <v>4539</v>
      </c>
      <c s="6" r="V574">
        <v>1</v>
      </c>
      <c s="6" r="W574">
        <v>1</v>
      </c>
      <c s="6" r="X574">
        <v>1</v>
      </c>
      <c s="6" r="Y574">
        <v>0</v>
      </c>
      <c s="6" r="Z574">
        <v>1</v>
      </c>
      <c s="6" r="AA574">
        <v>5</v>
      </c>
      <c s="6" r="AB574">
        <v>5</v>
      </c>
      <c t="s" s="6" r="AC574">
        <v>92</v>
      </c>
      <c s="6" r="AD574">
        <v>5</v>
      </c>
      <c t="s" s="6" r="AE574">
        <v>92</v>
      </c>
      <c t="s" s="6" r="AF574">
        <v>92</v>
      </c>
      <c t="s" s="6" r="AG574">
        <v>92</v>
      </c>
      <c t="s" s="6" r="AH574">
        <v>92</v>
      </c>
      <c t="s" s="6" r="AI574">
        <v>92</v>
      </c>
      <c t="s" s="6" r="AJ574">
        <v>92</v>
      </c>
      <c t="s" s="6" r="AK574">
        <v>92</v>
      </c>
      <c t="s" s="6" r="AL574">
        <v>92</v>
      </c>
      <c t="s" s="6" r="AM574">
        <v>92</v>
      </c>
      <c t="s" s="6" r="AN574">
        <v>92</v>
      </c>
      <c s="6" r="AP574">
        <v>5</v>
      </c>
      <c t="s" s="6" r="AR574">
        <v>4540</v>
      </c>
      <c s="6" r="AS574">
        <v>0</v>
      </c>
      <c s="6" r="AT574">
        <v>0</v>
      </c>
      <c s="6" r="AU574">
        <v>0</v>
      </c>
      <c s="6" r="AV574">
        <v>0</v>
      </c>
      <c s="6" r="AW574">
        <v>0</v>
      </c>
      <c s="6" r="AX574">
        <v>0</v>
      </c>
      <c s="6" r="AY574">
        <v>0</v>
      </c>
      <c s="6" r="AZ574">
        <v>0</v>
      </c>
      <c s="6" r="BA574">
        <v>1</v>
      </c>
      <c s="6" r="BB574">
        <v>0</v>
      </c>
      <c s="6" r="BC574">
        <v>0</v>
      </c>
      <c s="6" r="BD574">
        <v>0</v>
      </c>
      <c s="6" r="BE574">
        <v>0</v>
      </c>
      <c s="6" r="BF574">
        <v>0</v>
      </c>
      <c s="6" r="BG574">
        <v>0</v>
      </c>
      <c s="6" r="BH574">
        <v>0</v>
      </c>
      <c s="6" r="BI574">
        <v>0</v>
      </c>
      <c s="6" r="BJ574">
        <v>0</v>
      </c>
      <c s="6" r="BK574">
        <v>0</v>
      </c>
      <c s="6" r="BL574">
        <v>0</v>
      </c>
      <c s="6" r="BM574">
        <v>0</v>
      </c>
      <c s="6" r="BN574">
        <v>0</v>
      </c>
      <c s="6" r="BO574">
        <v>0</v>
      </c>
      <c s="6" r="BP574">
        <v>0</v>
      </c>
      <c s="6" r="BQ574">
        <v>0</v>
      </c>
      <c t="str" s="6" r="BR574">
        <f>HYPERLINK("http://www.d20pfsrd.com/magic/all-spells/t/transmute-mud-to-rock","Transmute Mud to Rock")</f>
        <v>Transmute Mud to Rock</v>
      </c>
      <c s="6" r="BS574">
        <v>575</v>
      </c>
      <c t="s" s="6" r="BT574">
        <v>92</v>
      </c>
      <c s="6" r="BY574">
        <v>0</v>
      </c>
    </row>
    <row customHeight="1" r="575" ht="14.25">
      <c t="s" s="6" r="A575">
        <v>4541</v>
      </c>
      <c t="s" s="6" r="B575">
        <v>131</v>
      </c>
      <c t="s" s="6" r="D575">
        <v>52</v>
      </c>
      <c t="s" s="6" r="E575">
        <v>4534</v>
      </c>
      <c t="s" s="6" r="F575">
        <v>81</v>
      </c>
      <c t="s" s="6" r="G575">
        <v>4542</v>
      </c>
      <c s="6" r="H575">
        <v>0</v>
      </c>
      <c t="s" s="6" r="I575">
        <v>97</v>
      </c>
      <c t="s" s="6" r="J575">
        <v>4536</v>
      </c>
      <c t="s" s="6" r="M575">
        <v>2896</v>
      </c>
      <c s="6" r="N575">
        <v>0</v>
      </c>
      <c s="6" r="O575">
        <v>1</v>
      </c>
      <c t="s" s="6" r="P575">
        <v>141</v>
      </c>
      <c t="s" s="6" r="Q575">
        <v>87</v>
      </c>
      <c t="s" s="6" r="R575">
        <v>4543</v>
      </c>
      <c t="s" s="6" r="S575">
        <v>4544</v>
      </c>
      <c t="s" s="6" r="T575">
        <v>90</v>
      </c>
      <c t="s" s="6" r="U575">
        <v>4545</v>
      </c>
      <c s="6" r="V575">
        <v>1</v>
      </c>
      <c s="6" r="W575">
        <v>1</v>
      </c>
      <c s="6" r="X575">
        <v>1</v>
      </c>
      <c s="6" r="Y575">
        <v>0</v>
      </c>
      <c s="6" r="Z575">
        <v>1</v>
      </c>
      <c s="6" r="AA575">
        <v>5</v>
      </c>
      <c s="6" r="AB575">
        <v>5</v>
      </c>
      <c t="s" s="6" r="AC575">
        <v>92</v>
      </c>
      <c s="6" r="AD575">
        <v>5</v>
      </c>
      <c t="s" s="6" r="AE575">
        <v>92</v>
      </c>
      <c t="s" s="6" r="AF575">
        <v>92</v>
      </c>
      <c t="s" s="6" r="AG575">
        <v>92</v>
      </c>
      <c t="s" s="6" r="AH575">
        <v>92</v>
      </c>
      <c t="s" s="6" r="AI575">
        <v>92</v>
      </c>
      <c t="s" s="6" r="AJ575">
        <v>92</v>
      </c>
      <c t="s" s="6" r="AK575">
        <v>92</v>
      </c>
      <c t="s" s="6" r="AL575">
        <v>92</v>
      </c>
      <c t="s" s="6" r="AM575">
        <v>92</v>
      </c>
      <c t="s" s="6" r="AN575">
        <v>92</v>
      </c>
      <c s="6" r="AP575">
        <v>5</v>
      </c>
      <c t="s" s="6" r="AR575">
        <v>4540</v>
      </c>
      <c s="6" r="AS575">
        <v>0</v>
      </c>
      <c s="6" r="AT575">
        <v>0</v>
      </c>
      <c s="6" r="AU575">
        <v>0</v>
      </c>
      <c s="6" r="AV575">
        <v>0</v>
      </c>
      <c s="6" r="AW575">
        <v>0</v>
      </c>
      <c s="6" r="AX575">
        <v>0</v>
      </c>
      <c s="6" r="AY575">
        <v>0</v>
      </c>
      <c s="6" r="AZ575">
        <v>0</v>
      </c>
      <c s="6" r="BA575">
        <v>1</v>
      </c>
      <c s="6" r="BB575">
        <v>0</v>
      </c>
      <c s="6" r="BC575">
        <v>0</v>
      </c>
      <c s="6" r="BD575">
        <v>0</v>
      </c>
      <c s="6" r="BE575">
        <v>0</v>
      </c>
      <c s="6" r="BF575">
        <v>0</v>
      </c>
      <c s="6" r="BG575">
        <v>0</v>
      </c>
      <c s="6" r="BH575">
        <v>0</v>
      </c>
      <c s="6" r="BI575">
        <v>0</v>
      </c>
      <c s="6" r="BJ575">
        <v>0</v>
      </c>
      <c s="6" r="BK575">
        <v>0</v>
      </c>
      <c s="6" r="BL575">
        <v>0</v>
      </c>
      <c s="6" r="BM575">
        <v>0</v>
      </c>
      <c s="6" r="BN575">
        <v>0</v>
      </c>
      <c s="6" r="BO575">
        <v>0</v>
      </c>
      <c s="6" r="BP575">
        <v>0</v>
      </c>
      <c s="6" r="BQ575">
        <v>0</v>
      </c>
      <c t="str" s="6" r="BR575">
        <f>HYPERLINK("http://www.d20pfsrd.com/magic/all-spells/t/transmute-rock-to-mud","Transmute Rock to Mud")</f>
        <v>Transmute Rock to Mud</v>
      </c>
      <c s="6" r="BS575">
        <v>576</v>
      </c>
      <c t="s" s="6" r="BT575">
        <v>92</v>
      </c>
      <c t="s" s="6" r="BU575">
        <v>1698</v>
      </c>
      <c s="6" r="BY575">
        <v>0</v>
      </c>
    </row>
    <row customHeight="1" r="576" ht="14.25">
      <c t="s" s="6" r="A576">
        <v>4546</v>
      </c>
      <c t="s" s="6" r="B576">
        <v>78</v>
      </c>
      <c t="s" s="6" r="C576">
        <v>1356</v>
      </c>
      <c t="s" s="6" r="E576">
        <v>1799</v>
      </c>
      <c t="s" s="6" r="F576">
        <v>81</v>
      </c>
      <c t="s" s="6" r="G576">
        <v>106</v>
      </c>
      <c s="6" r="H576">
        <v>0</v>
      </c>
      <c t="s" s="6" r="I576">
        <v>313</v>
      </c>
      <c t="s" s="6" r="L576">
        <v>1358</v>
      </c>
      <c t="s" s="6" r="M576">
        <v>272</v>
      </c>
      <c s="6" r="N576">
        <v>0</v>
      </c>
      <c s="6" r="O576">
        <v>0</v>
      </c>
      <c t="s" s="6" r="P576">
        <v>86</v>
      </c>
      <c t="s" s="6" r="Q576">
        <v>87</v>
      </c>
      <c t="s" s="6" r="R576">
        <v>4547</v>
      </c>
      <c t="s" s="6" r="S576">
        <v>4548</v>
      </c>
      <c t="s" s="6" r="T576">
        <v>90</v>
      </c>
      <c t="s" s="6" r="U576">
        <v>4549</v>
      </c>
      <c s="6" r="V576">
        <v>1</v>
      </c>
      <c s="6" r="W576">
        <v>1</v>
      </c>
      <c s="6" r="X576">
        <v>0</v>
      </c>
      <c s="6" r="Y576">
        <v>0</v>
      </c>
      <c s="6" r="Z576">
        <v>0</v>
      </c>
      <c t="s" s="6" r="AA576">
        <v>92</v>
      </c>
      <c t="s" s="6" r="AB576">
        <v>92</v>
      </c>
      <c t="s" s="6" r="AC576">
        <v>92</v>
      </c>
      <c s="6" r="AD576">
        <v>6</v>
      </c>
      <c t="s" s="6" r="AE576">
        <v>92</v>
      </c>
      <c t="s" s="6" r="AF576">
        <v>92</v>
      </c>
      <c t="s" s="6" r="AG576">
        <v>92</v>
      </c>
      <c t="s" s="6" r="AH576">
        <v>92</v>
      </c>
      <c t="s" s="6" r="AI576">
        <v>92</v>
      </c>
      <c t="s" s="6" r="AJ576">
        <v>92</v>
      </c>
      <c t="s" s="6" r="AK576">
        <v>92</v>
      </c>
      <c t="s" s="6" r="AL576">
        <v>92</v>
      </c>
      <c t="s" s="6" r="AM576">
        <v>92</v>
      </c>
      <c t="s" s="6" r="AN576">
        <v>92</v>
      </c>
      <c s="6" r="AP576">
        <v>6</v>
      </c>
      <c t="s" s="6" r="AR576">
        <v>4550</v>
      </c>
      <c s="6" r="AS576">
        <v>0</v>
      </c>
      <c s="6" r="AT576">
        <v>0</v>
      </c>
      <c s="6" r="AU576">
        <v>0</v>
      </c>
      <c s="6" r="AV576">
        <v>0</v>
      </c>
      <c s="6" r="AW576">
        <v>0</v>
      </c>
      <c s="6" r="AX576">
        <v>0</v>
      </c>
      <c s="6" r="AY576">
        <v>0</v>
      </c>
      <c s="6" r="AZ576">
        <v>0</v>
      </c>
      <c s="6" r="BA576">
        <v>0</v>
      </c>
      <c s="6" r="BB576">
        <v>0</v>
      </c>
      <c s="6" r="BC576">
        <v>0</v>
      </c>
      <c s="6" r="BD576">
        <v>0</v>
      </c>
      <c s="6" r="BE576">
        <v>0</v>
      </c>
      <c s="6" r="BF576">
        <v>0</v>
      </c>
      <c s="6" r="BG576">
        <v>0</v>
      </c>
      <c s="6" r="BH576">
        <v>0</v>
      </c>
      <c s="6" r="BI576">
        <v>0</v>
      </c>
      <c s="6" r="BJ576">
        <v>0</v>
      </c>
      <c s="6" r="BK576">
        <v>0</v>
      </c>
      <c s="6" r="BL576">
        <v>0</v>
      </c>
      <c s="6" r="BM576">
        <v>0</v>
      </c>
      <c s="6" r="BN576">
        <v>0</v>
      </c>
      <c s="6" r="BO576">
        <v>0</v>
      </c>
      <c s="6" r="BP576">
        <v>0</v>
      </c>
      <c s="6" r="BQ576">
        <v>0</v>
      </c>
      <c t="str" s="6" r="BR576">
        <f>HYPERLINK("http://www.d20pfsrd.com/magic/all-spells/t/transport-via-plants","Transport via Plants")</f>
        <v>Transport via Plants</v>
      </c>
      <c s="6" r="BS576">
        <v>577</v>
      </c>
      <c t="s" s="6" r="BT576">
        <v>92</v>
      </c>
      <c t="s" s="6" r="BU576">
        <v>259</v>
      </c>
      <c s="6" r="BY576">
        <v>0</v>
      </c>
    </row>
    <row customHeight="1" r="577" ht="14.25">
      <c t="s" s="6" r="A577">
        <v>4551</v>
      </c>
      <c t="s" s="6" r="B577">
        <v>78</v>
      </c>
      <c t="s" s="6" r="C577">
        <v>1042</v>
      </c>
      <c t="s" s="6" r="E577">
        <v>811</v>
      </c>
      <c t="s" s="6" r="F577">
        <v>4552</v>
      </c>
      <c t="s" s="6" r="G577">
        <v>4553</v>
      </c>
      <c s="6" r="H577">
        <v>1</v>
      </c>
      <c t="s" s="6" r="I577">
        <v>107</v>
      </c>
      <c t="s" s="6" r="L577">
        <v>1235</v>
      </c>
      <c t="s" s="6" r="M577">
        <v>2896</v>
      </c>
      <c s="6" r="N577">
        <v>0</v>
      </c>
      <c s="6" r="O577">
        <v>0</v>
      </c>
      <c t="s" s="6" r="P577">
        <v>141</v>
      </c>
      <c t="s" s="6" r="Q577">
        <v>3831</v>
      </c>
      <c t="s" s="6" r="R577">
        <v>4554</v>
      </c>
      <c t="s" s="6" r="S577">
        <v>4555</v>
      </c>
      <c t="s" s="6" r="T577">
        <v>90</v>
      </c>
      <c t="s" s="6" r="U577">
        <v>4556</v>
      </c>
      <c s="6" r="V577">
        <v>1</v>
      </c>
      <c s="6" r="W577">
        <v>1</v>
      </c>
      <c s="6" r="X577">
        <v>1</v>
      </c>
      <c s="6" r="Y577">
        <v>0</v>
      </c>
      <c s="6" r="Z577">
        <v>0</v>
      </c>
      <c s="6" r="AA577">
        <v>8</v>
      </c>
      <c s="6" r="AB577">
        <v>8</v>
      </c>
      <c t="s" s="6" r="AC577">
        <v>92</v>
      </c>
      <c t="s" s="6" r="AD577">
        <v>92</v>
      </c>
      <c t="s" s="6" r="AE577">
        <v>92</v>
      </c>
      <c t="s" s="6" r="AF577">
        <v>92</v>
      </c>
      <c t="s" s="6" r="AG577">
        <v>92</v>
      </c>
      <c t="s" s="6" r="AH577">
        <v>92</v>
      </c>
      <c t="s" s="6" r="AI577">
        <v>92</v>
      </c>
      <c s="6" r="AJ577">
        <v>8</v>
      </c>
      <c t="s" s="6" r="AK577">
        <v>92</v>
      </c>
      <c t="s" s="6" r="AL577">
        <v>92</v>
      </c>
      <c t="s" s="6" r="AM577">
        <v>92</v>
      </c>
      <c t="s" s="6" r="AN577">
        <v>92</v>
      </c>
      <c s="6" r="AP577">
        <v>8</v>
      </c>
      <c t="s" s="6" r="AQ577">
        <v>4557</v>
      </c>
      <c t="s" s="6" r="AR577">
        <v>4558</v>
      </c>
      <c s="6" r="AS577">
        <v>0</v>
      </c>
      <c s="6" r="AT577">
        <v>0</v>
      </c>
      <c s="6" r="AU577">
        <v>0</v>
      </c>
      <c s="6" r="AV577">
        <v>0</v>
      </c>
      <c s="6" r="AW577">
        <v>0</v>
      </c>
      <c s="6" r="AX577">
        <v>0</v>
      </c>
      <c s="6" r="AY577">
        <v>0</v>
      </c>
      <c s="6" r="AZ577">
        <v>0</v>
      </c>
      <c s="6" r="BA577">
        <v>0</v>
      </c>
      <c s="6" r="BB577">
        <v>0</v>
      </c>
      <c s="6" r="BC577">
        <v>0</v>
      </c>
      <c s="6" r="BD577">
        <v>0</v>
      </c>
      <c s="6" r="BE577">
        <v>0</v>
      </c>
      <c s="6" r="BF577">
        <v>0</v>
      </c>
      <c s="6" r="BG577">
        <v>0</v>
      </c>
      <c s="6" r="BH577">
        <v>0</v>
      </c>
      <c s="6" r="BI577">
        <v>0</v>
      </c>
      <c s="6" r="BJ577">
        <v>0</v>
      </c>
      <c s="6" r="BK577">
        <v>0</v>
      </c>
      <c s="6" r="BL577">
        <v>0</v>
      </c>
      <c s="6" r="BM577">
        <v>0</v>
      </c>
      <c s="6" r="BN577">
        <v>0</v>
      </c>
      <c s="6" r="BO577">
        <v>0</v>
      </c>
      <c s="6" r="BP577">
        <v>0</v>
      </c>
      <c s="6" r="BQ577">
        <v>0</v>
      </c>
      <c t="str" s="6" r="BR577">
        <f>HYPERLINK("http://www.d20pfsrd.com/magic/all-spells/t/trap-the-soul","Trap the Soul")</f>
        <v>Trap the Soul</v>
      </c>
      <c s="6" r="BS577">
        <v>578</v>
      </c>
      <c s="6" r="BT577">
        <v>1000</v>
      </c>
      <c t="s" s="6" r="BU577">
        <v>4559</v>
      </c>
      <c t="s" s="6" r="BV577">
        <v>489</v>
      </c>
      <c s="6" r="BY577">
        <v>0</v>
      </c>
    </row>
    <row customHeight="1" r="578" ht="14.25">
      <c t="s" s="6" r="A578">
        <v>4560</v>
      </c>
      <c t="s" s="6" r="B578">
        <v>131</v>
      </c>
      <c t="s" s="6" r="E578">
        <v>3528</v>
      </c>
      <c t="s" s="6" r="F578">
        <v>81</v>
      </c>
      <c t="s" s="6" r="G578">
        <v>119</v>
      </c>
      <c s="6" r="H578">
        <v>0</v>
      </c>
      <c t="s" s="6" r="I578">
        <v>155</v>
      </c>
      <c t="s" s="6" r="L578">
        <v>156</v>
      </c>
      <c t="s" s="6" r="M578">
        <v>209</v>
      </c>
      <c s="6" r="N578">
        <v>1</v>
      </c>
      <c s="6" r="O578">
        <v>0</v>
      </c>
      <c t="s" s="6" r="R578">
        <v>4561</v>
      </c>
      <c t="s" s="6" r="S578">
        <v>4562</v>
      </c>
      <c t="s" s="6" r="T578">
        <v>90</v>
      </c>
      <c t="s" s="6" r="U578">
        <v>4563</v>
      </c>
      <c s="6" r="V578">
        <v>1</v>
      </c>
      <c s="6" r="W578">
        <v>1</v>
      </c>
      <c s="6" r="X578">
        <v>0</v>
      </c>
      <c s="6" r="Y578">
        <v>0</v>
      </c>
      <c s="6" r="Z578">
        <v>1</v>
      </c>
      <c t="s" s="6" r="AA578">
        <v>92</v>
      </c>
      <c t="s" s="6" r="AB578">
        <v>92</v>
      </c>
      <c t="s" s="6" r="AC578">
        <v>92</v>
      </c>
      <c s="6" r="AD578">
        <v>2</v>
      </c>
      <c s="6" r="AE578">
        <v>3</v>
      </c>
      <c t="s" s="6" r="AF578">
        <v>92</v>
      </c>
      <c t="s" s="6" r="AG578">
        <v>92</v>
      </c>
      <c t="s" s="6" r="AH578">
        <v>92</v>
      </c>
      <c t="s" s="6" r="AI578">
        <v>92</v>
      </c>
      <c t="s" s="6" r="AJ578">
        <v>92</v>
      </c>
      <c t="s" s="6" r="AK578">
        <v>92</v>
      </c>
      <c t="s" s="6" r="AL578">
        <v>92</v>
      </c>
      <c t="s" s="6" r="AM578">
        <v>92</v>
      </c>
      <c t="s" s="6" r="AN578">
        <v>92</v>
      </c>
      <c s="6" r="AP578">
        <v>2</v>
      </c>
      <c t="s" s="6" r="AR578">
        <v>4564</v>
      </c>
      <c s="6" r="AS578">
        <v>0</v>
      </c>
      <c s="6" r="AT578">
        <v>0</v>
      </c>
      <c s="6" r="AU578">
        <v>0</v>
      </c>
      <c s="6" r="AV578">
        <v>0</v>
      </c>
      <c s="6" r="AW578">
        <v>0</v>
      </c>
      <c s="6" r="AX578">
        <v>0</v>
      </c>
      <c s="6" r="AY578">
        <v>0</v>
      </c>
      <c s="6" r="AZ578">
        <v>0</v>
      </c>
      <c s="6" r="BA578">
        <v>0</v>
      </c>
      <c s="6" r="BB578">
        <v>0</v>
      </c>
      <c s="6" r="BC578">
        <v>0</v>
      </c>
      <c s="6" r="BD578">
        <v>0</v>
      </c>
      <c s="6" r="BE578">
        <v>0</v>
      </c>
      <c s="6" r="BF578">
        <v>0</v>
      </c>
      <c s="6" r="BG578">
        <v>0</v>
      </c>
      <c s="6" r="BH578">
        <v>0</v>
      </c>
      <c s="6" r="BI578">
        <v>0</v>
      </c>
      <c s="6" r="BJ578">
        <v>0</v>
      </c>
      <c s="6" r="BK578">
        <v>0</v>
      </c>
      <c s="6" r="BL578">
        <v>0</v>
      </c>
      <c s="6" r="BM578">
        <v>0</v>
      </c>
      <c s="6" r="BN578">
        <v>0</v>
      </c>
      <c s="6" r="BO578">
        <v>0</v>
      </c>
      <c s="6" r="BP578">
        <v>0</v>
      </c>
      <c s="6" r="BQ578">
        <v>0</v>
      </c>
      <c t="str" s="6" r="BR578">
        <f>HYPERLINK("http://www.d20pfsrd.com/magic/all-spells/t/tree-shape","Tree Shape")</f>
        <v>Tree Shape</v>
      </c>
      <c s="6" r="BS578">
        <v>579</v>
      </c>
      <c t="s" s="6" r="BT578">
        <v>92</v>
      </c>
      <c s="6" r="BY578">
        <v>0</v>
      </c>
    </row>
    <row customHeight="1" r="579" ht="14.25">
      <c t="s" s="6" r="A579">
        <v>4565</v>
      </c>
      <c t="s" s="6" r="B579">
        <v>78</v>
      </c>
      <c t="s" s="6" r="C579">
        <v>1356</v>
      </c>
      <c t="s" s="6" r="E579">
        <v>881</v>
      </c>
      <c t="s" s="6" r="F579">
        <v>81</v>
      </c>
      <c t="s" s="6" r="G579">
        <v>119</v>
      </c>
      <c s="6" r="H579">
        <v>0</v>
      </c>
      <c t="s" s="6" r="I579">
        <v>155</v>
      </c>
      <c t="s" s="6" r="L579">
        <v>156</v>
      </c>
      <c t="s" s="6" r="M579">
        <v>4566</v>
      </c>
      <c s="6" r="N579">
        <v>0</v>
      </c>
      <c s="6" r="O579">
        <v>0</v>
      </c>
      <c t="s" s="6" r="R579">
        <v>4567</v>
      </c>
      <c t="s" s="6" r="S579">
        <v>4568</v>
      </c>
      <c t="s" s="6" r="T579">
        <v>90</v>
      </c>
      <c t="s" s="6" r="U579">
        <v>4569</v>
      </c>
      <c s="6" r="V579">
        <v>1</v>
      </c>
      <c s="6" r="W579">
        <v>1</v>
      </c>
      <c s="6" r="X579">
        <v>0</v>
      </c>
      <c s="6" r="Y579">
        <v>0</v>
      </c>
      <c s="6" r="Z579">
        <v>1</v>
      </c>
      <c t="s" s="6" r="AA579">
        <v>92</v>
      </c>
      <c t="s" s="6" r="AB579">
        <v>92</v>
      </c>
      <c t="s" s="6" r="AC579">
        <v>92</v>
      </c>
      <c s="6" r="AD579">
        <v>5</v>
      </c>
      <c s="6" r="AE579">
        <v>4</v>
      </c>
      <c t="s" s="6" r="AF579">
        <v>92</v>
      </c>
      <c t="s" s="6" r="AG579">
        <v>92</v>
      </c>
      <c t="s" s="6" r="AH579">
        <v>92</v>
      </c>
      <c t="s" s="6" r="AI579">
        <v>92</v>
      </c>
      <c t="s" s="6" r="AJ579">
        <v>92</v>
      </c>
      <c t="s" s="6" r="AK579">
        <v>92</v>
      </c>
      <c t="s" s="6" r="AL579">
        <v>92</v>
      </c>
      <c t="s" s="6" r="AM579">
        <v>92</v>
      </c>
      <c t="s" s="6" r="AN579">
        <v>92</v>
      </c>
      <c s="6" r="AP579">
        <v>5</v>
      </c>
      <c t="s" s="6" r="AR579">
        <v>4570</v>
      </c>
      <c s="6" r="AS579">
        <v>0</v>
      </c>
      <c s="6" r="AT579">
        <v>0</v>
      </c>
      <c s="6" r="AU579">
        <v>0</v>
      </c>
      <c s="6" r="AV579">
        <v>0</v>
      </c>
      <c s="6" r="AW579">
        <v>0</v>
      </c>
      <c s="6" r="AX579">
        <v>0</v>
      </c>
      <c s="6" r="AY579">
        <v>0</v>
      </c>
      <c s="6" r="AZ579">
        <v>0</v>
      </c>
      <c s="6" r="BA579">
        <v>0</v>
      </c>
      <c s="6" r="BB579">
        <v>0</v>
      </c>
      <c s="6" r="BC579">
        <v>0</v>
      </c>
      <c s="6" r="BD579">
        <v>0</v>
      </c>
      <c s="6" r="BE579">
        <v>0</v>
      </c>
      <c s="6" r="BF579">
        <v>0</v>
      </c>
      <c s="6" r="BG579">
        <v>0</v>
      </c>
      <c s="6" r="BH579">
        <v>0</v>
      </c>
      <c s="6" r="BI579">
        <v>0</v>
      </c>
      <c s="6" r="BJ579">
        <v>0</v>
      </c>
      <c s="6" r="BK579">
        <v>0</v>
      </c>
      <c s="6" r="BL579">
        <v>0</v>
      </c>
      <c s="6" r="BM579">
        <v>0</v>
      </c>
      <c s="6" r="BN579">
        <v>0</v>
      </c>
      <c s="6" r="BO579">
        <v>0</v>
      </c>
      <c s="6" r="BP579">
        <v>0</v>
      </c>
      <c s="6" r="BQ579">
        <v>0</v>
      </c>
      <c t="str" s="6" r="BR579">
        <f>HYPERLINK("http://www.d20pfsrd.com/magic/all-spells/t/tree-stride","Tree Stride")</f>
        <v>Tree Stride</v>
      </c>
      <c s="6" r="BS579">
        <v>580</v>
      </c>
      <c t="s" s="6" r="BT579">
        <v>92</v>
      </c>
      <c t="s" s="6" r="BU579">
        <v>3186</v>
      </c>
      <c s="6" r="BY579">
        <v>0</v>
      </c>
    </row>
    <row customHeight="1" r="580" ht="14.25">
      <c t="s" s="6" r="A580">
        <v>4571</v>
      </c>
      <c t="s" s="6" r="B580">
        <v>78</v>
      </c>
      <c t="s" s="6" r="C580">
        <v>598</v>
      </c>
      <c t="s" s="6" r="E580">
        <v>2240</v>
      </c>
      <c t="s" s="6" r="F580">
        <v>311</v>
      </c>
      <c t="s" s="6" r="G580">
        <v>4572</v>
      </c>
      <c s="6" r="H580">
        <v>1</v>
      </c>
      <c t="s" s="6" r="I580">
        <v>120</v>
      </c>
      <c t="s" s="6" r="L580">
        <v>3488</v>
      </c>
      <c t="s" s="6" r="M580">
        <v>109</v>
      </c>
      <c s="6" r="N580">
        <v>0</v>
      </c>
      <c s="6" r="O580">
        <v>0</v>
      </c>
      <c t="s" s="6" r="P580">
        <v>201</v>
      </c>
      <c t="s" s="6" r="Q580">
        <v>123</v>
      </c>
      <c t="s" s="6" r="R580">
        <v>4573</v>
      </c>
      <c t="s" s="6" r="S580">
        <v>4574</v>
      </c>
      <c t="s" s="6" r="T580">
        <v>90</v>
      </c>
      <c t="s" s="6" r="U580">
        <v>4575</v>
      </c>
      <c s="6" r="V580">
        <v>1</v>
      </c>
      <c s="6" r="W580">
        <v>1</v>
      </c>
      <c s="6" r="X580">
        <v>1</v>
      </c>
      <c s="6" r="Y580">
        <v>0</v>
      </c>
      <c s="6" r="Z580">
        <v>1</v>
      </c>
      <c t="s" s="6" r="AA580">
        <v>92</v>
      </c>
      <c t="s" s="6" r="AB580">
        <v>92</v>
      </c>
      <c s="6" r="AC580">
        <v>9</v>
      </c>
      <c t="s" s="6" r="AD580">
        <v>92</v>
      </c>
      <c t="s" s="6" r="AE580">
        <v>92</v>
      </c>
      <c t="s" s="6" r="AF580">
        <v>92</v>
      </c>
      <c t="s" s="6" r="AG580">
        <v>92</v>
      </c>
      <c t="s" s="6" r="AH580">
        <v>92</v>
      </c>
      <c t="s" s="6" r="AI580">
        <v>92</v>
      </c>
      <c t="s" s="6" r="AJ580">
        <v>92</v>
      </c>
      <c t="s" s="6" r="AK580">
        <v>92</v>
      </c>
      <c s="6" r="AL580">
        <v>9</v>
      </c>
      <c t="s" s="6" r="AM580">
        <v>92</v>
      </c>
      <c t="s" s="6" r="AN580">
        <v>92</v>
      </c>
      <c s="6" r="AP580">
        <v>9</v>
      </c>
      <c t="s" s="6" r="AQ580">
        <v>3492</v>
      </c>
      <c t="s" s="6" r="AR580">
        <v>4576</v>
      </c>
      <c s="6" r="AS580">
        <v>0</v>
      </c>
      <c s="6" r="AT580">
        <v>0</v>
      </c>
      <c s="6" r="AU580">
        <v>0</v>
      </c>
      <c s="6" r="AV580">
        <v>0</v>
      </c>
      <c s="6" r="AW580">
        <v>0</v>
      </c>
      <c s="6" r="AX580">
        <v>0</v>
      </c>
      <c s="6" r="AY580">
        <v>0</v>
      </c>
      <c s="6" r="AZ580">
        <v>0</v>
      </c>
      <c s="6" r="BA580">
        <v>0</v>
      </c>
      <c s="6" r="BB580">
        <v>0</v>
      </c>
      <c s="6" r="BC580">
        <v>0</v>
      </c>
      <c s="6" r="BD580">
        <v>0</v>
      </c>
      <c s="6" r="BE580">
        <v>0</v>
      </c>
      <c s="6" r="BF580">
        <v>0</v>
      </c>
      <c s="6" r="BG580">
        <v>0</v>
      </c>
      <c s="6" r="BH580">
        <v>0</v>
      </c>
      <c s="6" r="BI580">
        <v>0</v>
      </c>
      <c s="6" r="BJ580">
        <v>0</v>
      </c>
      <c s="6" r="BK580">
        <v>0</v>
      </c>
      <c s="6" r="BL580">
        <v>0</v>
      </c>
      <c s="6" r="BM580">
        <v>0</v>
      </c>
      <c s="6" r="BN580">
        <v>0</v>
      </c>
      <c s="6" r="BO580">
        <v>0</v>
      </c>
      <c s="6" r="BP580">
        <v>0</v>
      </c>
      <c s="6" r="BQ580">
        <v>0</v>
      </c>
      <c t="str" s="6" r="BR580">
        <f>HYPERLINK("http://www.d20pfsrd.com/magic/all-spells/t/true-resurrection","True Resurrection")</f>
        <v>True Resurrection</v>
      </c>
      <c s="6" r="BS580">
        <v>581</v>
      </c>
      <c s="6" r="BT580">
        <v>25000</v>
      </c>
      <c t="s" s="6" r="BV580">
        <v>605</v>
      </c>
      <c s="6" r="BY580">
        <v>0</v>
      </c>
    </row>
    <row customHeight="1" r="581" ht="14.25">
      <c t="s" s="6" r="A581">
        <v>4577</v>
      </c>
      <c t="s" s="6" r="B581">
        <v>174</v>
      </c>
      <c t="s" s="6" r="E581">
        <v>4578</v>
      </c>
      <c t="s" s="6" r="F581">
        <v>81</v>
      </c>
      <c t="s" s="6" r="G581">
        <v>4579</v>
      </c>
      <c s="6" r="H581">
        <v>1</v>
      </c>
      <c t="s" s="6" r="I581">
        <v>120</v>
      </c>
      <c t="s" s="6" r="L581">
        <v>420</v>
      </c>
      <c t="s" s="6" r="M581">
        <v>122</v>
      </c>
      <c s="6" r="N581">
        <v>0</v>
      </c>
      <c s="6" r="O581">
        <v>0</v>
      </c>
      <c t="s" s="6" r="P581">
        <v>421</v>
      </c>
      <c t="s" s="6" r="Q581">
        <v>123</v>
      </c>
      <c t="s" s="6" r="R581">
        <v>4580</v>
      </c>
      <c t="s" s="6" r="S581">
        <v>4581</v>
      </c>
      <c t="s" s="6" r="T581">
        <v>90</v>
      </c>
      <c t="s" s="6" r="U581">
        <v>4582</v>
      </c>
      <c s="6" r="V581">
        <v>1</v>
      </c>
      <c s="6" r="W581">
        <v>1</v>
      </c>
      <c s="6" r="X581">
        <v>1</v>
      </c>
      <c s="6" r="Y581">
        <v>0</v>
      </c>
      <c s="6" r="Z581">
        <v>0</v>
      </c>
      <c s="6" r="AA581">
        <v>6</v>
      </c>
      <c s="6" r="AB581">
        <v>6</v>
      </c>
      <c s="6" r="AC581">
        <v>5</v>
      </c>
      <c s="6" r="AD581">
        <v>7</v>
      </c>
      <c t="s" s="6" r="AE581">
        <v>92</v>
      </c>
      <c t="s" s="6" r="AF581">
        <v>92</v>
      </c>
      <c t="s" s="6" r="AG581">
        <v>92</v>
      </c>
      <c s="6" r="AH581">
        <v>6</v>
      </c>
      <c s="6" r="AI581">
        <v>5</v>
      </c>
      <c s="6" r="AJ581">
        <v>6</v>
      </c>
      <c s="6" r="AK581">
        <v>5</v>
      </c>
      <c s="6" r="AL581">
        <v>5</v>
      </c>
      <c t="s" s="6" r="AM581">
        <v>92</v>
      </c>
      <c s="6" r="AN581">
        <v>6</v>
      </c>
      <c s="6" r="AP581">
        <v>6</v>
      </c>
      <c t="s" s="6" r="AQ581">
        <v>1323</v>
      </c>
      <c t="s" s="6" r="AR581">
        <v>4583</v>
      </c>
      <c s="6" r="AS581">
        <v>0</v>
      </c>
      <c s="6" r="AT581">
        <v>0</v>
      </c>
      <c s="6" r="AU581">
        <v>0</v>
      </c>
      <c s="6" r="AV581">
        <v>0</v>
      </c>
      <c s="6" r="AW581">
        <v>0</v>
      </c>
      <c s="6" r="AX581">
        <v>0</v>
      </c>
      <c s="6" r="AY581">
        <v>0</v>
      </c>
      <c s="6" r="AZ581">
        <v>0</v>
      </c>
      <c s="6" r="BA581">
        <v>0</v>
      </c>
      <c s="6" r="BB581">
        <v>0</v>
      </c>
      <c s="6" r="BC581">
        <v>0</v>
      </c>
      <c s="6" r="BD581">
        <v>0</v>
      </c>
      <c s="6" r="BE581">
        <v>0</v>
      </c>
      <c s="6" r="BF581">
        <v>0</v>
      </c>
      <c s="6" r="BG581">
        <v>0</v>
      </c>
      <c s="6" r="BH581">
        <v>0</v>
      </c>
      <c s="6" r="BI581">
        <v>0</v>
      </c>
      <c s="6" r="BJ581">
        <v>0</v>
      </c>
      <c s="6" r="BK581">
        <v>0</v>
      </c>
      <c s="6" r="BL581">
        <v>0</v>
      </c>
      <c s="6" r="BM581">
        <v>0</v>
      </c>
      <c s="6" r="BN581">
        <v>0</v>
      </c>
      <c s="6" r="BO581">
        <v>0</v>
      </c>
      <c s="6" r="BP581">
        <v>0</v>
      </c>
      <c s="6" r="BQ581">
        <v>0</v>
      </c>
      <c t="str" s="6" r="BR581">
        <f>HYPERLINK("http://www.d20pfsrd.com/magic/all-spells/t/true-seeing","True Seeing")</f>
        <v>True Seeing</v>
      </c>
      <c s="6" r="BS581">
        <v>582</v>
      </c>
      <c s="6" r="BT581">
        <v>250</v>
      </c>
      <c t="s" s="6" r="BU581">
        <v>182</v>
      </c>
      <c s="6" r="BY581">
        <v>0</v>
      </c>
    </row>
    <row customHeight="1" r="582" ht="14.25">
      <c t="s" s="6" r="A582">
        <v>4584</v>
      </c>
      <c t="s" s="6" r="B582">
        <v>174</v>
      </c>
      <c t="s" s="6" r="E582">
        <v>4585</v>
      </c>
      <c t="s" s="6" r="F582">
        <v>81</v>
      </c>
      <c t="s" s="6" r="G582">
        <v>4586</v>
      </c>
      <c s="6" r="H582">
        <v>0</v>
      </c>
      <c t="s" s="6" r="I582">
        <v>155</v>
      </c>
      <c t="s" s="6" r="L582">
        <v>156</v>
      </c>
      <c t="s" s="6" r="M582">
        <v>141</v>
      </c>
      <c s="6" r="N582">
        <v>0</v>
      </c>
      <c s="6" r="O582">
        <v>0</v>
      </c>
      <c t="s" s="6" r="R582">
        <v>4587</v>
      </c>
      <c t="s" s="6" r="S582">
        <v>4588</v>
      </c>
      <c t="s" s="6" r="T582">
        <v>90</v>
      </c>
      <c t="s" s="6" r="U582">
        <v>4589</v>
      </c>
      <c s="6" r="V582">
        <v>1</v>
      </c>
      <c s="6" r="W582">
        <v>0</v>
      </c>
      <c s="6" r="X582">
        <v>0</v>
      </c>
      <c s="6" r="Y582">
        <v>0</v>
      </c>
      <c s="6" r="Z582">
        <v>0</v>
      </c>
      <c s="6" r="AA582">
        <v>1</v>
      </c>
      <c s="6" r="AB582">
        <v>1</v>
      </c>
      <c t="s" s="6" r="AC582">
        <v>92</v>
      </c>
      <c t="s" s="6" r="AD582">
        <v>92</v>
      </c>
      <c t="s" s="6" r="AE582">
        <v>92</v>
      </c>
      <c t="s" s="6" r="AF582">
        <v>92</v>
      </c>
      <c t="s" s="6" r="AG582">
        <v>92</v>
      </c>
      <c s="6" r="AH582">
        <v>1</v>
      </c>
      <c t="s" s="6" r="AI582">
        <v>92</v>
      </c>
      <c t="s" s="6" r="AJ582">
        <v>92</v>
      </c>
      <c s="6" r="AK582">
        <v>1</v>
      </c>
      <c t="s" s="6" r="AL582">
        <v>92</v>
      </c>
      <c t="s" s="6" r="AM582">
        <v>92</v>
      </c>
      <c s="6" r="AN582">
        <v>1</v>
      </c>
      <c s="6" r="AP582">
        <v>1</v>
      </c>
      <c t="s" s="6" r="AQ582">
        <v>4590</v>
      </c>
      <c t="s" s="6" r="AR582">
        <v>4591</v>
      </c>
      <c s="6" r="AS582">
        <v>0</v>
      </c>
      <c s="6" r="AT582">
        <v>0</v>
      </c>
      <c s="6" r="AU582">
        <v>0</v>
      </c>
      <c s="6" r="AV582">
        <v>0</v>
      </c>
      <c s="6" r="AW582">
        <v>0</v>
      </c>
      <c s="6" r="AX582">
        <v>0</v>
      </c>
      <c s="6" r="AY582">
        <v>0</v>
      </c>
      <c s="6" r="AZ582">
        <v>0</v>
      </c>
      <c s="6" r="BA582">
        <v>0</v>
      </c>
      <c s="6" r="BB582">
        <v>0</v>
      </c>
      <c s="6" r="BC582">
        <v>0</v>
      </c>
      <c s="6" r="BD582">
        <v>0</v>
      </c>
      <c s="6" r="BE582">
        <v>0</v>
      </c>
      <c s="6" r="BF582">
        <v>0</v>
      </c>
      <c s="6" r="BG582">
        <v>0</v>
      </c>
      <c s="6" r="BH582">
        <v>0</v>
      </c>
      <c s="6" r="BI582">
        <v>0</v>
      </c>
      <c s="6" r="BJ582">
        <v>0</v>
      </c>
      <c s="6" r="BK582">
        <v>0</v>
      </c>
      <c s="6" r="BL582">
        <v>0</v>
      </c>
      <c s="6" r="BM582">
        <v>0</v>
      </c>
      <c s="6" r="BN582">
        <v>0</v>
      </c>
      <c s="6" r="BO582">
        <v>0</v>
      </c>
      <c s="6" r="BP582">
        <v>0</v>
      </c>
      <c s="6" r="BQ582">
        <v>0</v>
      </c>
      <c t="str" s="6" r="BR582">
        <f>HYPERLINK("http://www.d20pfsrd.com/magic/all-spells/t/true-strike","True Strike")</f>
        <v>True Strike</v>
      </c>
      <c s="6" r="BS582">
        <v>583</v>
      </c>
      <c t="s" s="6" r="BT582">
        <v>92</v>
      </c>
      <c t="s" s="6" r="BU582">
        <v>2860</v>
      </c>
      <c t="s" s="6" r="BW582">
        <v>4592</v>
      </c>
      <c t="s" s="6" r="BX582">
        <v>4593</v>
      </c>
      <c s="6" r="BY582">
        <v>1</v>
      </c>
    </row>
    <row customHeight="1" r="583" ht="14.25">
      <c t="s" s="6" r="A583">
        <v>4594</v>
      </c>
      <c t="s" s="6" r="B583">
        <v>227</v>
      </c>
      <c t="s" s="6" r="E583">
        <v>4595</v>
      </c>
      <c t="s" s="6" r="F583">
        <v>81</v>
      </c>
      <c t="s" s="6" r="G583">
        <v>4596</v>
      </c>
      <c s="6" r="H583">
        <v>1</v>
      </c>
      <c t="s" s="6" r="I583">
        <v>97</v>
      </c>
      <c t="s" s="6" r="J583">
        <v>4597</v>
      </c>
      <c t="s" s="6" r="M583">
        <v>109</v>
      </c>
      <c s="6" r="N583">
        <v>0</v>
      </c>
      <c s="6" r="O583">
        <v>0</v>
      </c>
      <c t="s" s="6" r="P583">
        <v>221</v>
      </c>
      <c t="s" s="6" r="Q583">
        <v>188</v>
      </c>
      <c t="s" s="6" r="R583">
        <v>4598</v>
      </c>
      <c t="s" s="6" r="S583">
        <v>4599</v>
      </c>
      <c t="s" s="6" r="T583">
        <v>90</v>
      </c>
      <c t="s" s="6" r="U583">
        <v>4600</v>
      </c>
      <c s="6" r="V583">
        <v>1</v>
      </c>
      <c s="6" r="W583">
        <v>1</v>
      </c>
      <c s="6" r="X583">
        <v>1</v>
      </c>
      <c s="6" r="Y583">
        <v>0</v>
      </c>
      <c s="6" r="Z583">
        <v>1</v>
      </c>
      <c s="6" r="AA583">
        <v>6</v>
      </c>
      <c s="6" r="AB583">
        <v>6</v>
      </c>
      <c s="6" r="AC583">
        <v>6</v>
      </c>
      <c t="s" s="6" r="AD583">
        <v>92</v>
      </c>
      <c t="s" s="6" r="AE583">
        <v>92</v>
      </c>
      <c t="s" s="6" r="AF583">
        <v>92</v>
      </c>
      <c t="s" s="6" r="AG583">
        <v>92</v>
      </c>
      <c t="s" s="6" r="AH583">
        <v>92</v>
      </c>
      <c t="s" s="6" r="AI583">
        <v>92</v>
      </c>
      <c t="s" s="6" r="AJ583">
        <v>92</v>
      </c>
      <c s="6" r="AK583">
        <v>6</v>
      </c>
      <c s="6" r="AL583">
        <v>6</v>
      </c>
      <c t="s" s="6" r="AM583">
        <v>92</v>
      </c>
      <c t="s" s="6" r="AN583">
        <v>92</v>
      </c>
      <c s="6" r="AP583">
        <v>6</v>
      </c>
      <c t="s" s="6" r="AQ583">
        <v>4601</v>
      </c>
      <c t="s" s="6" r="AR583">
        <v>4602</v>
      </c>
      <c s="6" r="AS583">
        <v>0</v>
      </c>
      <c s="6" r="AT583">
        <v>0</v>
      </c>
      <c s="6" r="AU583">
        <v>0</v>
      </c>
      <c s="6" r="AV583">
        <v>0</v>
      </c>
      <c s="6" r="AW583">
        <v>0</v>
      </c>
      <c s="6" r="AX583">
        <v>0</v>
      </c>
      <c s="6" r="AY583">
        <v>0</v>
      </c>
      <c s="6" r="AZ583">
        <v>0</v>
      </c>
      <c s="6" r="BA583">
        <v>0</v>
      </c>
      <c s="6" r="BB583">
        <v>0</v>
      </c>
      <c s="6" r="BC583">
        <v>0</v>
      </c>
      <c s="6" r="BD583">
        <v>0</v>
      </c>
      <c s="6" r="BE583">
        <v>0</v>
      </c>
      <c s="6" r="BF583">
        <v>0</v>
      </c>
      <c s="6" r="BG583">
        <v>0</v>
      </c>
      <c s="6" r="BH583">
        <v>0</v>
      </c>
      <c s="6" r="BI583">
        <v>0</v>
      </c>
      <c s="6" r="BJ583">
        <v>0</v>
      </c>
      <c s="6" r="BK583">
        <v>0</v>
      </c>
      <c s="6" r="BL583">
        <v>0</v>
      </c>
      <c s="6" r="BM583">
        <v>0</v>
      </c>
      <c s="6" r="BN583">
        <v>0</v>
      </c>
      <c s="6" r="BO583">
        <v>0</v>
      </c>
      <c s="6" r="BP583">
        <v>0</v>
      </c>
      <c s="6" r="BQ583">
        <v>0</v>
      </c>
      <c t="str" s="6" r="BR583">
        <f>HYPERLINK("http://www.d20pfsrd.com/magic/all-spells/u/undeath-to-death","Undeath to Death")</f>
        <v>Undeath to Death</v>
      </c>
      <c s="6" r="BS583">
        <v>584</v>
      </c>
      <c s="6" r="BT583">
        <v>500</v>
      </c>
      <c t="s" s="6" r="BU583">
        <v>236</v>
      </c>
      <c s="6" r="BY583">
        <v>0</v>
      </c>
    </row>
    <row customHeight="1" r="584" ht="14.25">
      <c t="s" s="6" r="A584">
        <v>4603</v>
      </c>
      <c t="s" s="6" r="B584">
        <v>162</v>
      </c>
      <c t="s" s="6" r="E584">
        <v>4604</v>
      </c>
      <c t="s" s="6" r="F584">
        <v>81</v>
      </c>
      <c t="s" s="6" r="G584">
        <v>106</v>
      </c>
      <c s="6" r="H584">
        <v>0</v>
      </c>
      <c t="s" s="6" r="I584">
        <v>107</v>
      </c>
      <c t="s" s="6" r="L584">
        <v>1380</v>
      </c>
      <c t="s" s="6" r="M584">
        <v>379</v>
      </c>
      <c s="6" r="N584">
        <v>0</v>
      </c>
      <c s="6" r="O584">
        <v>0</v>
      </c>
      <c t="s" s="6" r="P584">
        <v>535</v>
      </c>
      <c t="s" s="6" r="Q584">
        <v>536</v>
      </c>
      <c t="s" s="6" r="R584">
        <v>4605</v>
      </c>
      <c t="s" s="6" r="S584">
        <v>4606</v>
      </c>
      <c t="s" s="6" r="T584">
        <v>90</v>
      </c>
      <c t="s" s="6" r="U584">
        <v>4607</v>
      </c>
      <c s="6" r="V584">
        <v>1</v>
      </c>
      <c s="6" r="W584">
        <v>1</v>
      </c>
      <c s="6" r="X584">
        <v>0</v>
      </c>
      <c s="6" r="Y584">
        <v>0</v>
      </c>
      <c s="6" r="Z584">
        <v>0</v>
      </c>
      <c t="s" s="6" r="AA584">
        <v>92</v>
      </c>
      <c t="s" s="6" r="AB584">
        <v>92</v>
      </c>
      <c s="6" r="AC584">
        <v>2</v>
      </c>
      <c t="s" s="6" r="AD584">
        <v>92</v>
      </c>
      <c t="s" s="6" r="AE584">
        <v>92</v>
      </c>
      <c s="6" r="AF584">
        <v>1</v>
      </c>
      <c s="6" r="AG584">
        <v>2</v>
      </c>
      <c s="6" r="AH584">
        <v>2</v>
      </c>
      <c t="s" s="6" r="AI584">
        <v>92</v>
      </c>
      <c t="s" s="6" r="AJ584">
        <v>92</v>
      </c>
      <c s="6" r="AK584">
        <v>2</v>
      </c>
      <c s="6" r="AL584">
        <v>2</v>
      </c>
      <c s="6" r="AM584">
        <v>2</v>
      </c>
      <c t="s" s="6" r="AN584">
        <v>92</v>
      </c>
      <c s="6" r="AP584">
        <v>2</v>
      </c>
      <c t="s" s="6" r="AR584">
        <v>4608</v>
      </c>
      <c s="6" r="AS584">
        <v>0</v>
      </c>
      <c s="6" r="AT584">
        <v>0</v>
      </c>
      <c s="6" r="AU584">
        <v>0</v>
      </c>
      <c s="6" r="AV584">
        <v>0</v>
      </c>
      <c s="6" r="AW584">
        <v>0</v>
      </c>
      <c s="6" r="AX584">
        <v>0</v>
      </c>
      <c s="6" r="AY584">
        <v>0</v>
      </c>
      <c s="6" r="AZ584">
        <v>0</v>
      </c>
      <c s="6" r="BA584">
        <v>0</v>
      </c>
      <c s="6" r="BB584">
        <v>0</v>
      </c>
      <c s="6" r="BC584">
        <v>0</v>
      </c>
      <c s="6" r="BD584">
        <v>0</v>
      </c>
      <c s="6" r="BE584">
        <v>0</v>
      </c>
      <c s="6" r="BF584">
        <v>0</v>
      </c>
      <c s="6" r="BG584">
        <v>0</v>
      </c>
      <c s="6" r="BH584">
        <v>0</v>
      </c>
      <c s="6" r="BI584">
        <v>0</v>
      </c>
      <c s="6" r="BJ584">
        <v>0</v>
      </c>
      <c s="6" r="BK584">
        <v>0</v>
      </c>
      <c s="6" r="BL584">
        <v>0</v>
      </c>
      <c s="6" r="BM584">
        <v>0</v>
      </c>
      <c s="6" r="BN584">
        <v>0</v>
      </c>
      <c s="6" r="BO584">
        <v>0</v>
      </c>
      <c s="6" r="BP584">
        <v>0</v>
      </c>
      <c s="6" r="BQ584">
        <v>0</v>
      </c>
      <c t="str" s="6" r="BR584">
        <f>HYPERLINK("http://www.d20pfsrd.com/magic/all-spells/u/undetectable-alignment","Undetectable Alignment")</f>
        <v>Undetectable Alignment</v>
      </c>
      <c s="6" r="BS584">
        <v>585</v>
      </c>
      <c t="s" s="6" r="BT584">
        <v>92</v>
      </c>
      <c s="6" r="BY584">
        <v>0</v>
      </c>
    </row>
    <row customHeight="1" r="585" ht="14.25">
      <c t="s" s="6" r="A585">
        <v>4609</v>
      </c>
      <c t="s" s="6" r="B585">
        <v>493</v>
      </c>
      <c t="s" s="6" r="D585">
        <v>55</v>
      </c>
      <c t="s" s="6" r="E585">
        <v>362</v>
      </c>
      <c t="s" s="6" r="F585">
        <v>379</v>
      </c>
      <c t="s" s="6" r="G585">
        <v>4610</v>
      </c>
      <c s="6" r="H585">
        <v>1</v>
      </c>
      <c t="s" s="6" r="I585">
        <v>120</v>
      </c>
      <c t="s" s="6" r="J585">
        <v>2188</v>
      </c>
      <c t="s" s="6" r="M585">
        <v>109</v>
      </c>
      <c s="6" r="N585">
        <v>0</v>
      </c>
      <c s="6" r="O585">
        <v>0</v>
      </c>
      <c t="s" s="6" r="P585">
        <v>141</v>
      </c>
      <c t="s" s="6" r="Q585">
        <v>141</v>
      </c>
      <c t="s" s="6" r="R585">
        <v>4611</v>
      </c>
      <c t="s" s="6" r="S585">
        <v>4612</v>
      </c>
      <c t="s" s="6" r="T585">
        <v>90</v>
      </c>
      <c t="s" s="6" r="U585">
        <v>4613</v>
      </c>
      <c s="6" r="V585">
        <v>1</v>
      </c>
      <c s="6" r="W585">
        <v>1</v>
      </c>
      <c s="6" r="X585">
        <v>1</v>
      </c>
      <c s="6" r="Y585">
        <v>0</v>
      </c>
      <c s="6" r="Z585">
        <v>0</v>
      </c>
      <c t="s" s="6" r="AA585">
        <v>92</v>
      </c>
      <c t="s" s="6" r="AB585">
        <v>92</v>
      </c>
      <c s="6" r="AC585">
        <v>5</v>
      </c>
      <c s="6" r="AD585">
        <v>5</v>
      </c>
      <c t="s" s="6" r="AE585">
        <v>92</v>
      </c>
      <c t="s" s="6" r="AF585">
        <v>92</v>
      </c>
      <c t="s" s="6" r="AG585">
        <v>92</v>
      </c>
      <c t="s" s="6" r="AH585">
        <v>92</v>
      </c>
      <c t="s" s="6" r="AI585">
        <v>92</v>
      </c>
      <c t="s" s="6" r="AJ585">
        <v>92</v>
      </c>
      <c s="6" r="AK585">
        <v>5</v>
      </c>
      <c s="6" r="AL585">
        <v>5</v>
      </c>
      <c t="s" s="6" r="AM585">
        <v>92</v>
      </c>
      <c t="s" s="6" r="AN585">
        <v>92</v>
      </c>
      <c s="6" r="AP585">
        <v>5</v>
      </c>
      <c t="s" s="6" r="AR585">
        <v>4614</v>
      </c>
      <c s="6" r="AS585">
        <v>0</v>
      </c>
      <c s="6" r="AT585">
        <v>0</v>
      </c>
      <c s="6" r="AU585">
        <v>0</v>
      </c>
      <c s="6" r="AV585">
        <v>0</v>
      </c>
      <c s="6" r="AW585">
        <v>0</v>
      </c>
      <c s="6" r="AX585">
        <v>0</v>
      </c>
      <c s="6" r="AY585">
        <v>0</v>
      </c>
      <c s="6" r="AZ585">
        <v>0</v>
      </c>
      <c s="6" r="BA585">
        <v>0</v>
      </c>
      <c s="6" r="BB585">
        <v>0</v>
      </c>
      <c s="6" r="BC585">
        <v>0</v>
      </c>
      <c s="6" r="BD585">
        <v>1</v>
      </c>
      <c s="6" r="BE585">
        <v>0</v>
      </c>
      <c s="6" r="BF585">
        <v>0</v>
      </c>
      <c s="6" r="BG585">
        <v>0</v>
      </c>
      <c s="6" r="BH585">
        <v>0</v>
      </c>
      <c s="6" r="BI585">
        <v>0</v>
      </c>
      <c s="6" r="BJ585">
        <v>0</v>
      </c>
      <c s="6" r="BK585">
        <v>0</v>
      </c>
      <c s="6" r="BL585">
        <v>0</v>
      </c>
      <c s="6" r="BM585">
        <v>0</v>
      </c>
      <c s="6" r="BN585">
        <v>0</v>
      </c>
      <c s="6" r="BO585">
        <v>0</v>
      </c>
      <c s="6" r="BP585">
        <v>0</v>
      </c>
      <c s="6" r="BQ585">
        <v>0</v>
      </c>
      <c t="str" s="6" r="BR585">
        <f>HYPERLINK("http://www.d20pfsrd.com/magic/all-spells/u/unhallow","Unhallow")</f>
        <v>Unhallow</v>
      </c>
      <c s="6" r="BS585">
        <v>586</v>
      </c>
      <c s="6" r="BT585">
        <v>1000</v>
      </c>
      <c s="6" r="BY585">
        <v>0</v>
      </c>
    </row>
    <row customHeight="1" r="586" ht="14.25">
      <c t="s" s="6" r="A586">
        <v>4615</v>
      </c>
      <c t="s" s="6" r="B586">
        <v>162</v>
      </c>
      <c t="s" s="6" r="D586">
        <v>55</v>
      </c>
      <c t="s" s="6" r="E586">
        <v>802</v>
      </c>
      <c t="s" s="6" r="F586">
        <v>81</v>
      </c>
      <c t="s" s="6" r="G586">
        <v>803</v>
      </c>
      <c s="6" r="H586">
        <v>1</v>
      </c>
      <c t="s" s="6" r="I586">
        <v>804</v>
      </c>
      <c t="s" s="6" r="L586">
        <v>805</v>
      </c>
      <c t="s" s="6" r="M586">
        <v>99</v>
      </c>
      <c s="6" r="N586">
        <v>1</v>
      </c>
      <c s="6" r="O586">
        <v>0</v>
      </c>
      <c t="s" s="6" r="P586">
        <v>141</v>
      </c>
      <c t="s" s="6" r="Q586">
        <v>123</v>
      </c>
      <c t="s" s="6" r="R586">
        <v>4616</v>
      </c>
      <c t="s" s="6" r="S586">
        <v>4617</v>
      </c>
      <c t="s" s="6" r="T586">
        <v>90</v>
      </c>
      <c t="s" s="6" r="U586">
        <v>4618</v>
      </c>
      <c s="6" r="V586">
        <v>1</v>
      </c>
      <c s="6" r="W586">
        <v>1</v>
      </c>
      <c s="6" r="X586">
        <v>0</v>
      </c>
      <c s="6" r="Y586">
        <v>1</v>
      </c>
      <c s="6" r="Z586">
        <v>0</v>
      </c>
      <c t="s" s="6" r="AA586">
        <v>92</v>
      </c>
      <c t="s" s="6" r="AB586">
        <v>92</v>
      </c>
      <c s="6" r="AC586">
        <v>8</v>
      </c>
      <c t="s" s="6" r="AD586">
        <v>92</v>
      </c>
      <c t="s" s="6" r="AE586">
        <v>92</v>
      </c>
      <c t="s" s="6" r="AF586">
        <v>92</v>
      </c>
      <c t="s" s="6" r="AG586">
        <v>92</v>
      </c>
      <c t="s" s="6" r="AH586">
        <v>92</v>
      </c>
      <c t="s" s="6" r="AI586">
        <v>92</v>
      </c>
      <c t="s" s="6" r="AJ586">
        <v>92</v>
      </c>
      <c t="s" s="6" r="AK586">
        <v>92</v>
      </c>
      <c s="6" r="AL586">
        <v>8</v>
      </c>
      <c t="s" s="6" r="AM586">
        <v>92</v>
      </c>
      <c t="s" s="6" r="AN586">
        <v>92</v>
      </c>
      <c s="6" r="AP586">
        <v>8</v>
      </c>
      <c t="s" s="6" r="AQ586">
        <v>513</v>
      </c>
      <c t="s" s="6" r="AR586">
        <v>4619</v>
      </c>
      <c s="6" r="AS586">
        <v>0</v>
      </c>
      <c s="6" r="AT586">
        <v>0</v>
      </c>
      <c s="6" r="AU586">
        <v>0</v>
      </c>
      <c s="6" r="AV586">
        <v>0</v>
      </c>
      <c s="6" r="AW586">
        <v>0</v>
      </c>
      <c s="6" r="AX586">
        <v>0</v>
      </c>
      <c s="6" r="AY586">
        <v>0</v>
      </c>
      <c s="6" r="AZ586">
        <v>0</v>
      </c>
      <c s="6" r="BA586">
        <v>0</v>
      </c>
      <c s="6" r="BB586">
        <v>0</v>
      </c>
      <c s="6" r="BC586">
        <v>0</v>
      </c>
      <c s="6" r="BD586">
        <v>1</v>
      </c>
      <c s="6" r="BE586">
        <v>0</v>
      </c>
      <c s="6" r="BF586">
        <v>0</v>
      </c>
      <c s="6" r="BG586">
        <v>0</v>
      </c>
      <c s="6" r="BH586">
        <v>0</v>
      </c>
      <c s="6" r="BI586">
        <v>0</v>
      </c>
      <c s="6" r="BJ586">
        <v>0</v>
      </c>
      <c s="6" r="BK586">
        <v>0</v>
      </c>
      <c s="6" r="BL586">
        <v>0</v>
      </c>
      <c s="6" r="BM586">
        <v>0</v>
      </c>
      <c s="6" r="BN586">
        <v>0</v>
      </c>
      <c s="6" r="BO586">
        <v>0</v>
      </c>
      <c s="6" r="BP586">
        <v>0</v>
      </c>
      <c s="6" r="BQ586">
        <v>0</v>
      </c>
      <c t="str" s="6" r="BR586">
        <f>HYPERLINK("http://www.d20pfsrd.com/magic/all-spells/u/unholy-aura","Unholy Aura")</f>
        <v>Unholy Aura</v>
      </c>
      <c s="6" r="BS586">
        <v>587</v>
      </c>
      <c s="6" r="BT586">
        <v>500</v>
      </c>
      <c t="s" s="6" r="BU586">
        <v>697</v>
      </c>
      <c s="6" r="BY586">
        <v>0</v>
      </c>
    </row>
    <row customHeight="1" r="587" ht="14.25">
      <c t="s" s="6" r="A587">
        <v>4620</v>
      </c>
      <c t="s" s="6" r="B587">
        <v>493</v>
      </c>
      <c t="s" s="6" r="D587">
        <v>55</v>
      </c>
      <c t="s" s="6" r="E587">
        <v>719</v>
      </c>
      <c t="s" s="6" r="F587">
        <v>81</v>
      </c>
      <c t="s" s="6" r="G587">
        <v>106</v>
      </c>
      <c s="6" r="H587">
        <v>0</v>
      </c>
      <c t="s" s="6" r="I587">
        <v>97</v>
      </c>
      <c t="s" s="6" r="J587">
        <v>482</v>
      </c>
      <c t="s" s="6" r="M587">
        <v>4621</v>
      </c>
      <c s="6" r="N587">
        <v>0</v>
      </c>
      <c s="6" r="O587">
        <v>0</v>
      </c>
      <c t="s" s="6" r="P587">
        <v>296</v>
      </c>
      <c t="s" s="6" r="Q587">
        <v>188</v>
      </c>
      <c t="s" s="6" r="R587">
        <v>4622</v>
      </c>
      <c t="s" s="6" r="S587">
        <v>4623</v>
      </c>
      <c t="s" s="6" r="T587">
        <v>90</v>
      </c>
      <c t="s" s="6" r="U587">
        <v>4624</v>
      </c>
      <c s="6" r="V587">
        <v>1</v>
      </c>
      <c s="6" r="W587">
        <v>1</v>
      </c>
      <c s="6" r="X587">
        <v>0</v>
      </c>
      <c s="6" r="Y587">
        <v>0</v>
      </c>
      <c s="6" r="Z587">
        <v>0</v>
      </c>
      <c t="s" s="6" r="AA587">
        <v>92</v>
      </c>
      <c t="s" s="6" r="AB587">
        <v>92</v>
      </c>
      <c s="6" r="AC587">
        <v>4</v>
      </c>
      <c t="s" s="6" r="AD587">
        <v>92</v>
      </c>
      <c t="s" s="6" r="AE587">
        <v>92</v>
      </c>
      <c t="s" s="6" r="AF587">
        <v>92</v>
      </c>
      <c t="s" s="6" r="AG587">
        <v>92</v>
      </c>
      <c t="s" s="6" r="AH587">
        <v>92</v>
      </c>
      <c t="s" s="6" r="AI587">
        <v>92</v>
      </c>
      <c t="s" s="6" r="AJ587">
        <v>92</v>
      </c>
      <c s="6" r="AK587">
        <v>4</v>
      </c>
      <c s="6" r="AL587">
        <v>4</v>
      </c>
      <c t="s" s="6" r="AM587">
        <v>92</v>
      </c>
      <c t="s" s="6" r="AN587">
        <v>92</v>
      </c>
      <c s="6" r="AP587">
        <v>4</v>
      </c>
      <c t="s" s="6" r="AQ587">
        <v>513</v>
      </c>
      <c t="s" s="6" r="AR587">
        <v>4625</v>
      </c>
      <c s="6" r="AS587">
        <v>0</v>
      </c>
      <c s="6" r="AT587">
        <v>0</v>
      </c>
      <c s="6" r="AU587">
        <v>0</v>
      </c>
      <c s="6" r="AV587">
        <v>0</v>
      </c>
      <c s="6" r="AW587">
        <v>0</v>
      </c>
      <c s="6" r="AX587">
        <v>0</v>
      </c>
      <c s="6" r="AY587">
        <v>0</v>
      </c>
      <c s="6" r="AZ587">
        <v>0</v>
      </c>
      <c s="6" r="BA587">
        <v>0</v>
      </c>
      <c s="6" r="BB587">
        <v>0</v>
      </c>
      <c s="6" r="BC587">
        <v>0</v>
      </c>
      <c s="6" r="BD587">
        <v>1</v>
      </c>
      <c s="6" r="BE587">
        <v>0</v>
      </c>
      <c s="6" r="BF587">
        <v>0</v>
      </c>
      <c s="6" r="BG587">
        <v>0</v>
      </c>
      <c s="6" r="BH587">
        <v>0</v>
      </c>
      <c s="6" r="BI587">
        <v>0</v>
      </c>
      <c s="6" r="BJ587">
        <v>0</v>
      </c>
      <c s="6" r="BK587">
        <v>0</v>
      </c>
      <c s="6" r="BL587">
        <v>0</v>
      </c>
      <c s="6" r="BM587">
        <v>0</v>
      </c>
      <c s="6" r="BN587">
        <v>0</v>
      </c>
      <c s="6" r="BO587">
        <v>0</v>
      </c>
      <c s="6" r="BP587">
        <v>0</v>
      </c>
      <c s="6" r="BQ587">
        <v>0</v>
      </c>
      <c t="str" s="6" r="BR587">
        <f>HYPERLINK("http://www.d20pfsrd.com/magic/all-spells/u/unholy-blight","Unholy Blight")</f>
        <v>Unholy Blight</v>
      </c>
      <c s="6" r="BS587">
        <v>588</v>
      </c>
      <c t="s" s="6" r="BT587">
        <v>92</v>
      </c>
      <c t="s" s="6" r="BW587">
        <v>4626</v>
      </c>
      <c s="6" r="BY587">
        <v>1</v>
      </c>
    </row>
    <row customHeight="1" r="588" ht="14.25">
      <c t="s" s="6" r="A588">
        <v>4627</v>
      </c>
      <c t="s" s="6" r="B588">
        <v>78</v>
      </c>
      <c t="s" s="6" r="C588">
        <v>79</v>
      </c>
      <c t="s" s="6" r="E588">
        <v>4628</v>
      </c>
      <c t="s" s="6" r="F588">
        <v>81</v>
      </c>
      <c t="s" s="6" r="G588">
        <v>4629</v>
      </c>
      <c s="6" r="H588">
        <v>0</v>
      </c>
      <c t="s" s="6" r="I588">
        <v>107</v>
      </c>
      <c t="s" s="6" r="K588">
        <v>4630</v>
      </c>
      <c t="s" s="6" r="M588">
        <v>209</v>
      </c>
      <c s="6" r="N588">
        <v>0</v>
      </c>
      <c s="6" r="O588">
        <v>0</v>
      </c>
      <c t="s" s="6" r="P588">
        <v>86</v>
      </c>
      <c t="s" s="6" r="Q588">
        <v>87</v>
      </c>
      <c t="s" s="6" r="R588">
        <v>4631</v>
      </c>
      <c t="s" s="6" r="S588">
        <v>4632</v>
      </c>
      <c t="s" s="6" r="T588">
        <v>90</v>
      </c>
      <c t="s" s="6" r="U588">
        <v>4633</v>
      </c>
      <c s="6" r="V588">
        <v>1</v>
      </c>
      <c s="6" r="W588">
        <v>1</v>
      </c>
      <c s="6" r="X588">
        <v>1</v>
      </c>
      <c s="6" r="Y588">
        <v>0</v>
      </c>
      <c s="6" r="Z588">
        <v>0</v>
      </c>
      <c s="6" r="AA588">
        <v>1</v>
      </c>
      <c s="6" r="AB588">
        <v>1</v>
      </c>
      <c t="s" s="6" r="AC588">
        <v>92</v>
      </c>
      <c t="s" s="6" r="AD588">
        <v>92</v>
      </c>
      <c t="s" s="6" r="AE588">
        <v>92</v>
      </c>
      <c s="6" r="AF588">
        <v>1</v>
      </c>
      <c t="s" s="6" r="AG588">
        <v>92</v>
      </c>
      <c t="s" s="6" r="AH588">
        <v>92</v>
      </c>
      <c s="6" r="AI588">
        <v>1</v>
      </c>
      <c s="6" r="AJ588">
        <v>1</v>
      </c>
      <c t="s" s="6" r="AK588">
        <v>92</v>
      </c>
      <c t="s" s="6" r="AL588">
        <v>92</v>
      </c>
      <c t="s" s="6" r="AM588">
        <v>92</v>
      </c>
      <c s="6" r="AN588">
        <v>1</v>
      </c>
      <c s="6" r="AP588">
        <v>1</v>
      </c>
      <c t="s" s="6" r="AR588">
        <v>4634</v>
      </c>
      <c s="6" r="AS588">
        <v>0</v>
      </c>
      <c s="6" r="AT588">
        <v>0</v>
      </c>
      <c s="6" r="AU588">
        <v>0</v>
      </c>
      <c s="6" r="AV588">
        <v>0</v>
      </c>
      <c s="6" r="AW588">
        <v>0</v>
      </c>
      <c s="6" r="AX588">
        <v>0</v>
      </c>
      <c s="6" r="AY588">
        <v>0</v>
      </c>
      <c s="6" r="AZ588">
        <v>0</v>
      </c>
      <c s="6" r="BA588">
        <v>0</v>
      </c>
      <c s="6" r="BB588">
        <v>0</v>
      </c>
      <c s="6" r="BC588">
        <v>0</v>
      </c>
      <c s="6" r="BD588">
        <v>0</v>
      </c>
      <c s="6" r="BE588">
        <v>0</v>
      </c>
      <c s="6" r="BF588">
        <v>0</v>
      </c>
      <c s="6" r="BG588">
        <v>0</v>
      </c>
      <c s="6" r="BH588">
        <v>0</v>
      </c>
      <c s="6" r="BI588">
        <v>0</v>
      </c>
      <c s="6" r="BJ588">
        <v>0</v>
      </c>
      <c s="6" r="BK588">
        <v>0</v>
      </c>
      <c s="6" r="BL588">
        <v>0</v>
      </c>
      <c s="6" r="BM588">
        <v>0</v>
      </c>
      <c s="6" r="BN588">
        <v>0</v>
      </c>
      <c s="6" r="BO588">
        <v>0</v>
      </c>
      <c s="6" r="BP588">
        <v>0</v>
      </c>
      <c s="6" r="BQ588">
        <v>0</v>
      </c>
      <c t="str" s="6" r="BR588">
        <f>HYPERLINK("http://www.d20pfsrd.com/magic/all-spells/u/unseen-servant","Unseen Servant")</f>
        <v>Unseen Servant</v>
      </c>
      <c s="6" r="BS588">
        <v>589</v>
      </c>
      <c t="s" s="6" r="BT588">
        <v>92</v>
      </c>
      <c t="s" s="6" r="BU588">
        <v>574</v>
      </c>
      <c s="6" r="BY588">
        <v>0</v>
      </c>
    </row>
    <row customHeight="1" r="589" ht="14.25">
      <c t="s" s="6" r="A589">
        <v>4635</v>
      </c>
      <c t="s" s="6" r="B589">
        <v>227</v>
      </c>
      <c t="s" s="6" r="E589">
        <v>4636</v>
      </c>
      <c t="s" s="6" r="F589">
        <v>81</v>
      </c>
      <c t="s" s="6" r="G589">
        <v>106</v>
      </c>
      <c s="6" r="H589">
        <v>0</v>
      </c>
      <c t="s" s="6" r="I589">
        <v>120</v>
      </c>
      <c t="s" s="6" r="L589">
        <v>121</v>
      </c>
      <c t="s" s="6" r="M589">
        <v>4637</v>
      </c>
      <c s="6" r="N589">
        <v>0</v>
      </c>
      <c s="6" r="O589">
        <v>0</v>
      </c>
      <c t="s" s="6" r="P589">
        <v>86</v>
      </c>
      <c t="s" s="6" r="Q589">
        <v>188</v>
      </c>
      <c t="s" s="6" r="R589">
        <v>4638</v>
      </c>
      <c t="s" s="6" r="S589">
        <v>4639</v>
      </c>
      <c t="s" s="6" r="T589">
        <v>90</v>
      </c>
      <c t="s" s="6" r="U589">
        <v>4640</v>
      </c>
      <c s="6" r="V589">
        <v>1</v>
      </c>
      <c s="6" r="W589">
        <v>1</v>
      </c>
      <c s="6" r="X589">
        <v>0</v>
      </c>
      <c s="6" r="Y589">
        <v>0</v>
      </c>
      <c s="6" r="Z589">
        <v>0</v>
      </c>
      <c s="6" r="AA589">
        <v>3</v>
      </c>
      <c s="6" r="AB589">
        <v>3</v>
      </c>
      <c t="s" s="6" r="AC589">
        <v>92</v>
      </c>
      <c t="s" s="6" r="AD589">
        <v>92</v>
      </c>
      <c t="s" s="6" r="AE589">
        <v>92</v>
      </c>
      <c t="s" s="6" r="AF589">
        <v>92</v>
      </c>
      <c t="s" s="6" r="AG589">
        <v>92</v>
      </c>
      <c t="s" s="6" r="AH589">
        <v>92</v>
      </c>
      <c t="s" s="6" r="AI589">
        <v>92</v>
      </c>
      <c s="6" r="AJ589">
        <v>3</v>
      </c>
      <c t="s" s="6" r="AK589">
        <v>92</v>
      </c>
      <c t="s" s="6" r="AL589">
        <v>92</v>
      </c>
      <c s="6" r="AM589">
        <v>3</v>
      </c>
      <c s="6" r="AN589">
        <v>3</v>
      </c>
      <c s="6" r="AP589">
        <v>3</v>
      </c>
      <c t="s" s="6" r="AQ589">
        <v>4641</v>
      </c>
      <c t="s" s="6" r="AR589">
        <v>4642</v>
      </c>
      <c s="6" r="AS589">
        <v>0</v>
      </c>
      <c s="6" r="AT589">
        <v>0</v>
      </c>
      <c s="6" r="AU589">
        <v>0</v>
      </c>
      <c s="6" r="AV589">
        <v>0</v>
      </c>
      <c s="6" r="AW589">
        <v>0</v>
      </c>
      <c s="6" r="AX589">
        <v>0</v>
      </c>
      <c s="6" r="AY589">
        <v>0</v>
      </c>
      <c s="6" r="AZ589">
        <v>0</v>
      </c>
      <c s="6" r="BA589">
        <v>0</v>
      </c>
      <c s="6" r="BB589">
        <v>0</v>
      </c>
      <c s="6" r="BC589">
        <v>0</v>
      </c>
      <c s="6" r="BD589">
        <v>0</v>
      </c>
      <c s="6" r="BE589">
        <v>0</v>
      </c>
      <c s="6" r="BF589">
        <v>0</v>
      </c>
      <c s="6" r="BG589">
        <v>0</v>
      </c>
      <c s="6" r="BH589">
        <v>0</v>
      </c>
      <c s="6" r="BI589">
        <v>0</v>
      </c>
      <c s="6" r="BJ589">
        <v>0</v>
      </c>
      <c s="6" r="BK589">
        <v>0</v>
      </c>
      <c s="6" r="BL589">
        <v>0</v>
      </c>
      <c s="6" r="BM589">
        <v>0</v>
      </c>
      <c s="6" r="BN589">
        <v>0</v>
      </c>
      <c s="6" r="BO589">
        <v>0</v>
      </c>
      <c s="6" r="BP589">
        <v>0</v>
      </c>
      <c s="6" r="BQ589">
        <v>0</v>
      </c>
      <c t="str" s="6" r="BR589">
        <f>HYPERLINK("http://www.d20pfsrd.com/magic/all-spells/v/vampiric-touch","Vampiric touch")</f>
        <v>Vampiric touch</v>
      </c>
      <c s="6" r="BS589">
        <v>590</v>
      </c>
      <c t="s" s="6" r="BT589">
        <v>92</v>
      </c>
      <c t="s" s="6" r="BU589">
        <v>236</v>
      </c>
      <c t="s" s="6" r="BW589">
        <v>4643</v>
      </c>
      <c s="6" r="BY589">
        <v>1</v>
      </c>
    </row>
    <row customHeight="1" r="590" ht="14.25">
      <c t="s" s="6" r="A590">
        <v>4644</v>
      </c>
      <c t="s" s="6" r="B590">
        <v>579</v>
      </c>
      <c t="s" s="6" r="C590">
        <v>580</v>
      </c>
      <c t="s" s="6" r="E590">
        <v>3142</v>
      </c>
      <c t="s" s="6" r="F590">
        <v>81</v>
      </c>
      <c t="s" s="6" r="G590">
        <v>106</v>
      </c>
      <c s="6" r="H590">
        <v>0</v>
      </c>
      <c t="s" s="6" r="I590">
        <v>83</v>
      </c>
      <c t="s" s="6" r="L590">
        <v>2241</v>
      </c>
      <c t="s" s="6" r="M590">
        <v>4645</v>
      </c>
      <c s="6" r="N590">
        <v>1</v>
      </c>
      <c s="6" r="O590">
        <v>0</v>
      </c>
      <c t="s" s="6" r="P590">
        <v>474</v>
      </c>
      <c t="s" s="6" r="Q590">
        <v>3831</v>
      </c>
      <c t="s" s="6" r="R590">
        <v>4646</v>
      </c>
      <c t="s" s="6" r="S590">
        <v>4647</v>
      </c>
      <c t="s" s="6" r="T590">
        <v>90</v>
      </c>
      <c t="s" s="6" r="U590">
        <v>4648</v>
      </c>
      <c s="6" r="V590">
        <v>1</v>
      </c>
      <c s="6" r="W590">
        <v>1</v>
      </c>
      <c s="6" r="X590">
        <v>0</v>
      </c>
      <c s="6" r="Y590">
        <v>0</v>
      </c>
      <c s="6" r="Z590">
        <v>0</v>
      </c>
      <c s="6" r="AA590">
        <v>6</v>
      </c>
      <c s="6" r="AB590">
        <v>6</v>
      </c>
      <c t="s" s="6" r="AC590">
        <v>92</v>
      </c>
      <c t="s" s="6" r="AD590">
        <v>92</v>
      </c>
      <c t="s" s="6" r="AE590">
        <v>92</v>
      </c>
      <c s="6" r="AF590">
        <v>6</v>
      </c>
      <c t="s" s="6" r="AG590">
        <v>92</v>
      </c>
      <c t="s" s="6" r="AH590">
        <v>92</v>
      </c>
      <c t="s" s="6" r="AI590">
        <v>92</v>
      </c>
      <c t="s" s="6" r="AJ590">
        <v>92</v>
      </c>
      <c t="s" s="6" r="AK590">
        <v>92</v>
      </c>
      <c t="s" s="6" r="AL590">
        <v>92</v>
      </c>
      <c t="s" s="6" r="AM590">
        <v>92</v>
      </c>
      <c t="s" s="6" r="AN590">
        <v>92</v>
      </c>
      <c s="6" r="AP590">
        <v>6</v>
      </c>
      <c t="s" s="6" r="AQ590">
        <v>2439</v>
      </c>
      <c t="s" s="6" r="AR590">
        <v>4649</v>
      </c>
      <c s="6" r="AS590">
        <v>0</v>
      </c>
      <c s="6" r="AT590">
        <v>0</v>
      </c>
      <c s="6" r="AU590">
        <v>0</v>
      </c>
      <c s="6" r="AV590">
        <v>0</v>
      </c>
      <c s="6" r="AW590">
        <v>0</v>
      </c>
      <c s="6" r="AX590">
        <v>0</v>
      </c>
      <c s="6" r="AY590">
        <v>0</v>
      </c>
      <c s="6" r="AZ590">
        <v>0</v>
      </c>
      <c s="6" r="BA590">
        <v>0</v>
      </c>
      <c s="6" r="BB590">
        <v>0</v>
      </c>
      <c s="6" r="BC590">
        <v>0</v>
      </c>
      <c s="6" r="BD590">
        <v>0</v>
      </c>
      <c s="6" r="BE590">
        <v>0</v>
      </c>
      <c s="6" r="BF590">
        <v>0</v>
      </c>
      <c s="6" r="BG590">
        <v>0</v>
      </c>
      <c s="6" r="BH590">
        <v>0</v>
      </c>
      <c s="6" r="BI590">
        <v>0</v>
      </c>
      <c s="6" r="BJ590">
        <v>0</v>
      </c>
      <c s="6" r="BK590">
        <v>0</v>
      </c>
      <c s="6" r="BL590">
        <v>0</v>
      </c>
      <c s="6" r="BM590">
        <v>0</v>
      </c>
      <c s="6" r="BN590">
        <v>0</v>
      </c>
      <c s="6" r="BO590">
        <v>0</v>
      </c>
      <c s="6" r="BP590">
        <v>0</v>
      </c>
      <c s="6" r="BQ590">
        <v>0</v>
      </c>
      <c t="str" s="6" r="BR590">
        <f>HYPERLINK("http://www.d20pfsrd.com/magic/all-spells/v/veil","Veil")</f>
        <v>Veil</v>
      </c>
      <c s="6" r="BS590">
        <v>592</v>
      </c>
      <c t="s" s="6" r="BT590">
        <v>92</v>
      </c>
      <c t="s" s="6" r="BU590">
        <v>488</v>
      </c>
      <c s="6" r="BY590">
        <v>0</v>
      </c>
    </row>
    <row customHeight="1" r="591" ht="14.25">
      <c t="s" s="6" r="A591">
        <v>4650</v>
      </c>
      <c t="s" s="6" r="B591">
        <v>579</v>
      </c>
      <c t="s" s="6" r="C591">
        <v>2047</v>
      </c>
      <c t="s" s="6" r="E591">
        <v>4651</v>
      </c>
      <c t="s" s="6" r="F591">
        <v>81</v>
      </c>
      <c t="s" s="6" r="G591">
        <v>4652</v>
      </c>
      <c s="6" r="H591">
        <v>0</v>
      </c>
      <c t="s" s="6" r="I591">
        <v>107</v>
      </c>
      <c t="s" s="6" r="K591">
        <v>4653</v>
      </c>
      <c t="s" s="6" r="M591">
        <v>122</v>
      </c>
      <c s="6" r="N591">
        <v>1</v>
      </c>
      <c s="6" r="O591">
        <v>0</v>
      </c>
      <c t="s" s="6" r="P591">
        <v>2197</v>
      </c>
      <c t="s" s="6" r="Q591">
        <v>87</v>
      </c>
      <c t="s" s="6" r="R591">
        <v>4654</v>
      </c>
      <c t="s" s="6" r="S591">
        <v>4655</v>
      </c>
      <c t="s" s="6" r="T591">
        <v>90</v>
      </c>
      <c t="s" s="6" r="U591">
        <v>4656</v>
      </c>
      <c s="6" r="V591">
        <v>1</v>
      </c>
      <c s="6" r="W591">
        <v>0</v>
      </c>
      <c s="6" r="X591">
        <v>1</v>
      </c>
      <c s="6" r="Y591">
        <v>1</v>
      </c>
      <c s="6" r="Z591">
        <v>0</v>
      </c>
      <c s="6" r="AA591">
        <v>1</v>
      </c>
      <c s="6" r="AB591">
        <v>1</v>
      </c>
      <c t="s" s="6" r="AC591">
        <v>92</v>
      </c>
      <c t="s" s="6" r="AD591">
        <v>92</v>
      </c>
      <c t="s" s="6" r="AE591">
        <v>92</v>
      </c>
      <c s="6" r="AF591">
        <v>1</v>
      </c>
      <c t="s" s="6" r="AG591">
        <v>92</v>
      </c>
      <c t="s" s="6" r="AH591">
        <v>92</v>
      </c>
      <c s="6" r="AI591">
        <v>1</v>
      </c>
      <c t="s" s="6" r="AJ591">
        <v>92</v>
      </c>
      <c t="s" s="6" r="AK591">
        <v>92</v>
      </c>
      <c t="s" s="6" r="AL591">
        <v>92</v>
      </c>
      <c t="s" s="6" r="AM591">
        <v>92</v>
      </c>
      <c t="s" s="6" r="AN591">
        <v>92</v>
      </c>
      <c s="6" r="AP591">
        <v>1</v>
      </c>
      <c t="s" s="6" r="AR591">
        <v>4657</v>
      </c>
      <c s="6" r="AS591">
        <v>0</v>
      </c>
      <c s="6" r="AT591">
        <v>0</v>
      </c>
      <c s="6" r="AU591">
        <v>0</v>
      </c>
      <c s="6" r="AV591">
        <v>0</v>
      </c>
      <c s="6" r="AW591">
        <v>0</v>
      </c>
      <c s="6" r="AX591">
        <v>0</v>
      </c>
      <c s="6" r="AY591">
        <v>0</v>
      </c>
      <c s="6" r="AZ591">
        <v>0</v>
      </c>
      <c s="6" r="BA591">
        <v>0</v>
      </c>
      <c s="6" r="BB591">
        <v>0</v>
      </c>
      <c s="6" r="BC591">
        <v>0</v>
      </c>
      <c s="6" r="BD591">
        <v>0</v>
      </c>
      <c s="6" r="BE591">
        <v>0</v>
      </c>
      <c s="6" r="BF591">
        <v>0</v>
      </c>
      <c s="6" r="BG591">
        <v>0</v>
      </c>
      <c s="6" r="BH591">
        <v>0</v>
      </c>
      <c s="6" r="BI591">
        <v>0</v>
      </c>
      <c s="6" r="BJ591">
        <v>0</v>
      </c>
      <c s="6" r="BK591">
        <v>0</v>
      </c>
      <c s="6" r="BL591">
        <v>0</v>
      </c>
      <c s="6" r="BM591">
        <v>0</v>
      </c>
      <c s="6" r="BN591">
        <v>0</v>
      </c>
      <c s="6" r="BO591">
        <v>0</v>
      </c>
      <c s="6" r="BP591">
        <v>0</v>
      </c>
      <c s="6" r="BQ591">
        <v>0</v>
      </c>
      <c t="str" s="6" r="BR591">
        <f>HYPERLINK("http://www.d20pfsrd.com/magic/all-spells/v/ventriloquism","Ventriloquism")</f>
        <v>Ventriloquism</v>
      </c>
      <c s="6" r="BS591">
        <v>593</v>
      </c>
      <c t="s" s="6" r="BT591">
        <v>92</v>
      </c>
      <c t="s" s="6" r="BU591">
        <v>3958</v>
      </c>
      <c t="s" s="6" r="BV591">
        <v>4658</v>
      </c>
      <c s="6" r="BY591">
        <v>0</v>
      </c>
    </row>
    <row customHeight="1" r="592" ht="14.25">
      <c t="s" s="6" r="A592">
        <v>4659</v>
      </c>
      <c t="s" s="6" r="B592">
        <v>131</v>
      </c>
      <c t="s" s="6" r="E592">
        <v>1035</v>
      </c>
      <c t="s" s="6" r="F592">
        <v>81</v>
      </c>
      <c t="s" s="6" r="G592">
        <v>119</v>
      </c>
      <c s="6" r="H592">
        <v>0</v>
      </c>
      <c t="s" s="6" r="I592">
        <v>120</v>
      </c>
      <c t="s" s="6" r="L592">
        <v>420</v>
      </c>
      <c t="s" s="6" r="M592">
        <v>4660</v>
      </c>
      <c s="6" r="N592">
        <v>0</v>
      </c>
      <c s="6" r="O592">
        <v>0</v>
      </c>
      <c t="s" s="6" r="P592">
        <v>86</v>
      </c>
      <c t="s" s="6" r="Q592">
        <v>123</v>
      </c>
      <c t="s" s="6" r="R592">
        <v>4661</v>
      </c>
      <c t="s" s="6" r="S592">
        <v>4662</v>
      </c>
      <c t="s" s="6" r="T592">
        <v>90</v>
      </c>
      <c t="s" s="6" r="U592">
        <v>4663</v>
      </c>
      <c s="6" r="V592">
        <v>1</v>
      </c>
      <c s="6" r="W592">
        <v>1</v>
      </c>
      <c s="6" r="X592">
        <v>0</v>
      </c>
      <c s="6" r="Y592">
        <v>0</v>
      </c>
      <c s="6" r="Z592">
        <v>1</v>
      </c>
      <c t="s" s="6" r="AA592">
        <v>92</v>
      </c>
      <c t="s" s="6" r="AB592">
        <v>92</v>
      </c>
      <c s="6" r="AC592">
        <v>0</v>
      </c>
      <c s="6" r="AD592">
        <v>0</v>
      </c>
      <c t="s" s="6" r="AE592">
        <v>92</v>
      </c>
      <c t="s" s="6" r="AF592">
        <v>92</v>
      </c>
      <c s="6" r="AG592">
        <v>1</v>
      </c>
      <c t="s" s="6" r="AH592">
        <v>92</v>
      </c>
      <c t="s" s="6" r="AI592">
        <v>92</v>
      </c>
      <c t="s" s="6" r="AJ592">
        <v>92</v>
      </c>
      <c s="6" r="AK592">
        <v>0</v>
      </c>
      <c s="6" r="AL592">
        <v>0</v>
      </c>
      <c t="s" s="6" r="AM592">
        <v>92</v>
      </c>
      <c t="s" s="6" r="AN592">
        <v>92</v>
      </c>
      <c s="6" r="AP592">
        <v>0</v>
      </c>
      <c t="s" s="6" r="AR592">
        <v>4664</v>
      </c>
      <c s="6" r="AS592">
        <v>0</v>
      </c>
      <c s="6" r="AT592">
        <v>0</v>
      </c>
      <c s="6" r="AU592">
        <v>0</v>
      </c>
      <c s="6" r="AV592">
        <v>0</v>
      </c>
      <c s="6" r="AW592">
        <v>0</v>
      </c>
      <c s="6" r="AX592">
        <v>0</v>
      </c>
      <c s="6" r="AY592">
        <v>0</v>
      </c>
      <c s="6" r="AZ592">
        <v>0</v>
      </c>
      <c s="6" r="BA592">
        <v>0</v>
      </c>
      <c s="6" r="BB592">
        <v>0</v>
      </c>
      <c s="6" r="BC592">
        <v>0</v>
      </c>
      <c s="6" r="BD592">
        <v>0</v>
      </c>
      <c s="6" r="BE592">
        <v>0</v>
      </c>
      <c s="6" r="BF592">
        <v>0</v>
      </c>
      <c s="6" r="BG592">
        <v>0</v>
      </c>
      <c s="6" r="BH592">
        <v>0</v>
      </c>
      <c s="6" r="BI592">
        <v>0</v>
      </c>
      <c s="6" r="BJ592">
        <v>0</v>
      </c>
      <c s="6" r="BK592">
        <v>0</v>
      </c>
      <c s="6" r="BL592">
        <v>0</v>
      </c>
      <c s="6" r="BM592">
        <v>0</v>
      </c>
      <c s="6" r="BN592">
        <v>0</v>
      </c>
      <c s="6" r="BO592">
        <v>0</v>
      </c>
      <c s="6" r="BP592">
        <v>0</v>
      </c>
      <c s="6" r="BQ592">
        <v>0</v>
      </c>
      <c t="str" s="6" r="BR592">
        <f>HYPERLINK("http://www.d20pfsrd.com/magic/all-spells/v/virtue","Virtue")</f>
        <v>Virtue</v>
      </c>
      <c s="6" r="BS592">
        <v>594</v>
      </c>
      <c t="s" s="6" r="BT592">
        <v>92</v>
      </c>
      <c s="6" r="BY592">
        <v>0</v>
      </c>
    </row>
    <row customHeight="1" r="593" ht="14.25">
      <c t="s" s="6" r="A593">
        <v>4665</v>
      </c>
      <c t="s" s="6" r="B593">
        <v>174</v>
      </c>
      <c t="s" s="6" r="E593">
        <v>344</v>
      </c>
      <c t="s" s="6" r="F593">
        <v>81</v>
      </c>
      <c t="s" s="6" r="G593">
        <v>2621</v>
      </c>
      <c s="6" r="H593">
        <v>1</v>
      </c>
      <c t="s" s="6" r="I593">
        <v>155</v>
      </c>
      <c t="s" s="6" r="L593">
        <v>156</v>
      </c>
      <c t="s" s="6" r="M593">
        <v>141</v>
      </c>
      <c s="6" r="N593">
        <v>0</v>
      </c>
      <c s="6" r="O593">
        <v>0</v>
      </c>
      <c t="s" s="6" r="R593">
        <v>4666</v>
      </c>
      <c t="s" s="6" r="S593">
        <v>4667</v>
      </c>
      <c t="s" s="6" r="T593">
        <v>90</v>
      </c>
      <c t="s" s="6" r="U593">
        <v>4668</v>
      </c>
      <c s="6" r="V593">
        <v>1</v>
      </c>
      <c s="6" r="W593">
        <v>1</v>
      </c>
      <c s="6" r="X593">
        <v>1</v>
      </c>
      <c s="6" r="Y593">
        <v>1</v>
      </c>
      <c s="6" r="Z593">
        <v>0</v>
      </c>
      <c s="6" r="AA593">
        <v>7</v>
      </c>
      <c s="6" r="AB593">
        <v>7</v>
      </c>
      <c t="s" s="6" r="AC593">
        <v>92</v>
      </c>
      <c t="s" s="6" r="AD593">
        <v>92</v>
      </c>
      <c t="s" s="6" r="AE593">
        <v>92</v>
      </c>
      <c t="s" s="6" r="AF593">
        <v>92</v>
      </c>
      <c t="s" s="6" r="AG593">
        <v>92</v>
      </c>
      <c t="s" s="6" r="AH593">
        <v>92</v>
      </c>
      <c t="s" s="6" r="AI593">
        <v>92</v>
      </c>
      <c s="6" r="AJ593">
        <v>7</v>
      </c>
      <c t="s" s="6" r="AK593">
        <v>92</v>
      </c>
      <c t="s" s="6" r="AL593">
        <v>92</v>
      </c>
      <c t="s" s="6" r="AM593">
        <v>92</v>
      </c>
      <c t="s" s="6" r="AN593">
        <v>92</v>
      </c>
      <c s="6" r="AP593">
        <v>7</v>
      </c>
      <c t="s" s="6" r="AR593">
        <v>4669</v>
      </c>
      <c s="6" r="AS593">
        <v>0</v>
      </c>
      <c s="6" r="AT593">
        <v>0</v>
      </c>
      <c s="6" r="AU593">
        <v>0</v>
      </c>
      <c s="6" r="AV593">
        <v>0</v>
      </c>
      <c s="6" r="AW593">
        <v>0</v>
      </c>
      <c s="6" r="AX593">
        <v>0</v>
      </c>
      <c s="6" r="AY593">
        <v>0</v>
      </c>
      <c s="6" r="AZ593">
        <v>0</v>
      </c>
      <c s="6" r="BA593">
        <v>0</v>
      </c>
      <c s="6" r="BB593">
        <v>0</v>
      </c>
      <c s="6" r="BC593">
        <v>0</v>
      </c>
      <c s="6" r="BD593">
        <v>0</v>
      </c>
      <c s="6" r="BE593">
        <v>0</v>
      </c>
      <c s="6" r="BF593">
        <v>0</v>
      </c>
      <c s="6" r="BG593">
        <v>0</v>
      </c>
      <c s="6" r="BH593">
        <v>0</v>
      </c>
      <c s="6" r="BI593">
        <v>0</v>
      </c>
      <c s="6" r="BJ593">
        <v>0</v>
      </c>
      <c s="6" r="BK593">
        <v>0</v>
      </c>
      <c s="6" r="BL593">
        <v>0</v>
      </c>
      <c s="6" r="BM593">
        <v>0</v>
      </c>
      <c s="6" r="BN593">
        <v>0</v>
      </c>
      <c s="6" r="BO593">
        <v>0</v>
      </c>
      <c s="6" r="BP593">
        <v>0</v>
      </c>
      <c s="6" r="BQ593">
        <v>0</v>
      </c>
      <c t="str" s="6" r="BR593">
        <f>HYPERLINK("http://www.d20pfsrd.com/magic/all-spells/v/vision","Vision")</f>
        <v>Vision</v>
      </c>
      <c s="6" r="BS593">
        <v>595</v>
      </c>
      <c s="6" r="BT593">
        <v>250</v>
      </c>
      <c t="s" s="6" r="BU593">
        <v>359</v>
      </c>
      <c t="s" s="6" r="BV593">
        <v>848</v>
      </c>
      <c s="6" r="BY593">
        <v>0</v>
      </c>
    </row>
    <row customHeight="1" r="594" ht="14.25">
      <c t="s" s="6" r="A594">
        <v>4670</v>
      </c>
      <c t="s" s="6" r="B594">
        <v>227</v>
      </c>
      <c t="s" s="6" r="D594">
        <v>4671</v>
      </c>
      <c t="s" s="6" r="E594">
        <v>2334</v>
      </c>
      <c t="s" s="6" r="F594">
        <v>81</v>
      </c>
      <c t="s" s="6" r="G594">
        <v>251</v>
      </c>
      <c s="6" r="H594">
        <v>0</v>
      </c>
      <c t="s" s="6" r="I594">
        <v>107</v>
      </c>
      <c t="s" s="6" r="L594">
        <v>4672</v>
      </c>
      <c t="s" s="6" r="M594">
        <v>109</v>
      </c>
      <c s="6" r="N594">
        <v>0</v>
      </c>
      <c s="6" r="O594">
        <v>0</v>
      </c>
      <c t="s" s="6" r="P594">
        <v>187</v>
      </c>
      <c t="s" s="6" r="Q594">
        <v>188</v>
      </c>
      <c t="s" s="6" r="R594">
        <v>4673</v>
      </c>
      <c t="s" s="6" r="S594">
        <v>4674</v>
      </c>
      <c t="s" s="6" r="T594">
        <v>90</v>
      </c>
      <c t="s" s="6" r="U594">
        <v>4675</v>
      </c>
      <c s="6" r="V594">
        <v>1</v>
      </c>
      <c s="6" r="W594">
        <v>0</v>
      </c>
      <c s="6" r="X594">
        <v>0</v>
      </c>
      <c s="6" r="Y594">
        <v>0</v>
      </c>
      <c s="6" r="Z594">
        <v>0</v>
      </c>
      <c s="6" r="AA594">
        <v>9</v>
      </c>
      <c s="6" r="AB594">
        <v>9</v>
      </c>
      <c t="s" s="6" r="AC594">
        <v>92</v>
      </c>
      <c t="s" s="6" r="AD594">
        <v>92</v>
      </c>
      <c t="s" s="6" r="AE594">
        <v>92</v>
      </c>
      <c t="s" s="6" r="AF594">
        <v>92</v>
      </c>
      <c t="s" s="6" r="AG594">
        <v>92</v>
      </c>
      <c t="s" s="6" r="AH594">
        <v>92</v>
      </c>
      <c t="s" s="6" r="AI594">
        <v>92</v>
      </c>
      <c s="6" r="AJ594">
        <v>9</v>
      </c>
      <c t="s" s="6" r="AK594">
        <v>92</v>
      </c>
      <c t="s" s="6" r="AL594">
        <v>92</v>
      </c>
      <c t="s" s="6" r="AM594">
        <v>92</v>
      </c>
      <c t="s" s="6" r="AN594">
        <v>92</v>
      </c>
      <c s="6" r="AP594">
        <v>9</v>
      </c>
      <c t="s" s="6" r="AQ594">
        <v>1191</v>
      </c>
      <c t="s" s="6" r="AR594">
        <v>4676</v>
      </c>
      <c s="6" r="AS594">
        <v>0</v>
      </c>
      <c s="6" r="AT594">
        <v>0</v>
      </c>
      <c s="6" r="AU594">
        <v>0</v>
      </c>
      <c s="6" r="AV594">
        <v>0</v>
      </c>
      <c s="6" r="AW594">
        <v>0</v>
      </c>
      <c s="6" r="AX594">
        <v>0</v>
      </c>
      <c s="6" r="AY594">
        <v>1</v>
      </c>
      <c s="6" r="AZ594">
        <v>0</v>
      </c>
      <c s="6" r="BA594">
        <v>0</v>
      </c>
      <c s="6" r="BB594">
        <v>0</v>
      </c>
      <c s="6" r="BC594">
        <v>0</v>
      </c>
      <c s="6" r="BD594">
        <v>0</v>
      </c>
      <c s="6" r="BE594">
        <v>0</v>
      </c>
      <c s="6" r="BF594">
        <v>0</v>
      </c>
      <c s="6" r="BG594">
        <v>0</v>
      </c>
      <c s="6" r="BH594">
        <v>0</v>
      </c>
      <c s="6" r="BI594">
        <v>0</v>
      </c>
      <c s="6" r="BJ594">
        <v>0</v>
      </c>
      <c s="6" r="BK594">
        <v>0</v>
      </c>
      <c s="6" r="BL594">
        <v>0</v>
      </c>
      <c s="6" r="BM594">
        <v>0</v>
      </c>
      <c s="6" r="BN594">
        <v>0</v>
      </c>
      <c s="6" r="BO594">
        <v>0</v>
      </c>
      <c s="6" r="BP594">
        <v>1</v>
      </c>
      <c s="6" r="BQ594">
        <v>0</v>
      </c>
      <c t="str" s="6" r="BR594">
        <f>HYPERLINK("http://www.d20pfsrd.com/magic/all-spells/w/wail-of-the-banshee","Wail of the Banshee")</f>
        <v>Wail of the Banshee</v>
      </c>
      <c s="6" r="BS594">
        <v>596</v>
      </c>
      <c t="s" s="6" r="BT594">
        <v>92</v>
      </c>
      <c t="s" s="6" r="BU594">
        <v>3958</v>
      </c>
      <c s="6" r="BY594">
        <v>0</v>
      </c>
    </row>
    <row customHeight="1" r="595" ht="14.25">
      <c t="s" s="6" r="A595">
        <v>4677</v>
      </c>
      <c t="s" s="6" r="B595">
        <v>493</v>
      </c>
      <c t="s" s="6" r="D595">
        <v>57</v>
      </c>
      <c t="s" s="6" r="E595">
        <v>4678</v>
      </c>
      <c t="s" s="6" r="F595">
        <v>81</v>
      </c>
      <c t="s" s="6" r="G595">
        <v>4679</v>
      </c>
      <c s="6" r="H595">
        <v>0</v>
      </c>
      <c t="s" s="6" r="I595">
        <v>97</v>
      </c>
      <c t="s" s="6" r="K595">
        <v>4680</v>
      </c>
      <c t="s" s="6" r="M595">
        <v>2696</v>
      </c>
      <c s="6" r="N595">
        <v>0</v>
      </c>
      <c s="6" r="O595">
        <v>0</v>
      </c>
      <c t="s" s="6" r="P595">
        <v>86</v>
      </c>
      <c t="s" s="6" r="Q595">
        <v>188</v>
      </c>
      <c t="s" s="6" r="R595">
        <v>4681</v>
      </c>
      <c t="s" s="6" r="S595">
        <v>4682</v>
      </c>
      <c t="s" s="6" r="T595">
        <v>90</v>
      </c>
      <c t="s" s="6" r="U595">
        <v>4683</v>
      </c>
      <c s="6" r="V595">
        <v>1</v>
      </c>
      <c s="6" r="W595">
        <v>1</v>
      </c>
      <c s="6" r="X595">
        <v>1</v>
      </c>
      <c s="6" r="Y595">
        <v>0</v>
      </c>
      <c s="6" r="Z595">
        <v>1</v>
      </c>
      <c s="6" r="AA595">
        <v>4</v>
      </c>
      <c s="6" r="AB595">
        <v>4</v>
      </c>
      <c t="s" s="6" r="AC595">
        <v>92</v>
      </c>
      <c s="6" r="AD595">
        <v>5</v>
      </c>
      <c t="s" s="6" r="AE595">
        <v>92</v>
      </c>
      <c t="s" s="6" r="AF595">
        <v>92</v>
      </c>
      <c t="s" s="6" r="AG595">
        <v>92</v>
      </c>
      <c t="s" s="6" r="AH595">
        <v>92</v>
      </c>
      <c s="6" r="AI595">
        <v>3</v>
      </c>
      <c t="s" s="6" r="AJ595">
        <v>92</v>
      </c>
      <c t="s" s="6" r="AK595">
        <v>92</v>
      </c>
      <c t="s" s="6" r="AL595">
        <v>92</v>
      </c>
      <c t="s" s="6" r="AM595">
        <v>92</v>
      </c>
      <c s="6" r="AN595">
        <v>4</v>
      </c>
      <c s="6" r="AP595">
        <v>4</v>
      </c>
      <c t="s" s="6" r="AQ595">
        <v>635</v>
      </c>
      <c t="s" s="6" r="AR595">
        <v>4684</v>
      </c>
      <c s="6" r="AS595">
        <v>0</v>
      </c>
      <c s="6" r="AT595">
        <v>0</v>
      </c>
      <c s="6" r="AU595">
        <v>0</v>
      </c>
      <c s="6" r="AV595">
        <v>0</v>
      </c>
      <c s="6" r="AW595">
        <v>0</v>
      </c>
      <c s="6" r="AX595">
        <v>0</v>
      </c>
      <c s="6" r="AY595">
        <v>0</v>
      </c>
      <c s="6" r="AZ595">
        <v>0</v>
      </c>
      <c s="6" r="BA595">
        <v>0</v>
      </c>
      <c s="6" r="BB595">
        <v>0</v>
      </c>
      <c s="6" r="BC595">
        <v>0</v>
      </c>
      <c s="6" r="BD595">
        <v>0</v>
      </c>
      <c s="6" r="BE595">
        <v>0</v>
      </c>
      <c s="6" r="BF595">
        <v>1</v>
      </c>
      <c s="6" r="BG595">
        <v>0</v>
      </c>
      <c s="6" r="BH595">
        <v>0</v>
      </c>
      <c s="6" r="BI595">
        <v>0</v>
      </c>
      <c s="6" r="BJ595">
        <v>0</v>
      </c>
      <c s="6" r="BK595">
        <v>0</v>
      </c>
      <c s="6" r="BL595">
        <v>0</v>
      </c>
      <c s="6" r="BM595">
        <v>0</v>
      </c>
      <c s="6" r="BN595">
        <v>0</v>
      </c>
      <c s="6" r="BO595">
        <v>0</v>
      </c>
      <c s="6" r="BP595">
        <v>0</v>
      </c>
      <c s="6" r="BQ595">
        <v>0</v>
      </c>
      <c t="str" s="6" r="BR595">
        <f>HYPERLINK("http://www.d20pfsrd.com/magic/all-spells/w/wall-of-fire","Wall of Fire")</f>
        <v>Wall of Fire</v>
      </c>
      <c s="6" r="BS595">
        <v>597</v>
      </c>
      <c t="s" s="6" r="BT595">
        <v>92</v>
      </c>
      <c t="s" s="6" r="BU595">
        <v>4685</v>
      </c>
      <c t="s" s="6" r="BW595">
        <v>4686</v>
      </c>
      <c t="s" s="6" r="BX595">
        <v>4687</v>
      </c>
      <c s="6" r="BY595">
        <v>1</v>
      </c>
    </row>
    <row customHeight="1" r="596" ht="14.25">
      <c t="s" s="6" r="A596">
        <v>4688</v>
      </c>
      <c t="s" s="6" r="B596">
        <v>493</v>
      </c>
      <c t="s" s="6" r="D596">
        <v>58</v>
      </c>
      <c t="s" s="6" r="E596">
        <v>2522</v>
      </c>
      <c t="s" s="6" r="F596">
        <v>81</v>
      </c>
      <c t="s" s="6" r="G596">
        <v>4689</v>
      </c>
      <c s="6" r="H596">
        <v>0</v>
      </c>
      <c t="s" s="6" r="I596">
        <v>107</v>
      </c>
      <c t="s" s="6" r="K596">
        <v>4690</v>
      </c>
      <c t="s" s="6" r="M596">
        <v>4691</v>
      </c>
      <c s="6" r="N596">
        <v>1</v>
      </c>
      <c s="6" r="O596">
        <v>0</v>
      </c>
      <c t="s" s="6" r="P596">
        <v>86</v>
      </c>
      <c t="s" s="6" r="Q596">
        <v>87</v>
      </c>
      <c t="s" s="6" r="R596">
        <v>4692</v>
      </c>
      <c t="s" s="6" r="S596">
        <v>4693</v>
      </c>
      <c t="s" s="6" r="T596">
        <v>90</v>
      </c>
      <c t="s" s="6" r="U596">
        <v>4694</v>
      </c>
      <c s="6" r="V596">
        <v>1</v>
      </c>
      <c s="6" r="W596">
        <v>1</v>
      </c>
      <c s="6" r="X596">
        <v>1</v>
      </c>
      <c s="6" r="Y596">
        <v>0</v>
      </c>
      <c s="6" r="Z596">
        <v>0</v>
      </c>
      <c s="6" r="AA596">
        <v>5</v>
      </c>
      <c s="6" r="AB596">
        <v>5</v>
      </c>
      <c t="s" s="6" r="AC596">
        <v>92</v>
      </c>
      <c t="s" s="6" r="AD596">
        <v>92</v>
      </c>
      <c t="s" s="6" r="AE596">
        <v>92</v>
      </c>
      <c t="s" s="6" r="AF596">
        <v>92</v>
      </c>
      <c t="s" s="6" r="AG596">
        <v>92</v>
      </c>
      <c t="s" s="6" r="AH596">
        <v>92</v>
      </c>
      <c t="s" s="6" r="AI596">
        <v>92</v>
      </c>
      <c t="s" s="6" r="AJ596">
        <v>92</v>
      </c>
      <c t="s" s="6" r="AK596">
        <v>92</v>
      </c>
      <c t="s" s="6" r="AL596">
        <v>92</v>
      </c>
      <c t="s" s="6" r="AM596">
        <v>92</v>
      </c>
      <c s="6" r="AN596">
        <v>5</v>
      </c>
      <c s="6" r="AP596">
        <v>5</v>
      </c>
      <c t="s" s="6" r="AR596">
        <v>4695</v>
      </c>
      <c s="6" r="AS596">
        <v>0</v>
      </c>
      <c s="6" r="AT596">
        <v>0</v>
      </c>
      <c s="6" r="AU596">
        <v>0</v>
      </c>
      <c s="6" r="AV596">
        <v>0</v>
      </c>
      <c s="6" r="AW596">
        <v>0</v>
      </c>
      <c s="6" r="AX596">
        <v>0</v>
      </c>
      <c s="6" r="AY596">
        <v>0</v>
      </c>
      <c s="6" r="AZ596">
        <v>0</v>
      </c>
      <c s="6" r="BA596">
        <v>0</v>
      </c>
      <c s="6" r="BB596">
        <v>0</v>
      </c>
      <c s="6" r="BC596">
        <v>0</v>
      </c>
      <c s="6" r="BD596">
        <v>0</v>
      </c>
      <c s="6" r="BE596">
        <v>0</v>
      </c>
      <c s="6" r="BF596">
        <v>0</v>
      </c>
      <c s="6" r="BG596">
        <v>1</v>
      </c>
      <c s="6" r="BH596">
        <v>0</v>
      </c>
      <c s="6" r="BI596">
        <v>0</v>
      </c>
      <c s="6" r="BJ596">
        <v>0</v>
      </c>
      <c s="6" r="BK596">
        <v>0</v>
      </c>
      <c s="6" r="BL596">
        <v>0</v>
      </c>
      <c s="6" r="BM596">
        <v>0</v>
      </c>
      <c s="6" r="BN596">
        <v>0</v>
      </c>
      <c s="6" r="BO596">
        <v>0</v>
      </c>
      <c s="6" r="BP596">
        <v>0</v>
      </c>
      <c s="6" r="BQ596">
        <v>0</v>
      </c>
      <c t="str" s="6" r="BR596">
        <f>HYPERLINK("http://www.d20pfsrd.com/magic/all-spells/w/wall-of-force","Wall of Force")</f>
        <v>Wall of Force</v>
      </c>
      <c s="6" r="BS596">
        <v>598</v>
      </c>
      <c t="s" s="6" r="BT596">
        <v>92</v>
      </c>
      <c t="s" s="6" r="BW596">
        <v>4696</v>
      </c>
      <c s="6" r="BY596">
        <v>1</v>
      </c>
    </row>
    <row customHeight="1" r="597" ht="14.25">
      <c t="s" s="6" r="A597">
        <v>4697</v>
      </c>
      <c t="s" s="6" r="B597">
        <v>493</v>
      </c>
      <c t="s" s="6" r="D597">
        <v>47</v>
      </c>
      <c t="s" s="6" r="E597">
        <v>4698</v>
      </c>
      <c t="s" s="6" r="F597">
        <v>81</v>
      </c>
      <c t="s" s="6" r="G597">
        <v>4699</v>
      </c>
      <c s="6" r="H597">
        <v>0</v>
      </c>
      <c t="s" s="6" r="I597">
        <v>97</v>
      </c>
      <c t="s" s="6" r="K597">
        <v>4700</v>
      </c>
      <c t="s" s="6" r="M597">
        <v>122</v>
      </c>
      <c s="6" r="N597">
        <v>0</v>
      </c>
      <c s="6" r="O597">
        <v>0</v>
      </c>
      <c t="s" s="6" r="P597">
        <v>4701</v>
      </c>
      <c t="s" s="6" r="Q597">
        <v>188</v>
      </c>
      <c t="s" s="6" r="R597">
        <v>4702</v>
      </c>
      <c t="s" s="6" r="S597">
        <v>4703</v>
      </c>
      <c t="s" s="6" r="T597">
        <v>90</v>
      </c>
      <c t="s" s="6" r="U597">
        <v>4704</v>
      </c>
      <c s="6" r="V597">
        <v>1</v>
      </c>
      <c s="6" r="W597">
        <v>1</v>
      </c>
      <c s="6" r="X597">
        <v>1</v>
      </c>
      <c s="6" r="Y597">
        <v>0</v>
      </c>
      <c s="6" r="Z597">
        <v>0</v>
      </c>
      <c s="6" r="AA597">
        <v>4</v>
      </c>
      <c s="6" r="AB597">
        <v>4</v>
      </c>
      <c t="s" s="6" r="AC597">
        <v>92</v>
      </c>
      <c t="s" s="6" r="AD597">
        <v>92</v>
      </c>
      <c t="s" s="6" r="AE597">
        <v>92</v>
      </c>
      <c t="s" s="6" r="AF597">
        <v>92</v>
      </c>
      <c t="s" s="6" r="AG597">
        <v>92</v>
      </c>
      <c t="s" s="6" r="AH597">
        <v>92</v>
      </c>
      <c s="6" r="AI597">
        <v>3</v>
      </c>
      <c t="s" s="6" r="AJ597">
        <v>92</v>
      </c>
      <c t="s" s="6" r="AK597">
        <v>92</v>
      </c>
      <c t="s" s="6" r="AL597">
        <v>92</v>
      </c>
      <c t="s" s="6" r="AM597">
        <v>92</v>
      </c>
      <c s="6" r="AN597">
        <v>4</v>
      </c>
      <c s="6" r="AP597">
        <v>4</v>
      </c>
      <c t="s" s="6" r="AR597">
        <v>4705</v>
      </c>
      <c s="6" r="AS597">
        <v>0</v>
      </c>
      <c s="6" r="AT597">
        <v>0</v>
      </c>
      <c s="6" r="AU597">
        <v>0</v>
      </c>
      <c s="6" r="AV597">
        <v>1</v>
      </c>
      <c s="6" r="AW597">
        <v>0</v>
      </c>
      <c s="6" r="AX597">
        <v>0</v>
      </c>
      <c s="6" r="AY597">
        <v>0</v>
      </c>
      <c s="6" r="AZ597">
        <v>0</v>
      </c>
      <c s="6" r="BA597">
        <v>0</v>
      </c>
      <c s="6" r="BB597">
        <v>0</v>
      </c>
      <c s="6" r="BC597">
        <v>0</v>
      </c>
      <c s="6" r="BD597">
        <v>0</v>
      </c>
      <c s="6" r="BE597">
        <v>0</v>
      </c>
      <c s="6" r="BF597">
        <v>0</v>
      </c>
      <c s="6" r="BG597">
        <v>0</v>
      </c>
      <c s="6" r="BH597">
        <v>0</v>
      </c>
      <c s="6" r="BI597">
        <v>0</v>
      </c>
      <c s="6" r="BJ597">
        <v>0</v>
      </c>
      <c s="6" r="BK597">
        <v>0</v>
      </c>
      <c s="6" r="BL597">
        <v>0</v>
      </c>
      <c s="6" r="BM597">
        <v>0</v>
      </c>
      <c s="6" r="BN597">
        <v>0</v>
      </c>
      <c s="6" r="BO597">
        <v>0</v>
      </c>
      <c s="6" r="BP597">
        <v>0</v>
      </c>
      <c s="6" r="BQ597">
        <v>0</v>
      </c>
      <c t="str" s="6" r="BR597">
        <f>HYPERLINK("http://www.d20pfsrd.com/magic/all-spells/w/wall-of-ice","Wall of Ice")</f>
        <v>Wall of Ice</v>
      </c>
      <c s="6" r="BS597">
        <v>599</v>
      </c>
      <c t="s" s="6" r="BT597">
        <v>92</v>
      </c>
      <c t="s" s="6" r="BU597">
        <v>3283</v>
      </c>
      <c t="s" s="6" r="BV597">
        <v>1999</v>
      </c>
      <c t="s" s="6" r="BW597">
        <v>4706</v>
      </c>
      <c t="s" s="6" r="BX597">
        <v>4707</v>
      </c>
      <c s="6" r="BY597">
        <v>1</v>
      </c>
    </row>
    <row customHeight="1" r="598" ht="14.25">
      <c t="s" s="6" r="A598">
        <v>4708</v>
      </c>
      <c t="s" s="6" r="B598">
        <v>78</v>
      </c>
      <c t="s" s="6" r="C598">
        <v>79</v>
      </c>
      <c t="s" s="6" r="E598">
        <v>4709</v>
      </c>
      <c t="s" s="6" r="F598">
        <v>81</v>
      </c>
      <c t="s" s="6" r="G598">
        <v>4710</v>
      </c>
      <c s="6" r="H598">
        <v>1</v>
      </c>
      <c t="s" s="6" r="I598">
        <v>97</v>
      </c>
      <c t="s" s="6" r="K598">
        <v>4711</v>
      </c>
      <c t="s" s="6" r="M598">
        <v>109</v>
      </c>
      <c s="6" r="N598">
        <v>0</v>
      </c>
      <c s="6" r="O598">
        <v>0</v>
      </c>
      <c t="s" s="6" r="P598">
        <v>141</v>
      </c>
      <c t="s" s="6" r="Q598">
        <v>87</v>
      </c>
      <c t="s" s="6" r="R598">
        <v>4712</v>
      </c>
      <c t="s" s="6" r="S598">
        <v>4713</v>
      </c>
      <c t="s" s="6" r="T598">
        <v>90</v>
      </c>
      <c t="s" s="6" r="U598">
        <v>4714</v>
      </c>
      <c s="6" r="V598">
        <v>1</v>
      </c>
      <c s="6" r="W598">
        <v>1</v>
      </c>
      <c s="6" r="X598">
        <v>1</v>
      </c>
      <c s="6" r="Y598">
        <v>0</v>
      </c>
      <c s="6" r="Z598">
        <v>0</v>
      </c>
      <c s="6" r="AA598">
        <v>6</v>
      </c>
      <c s="6" r="AB598">
        <v>6</v>
      </c>
      <c t="s" s="6" r="AC598">
        <v>92</v>
      </c>
      <c t="s" s="6" r="AD598">
        <v>92</v>
      </c>
      <c t="s" s="6" r="AE598">
        <v>92</v>
      </c>
      <c t="s" s="6" r="AF598">
        <v>92</v>
      </c>
      <c t="s" s="6" r="AG598">
        <v>92</v>
      </c>
      <c t="s" s="6" r="AH598">
        <v>92</v>
      </c>
      <c s="6" r="AI598">
        <v>5</v>
      </c>
      <c t="s" s="6" r="AJ598">
        <v>92</v>
      </c>
      <c t="s" s="6" r="AK598">
        <v>92</v>
      </c>
      <c t="s" s="6" r="AL598">
        <v>92</v>
      </c>
      <c t="s" s="6" r="AM598">
        <v>92</v>
      </c>
      <c s="6" r="AN598">
        <v>6</v>
      </c>
      <c s="6" r="AP598">
        <v>6</v>
      </c>
      <c t="s" s="6" r="AQ598">
        <v>4715</v>
      </c>
      <c t="s" s="6" r="AR598">
        <v>4716</v>
      </c>
      <c s="6" r="AS598">
        <v>0</v>
      </c>
      <c s="6" r="AT598">
        <v>0</v>
      </c>
      <c s="6" r="AU598">
        <v>0</v>
      </c>
      <c s="6" r="AV598">
        <v>0</v>
      </c>
      <c s="6" r="AW598">
        <v>0</v>
      </c>
      <c s="6" r="AX598">
        <v>0</v>
      </c>
      <c s="6" r="AY598">
        <v>0</v>
      </c>
      <c s="6" r="AZ598">
        <v>0</v>
      </c>
      <c s="6" r="BA598">
        <v>0</v>
      </c>
      <c s="6" r="BB598">
        <v>0</v>
      </c>
      <c s="6" r="BC598">
        <v>0</v>
      </c>
      <c s="6" r="BD598">
        <v>0</v>
      </c>
      <c s="6" r="BE598">
        <v>0</v>
      </c>
      <c s="6" r="BF598">
        <v>0</v>
      </c>
      <c s="6" r="BG598">
        <v>0</v>
      </c>
      <c s="6" r="BH598">
        <v>0</v>
      </c>
      <c s="6" r="BI598">
        <v>0</v>
      </c>
      <c s="6" r="BJ598">
        <v>0</v>
      </c>
      <c s="6" r="BK598">
        <v>0</v>
      </c>
      <c s="6" r="BL598">
        <v>0</v>
      </c>
      <c s="6" r="BM598">
        <v>0</v>
      </c>
      <c s="6" r="BN598">
        <v>0</v>
      </c>
      <c s="6" r="BO598">
        <v>0</v>
      </c>
      <c s="6" r="BP598">
        <v>0</v>
      </c>
      <c s="6" r="BQ598">
        <v>0</v>
      </c>
      <c t="str" s="6" r="BR598">
        <f>HYPERLINK("http://www.d20pfsrd.com/magic/all-spells/w/wall-of-iron","Wall of Iron")</f>
        <v>Wall of Iron</v>
      </c>
      <c s="6" r="BS598">
        <v>600</v>
      </c>
      <c s="6" r="BT598">
        <v>50</v>
      </c>
      <c t="s" s="6" r="BU598">
        <v>2860</v>
      </c>
      <c s="6" r="BY598">
        <v>0</v>
      </c>
    </row>
    <row customHeight="1" r="599" ht="14.25">
      <c t="s" s="6" r="A599">
        <v>4717</v>
      </c>
      <c t="s" s="6" r="B599">
        <v>78</v>
      </c>
      <c t="s" s="6" r="C599">
        <v>79</v>
      </c>
      <c t="s" s="6" r="E599">
        <v>378</v>
      </c>
      <c t="s" s="6" r="F599">
        <v>81</v>
      </c>
      <c t="s" s="6" r="G599">
        <v>106</v>
      </c>
      <c s="6" r="H599">
        <v>0</v>
      </c>
      <c t="s" s="6" r="I599">
        <v>97</v>
      </c>
      <c t="s" s="6" r="K599">
        <v>4718</v>
      </c>
      <c t="s" s="6" r="M599">
        <v>283</v>
      </c>
      <c s="6" r="N599">
        <v>1</v>
      </c>
      <c s="6" r="O599">
        <v>0</v>
      </c>
      <c t="s" s="6" r="P599">
        <v>86</v>
      </c>
      <c t="s" s="6" r="Q599">
        <v>87</v>
      </c>
      <c t="s" s="6" r="R599">
        <v>4719</v>
      </c>
      <c t="s" s="6" r="S599">
        <v>4720</v>
      </c>
      <c t="s" s="6" r="T599">
        <v>90</v>
      </c>
      <c t="s" s="6" r="U599">
        <v>4721</v>
      </c>
      <c s="6" r="V599">
        <v>1</v>
      </c>
      <c s="6" r="W599">
        <v>1</v>
      </c>
      <c s="6" r="X599">
        <v>0</v>
      </c>
      <c s="6" r="Y599">
        <v>0</v>
      </c>
      <c s="6" r="Z599">
        <v>0</v>
      </c>
      <c t="s" s="6" r="AA599">
        <v>92</v>
      </c>
      <c t="s" s="6" r="AB599">
        <v>92</v>
      </c>
      <c t="s" s="6" r="AC599">
        <v>92</v>
      </c>
      <c s="6" r="AD599">
        <v>5</v>
      </c>
      <c t="s" s="6" r="AE599">
        <v>92</v>
      </c>
      <c t="s" s="6" r="AF599">
        <v>92</v>
      </c>
      <c t="s" s="6" r="AG599">
        <v>92</v>
      </c>
      <c t="s" s="6" r="AH599">
        <v>92</v>
      </c>
      <c t="s" s="6" r="AI599">
        <v>92</v>
      </c>
      <c t="s" s="6" r="AJ599">
        <v>92</v>
      </c>
      <c t="s" s="6" r="AK599">
        <v>92</v>
      </c>
      <c t="s" s="6" r="AL599">
        <v>92</v>
      </c>
      <c t="s" s="6" r="AM599">
        <v>92</v>
      </c>
      <c t="s" s="6" r="AN599">
        <v>92</v>
      </c>
      <c s="6" r="AP599">
        <v>5</v>
      </c>
      <c t="s" s="6" r="AQ599">
        <v>4722</v>
      </c>
      <c t="s" s="6" r="AR599">
        <v>4723</v>
      </c>
      <c s="6" r="AS599">
        <v>0</v>
      </c>
      <c s="6" r="AT599">
        <v>0</v>
      </c>
      <c s="6" r="AU599">
        <v>0</v>
      </c>
      <c s="6" r="AV599">
        <v>0</v>
      </c>
      <c s="6" r="AW599">
        <v>0</v>
      </c>
      <c s="6" r="AX599">
        <v>0</v>
      </c>
      <c s="6" r="AY599">
        <v>0</v>
      </c>
      <c s="6" r="AZ599">
        <v>0</v>
      </c>
      <c s="6" r="BA599">
        <v>0</v>
      </c>
      <c s="6" r="BB599">
        <v>0</v>
      </c>
      <c s="6" r="BC599">
        <v>0</v>
      </c>
      <c s="6" r="BD599">
        <v>0</v>
      </c>
      <c s="6" r="BE599">
        <v>0</v>
      </c>
      <c s="6" r="BF599">
        <v>0</v>
      </c>
      <c s="6" r="BG599">
        <v>0</v>
      </c>
      <c s="6" r="BH599">
        <v>0</v>
      </c>
      <c s="6" r="BI599">
        <v>0</v>
      </c>
      <c s="6" r="BJ599">
        <v>0</v>
      </c>
      <c s="6" r="BK599">
        <v>0</v>
      </c>
      <c s="6" r="BL599">
        <v>0</v>
      </c>
      <c s="6" r="BM599">
        <v>0</v>
      </c>
      <c s="6" r="BN599">
        <v>0</v>
      </c>
      <c s="6" r="BO599">
        <v>0</v>
      </c>
      <c s="6" r="BP599">
        <v>0</v>
      </c>
      <c s="6" r="BQ599">
        <v>0</v>
      </c>
      <c t="str" s="6" r="BR599">
        <f>HYPERLINK("http://www.d20pfsrd.com/magic/all-spells/w/wall-of-thorns","Wall of Thorns")</f>
        <v>Wall of Thorns</v>
      </c>
      <c s="6" r="BS599">
        <v>602</v>
      </c>
      <c t="s" s="6" r="BT599">
        <v>92</v>
      </c>
      <c t="s" s="6" r="BU599">
        <v>259</v>
      </c>
      <c t="s" s="6" r="BW599">
        <v>4724</v>
      </c>
      <c t="s" s="6" r="BX599">
        <v>4725</v>
      </c>
      <c s="6" r="BY599">
        <v>1</v>
      </c>
    </row>
    <row customHeight="1" r="600" ht="14.25">
      <c t="s" s="6" r="A600">
        <v>4726</v>
      </c>
      <c t="s" s="6" r="B600">
        <v>131</v>
      </c>
      <c t="s" s="6" r="E600">
        <v>760</v>
      </c>
      <c t="s" s="6" r="F600">
        <v>81</v>
      </c>
      <c t="s" s="6" r="G600">
        <v>106</v>
      </c>
      <c s="6" r="H600">
        <v>0</v>
      </c>
      <c t="s" s="6" r="I600">
        <v>107</v>
      </c>
      <c t="s" s="6" r="L600">
        <v>4727</v>
      </c>
      <c t="s" s="6" r="M600">
        <v>109</v>
      </c>
      <c s="6" r="N600">
        <v>0</v>
      </c>
      <c s="6" r="O600">
        <v>0</v>
      </c>
      <c t="s" s="6" r="P600">
        <v>535</v>
      </c>
      <c t="s" s="6" r="Q600">
        <v>536</v>
      </c>
      <c t="s" s="6" r="R600">
        <v>4728</v>
      </c>
      <c t="s" s="6" r="S600">
        <v>4729</v>
      </c>
      <c t="s" s="6" r="T600">
        <v>90</v>
      </c>
      <c t="s" s="6" r="U600">
        <v>4730</v>
      </c>
      <c s="6" r="V600">
        <v>1</v>
      </c>
      <c s="6" r="W600">
        <v>1</v>
      </c>
      <c s="6" r="X600">
        <v>0</v>
      </c>
      <c s="6" r="Y600">
        <v>0</v>
      </c>
      <c s="6" r="Z600">
        <v>0</v>
      </c>
      <c t="s" s="6" r="AA600">
        <v>92</v>
      </c>
      <c t="s" s="6" r="AB600">
        <v>92</v>
      </c>
      <c t="s" s="6" r="AC600">
        <v>92</v>
      </c>
      <c s="6" r="AD600">
        <v>2</v>
      </c>
      <c t="s" s="6" r="AE600">
        <v>92</v>
      </c>
      <c t="s" s="6" r="AF600">
        <v>92</v>
      </c>
      <c t="s" s="6" r="AG600">
        <v>92</v>
      </c>
      <c t="s" s="6" r="AH600">
        <v>92</v>
      </c>
      <c t="s" s="6" r="AI600">
        <v>92</v>
      </c>
      <c t="s" s="6" r="AJ600">
        <v>92</v>
      </c>
      <c t="s" s="6" r="AK600">
        <v>92</v>
      </c>
      <c t="s" s="6" r="AL600">
        <v>92</v>
      </c>
      <c t="s" s="6" r="AM600">
        <v>92</v>
      </c>
      <c t="s" s="6" r="AN600">
        <v>92</v>
      </c>
      <c s="6" r="AP600">
        <v>2</v>
      </c>
      <c t="s" s="6" r="AR600">
        <v>4731</v>
      </c>
      <c s="6" r="AS600">
        <v>0</v>
      </c>
      <c s="6" r="AT600">
        <v>0</v>
      </c>
      <c s="6" r="AU600">
        <v>0</v>
      </c>
      <c s="6" r="AV600">
        <v>0</v>
      </c>
      <c s="6" r="AW600">
        <v>0</v>
      </c>
      <c s="6" r="AX600">
        <v>0</v>
      </c>
      <c s="6" r="AY600">
        <v>0</v>
      </c>
      <c s="6" r="AZ600">
        <v>0</v>
      </c>
      <c s="6" r="BA600">
        <v>0</v>
      </c>
      <c s="6" r="BB600">
        <v>0</v>
      </c>
      <c s="6" r="BC600">
        <v>0</v>
      </c>
      <c s="6" r="BD600">
        <v>0</v>
      </c>
      <c s="6" r="BE600">
        <v>0</v>
      </c>
      <c s="6" r="BF600">
        <v>0</v>
      </c>
      <c s="6" r="BG600">
        <v>0</v>
      </c>
      <c s="6" r="BH600">
        <v>0</v>
      </c>
      <c s="6" r="BI600">
        <v>0</v>
      </c>
      <c s="6" r="BJ600">
        <v>0</v>
      </c>
      <c s="6" r="BK600">
        <v>0</v>
      </c>
      <c s="6" r="BL600">
        <v>0</v>
      </c>
      <c s="6" r="BM600">
        <v>0</v>
      </c>
      <c s="6" r="BN600">
        <v>0</v>
      </c>
      <c s="6" r="BO600">
        <v>0</v>
      </c>
      <c s="6" r="BP600">
        <v>0</v>
      </c>
      <c s="6" r="BQ600">
        <v>0</v>
      </c>
      <c t="str" s="6" r="BR600">
        <f>HYPERLINK("http://www.d20pfsrd.com/magic/all-spells/w/warp-wood","Warp Wood")</f>
        <v>Warp Wood</v>
      </c>
      <c s="6" r="BS600">
        <v>603</v>
      </c>
      <c t="s" s="6" r="BT600">
        <v>92</v>
      </c>
      <c s="6" r="BY600">
        <v>0</v>
      </c>
    </row>
    <row customHeight="1" r="601" ht="14.25">
      <c t="s" s="6" r="A601">
        <v>4732</v>
      </c>
      <c t="s" s="6" r="B601">
        <v>131</v>
      </c>
      <c t="s" s="6" r="E601">
        <v>4733</v>
      </c>
      <c t="s" s="6" r="F601">
        <v>81</v>
      </c>
      <c t="s" s="6" r="G601">
        <v>4734</v>
      </c>
      <c s="6" r="H601">
        <v>0</v>
      </c>
      <c t="s" s="6" r="I601">
        <v>120</v>
      </c>
      <c t="s" s="6" r="L601">
        <v>4735</v>
      </c>
      <c t="s" s="6" r="M601">
        <v>4736</v>
      </c>
      <c s="6" r="N601">
        <v>0</v>
      </c>
      <c s="6" r="O601">
        <v>0</v>
      </c>
      <c t="s" s="6" r="P601">
        <v>421</v>
      </c>
      <c t="s" s="6" r="Q601">
        <v>123</v>
      </c>
      <c t="s" s="6" r="R601">
        <v>4737</v>
      </c>
      <c t="s" s="6" r="S601">
        <v>4738</v>
      </c>
      <c t="s" s="6" r="T601">
        <v>90</v>
      </c>
      <c t="s" s="6" r="U601">
        <v>4739</v>
      </c>
      <c s="6" r="V601">
        <v>1</v>
      </c>
      <c s="6" r="W601">
        <v>1</v>
      </c>
      <c s="6" r="X601">
        <v>1</v>
      </c>
      <c s="6" r="Y601">
        <v>0</v>
      </c>
      <c s="6" r="Z601">
        <v>1</v>
      </c>
      <c s="6" r="AA601">
        <v>3</v>
      </c>
      <c s="6" r="AB601">
        <v>3</v>
      </c>
      <c s="6" r="AC601">
        <v>3</v>
      </c>
      <c s="6" r="AD601">
        <v>3</v>
      </c>
      <c t="s" s="6" r="AE601">
        <v>92</v>
      </c>
      <c t="s" s="6" r="AF601">
        <v>92</v>
      </c>
      <c t="s" s="6" r="AG601">
        <v>92</v>
      </c>
      <c s="6" r="AH601">
        <v>3</v>
      </c>
      <c s="6" r="AI601">
        <v>3</v>
      </c>
      <c t="s" s="6" r="AJ601">
        <v>92</v>
      </c>
      <c t="s" s="6" r="AK601">
        <v>92</v>
      </c>
      <c s="6" r="AL601">
        <v>3</v>
      </c>
      <c t="s" s="6" r="AM601">
        <v>92</v>
      </c>
      <c s="6" r="AN601">
        <v>3</v>
      </c>
      <c s="6" r="AP601">
        <v>3</v>
      </c>
      <c t="s" s="6" r="AQ601">
        <v>542</v>
      </c>
      <c t="s" s="6" r="AR601">
        <v>4740</v>
      </c>
      <c s="6" r="AS601">
        <v>0</v>
      </c>
      <c s="6" r="AT601">
        <v>0</v>
      </c>
      <c s="6" r="AU601">
        <v>0</v>
      </c>
      <c s="6" r="AV601">
        <v>0</v>
      </c>
      <c s="6" r="AW601">
        <v>0</v>
      </c>
      <c s="6" r="AX601">
        <v>0</v>
      </c>
      <c s="6" r="AY601">
        <v>0</v>
      </c>
      <c s="6" r="AZ601">
        <v>0</v>
      </c>
      <c s="6" r="BA601">
        <v>0</v>
      </c>
      <c s="6" r="BB601">
        <v>0</v>
      </c>
      <c s="6" r="BC601">
        <v>0</v>
      </c>
      <c s="6" r="BD601">
        <v>0</v>
      </c>
      <c s="6" r="BE601">
        <v>0</v>
      </c>
      <c s="6" r="BF601">
        <v>0</v>
      </c>
      <c s="6" r="BG601">
        <v>0</v>
      </c>
      <c s="6" r="BH601">
        <v>0</v>
      </c>
      <c s="6" r="BI601">
        <v>0</v>
      </c>
      <c s="6" r="BJ601">
        <v>0</v>
      </c>
      <c s="6" r="BK601">
        <v>0</v>
      </c>
      <c s="6" r="BL601">
        <v>0</v>
      </c>
      <c s="6" r="BM601">
        <v>0</v>
      </c>
      <c s="6" r="BN601">
        <v>0</v>
      </c>
      <c s="6" r="BO601">
        <v>0</v>
      </c>
      <c s="6" r="BP601">
        <v>0</v>
      </c>
      <c s="6" r="BQ601">
        <v>0</v>
      </c>
      <c t="str" s="6" r="BR601">
        <f>HYPERLINK("http://www.d20pfsrd.com/magic/all-spells/w/water-breathing","Water Breathing")</f>
        <v>Water Breathing</v>
      </c>
      <c s="6" r="BS601">
        <v>604</v>
      </c>
      <c t="s" s="6" r="BT601">
        <v>92</v>
      </c>
      <c t="s" s="6" r="BV601">
        <v>542</v>
      </c>
      <c s="6" r="BY601">
        <v>0</v>
      </c>
    </row>
    <row customHeight="1" r="602" ht="14.25">
      <c t="s" s="6" r="A602">
        <v>4741</v>
      </c>
      <c t="s" s="6" r="B602">
        <v>131</v>
      </c>
      <c t="s" s="6" r="D602">
        <v>68</v>
      </c>
      <c t="s" s="6" r="E602">
        <v>4742</v>
      </c>
      <c t="s" s="6" r="F602">
        <v>81</v>
      </c>
      <c t="s" s="6" r="G602">
        <v>119</v>
      </c>
      <c s="6" r="H602">
        <v>0</v>
      </c>
      <c t="s" s="6" r="I602">
        <v>120</v>
      </c>
      <c t="s" s="6" r="L602">
        <v>2302</v>
      </c>
      <c t="s" s="6" r="M602">
        <v>134</v>
      </c>
      <c s="6" r="N602">
        <v>1</v>
      </c>
      <c s="6" r="O602">
        <v>0</v>
      </c>
      <c t="s" s="6" r="P602">
        <v>421</v>
      </c>
      <c t="s" s="6" r="Q602">
        <v>123</v>
      </c>
      <c t="s" s="6" r="R602">
        <v>4743</v>
      </c>
      <c t="s" s="6" r="S602">
        <v>4744</v>
      </c>
      <c t="s" s="6" r="T602">
        <v>90</v>
      </c>
      <c t="s" s="6" r="U602">
        <v>4745</v>
      </c>
      <c s="6" r="V602">
        <v>1</v>
      </c>
      <c s="6" r="W602">
        <v>1</v>
      </c>
      <c s="6" r="X602">
        <v>0</v>
      </c>
      <c s="6" r="Y602">
        <v>0</v>
      </c>
      <c s="6" r="Z602">
        <v>1</v>
      </c>
      <c t="s" s="6" r="AA602">
        <v>92</v>
      </c>
      <c t="s" s="6" r="AB602">
        <v>92</v>
      </c>
      <c s="6" r="AC602">
        <v>3</v>
      </c>
      <c t="s" s="6" r="AD602">
        <v>92</v>
      </c>
      <c s="6" r="AE602">
        <v>3</v>
      </c>
      <c t="s" s="6" r="AF602">
        <v>92</v>
      </c>
      <c t="s" s="6" r="AG602">
        <v>92</v>
      </c>
      <c t="s" s="6" r="AH602">
        <v>92</v>
      </c>
      <c t="s" s="6" r="AI602">
        <v>92</v>
      </c>
      <c s="6" r="AJ602">
        <v>3</v>
      </c>
      <c t="s" s="6" r="AK602">
        <v>92</v>
      </c>
      <c s="6" r="AL602">
        <v>3</v>
      </c>
      <c t="s" s="6" r="AM602">
        <v>92</v>
      </c>
      <c t="s" s="6" r="AN602">
        <v>92</v>
      </c>
      <c s="6" r="AP602">
        <v>3</v>
      </c>
      <c t="s" s="6" r="AQ602">
        <v>4746</v>
      </c>
      <c t="s" s="6" r="AR602">
        <v>4747</v>
      </c>
      <c s="6" r="AS602">
        <v>0</v>
      </c>
      <c s="6" r="AT602">
        <v>0</v>
      </c>
      <c s="6" r="AU602">
        <v>0</v>
      </c>
      <c s="6" r="AV602">
        <v>0</v>
      </c>
      <c s="6" r="AW602">
        <v>0</v>
      </c>
      <c s="6" r="AX602">
        <v>0</v>
      </c>
      <c s="6" r="AY602">
        <v>0</v>
      </c>
      <c s="6" r="AZ602">
        <v>0</v>
      </c>
      <c s="6" r="BA602">
        <v>0</v>
      </c>
      <c s="6" r="BB602">
        <v>0</v>
      </c>
      <c s="6" r="BC602">
        <v>0</v>
      </c>
      <c s="6" r="BD602">
        <v>0</v>
      </c>
      <c s="6" r="BE602">
        <v>0</v>
      </c>
      <c s="6" r="BF602">
        <v>0</v>
      </c>
      <c s="6" r="BG602">
        <v>0</v>
      </c>
      <c s="6" r="BH602">
        <v>0</v>
      </c>
      <c s="6" r="BI602">
        <v>0</v>
      </c>
      <c s="6" r="BJ602">
        <v>0</v>
      </c>
      <c s="6" r="BK602">
        <v>0</v>
      </c>
      <c s="6" r="BL602">
        <v>0</v>
      </c>
      <c s="6" r="BM602">
        <v>0</v>
      </c>
      <c s="6" r="BN602">
        <v>0</v>
      </c>
      <c s="6" r="BO602">
        <v>0</v>
      </c>
      <c s="6" r="BP602">
        <v>0</v>
      </c>
      <c s="6" r="BQ602">
        <v>1</v>
      </c>
      <c t="str" s="6" r="BR602">
        <f>HYPERLINK("http://www.d20pfsrd.com/magic/all-spells/w/water-walk","Water Walk")</f>
        <v>Water Walk</v>
      </c>
      <c s="6" r="BS602">
        <v>605</v>
      </c>
      <c t="s" s="6" r="BT602">
        <v>92</v>
      </c>
      <c s="6" r="BY602">
        <v>0</v>
      </c>
    </row>
    <row customHeight="1" r="603" ht="14.25">
      <c t="s" s="6" r="A603">
        <v>4748</v>
      </c>
      <c t="s" s="6" r="B603">
        <v>227</v>
      </c>
      <c t="s" s="6" r="E603">
        <v>344</v>
      </c>
      <c t="s" s="6" r="F603">
        <v>81</v>
      </c>
      <c t="s" s="6" r="G603">
        <v>106</v>
      </c>
      <c s="6" r="H603">
        <v>0</v>
      </c>
      <c t="s" s="6" r="I603">
        <v>897</v>
      </c>
      <c t="s" s="6" r="J603">
        <v>630</v>
      </c>
      <c t="s" s="6" r="M603">
        <v>109</v>
      </c>
      <c s="6" r="N603">
        <v>0</v>
      </c>
      <c s="6" r="O603">
        <v>0</v>
      </c>
      <c t="s" s="6" r="P603">
        <v>86</v>
      </c>
      <c t="s" s="6" r="Q603">
        <v>188</v>
      </c>
      <c t="s" s="6" r="R603">
        <v>4749</v>
      </c>
      <c t="s" s="6" r="S603">
        <v>4750</v>
      </c>
      <c t="s" s="6" r="T603">
        <v>90</v>
      </c>
      <c t="s" s="6" r="U603">
        <v>4751</v>
      </c>
      <c s="6" r="V603">
        <v>1</v>
      </c>
      <c s="6" r="W603">
        <v>1</v>
      </c>
      <c s="6" r="X603">
        <v>0</v>
      </c>
      <c s="6" r="Y603">
        <v>0</v>
      </c>
      <c s="6" r="Z603">
        <v>0</v>
      </c>
      <c s="6" r="AA603">
        <v>7</v>
      </c>
      <c s="6" r="AB603">
        <v>7</v>
      </c>
      <c t="s" s="6" r="AC603">
        <v>92</v>
      </c>
      <c t="s" s="6" r="AD603">
        <v>92</v>
      </c>
      <c t="s" s="6" r="AE603">
        <v>92</v>
      </c>
      <c t="s" s="6" r="AF603">
        <v>92</v>
      </c>
      <c t="s" s="6" r="AG603">
        <v>92</v>
      </c>
      <c t="s" s="6" r="AH603">
        <v>92</v>
      </c>
      <c t="s" s="6" r="AI603">
        <v>92</v>
      </c>
      <c s="6" r="AJ603">
        <v>7</v>
      </c>
      <c t="s" s="6" r="AK603">
        <v>92</v>
      </c>
      <c t="s" s="6" r="AL603">
        <v>92</v>
      </c>
      <c t="s" s="6" r="AM603">
        <v>92</v>
      </c>
      <c t="s" s="6" r="AN603">
        <v>92</v>
      </c>
      <c s="6" r="AP603">
        <v>7</v>
      </c>
      <c t="s" s="6" r="AQ603">
        <v>4752</v>
      </c>
      <c t="s" s="6" r="AR603">
        <v>4753</v>
      </c>
      <c s="6" r="AS603">
        <v>0</v>
      </c>
      <c s="6" r="AT603">
        <v>0</v>
      </c>
      <c s="6" r="AU603">
        <v>0</v>
      </c>
      <c s="6" r="AV603">
        <v>0</v>
      </c>
      <c s="6" r="AW603">
        <v>0</v>
      </c>
      <c s="6" r="AX603">
        <v>0</v>
      </c>
      <c s="6" r="AY603">
        <v>0</v>
      </c>
      <c s="6" r="AZ603">
        <v>0</v>
      </c>
      <c s="6" r="BA603">
        <v>0</v>
      </c>
      <c s="6" r="BB603">
        <v>0</v>
      </c>
      <c s="6" r="BC603">
        <v>0</v>
      </c>
      <c s="6" r="BD603">
        <v>0</v>
      </c>
      <c s="6" r="BE603">
        <v>0</v>
      </c>
      <c s="6" r="BF603">
        <v>0</v>
      </c>
      <c s="6" r="BG603">
        <v>0</v>
      </c>
      <c s="6" r="BH603">
        <v>0</v>
      </c>
      <c s="6" r="BI603">
        <v>0</v>
      </c>
      <c s="6" r="BJ603">
        <v>0</v>
      </c>
      <c s="6" r="BK603">
        <v>0</v>
      </c>
      <c s="6" r="BL603">
        <v>0</v>
      </c>
      <c s="6" r="BM603">
        <v>0</v>
      </c>
      <c s="6" r="BN603">
        <v>0</v>
      </c>
      <c s="6" r="BO603">
        <v>0</v>
      </c>
      <c s="6" r="BP603">
        <v>0</v>
      </c>
      <c s="6" r="BQ603">
        <v>0</v>
      </c>
      <c t="str" s="6" r="BR603">
        <f>HYPERLINK("http://www.d20pfsrd.com/magic/all-spells/w/waves-of-exhaustion","Waves of Exhaustion")</f>
        <v>Waves of Exhaustion</v>
      </c>
      <c s="6" r="BS603">
        <v>606</v>
      </c>
      <c t="s" s="6" r="BT603">
        <v>92</v>
      </c>
      <c t="s" s="6" r="BU603">
        <v>4559</v>
      </c>
      <c t="s" s="6" r="BV603">
        <v>489</v>
      </c>
      <c s="6" r="BY603">
        <v>0</v>
      </c>
    </row>
    <row customHeight="1" r="604" ht="14.25">
      <c t="s" s="6" r="A604">
        <v>4754</v>
      </c>
      <c t="s" s="6" r="B604">
        <v>227</v>
      </c>
      <c t="s" s="6" r="E604">
        <v>1755</v>
      </c>
      <c t="s" s="6" r="F604">
        <v>81</v>
      </c>
      <c t="s" s="6" r="G604">
        <v>106</v>
      </c>
      <c s="6" r="H604">
        <v>0</v>
      </c>
      <c t="s" s="6" r="I604">
        <v>1052</v>
      </c>
      <c t="s" s="6" r="J604">
        <v>630</v>
      </c>
      <c t="s" s="6" r="M604">
        <v>109</v>
      </c>
      <c s="6" r="N604">
        <v>0</v>
      </c>
      <c s="6" r="O604">
        <v>0</v>
      </c>
      <c t="s" s="6" r="P604">
        <v>86</v>
      </c>
      <c t="s" s="6" r="Q604">
        <v>188</v>
      </c>
      <c t="s" s="6" r="R604">
        <v>4755</v>
      </c>
      <c t="s" s="6" r="S604">
        <v>4756</v>
      </c>
      <c t="s" s="6" r="T604">
        <v>90</v>
      </c>
      <c t="s" s="6" r="U604">
        <v>4757</v>
      </c>
      <c s="6" r="V604">
        <v>1</v>
      </c>
      <c s="6" r="W604">
        <v>1</v>
      </c>
      <c s="6" r="X604">
        <v>0</v>
      </c>
      <c s="6" r="Y604">
        <v>0</v>
      </c>
      <c s="6" r="Z604">
        <v>0</v>
      </c>
      <c s="6" r="AA604">
        <v>5</v>
      </c>
      <c s="6" r="AB604">
        <v>5</v>
      </c>
      <c t="s" s="6" r="AC604">
        <v>92</v>
      </c>
      <c t="s" s="6" r="AD604">
        <v>92</v>
      </c>
      <c t="s" s="6" r="AE604">
        <v>92</v>
      </c>
      <c t="s" s="6" r="AF604">
        <v>92</v>
      </c>
      <c t="s" s="6" r="AG604">
        <v>92</v>
      </c>
      <c t="s" s="6" r="AH604">
        <v>92</v>
      </c>
      <c t="s" s="6" r="AI604">
        <v>92</v>
      </c>
      <c s="6" r="AJ604">
        <v>5</v>
      </c>
      <c t="s" s="6" r="AK604">
        <v>92</v>
      </c>
      <c t="s" s="6" r="AL604">
        <v>92</v>
      </c>
      <c t="s" s="6" r="AM604">
        <v>92</v>
      </c>
      <c t="s" s="6" r="AN604">
        <v>92</v>
      </c>
      <c s="6" r="AP604">
        <v>5</v>
      </c>
      <c t="s" s="6" r="AQ604">
        <v>4758</v>
      </c>
      <c t="s" s="6" r="AR604">
        <v>4759</v>
      </c>
      <c s="6" r="AS604">
        <v>0</v>
      </c>
      <c s="6" r="AT604">
        <v>0</v>
      </c>
      <c s="6" r="AU604">
        <v>0</v>
      </c>
      <c s="6" r="AV604">
        <v>0</v>
      </c>
      <c s="6" r="AW604">
        <v>0</v>
      </c>
      <c s="6" r="AX604">
        <v>0</v>
      </c>
      <c s="6" r="AY604">
        <v>0</v>
      </c>
      <c s="6" r="AZ604">
        <v>0</v>
      </c>
      <c s="6" r="BA604">
        <v>0</v>
      </c>
      <c s="6" r="BB604">
        <v>0</v>
      </c>
      <c s="6" r="BC604">
        <v>0</v>
      </c>
      <c s="6" r="BD604">
        <v>0</v>
      </c>
      <c s="6" r="BE604">
        <v>0</v>
      </c>
      <c s="6" r="BF604">
        <v>0</v>
      </c>
      <c s="6" r="BG604">
        <v>0</v>
      </c>
      <c s="6" r="BH604">
        <v>0</v>
      </c>
      <c s="6" r="BI604">
        <v>0</v>
      </c>
      <c s="6" r="BJ604">
        <v>0</v>
      </c>
      <c s="6" r="BK604">
        <v>0</v>
      </c>
      <c s="6" r="BL604">
        <v>0</v>
      </c>
      <c s="6" r="BM604">
        <v>0</v>
      </c>
      <c s="6" r="BN604">
        <v>0</v>
      </c>
      <c s="6" r="BO604">
        <v>0</v>
      </c>
      <c s="6" r="BP604">
        <v>0</v>
      </c>
      <c s="6" r="BQ604">
        <v>0</v>
      </c>
      <c t="str" s="6" r="BR604">
        <f>HYPERLINK("http://www.d20pfsrd.com/magic/all-spells/w/waves-of-fatigue","Waves of Fatigue")</f>
        <v>Waves of Fatigue</v>
      </c>
      <c s="6" r="BS604">
        <v>607</v>
      </c>
      <c t="s" s="6" r="BT604">
        <v>92</v>
      </c>
      <c t="s" s="6" r="BU604">
        <v>236</v>
      </c>
      <c s="6" r="BY604">
        <v>0</v>
      </c>
    </row>
    <row customHeight="1" r="605" ht="14.25">
      <c t="s" s="6" r="A605">
        <v>4760</v>
      </c>
      <c t="s" s="6" r="B605">
        <v>78</v>
      </c>
      <c t="s" s="6" r="C605">
        <v>79</v>
      </c>
      <c t="s" s="6" r="E605">
        <v>4761</v>
      </c>
      <c t="s" s="6" r="F605">
        <v>81</v>
      </c>
      <c t="s" s="6" r="G605">
        <v>4762</v>
      </c>
      <c s="6" r="H605">
        <v>0</v>
      </c>
      <c t="s" s="6" r="I605">
        <v>97</v>
      </c>
      <c t="s" s="6" r="K605">
        <v>4763</v>
      </c>
      <c t="s" s="6" r="M605">
        <v>283</v>
      </c>
      <c s="6" r="N605">
        <v>1</v>
      </c>
      <c s="6" r="O605">
        <v>0</v>
      </c>
      <c t="s" s="6" r="P605">
        <v>4701</v>
      </c>
      <c t="s" s="6" r="Q605">
        <v>87</v>
      </c>
      <c t="s" s="6" r="R605">
        <v>4764</v>
      </c>
      <c t="s" s="6" r="S605">
        <v>4765</v>
      </c>
      <c t="s" s="6" r="T605">
        <v>90</v>
      </c>
      <c t="s" s="6" r="U605">
        <v>4766</v>
      </c>
      <c s="6" r="V605">
        <v>1</v>
      </c>
      <c s="6" r="W605">
        <v>1</v>
      </c>
      <c s="6" r="X605">
        <v>1</v>
      </c>
      <c s="6" r="Y605">
        <v>0</v>
      </c>
      <c s="6" r="Z605">
        <v>0</v>
      </c>
      <c s="6" r="AA605">
        <v>2</v>
      </c>
      <c s="6" r="AB605">
        <v>2</v>
      </c>
      <c t="s" s="6" r="AC605">
        <v>92</v>
      </c>
      <c t="s" s="6" r="AD605">
        <v>92</v>
      </c>
      <c t="s" s="6" r="AE605">
        <v>92</v>
      </c>
      <c t="s" s="6" r="AF605">
        <v>92</v>
      </c>
      <c t="s" s="6" r="AG605">
        <v>92</v>
      </c>
      <c t="s" s="6" r="AH605">
        <v>92</v>
      </c>
      <c t="s" s="6" r="AI605">
        <v>92</v>
      </c>
      <c s="6" r="AJ605">
        <v>2</v>
      </c>
      <c t="s" s="6" r="AK605">
        <v>92</v>
      </c>
      <c t="s" s="6" r="AL605">
        <v>92</v>
      </c>
      <c t="s" s="6" r="AM605">
        <v>92</v>
      </c>
      <c s="6" r="AN605">
        <v>2</v>
      </c>
      <c s="6" r="AP605">
        <v>2</v>
      </c>
      <c t="s" s="6" r="AR605">
        <v>4767</v>
      </c>
      <c s="6" r="AS605">
        <v>0</v>
      </c>
      <c s="6" r="AT605">
        <v>0</v>
      </c>
      <c s="6" r="AU605">
        <v>0</v>
      </c>
      <c s="6" r="AV605">
        <v>0</v>
      </c>
      <c s="6" r="AW605">
        <v>0</v>
      </c>
      <c s="6" r="AX605">
        <v>0</v>
      </c>
      <c s="6" r="AY605">
        <v>0</v>
      </c>
      <c s="6" r="AZ605">
        <v>0</v>
      </c>
      <c s="6" r="BA605">
        <v>0</v>
      </c>
      <c s="6" r="BB605">
        <v>0</v>
      </c>
      <c s="6" r="BC605">
        <v>0</v>
      </c>
      <c s="6" r="BD605">
        <v>0</v>
      </c>
      <c s="6" r="BE605">
        <v>0</v>
      </c>
      <c s="6" r="BF605">
        <v>0</v>
      </c>
      <c s="6" r="BG605">
        <v>0</v>
      </c>
      <c s="6" r="BH605">
        <v>0</v>
      </c>
      <c s="6" r="BI605">
        <v>0</v>
      </c>
      <c s="6" r="BJ605">
        <v>0</v>
      </c>
      <c s="6" r="BK605">
        <v>0</v>
      </c>
      <c s="6" r="BL605">
        <v>0</v>
      </c>
      <c s="6" r="BM605">
        <v>0</v>
      </c>
      <c s="6" r="BN605">
        <v>0</v>
      </c>
      <c s="6" r="BO605">
        <v>0</v>
      </c>
      <c s="6" r="BP605">
        <v>0</v>
      </c>
      <c s="6" r="BQ605">
        <v>0</v>
      </c>
      <c t="str" s="6" r="BR605">
        <f>HYPERLINK("http://www.d20pfsrd.com/magic/all-spells/w/web","Web")</f>
        <v>Web</v>
      </c>
      <c s="6" r="BS605">
        <v>608</v>
      </c>
      <c t="s" s="6" r="BT605">
        <v>92</v>
      </c>
      <c t="s" s="6" r="BW605">
        <v>4768</v>
      </c>
      <c t="s" s="6" r="BX605">
        <v>4769</v>
      </c>
      <c s="6" r="BY605">
        <v>1</v>
      </c>
    </row>
    <row customHeight="1" r="606" ht="14.25">
      <c t="s" s="6" r="A606">
        <v>4770</v>
      </c>
      <c t="s" s="6" r="B606">
        <v>579</v>
      </c>
      <c t="s" s="6" r="C606">
        <v>1523</v>
      </c>
      <c t="s" s="6" r="D606">
        <v>3713</v>
      </c>
      <c t="s" s="6" r="E606">
        <v>1058</v>
      </c>
      <c t="s" s="6" r="F606">
        <v>81</v>
      </c>
      <c t="s" s="6" r="G606">
        <v>106</v>
      </c>
      <c s="6" r="H606">
        <v>0</v>
      </c>
      <c t="s" s="6" r="I606">
        <v>97</v>
      </c>
      <c t="s" s="6" r="L606">
        <v>4771</v>
      </c>
      <c t="s" s="6" r="M606">
        <v>109</v>
      </c>
      <c s="6" r="N606">
        <v>0</v>
      </c>
      <c s="6" r="O606">
        <v>0</v>
      </c>
      <c t="s" s="6" r="P606">
        <v>3156</v>
      </c>
      <c t="s" s="6" r="Q606">
        <v>188</v>
      </c>
      <c t="s" s="6" r="R606">
        <v>4772</v>
      </c>
      <c t="s" s="6" r="S606">
        <v>4773</v>
      </c>
      <c t="s" s="6" r="T606">
        <v>90</v>
      </c>
      <c t="s" s="6" r="U606">
        <v>4774</v>
      </c>
      <c s="6" r="V606">
        <v>1</v>
      </c>
      <c s="6" r="W606">
        <v>1</v>
      </c>
      <c s="6" r="X606">
        <v>0</v>
      </c>
      <c s="6" r="Y606">
        <v>0</v>
      </c>
      <c s="6" r="Z606">
        <v>0</v>
      </c>
      <c s="6" r="AA606">
        <v>9</v>
      </c>
      <c s="6" r="AB606">
        <v>9</v>
      </c>
      <c t="s" s="6" r="AC606">
        <v>92</v>
      </c>
      <c t="s" s="6" r="AD606">
        <v>92</v>
      </c>
      <c t="s" s="6" r="AE606">
        <v>92</v>
      </c>
      <c t="s" s="6" r="AF606">
        <v>92</v>
      </c>
      <c t="s" s="6" r="AG606">
        <v>92</v>
      </c>
      <c t="s" s="6" r="AH606">
        <v>92</v>
      </c>
      <c t="s" s="6" r="AI606">
        <v>92</v>
      </c>
      <c t="s" s="6" r="AJ606">
        <v>92</v>
      </c>
      <c t="s" s="6" r="AK606">
        <v>92</v>
      </c>
      <c t="s" s="6" r="AL606">
        <v>92</v>
      </c>
      <c t="s" s="6" r="AM606">
        <v>92</v>
      </c>
      <c t="s" s="6" r="AN606">
        <v>92</v>
      </c>
      <c s="6" r="AP606">
        <v>9</v>
      </c>
      <c t="s" s="6" r="AQ606">
        <v>3160</v>
      </c>
      <c t="s" s="6" r="AR606">
        <v>4775</v>
      </c>
      <c s="6" r="AS606">
        <v>0</v>
      </c>
      <c s="6" r="AT606">
        <v>0</v>
      </c>
      <c s="6" r="AU606">
        <v>0</v>
      </c>
      <c s="6" r="AV606">
        <v>0</v>
      </c>
      <c s="6" r="AW606">
        <v>0</v>
      </c>
      <c s="6" r="AX606">
        <v>0</v>
      </c>
      <c s="6" r="AY606">
        <v>0</v>
      </c>
      <c s="6" r="AZ606">
        <v>0</v>
      </c>
      <c s="6" r="BA606">
        <v>0</v>
      </c>
      <c s="6" r="BB606">
        <v>0</v>
      </c>
      <c s="6" r="BC606">
        <v>1</v>
      </c>
      <c s="6" r="BD606">
        <v>0</v>
      </c>
      <c s="6" r="BE606">
        <v>1</v>
      </c>
      <c s="6" r="BF606">
        <v>0</v>
      </c>
      <c s="6" r="BG606">
        <v>0</v>
      </c>
      <c s="6" r="BH606">
        <v>0</v>
      </c>
      <c s="6" r="BI606">
        <v>0</v>
      </c>
      <c s="6" r="BJ606">
        <v>0</v>
      </c>
      <c s="6" r="BK606">
        <v>0</v>
      </c>
      <c s="6" r="BL606">
        <v>1</v>
      </c>
      <c s="6" r="BM606">
        <v>0</v>
      </c>
      <c s="6" r="BN606">
        <v>0</v>
      </c>
      <c s="6" r="BO606">
        <v>0</v>
      </c>
      <c s="6" r="BP606">
        <v>0</v>
      </c>
      <c s="6" r="BQ606">
        <v>0</v>
      </c>
      <c t="str" s="6" r="BR606">
        <f>HYPERLINK("http://www.d20pfsrd.com/magic/all-spells/w/weird","Weird")</f>
        <v>Weird</v>
      </c>
      <c s="6" r="BS606">
        <v>609</v>
      </c>
      <c t="s" s="6" r="BT606">
        <v>92</v>
      </c>
      <c t="s" s="6" r="BV606">
        <v>129</v>
      </c>
      <c s="6" r="BY606">
        <v>0</v>
      </c>
    </row>
    <row customHeight="1" r="607" ht="14.25">
      <c t="s" s="6" r="A607">
        <v>4776</v>
      </c>
      <c t="s" s="6" r="B607">
        <v>493</v>
      </c>
      <c t="s" s="6" r="D607">
        <v>45</v>
      </c>
      <c t="s" s="6" r="E607">
        <v>207</v>
      </c>
      <c t="s" s="6" r="F607">
        <v>81</v>
      </c>
      <c t="s" s="6" r="G607">
        <v>119</v>
      </c>
      <c s="6" r="H607">
        <v>0</v>
      </c>
      <c t="s" s="6" r="I607">
        <v>83</v>
      </c>
      <c t="s" s="6" r="K607">
        <v>4777</v>
      </c>
      <c t="s" s="6" r="M607">
        <v>99</v>
      </c>
      <c s="6" r="N607">
        <v>1</v>
      </c>
      <c s="6" r="O607">
        <v>0</v>
      </c>
      <c t="s" s="6" r="P607">
        <v>4701</v>
      </c>
      <c t="s" s="6" r="Q607">
        <v>188</v>
      </c>
      <c t="s" s="6" r="R607">
        <v>4778</v>
      </c>
      <c t="s" s="6" r="S607">
        <v>4779</v>
      </c>
      <c t="s" s="6" r="T607">
        <v>90</v>
      </c>
      <c t="s" s="6" r="U607">
        <v>4780</v>
      </c>
      <c s="6" r="V607">
        <v>1</v>
      </c>
      <c s="6" r="W607">
        <v>1</v>
      </c>
      <c s="6" r="X607">
        <v>0</v>
      </c>
      <c s="6" r="Y607">
        <v>0</v>
      </c>
      <c s="6" r="Z607">
        <v>1</v>
      </c>
      <c t="s" s="6" r="AA607">
        <v>92</v>
      </c>
      <c t="s" s="6" r="AB607">
        <v>92</v>
      </c>
      <c t="s" s="6" r="AC607">
        <v>92</v>
      </c>
      <c s="6" r="AD607">
        <v>8</v>
      </c>
      <c t="s" s="6" r="AE607">
        <v>92</v>
      </c>
      <c t="s" s="6" r="AF607">
        <v>92</v>
      </c>
      <c t="s" s="6" r="AG607">
        <v>92</v>
      </c>
      <c t="s" s="6" r="AH607">
        <v>92</v>
      </c>
      <c t="s" s="6" r="AI607">
        <v>92</v>
      </c>
      <c t="s" s="6" r="AJ607">
        <v>92</v>
      </c>
      <c t="s" s="6" r="AK607">
        <v>92</v>
      </c>
      <c t="s" s="6" r="AL607">
        <v>92</v>
      </c>
      <c t="s" s="6" r="AM607">
        <v>92</v>
      </c>
      <c t="s" s="6" r="AN607">
        <v>92</v>
      </c>
      <c s="6" r="AP607">
        <v>8</v>
      </c>
      <c t="s" s="6" r="AQ607">
        <v>1008</v>
      </c>
      <c t="s" s="6" r="AR607">
        <v>4781</v>
      </c>
      <c s="6" r="AS607">
        <v>0</v>
      </c>
      <c s="6" r="AT607">
        <v>1</v>
      </c>
      <c s="6" r="AU607">
        <v>0</v>
      </c>
      <c s="6" r="AV607">
        <v>0</v>
      </c>
      <c s="6" r="AW607">
        <v>0</v>
      </c>
      <c s="6" r="AX607">
        <v>0</v>
      </c>
      <c s="6" r="AY607">
        <v>0</v>
      </c>
      <c s="6" r="AZ607">
        <v>0</v>
      </c>
      <c s="6" r="BA607">
        <v>0</v>
      </c>
      <c s="6" r="BB607">
        <v>0</v>
      </c>
      <c s="6" r="BC607">
        <v>0</v>
      </c>
      <c s="6" r="BD607">
        <v>0</v>
      </c>
      <c s="6" r="BE607">
        <v>0</v>
      </c>
      <c s="6" r="BF607">
        <v>0</v>
      </c>
      <c s="6" r="BG607">
        <v>0</v>
      </c>
      <c s="6" r="BH607">
        <v>0</v>
      </c>
      <c s="6" r="BI607">
        <v>0</v>
      </c>
      <c s="6" r="BJ607">
        <v>0</v>
      </c>
      <c s="6" r="BK607">
        <v>0</v>
      </c>
      <c s="6" r="BL607">
        <v>0</v>
      </c>
      <c s="6" r="BM607">
        <v>0</v>
      </c>
      <c s="6" r="BN607">
        <v>0</v>
      </c>
      <c s="6" r="BO607">
        <v>0</v>
      </c>
      <c s="6" r="BP607">
        <v>0</v>
      </c>
      <c s="6" r="BQ607">
        <v>0</v>
      </c>
      <c t="str" s="6" r="BR607">
        <f>HYPERLINK("http://www.d20pfsrd.com/magic/all-spells/w/whirlwind","Whirlwind")</f>
        <v>Whirlwind</v>
      </c>
      <c s="6" r="BS607">
        <v>610</v>
      </c>
      <c t="s" s="6" r="BT607">
        <v>92</v>
      </c>
      <c t="s" s="6" r="BU607">
        <v>999</v>
      </c>
      <c s="6" r="BY607">
        <v>0</v>
      </c>
    </row>
    <row customHeight="1" r="608" ht="14.25">
      <c t="s" s="6" r="A608">
        <v>4782</v>
      </c>
      <c t="s" s="6" r="B608">
        <v>131</v>
      </c>
      <c t="s" s="6" r="D608">
        <v>45</v>
      </c>
      <c t="s" s="6" r="E608">
        <v>4783</v>
      </c>
      <c t="s" s="6" r="F608">
        <v>81</v>
      </c>
      <c t="s" s="6" r="G608">
        <v>106</v>
      </c>
      <c s="6" r="H608">
        <v>0</v>
      </c>
      <c t="s" s="6" r="I608">
        <v>4784</v>
      </c>
      <c t="s" s="6" r="J608">
        <v>4053</v>
      </c>
      <c t="s" s="6" r="M608">
        <v>4785</v>
      </c>
      <c s="6" r="N608">
        <v>0</v>
      </c>
      <c s="6" r="O608">
        <v>0</v>
      </c>
      <c t="s" s="6" r="P608">
        <v>86</v>
      </c>
      <c t="s" s="6" r="Q608">
        <v>87</v>
      </c>
      <c t="s" s="6" r="R608">
        <v>4786</v>
      </c>
      <c t="s" s="6" r="S608">
        <v>4787</v>
      </c>
      <c t="s" s="6" r="T608">
        <v>90</v>
      </c>
      <c t="s" s="6" r="U608">
        <v>4788</v>
      </c>
      <c s="6" r="V608">
        <v>1</v>
      </c>
      <c s="6" r="W608">
        <v>1</v>
      </c>
      <c s="6" r="X608">
        <v>0</v>
      </c>
      <c s="6" r="Y608">
        <v>0</v>
      </c>
      <c s="6" r="Z608">
        <v>0</v>
      </c>
      <c s="6" r="AA608">
        <v>2</v>
      </c>
      <c s="6" r="AB608">
        <v>2</v>
      </c>
      <c t="s" s="6" r="AC608">
        <v>92</v>
      </c>
      <c t="s" s="6" r="AD608">
        <v>92</v>
      </c>
      <c t="s" s="6" r="AE608">
        <v>92</v>
      </c>
      <c s="6" r="AF608">
        <v>2</v>
      </c>
      <c t="s" s="6" r="AG608">
        <v>92</v>
      </c>
      <c t="s" s="6" r="AH608">
        <v>92</v>
      </c>
      <c t="s" s="6" r="AI608">
        <v>92</v>
      </c>
      <c t="s" s="6" r="AJ608">
        <v>92</v>
      </c>
      <c s="6" r="AK608">
        <v>2</v>
      </c>
      <c t="s" s="6" r="AL608">
        <v>92</v>
      </c>
      <c t="s" s="6" r="AM608">
        <v>92</v>
      </c>
      <c t="s" s="6" r="AN608">
        <v>92</v>
      </c>
      <c s="6" r="AP608">
        <v>2</v>
      </c>
      <c t="s" s="6" r="AQ608">
        <v>4789</v>
      </c>
      <c t="s" s="6" r="AR608">
        <v>4790</v>
      </c>
      <c s="6" r="AS608">
        <v>0</v>
      </c>
      <c s="6" r="AT608">
        <v>1</v>
      </c>
      <c s="6" r="AU608">
        <v>0</v>
      </c>
      <c s="6" r="AV608">
        <v>0</v>
      </c>
      <c s="6" r="AW608">
        <v>0</v>
      </c>
      <c s="6" r="AX608">
        <v>0</v>
      </c>
      <c s="6" r="AY608">
        <v>0</v>
      </c>
      <c s="6" r="AZ608">
        <v>0</v>
      </c>
      <c s="6" r="BA608">
        <v>0</v>
      </c>
      <c s="6" r="BB608">
        <v>0</v>
      </c>
      <c s="6" r="BC608">
        <v>0</v>
      </c>
      <c s="6" r="BD608">
        <v>0</v>
      </c>
      <c s="6" r="BE608">
        <v>0</v>
      </c>
      <c s="6" r="BF608">
        <v>0</v>
      </c>
      <c s="6" r="BG608">
        <v>0</v>
      </c>
      <c s="6" r="BH608">
        <v>0</v>
      </c>
      <c s="6" r="BI608">
        <v>0</v>
      </c>
      <c s="6" r="BJ608">
        <v>0</v>
      </c>
      <c s="6" r="BK608">
        <v>0</v>
      </c>
      <c s="6" r="BL608">
        <v>0</v>
      </c>
      <c s="6" r="BM608">
        <v>0</v>
      </c>
      <c s="6" r="BN608">
        <v>0</v>
      </c>
      <c s="6" r="BO608">
        <v>0</v>
      </c>
      <c s="6" r="BP608">
        <v>0</v>
      </c>
      <c s="6" r="BQ608">
        <v>0</v>
      </c>
      <c t="str" s="6" r="BR608">
        <f>HYPERLINK("http://www.d20pfsrd.com/magic/all-spells/w/whispering-wind","Whispering Wind")</f>
        <v>Whispering Wind</v>
      </c>
      <c s="6" r="BS608">
        <v>611</v>
      </c>
      <c t="s" s="6" r="BT608">
        <v>92</v>
      </c>
      <c s="6" r="BY608">
        <v>0</v>
      </c>
    </row>
    <row customHeight="1" r="609" ht="14.25">
      <c t="s" s="6" r="A609">
        <v>4791</v>
      </c>
      <c t="s" s="6" r="B609">
        <v>131</v>
      </c>
      <c t="s" s="6" r="D609">
        <v>45</v>
      </c>
      <c t="s" s="6" r="E609">
        <v>4792</v>
      </c>
      <c t="s" s="6" r="F609">
        <v>81</v>
      </c>
      <c t="s" s="6" r="G609">
        <v>119</v>
      </c>
      <c s="6" r="H609">
        <v>0</v>
      </c>
      <c t="s" s="6" r="I609">
        <v>120</v>
      </c>
      <c t="s" s="6" r="L609">
        <v>4793</v>
      </c>
      <c t="s" s="6" r="M609">
        <v>4794</v>
      </c>
      <c s="6" r="N609">
        <v>1</v>
      </c>
      <c s="6" r="O609">
        <v>0</v>
      </c>
      <c t="s" s="6" r="P609">
        <v>4795</v>
      </c>
      <c t="s" s="6" r="Q609">
        <v>4796</v>
      </c>
      <c t="s" s="6" r="R609">
        <v>4797</v>
      </c>
      <c t="s" s="6" r="S609">
        <v>4798</v>
      </c>
      <c t="s" s="6" r="T609">
        <v>90</v>
      </c>
      <c t="s" s="6" r="U609">
        <v>4799</v>
      </c>
      <c s="6" r="V609">
        <v>1</v>
      </c>
      <c s="6" r="W609">
        <v>1</v>
      </c>
      <c s="6" r="X609">
        <v>0</v>
      </c>
      <c s="6" r="Y609">
        <v>0</v>
      </c>
      <c s="6" r="Z609">
        <v>1</v>
      </c>
      <c t="s" s="6" r="AA609">
        <v>92</v>
      </c>
      <c t="s" s="6" r="AB609">
        <v>92</v>
      </c>
      <c s="6" r="AC609">
        <v>6</v>
      </c>
      <c s="6" r="AD609">
        <v>7</v>
      </c>
      <c t="s" s="6" r="AE609">
        <v>92</v>
      </c>
      <c t="s" s="6" r="AF609">
        <v>92</v>
      </c>
      <c t="s" s="6" r="AG609">
        <v>92</v>
      </c>
      <c s="6" r="AH609">
        <v>6</v>
      </c>
      <c t="s" s="6" r="AI609">
        <v>92</v>
      </c>
      <c t="s" s="6" r="AJ609">
        <v>92</v>
      </c>
      <c t="s" s="6" r="AK609">
        <v>92</v>
      </c>
      <c s="6" r="AL609">
        <v>6</v>
      </c>
      <c t="s" s="6" r="AM609">
        <v>92</v>
      </c>
      <c t="s" s="6" r="AN609">
        <v>92</v>
      </c>
      <c s="6" r="AP609">
        <v>6</v>
      </c>
      <c t="s" s="6" r="AQ609">
        <v>4789</v>
      </c>
      <c t="s" s="6" r="AR609">
        <v>4800</v>
      </c>
      <c s="6" r="AS609">
        <v>0</v>
      </c>
      <c s="6" r="AT609">
        <v>1</v>
      </c>
      <c s="6" r="AU609">
        <v>0</v>
      </c>
      <c s="6" r="AV609">
        <v>0</v>
      </c>
      <c s="6" r="AW609">
        <v>0</v>
      </c>
      <c s="6" r="AX609">
        <v>0</v>
      </c>
      <c s="6" r="AY609">
        <v>0</v>
      </c>
      <c s="6" r="AZ609">
        <v>0</v>
      </c>
      <c s="6" r="BA609">
        <v>0</v>
      </c>
      <c s="6" r="BB609">
        <v>0</v>
      </c>
      <c s="6" r="BC609">
        <v>0</v>
      </c>
      <c s="6" r="BD609">
        <v>0</v>
      </c>
      <c s="6" r="BE609">
        <v>0</v>
      </c>
      <c s="6" r="BF609">
        <v>0</v>
      </c>
      <c s="6" r="BG609">
        <v>0</v>
      </c>
      <c s="6" r="BH609">
        <v>0</v>
      </c>
      <c s="6" r="BI609">
        <v>0</v>
      </c>
      <c s="6" r="BJ609">
        <v>0</v>
      </c>
      <c s="6" r="BK609">
        <v>0</v>
      </c>
      <c s="6" r="BL609">
        <v>0</v>
      </c>
      <c s="6" r="BM609">
        <v>0</v>
      </c>
      <c s="6" r="BN609">
        <v>0</v>
      </c>
      <c s="6" r="BO609">
        <v>0</v>
      </c>
      <c s="6" r="BP609">
        <v>0</v>
      </c>
      <c s="6" r="BQ609">
        <v>0</v>
      </c>
      <c t="str" s="6" r="BR609">
        <f>HYPERLINK("http://www.d20pfsrd.com/magic/all-spells/w/wind-walk","Wind Walk")</f>
        <v>Wind Walk</v>
      </c>
      <c s="6" r="BS609">
        <v>612</v>
      </c>
      <c t="s" s="6" r="BT609">
        <v>92</v>
      </c>
      <c s="6" r="BY609">
        <v>0</v>
      </c>
    </row>
    <row customHeight="1" r="610" ht="14.25">
      <c t="s" s="6" r="A610">
        <v>4801</v>
      </c>
      <c t="s" s="6" r="B610">
        <v>493</v>
      </c>
      <c t="s" s="6" r="D610">
        <v>45</v>
      </c>
      <c t="s" s="6" r="E610">
        <v>4802</v>
      </c>
      <c t="s" s="6" r="F610">
        <v>81</v>
      </c>
      <c t="s" s="6" r="G610">
        <v>4803</v>
      </c>
      <c s="6" r="H610">
        <v>0</v>
      </c>
      <c t="s" s="6" r="I610">
        <v>97</v>
      </c>
      <c t="s" s="6" r="K610">
        <v>4804</v>
      </c>
      <c t="s" s="6" r="M610">
        <v>99</v>
      </c>
      <c s="6" r="N610">
        <v>0</v>
      </c>
      <c s="6" r="O610">
        <v>0</v>
      </c>
      <c t="s" s="6" r="P610">
        <v>201</v>
      </c>
      <c t="s" s="6" r="Q610">
        <v>188</v>
      </c>
      <c t="s" s="6" r="R610">
        <v>4805</v>
      </c>
      <c t="s" s="6" r="S610">
        <v>4806</v>
      </c>
      <c t="s" s="6" r="T610">
        <v>90</v>
      </c>
      <c t="s" s="6" r="U610">
        <v>4807</v>
      </c>
      <c s="6" r="V610">
        <v>1</v>
      </c>
      <c s="6" r="W610">
        <v>1</v>
      </c>
      <c s="6" r="X610">
        <v>1</v>
      </c>
      <c s="6" r="Y610">
        <v>0</v>
      </c>
      <c s="6" r="Z610">
        <v>1</v>
      </c>
      <c s="6" r="AA610">
        <v>3</v>
      </c>
      <c s="6" r="AB610">
        <v>3</v>
      </c>
      <c s="6" r="AC610">
        <v>3</v>
      </c>
      <c s="6" r="AD610">
        <v>3</v>
      </c>
      <c s="6" r="AE610">
        <v>2</v>
      </c>
      <c t="s" s="6" r="AF610">
        <v>92</v>
      </c>
      <c t="s" s="6" r="AG610">
        <v>92</v>
      </c>
      <c t="s" s="6" r="AH610">
        <v>92</v>
      </c>
      <c s="6" r="AI610">
        <v>2</v>
      </c>
      <c t="s" s="6" r="AJ610">
        <v>92</v>
      </c>
      <c t="s" s="6" r="AK610">
        <v>92</v>
      </c>
      <c s="6" r="AL610">
        <v>3</v>
      </c>
      <c t="s" s="6" r="AM610">
        <v>92</v>
      </c>
      <c s="6" r="AN610">
        <v>3</v>
      </c>
      <c s="6" r="AP610">
        <v>3</v>
      </c>
      <c t="s" s="6" r="AQ610">
        <v>138</v>
      </c>
      <c t="s" s="6" r="AR610">
        <v>4808</v>
      </c>
      <c s="6" r="AS610">
        <v>0</v>
      </c>
      <c s="6" r="AT610">
        <v>1</v>
      </c>
      <c s="6" r="AU610">
        <v>0</v>
      </c>
      <c s="6" r="AV610">
        <v>0</v>
      </c>
      <c s="6" r="AW610">
        <v>0</v>
      </c>
      <c s="6" r="AX610">
        <v>0</v>
      </c>
      <c s="6" r="AY610">
        <v>0</v>
      </c>
      <c s="6" r="AZ610">
        <v>0</v>
      </c>
      <c s="6" r="BA610">
        <v>0</v>
      </c>
      <c s="6" r="BB610">
        <v>0</v>
      </c>
      <c s="6" r="BC610">
        <v>0</v>
      </c>
      <c s="6" r="BD610">
        <v>0</v>
      </c>
      <c s="6" r="BE610">
        <v>0</v>
      </c>
      <c s="6" r="BF610">
        <v>0</v>
      </c>
      <c s="6" r="BG610">
        <v>0</v>
      </c>
      <c s="6" r="BH610">
        <v>0</v>
      </c>
      <c s="6" r="BI610">
        <v>0</v>
      </c>
      <c s="6" r="BJ610">
        <v>0</v>
      </c>
      <c s="6" r="BK610">
        <v>0</v>
      </c>
      <c s="6" r="BL610">
        <v>0</v>
      </c>
      <c s="6" r="BM610">
        <v>0</v>
      </c>
      <c s="6" r="BN610">
        <v>0</v>
      </c>
      <c s="6" r="BO610">
        <v>0</v>
      </c>
      <c s="6" r="BP610">
        <v>0</v>
      </c>
      <c s="6" r="BQ610">
        <v>0</v>
      </c>
      <c t="str" s="6" r="BR610">
        <f>HYPERLINK("http://www.d20pfsrd.com/magic/all-spells/w/wind-wall","Wind Wall")</f>
        <v>Wind Wall</v>
      </c>
      <c s="6" r="BS610">
        <v>613</v>
      </c>
      <c t="s" s="6" r="BT610">
        <v>92</v>
      </c>
      <c t="s" s="6" r="BV610">
        <v>301</v>
      </c>
      <c s="6" r="BY610">
        <v>0</v>
      </c>
    </row>
    <row customHeight="1" r="611" ht="14.25">
      <c t="s" s="6" r="A611">
        <v>4809</v>
      </c>
      <c t="s" s="6" r="B611">
        <v>330</v>
      </c>
      <c t="s" s="6" r="E611">
        <v>1058</v>
      </c>
      <c t="s" s="6" r="F611">
        <v>81</v>
      </c>
      <c t="s" s="6" r="G611">
        <v>4810</v>
      </c>
      <c s="6" r="H611">
        <v>1</v>
      </c>
      <c t="s" s="6" r="I611">
        <v>141</v>
      </c>
      <c t="s" s="6" r="J611">
        <v>141</v>
      </c>
      <c t="s" s="6" r="K611">
        <v>141</v>
      </c>
      <c t="s" s="6" r="L611">
        <v>141</v>
      </c>
      <c t="s" s="6" r="M611">
        <v>141</v>
      </c>
      <c s="6" r="N611">
        <v>0</v>
      </c>
      <c s="6" r="O611">
        <v>0</v>
      </c>
      <c t="s" s="6" r="P611">
        <v>201</v>
      </c>
      <c t="s" s="6" r="Q611">
        <v>188</v>
      </c>
      <c t="s" s="6" r="R611">
        <v>4811</v>
      </c>
      <c t="s" s="6" r="S611">
        <v>4812</v>
      </c>
      <c t="s" s="6" r="T611">
        <v>90</v>
      </c>
      <c t="s" s="6" r="U611">
        <v>4813</v>
      </c>
      <c s="6" r="V611">
        <v>1</v>
      </c>
      <c s="6" r="W611">
        <v>1</v>
      </c>
      <c s="6" r="X611">
        <v>1</v>
      </c>
      <c s="6" r="Y611">
        <v>0</v>
      </c>
      <c s="6" r="Z611">
        <v>0</v>
      </c>
      <c s="6" r="AA611">
        <v>9</v>
      </c>
      <c s="6" r="AB611">
        <v>9</v>
      </c>
      <c t="s" s="6" r="AC611">
        <v>92</v>
      </c>
      <c t="s" s="6" r="AD611">
        <v>92</v>
      </c>
      <c t="s" s="6" r="AE611">
        <v>92</v>
      </c>
      <c t="s" s="6" r="AF611">
        <v>92</v>
      </c>
      <c t="s" s="6" r="AG611">
        <v>92</v>
      </c>
      <c t="s" s="6" r="AH611">
        <v>92</v>
      </c>
      <c t="s" s="6" r="AI611">
        <v>92</v>
      </c>
      <c t="s" s="6" r="AJ611">
        <v>92</v>
      </c>
      <c t="s" s="6" r="AK611">
        <v>92</v>
      </c>
      <c t="s" s="6" r="AL611">
        <v>92</v>
      </c>
      <c t="s" s="6" r="AM611">
        <v>92</v>
      </c>
      <c t="s" s="6" r="AN611">
        <v>92</v>
      </c>
      <c s="6" r="AP611">
        <v>9</v>
      </c>
      <c t="s" s="6" r="AR611">
        <v>4814</v>
      </c>
      <c s="6" r="AS611">
        <v>0</v>
      </c>
      <c s="6" r="AT611">
        <v>0</v>
      </c>
      <c s="6" r="AU611">
        <v>0</v>
      </c>
      <c s="6" r="AV611">
        <v>0</v>
      </c>
      <c s="6" r="AW611">
        <v>0</v>
      </c>
      <c s="6" r="AX611">
        <v>0</v>
      </c>
      <c s="6" r="AY611">
        <v>0</v>
      </c>
      <c s="6" r="AZ611">
        <v>0</v>
      </c>
      <c s="6" r="BA611">
        <v>0</v>
      </c>
      <c s="6" r="BB611">
        <v>0</v>
      </c>
      <c s="6" r="BC611">
        <v>0</v>
      </c>
      <c s="6" r="BD611">
        <v>0</v>
      </c>
      <c s="6" r="BE611">
        <v>0</v>
      </c>
      <c s="6" r="BF611">
        <v>0</v>
      </c>
      <c s="6" r="BG611">
        <v>0</v>
      </c>
      <c s="6" r="BH611">
        <v>0</v>
      </c>
      <c s="6" r="BI611">
        <v>0</v>
      </c>
      <c s="6" r="BJ611">
        <v>0</v>
      </c>
      <c s="6" r="BK611">
        <v>0</v>
      </c>
      <c s="6" r="BL611">
        <v>0</v>
      </c>
      <c s="6" r="BM611">
        <v>0</v>
      </c>
      <c s="6" r="BN611">
        <v>0</v>
      </c>
      <c s="6" r="BO611">
        <v>0</v>
      </c>
      <c s="6" r="BP611">
        <v>0</v>
      </c>
      <c s="6" r="BQ611">
        <v>0</v>
      </c>
      <c t="str" s="6" r="BR611">
        <f>HYPERLINK("http://www.d20pfsrd.com/magic/all-spells/w/wish","Wish")</f>
        <v>Wish</v>
      </c>
      <c s="6" r="BS611">
        <v>614</v>
      </c>
      <c s="6" r="BT611">
        <v>25000</v>
      </c>
      <c t="s" s="6" r="BU611">
        <v>4815</v>
      </c>
      <c s="6" r="BY611">
        <v>0</v>
      </c>
    </row>
    <row customHeight="1" r="612" ht="14.25">
      <c t="s" s="6" r="A612">
        <v>4816</v>
      </c>
      <c t="s" s="6" r="B612">
        <v>131</v>
      </c>
      <c t="s" s="6" r="E612">
        <v>760</v>
      </c>
      <c t="s" s="6" r="F612">
        <v>81</v>
      </c>
      <c t="s" s="6" r="G612">
        <v>119</v>
      </c>
      <c s="6" r="H612">
        <v>0</v>
      </c>
      <c t="s" s="6" r="I612">
        <v>120</v>
      </c>
      <c t="s" s="6" r="L612">
        <v>4817</v>
      </c>
      <c t="s" s="6" r="M612">
        <v>109</v>
      </c>
      <c s="6" r="N612">
        <v>0</v>
      </c>
      <c s="6" r="O612">
        <v>0</v>
      </c>
      <c t="s" s="6" r="P612">
        <v>535</v>
      </c>
      <c t="s" s="6" r="Q612">
        <v>536</v>
      </c>
      <c t="s" s="6" r="R612">
        <v>4818</v>
      </c>
      <c t="s" s="6" r="S612">
        <v>4819</v>
      </c>
      <c t="s" s="6" r="T612">
        <v>90</v>
      </c>
      <c t="s" s="6" r="U612">
        <v>4820</v>
      </c>
      <c s="6" r="V612">
        <v>1</v>
      </c>
      <c s="6" r="W612">
        <v>1</v>
      </c>
      <c s="6" r="X612">
        <v>0</v>
      </c>
      <c s="6" r="Y612">
        <v>0</v>
      </c>
      <c s="6" r="Z612">
        <v>1</v>
      </c>
      <c t="s" s="6" r="AA612">
        <v>92</v>
      </c>
      <c t="s" s="6" r="AB612">
        <v>92</v>
      </c>
      <c t="s" s="6" r="AC612">
        <v>92</v>
      </c>
      <c s="6" r="AD612">
        <v>2</v>
      </c>
      <c t="s" s="6" r="AE612">
        <v>92</v>
      </c>
      <c t="s" s="6" r="AF612">
        <v>92</v>
      </c>
      <c t="s" s="6" r="AG612">
        <v>92</v>
      </c>
      <c t="s" s="6" r="AH612">
        <v>92</v>
      </c>
      <c t="s" s="6" r="AI612">
        <v>92</v>
      </c>
      <c t="s" s="6" r="AJ612">
        <v>92</v>
      </c>
      <c t="s" s="6" r="AK612">
        <v>92</v>
      </c>
      <c t="s" s="6" r="AL612">
        <v>92</v>
      </c>
      <c t="s" s="6" r="AM612">
        <v>92</v>
      </c>
      <c t="s" s="6" r="AN612">
        <v>92</v>
      </c>
      <c s="6" r="AP612">
        <v>2</v>
      </c>
      <c t="s" s="6" r="AQ612">
        <v>267</v>
      </c>
      <c t="s" s="6" r="AR612">
        <v>4821</v>
      </c>
      <c s="6" r="AS612">
        <v>0</v>
      </c>
      <c s="6" r="AT612">
        <v>0</v>
      </c>
      <c s="6" r="AU612">
        <v>0</v>
      </c>
      <c s="6" r="AV612">
        <v>0</v>
      </c>
      <c s="6" r="AW612">
        <v>0</v>
      </c>
      <c s="6" r="AX612">
        <v>0</v>
      </c>
      <c s="6" r="AY612">
        <v>0</v>
      </c>
      <c s="6" r="AZ612">
        <v>0</v>
      </c>
      <c s="6" r="BA612">
        <v>0</v>
      </c>
      <c s="6" r="BB612">
        <v>0</v>
      </c>
      <c s="6" r="BC612">
        <v>0</v>
      </c>
      <c s="6" r="BD612">
        <v>0</v>
      </c>
      <c s="6" r="BE612">
        <v>0</v>
      </c>
      <c s="6" r="BF612">
        <v>0</v>
      </c>
      <c s="6" r="BG612">
        <v>0</v>
      </c>
      <c s="6" r="BH612">
        <v>0</v>
      </c>
      <c s="6" r="BI612">
        <v>0</v>
      </c>
      <c s="6" r="BJ612">
        <v>0</v>
      </c>
      <c s="6" r="BK612">
        <v>0</v>
      </c>
      <c s="6" r="BL612">
        <v>0</v>
      </c>
      <c s="6" r="BM612">
        <v>0</v>
      </c>
      <c s="6" r="BN612">
        <v>0</v>
      </c>
      <c s="6" r="BO612">
        <v>0</v>
      </c>
      <c s="6" r="BP612">
        <v>0</v>
      </c>
      <c s="6" r="BQ612">
        <v>0</v>
      </c>
      <c t="str" s="6" r="BR612">
        <f>HYPERLINK("http://www.d20pfsrd.com/magic/all-spells/w/wood-shape","Wood Shape")</f>
        <v>Wood Shape</v>
      </c>
      <c s="6" r="BS612">
        <v>615</v>
      </c>
      <c t="s" s="6" r="BT612">
        <v>92</v>
      </c>
      <c s="6" r="BY612">
        <v>0</v>
      </c>
    </row>
    <row customHeight="1" r="613" ht="14.25">
      <c t="s" s="6" r="A613">
        <v>4822</v>
      </c>
      <c t="s" s="6" r="B613">
        <v>78</v>
      </c>
      <c t="s" s="6" r="C613">
        <v>1356</v>
      </c>
      <c t="s" s="6" r="E613">
        <v>4823</v>
      </c>
      <c t="s" s="6" r="F613">
        <v>81</v>
      </c>
      <c t="s" s="6" r="G613">
        <v>251</v>
      </c>
      <c s="6" r="H613">
        <v>0</v>
      </c>
      <c t="s" s="6" r="I613">
        <v>313</v>
      </c>
      <c t="s" s="6" r="L613">
        <v>4824</v>
      </c>
      <c t="s" s="6" r="M613">
        <v>109</v>
      </c>
      <c s="6" r="N613">
        <v>0</v>
      </c>
      <c s="6" r="O613">
        <v>0</v>
      </c>
      <c t="s" s="6" r="P613">
        <v>4825</v>
      </c>
      <c t="s" s="6" r="Q613">
        <v>4826</v>
      </c>
      <c t="s" s="6" r="R613">
        <v>4827</v>
      </c>
      <c t="s" s="6" r="S613">
        <v>4828</v>
      </c>
      <c t="s" s="6" r="T613">
        <v>90</v>
      </c>
      <c t="s" s="6" r="U613">
        <v>4829</v>
      </c>
      <c s="6" r="V613">
        <v>1</v>
      </c>
      <c s="6" r="W613">
        <v>0</v>
      </c>
      <c s="6" r="X613">
        <v>0</v>
      </c>
      <c s="6" r="Y613">
        <v>0</v>
      </c>
      <c s="6" r="Z613">
        <v>0</v>
      </c>
      <c t="s" s="6" r="AA613">
        <v>92</v>
      </c>
      <c t="s" s="6" r="AB613">
        <v>92</v>
      </c>
      <c s="6" r="AC613">
        <v>6</v>
      </c>
      <c s="6" r="AD613">
        <v>8</v>
      </c>
      <c t="s" s="6" r="AE613">
        <v>92</v>
      </c>
      <c t="s" s="6" r="AF613">
        <v>92</v>
      </c>
      <c t="s" s="6" r="AG613">
        <v>92</v>
      </c>
      <c t="s" s="6" r="AH613">
        <v>92</v>
      </c>
      <c t="s" s="6" r="AI613">
        <v>92</v>
      </c>
      <c t="s" s="6" r="AJ613">
        <v>92</v>
      </c>
      <c t="s" s="6" r="AK613">
        <v>92</v>
      </c>
      <c s="6" r="AL613">
        <v>6</v>
      </c>
      <c t="s" s="6" r="AM613">
        <v>92</v>
      </c>
      <c t="s" s="6" r="AN613">
        <v>92</v>
      </c>
      <c s="6" r="AP613">
        <v>6</v>
      </c>
      <c t="s" s="6" r="AR613">
        <v>4830</v>
      </c>
      <c s="6" r="AS613">
        <v>0</v>
      </c>
      <c s="6" r="AT613">
        <v>0</v>
      </c>
      <c s="6" r="AU613">
        <v>0</v>
      </c>
      <c s="6" r="AV613">
        <v>0</v>
      </c>
      <c s="6" r="AW613">
        <v>0</v>
      </c>
      <c s="6" r="AX613">
        <v>0</v>
      </c>
      <c s="6" r="AY613">
        <v>0</v>
      </c>
      <c s="6" r="AZ613">
        <v>0</v>
      </c>
      <c s="6" r="BA613">
        <v>0</v>
      </c>
      <c s="6" r="BB613">
        <v>0</v>
      </c>
      <c s="6" r="BC613">
        <v>0</v>
      </c>
      <c s="6" r="BD613">
        <v>0</v>
      </c>
      <c s="6" r="BE613">
        <v>0</v>
      </c>
      <c s="6" r="BF613">
        <v>0</v>
      </c>
      <c s="6" r="BG613">
        <v>0</v>
      </c>
      <c s="6" r="BH613">
        <v>0</v>
      </c>
      <c s="6" r="BI613">
        <v>0</v>
      </c>
      <c s="6" r="BJ613">
        <v>0</v>
      </c>
      <c s="6" r="BK613">
        <v>0</v>
      </c>
      <c s="6" r="BL613">
        <v>0</v>
      </c>
      <c s="6" r="BM613">
        <v>0</v>
      </c>
      <c s="6" r="BN613">
        <v>0</v>
      </c>
      <c s="6" r="BO613">
        <v>0</v>
      </c>
      <c s="6" r="BP613">
        <v>0</v>
      </c>
      <c s="6" r="BQ613">
        <v>0</v>
      </c>
      <c t="str" s="6" r="BR613">
        <f>HYPERLINK("http://www.d20pfsrd.com/magic/all-spells/w/word-of-recall","Word of Recall")</f>
        <v>Word of Recall</v>
      </c>
      <c s="6" r="BS613">
        <v>616</v>
      </c>
      <c t="s" s="6" r="BT613">
        <v>92</v>
      </c>
      <c t="s" s="6" r="BV613">
        <v>301</v>
      </c>
      <c s="6" r="BY613">
        <v>0</v>
      </c>
    </row>
    <row customHeight="1" r="614" ht="14.25">
      <c t="s" s="6" r="A614">
        <v>4831</v>
      </c>
      <c t="s" s="6" r="B614">
        <v>493</v>
      </c>
      <c t="s" s="6" r="D614">
        <v>4832</v>
      </c>
      <c t="s" s="6" r="E614">
        <v>507</v>
      </c>
      <c t="s" s="6" r="F614">
        <v>81</v>
      </c>
      <c t="s" s="6" r="G614">
        <v>251</v>
      </c>
      <c s="6" r="H614">
        <v>0</v>
      </c>
      <c t="s" s="6" r="I614">
        <v>508</v>
      </c>
      <c t="s" s="6" r="J614">
        <v>4833</v>
      </c>
      <c t="s" s="6" r="M614">
        <v>109</v>
      </c>
      <c s="6" r="N614">
        <v>0</v>
      </c>
      <c s="6" r="O614">
        <v>0</v>
      </c>
      <c t="s" s="6" r="P614">
        <v>178</v>
      </c>
      <c t="s" s="6" r="Q614">
        <v>188</v>
      </c>
      <c t="s" s="6" r="R614">
        <v>4834</v>
      </c>
      <c t="s" s="6" r="S614">
        <v>4835</v>
      </c>
      <c t="s" s="6" r="T614">
        <v>90</v>
      </c>
      <c t="s" s="6" r="U614">
        <v>4836</v>
      </c>
      <c s="6" r="V614">
        <v>1</v>
      </c>
      <c s="6" r="W614">
        <v>0</v>
      </c>
      <c s="6" r="X614">
        <v>0</v>
      </c>
      <c s="6" r="Y614">
        <v>0</v>
      </c>
      <c s="6" r="Z614">
        <v>0</v>
      </c>
      <c t="s" s="6" r="AA614">
        <v>92</v>
      </c>
      <c t="s" s="6" r="AB614">
        <v>92</v>
      </c>
      <c s="6" r="AC614">
        <v>7</v>
      </c>
      <c t="s" s="6" r="AD614">
        <v>92</v>
      </c>
      <c t="s" s="6" r="AE614">
        <v>92</v>
      </c>
      <c t="s" s="6" r="AF614">
        <v>92</v>
      </c>
      <c t="s" s="6" r="AG614">
        <v>92</v>
      </c>
      <c t="s" s="6" r="AH614">
        <v>92</v>
      </c>
      <c t="s" s="6" r="AI614">
        <v>92</v>
      </c>
      <c t="s" s="6" r="AJ614">
        <v>92</v>
      </c>
      <c s="6" r="AK614">
        <v>6</v>
      </c>
      <c s="6" r="AL614">
        <v>7</v>
      </c>
      <c t="s" s="6" r="AM614">
        <v>92</v>
      </c>
      <c t="s" s="6" r="AN614">
        <v>92</v>
      </c>
      <c s="6" r="AP614">
        <v>7</v>
      </c>
      <c t="s" s="6" r="AQ614">
        <v>246</v>
      </c>
      <c t="s" s="6" r="AR614">
        <v>4837</v>
      </c>
      <c s="6" r="AS614">
        <v>0</v>
      </c>
      <c s="6" r="AT614">
        <v>0</v>
      </c>
      <c s="6" r="AU614">
        <v>1</v>
      </c>
      <c s="6" r="AV614">
        <v>0</v>
      </c>
      <c s="6" r="AW614">
        <v>0</v>
      </c>
      <c s="6" r="AX614">
        <v>0</v>
      </c>
      <c s="6" r="AY614">
        <v>0</v>
      </c>
      <c s="6" r="AZ614">
        <v>0</v>
      </c>
      <c s="6" r="BA614">
        <v>0</v>
      </c>
      <c s="6" r="BB614">
        <v>0</v>
      </c>
      <c s="6" r="BC614">
        <v>0</v>
      </c>
      <c s="6" r="BD614">
        <v>0</v>
      </c>
      <c s="6" r="BE614">
        <v>0</v>
      </c>
      <c s="6" r="BF614">
        <v>0</v>
      </c>
      <c s="6" r="BG614">
        <v>0</v>
      </c>
      <c s="6" r="BH614">
        <v>0</v>
      </c>
      <c s="6" r="BI614">
        <v>0</v>
      </c>
      <c s="6" r="BJ614">
        <v>0</v>
      </c>
      <c s="6" r="BK614">
        <v>0</v>
      </c>
      <c s="6" r="BL614">
        <v>0</v>
      </c>
      <c s="6" r="BM614">
        <v>0</v>
      </c>
      <c s="6" r="BN614">
        <v>0</v>
      </c>
      <c s="6" r="BO614">
        <v>0</v>
      </c>
      <c s="6" r="BP614">
        <v>1</v>
      </c>
      <c s="6" r="BQ614">
        <v>0</v>
      </c>
      <c t="str" s="6" r="BR614">
        <f>HYPERLINK("http://www.d20pfsrd.com/magic/all-spells/w/word-of-chaos","Word of Chaos")</f>
        <v>Word of Chaos</v>
      </c>
      <c s="6" r="BS614">
        <v>617</v>
      </c>
      <c t="s" s="6" r="BT614">
        <v>92</v>
      </c>
      <c t="s" s="6" r="BW614">
        <v>4838</v>
      </c>
      <c s="6" r="BY614">
        <v>1</v>
      </c>
    </row>
    <row customHeight="1" r="615" ht="14.25">
      <c t="s" s="6" r="A615">
        <v>4839</v>
      </c>
      <c t="s" s="6" r="B615">
        <v>579</v>
      </c>
      <c t="s" s="6" r="C615">
        <v>580</v>
      </c>
      <c t="s" s="6" r="E615">
        <v>3011</v>
      </c>
      <c t="s" s="6" r="F615">
        <v>272</v>
      </c>
      <c t="s" s="6" r="G615">
        <v>106</v>
      </c>
      <c s="6" r="H615">
        <v>0</v>
      </c>
      <c t="s" s="6" r="I615">
        <v>155</v>
      </c>
      <c t="s" s="6" r="J615">
        <v>4840</v>
      </c>
      <c t="s" s="6" r="M615">
        <v>209</v>
      </c>
      <c s="6" r="N615">
        <v>1</v>
      </c>
      <c s="6" r="O615">
        <v>0</v>
      </c>
      <c t="s" s="6" r="R615">
        <v>4841</v>
      </c>
      <c t="s" s="6" r="S615">
        <v>4842</v>
      </c>
      <c t="s" s="6" r="T615">
        <v>90</v>
      </c>
      <c t="s" s="6" r="U615">
        <v>4843</v>
      </c>
      <c s="6" r="V615">
        <v>1</v>
      </c>
      <c s="6" r="W615">
        <v>1</v>
      </c>
      <c s="6" r="X615">
        <v>0</v>
      </c>
      <c s="6" r="Y615">
        <v>0</v>
      </c>
      <c s="6" r="Z615">
        <v>0</v>
      </c>
      <c t="s" s="6" r="AA615">
        <v>92</v>
      </c>
      <c t="s" s="6" r="AB615">
        <v>92</v>
      </c>
      <c t="s" s="6" r="AC615">
        <v>92</v>
      </c>
      <c t="s" s="6" r="AD615">
        <v>92</v>
      </c>
      <c t="s" s="6" r="AE615">
        <v>92</v>
      </c>
      <c s="6" r="AF615">
        <v>4</v>
      </c>
      <c t="s" s="6" r="AG615">
        <v>92</v>
      </c>
      <c t="s" s="6" r="AH615">
        <v>92</v>
      </c>
      <c t="s" s="6" r="AI615">
        <v>92</v>
      </c>
      <c t="s" s="6" r="AJ615">
        <v>92</v>
      </c>
      <c t="s" s="6" r="AK615">
        <v>92</v>
      </c>
      <c t="s" s="6" r="AL615">
        <v>92</v>
      </c>
      <c t="s" s="6" r="AM615">
        <v>92</v>
      </c>
      <c t="s" s="6" r="AN615">
        <v>92</v>
      </c>
      <c s="6" r="AP615">
        <v>4</v>
      </c>
      <c t="s" s="6" r="AR615">
        <v>4844</v>
      </c>
      <c s="6" r="AS615">
        <v>0</v>
      </c>
      <c s="6" r="AT615">
        <v>0</v>
      </c>
      <c s="6" r="AU615">
        <v>0</v>
      </c>
      <c s="6" r="AV615">
        <v>0</v>
      </c>
      <c s="6" r="AW615">
        <v>0</v>
      </c>
      <c s="6" r="AX615">
        <v>0</v>
      </c>
      <c s="6" r="AY615">
        <v>0</v>
      </c>
      <c s="6" r="AZ615">
        <v>0</v>
      </c>
      <c s="6" r="BA615">
        <v>0</v>
      </c>
      <c s="6" r="BB615">
        <v>0</v>
      </c>
      <c s="6" r="BC615">
        <v>0</v>
      </c>
      <c s="6" r="BD615">
        <v>0</v>
      </c>
      <c s="6" r="BE615">
        <v>0</v>
      </c>
      <c s="6" r="BF615">
        <v>0</v>
      </c>
      <c s="6" r="BG615">
        <v>0</v>
      </c>
      <c s="6" r="BH615">
        <v>0</v>
      </c>
      <c s="6" r="BI615">
        <v>0</v>
      </c>
      <c s="6" r="BJ615">
        <v>0</v>
      </c>
      <c s="6" r="BK615">
        <v>0</v>
      </c>
      <c s="6" r="BL615">
        <v>0</v>
      </c>
      <c s="6" r="BM615">
        <v>0</v>
      </c>
      <c s="6" r="BN615">
        <v>0</v>
      </c>
      <c s="6" r="BO615">
        <v>0</v>
      </c>
      <c s="6" r="BP615">
        <v>0</v>
      </c>
      <c s="6" r="BQ615">
        <v>0</v>
      </c>
      <c t="str" s="6" r="BR615">
        <f>HYPERLINK("http://www.d20pfsrd.com/magic/all-spells/z/zone-of-silence","Zone of Silence")</f>
        <v>Zone of Silence</v>
      </c>
      <c s="6" r="BS615">
        <v>618</v>
      </c>
      <c t="s" s="6" r="BT615">
        <v>92</v>
      </c>
      <c s="6" r="BY615">
        <v>0</v>
      </c>
    </row>
    <row customHeight="1" r="616" ht="14.25">
      <c t="s" s="6" r="A616">
        <v>4845</v>
      </c>
      <c t="s" s="6" r="B616">
        <v>115</v>
      </c>
      <c t="s" s="6" r="C616">
        <v>116</v>
      </c>
      <c t="s" s="6" r="D616">
        <v>117</v>
      </c>
      <c t="s" s="6" r="E616">
        <v>4846</v>
      </c>
      <c t="s" s="6" r="F616">
        <v>81</v>
      </c>
      <c t="s" s="6" r="G616">
        <v>119</v>
      </c>
      <c s="6" r="H616">
        <v>0</v>
      </c>
      <c t="s" s="6" r="I616">
        <v>107</v>
      </c>
      <c t="s" s="6" r="J616">
        <v>924</v>
      </c>
      <c t="s" s="6" r="M616">
        <v>122</v>
      </c>
      <c s="6" r="N616">
        <v>0</v>
      </c>
      <c s="6" r="O616">
        <v>0</v>
      </c>
      <c t="s" s="6" r="P616">
        <v>221</v>
      </c>
      <c t="s" s="6" r="Q616">
        <v>188</v>
      </c>
      <c t="s" s="6" r="R616">
        <v>4847</v>
      </c>
      <c t="s" s="6" r="S616">
        <v>4848</v>
      </c>
      <c t="s" s="6" r="T616">
        <v>90</v>
      </c>
      <c t="s" s="6" r="U616">
        <v>4849</v>
      </c>
      <c s="6" r="V616">
        <v>1</v>
      </c>
      <c s="6" r="W616">
        <v>1</v>
      </c>
      <c s="6" r="X616">
        <v>0</v>
      </c>
      <c s="6" r="Y616">
        <v>0</v>
      </c>
      <c s="6" r="Z616">
        <v>1</v>
      </c>
      <c t="s" s="6" r="AA616">
        <v>92</v>
      </c>
      <c t="s" s="6" r="AB616">
        <v>92</v>
      </c>
      <c s="6" r="AC616">
        <v>2</v>
      </c>
      <c t="s" s="6" r="AD616">
        <v>92</v>
      </c>
      <c t="s" s="6" r="AE616">
        <v>92</v>
      </c>
      <c t="s" s="6" r="AF616">
        <v>92</v>
      </c>
      <c s="6" r="AG616">
        <v>2</v>
      </c>
      <c t="s" s="6" r="AH616">
        <v>92</v>
      </c>
      <c t="s" s="6" r="AI616">
        <v>92</v>
      </c>
      <c s="6" r="AJ616">
        <v>2</v>
      </c>
      <c s="6" r="AK616">
        <v>2</v>
      </c>
      <c s="6" r="AL616">
        <v>2</v>
      </c>
      <c t="s" s="6" r="AM616">
        <v>92</v>
      </c>
      <c t="s" s="6" r="AN616">
        <v>92</v>
      </c>
      <c s="6" r="AP616">
        <v>2</v>
      </c>
      <c t="s" s="6" r="AQ616">
        <v>4850</v>
      </c>
      <c t="s" s="6" r="AR616">
        <v>4851</v>
      </c>
      <c s="6" r="AS616">
        <v>0</v>
      </c>
      <c s="6" r="AT616">
        <v>0</v>
      </c>
      <c s="6" r="AU616">
        <v>0</v>
      </c>
      <c s="6" r="AV616">
        <v>0</v>
      </c>
      <c s="6" r="AW616">
        <v>0</v>
      </c>
      <c s="6" r="AX616">
        <v>0</v>
      </c>
      <c s="6" r="AY616">
        <v>0</v>
      </c>
      <c s="6" r="AZ616">
        <v>0</v>
      </c>
      <c s="6" r="BA616">
        <v>0</v>
      </c>
      <c s="6" r="BB616">
        <v>0</v>
      </c>
      <c s="6" r="BC616">
        <v>0</v>
      </c>
      <c s="6" r="BD616">
        <v>0</v>
      </c>
      <c s="6" r="BE616">
        <v>0</v>
      </c>
      <c s="6" r="BF616">
        <v>0</v>
      </c>
      <c s="6" r="BG616">
        <v>0</v>
      </c>
      <c s="6" r="BH616">
        <v>0</v>
      </c>
      <c s="6" r="BI616">
        <v>0</v>
      </c>
      <c s="6" r="BJ616">
        <v>0</v>
      </c>
      <c s="6" r="BK616">
        <v>0</v>
      </c>
      <c s="6" r="BL616">
        <v>1</v>
      </c>
      <c s="6" r="BM616">
        <v>0</v>
      </c>
      <c s="6" r="BN616">
        <v>0</v>
      </c>
      <c s="6" r="BO616">
        <v>0</v>
      </c>
      <c s="6" r="BP616">
        <v>0</v>
      </c>
      <c s="6" r="BQ616">
        <v>0</v>
      </c>
      <c t="str" s="6" r="BR616">
        <f>HYPERLINK("http://www.d20pfsrd.com/magic/all-spells/z/zone-of-truth","Zone of Truth")</f>
        <v>Zone of Truth</v>
      </c>
      <c s="6" r="BS616">
        <v>619</v>
      </c>
      <c t="s" s="6" r="BT616">
        <v>92</v>
      </c>
      <c s="6" r="BY616">
        <v>0</v>
      </c>
    </row>
    <row customHeight="1" r="617" ht="14.25">
      <c t="s" s="6" r="A617">
        <v>4852</v>
      </c>
      <c t="s" s="6" r="B617">
        <v>78</v>
      </c>
      <c t="s" s="6" r="C617">
        <v>79</v>
      </c>
      <c t="s" s="6" r="D617">
        <v>52</v>
      </c>
      <c t="s" s="6" r="E617">
        <v>4853</v>
      </c>
      <c t="s" s="6" r="F617">
        <v>81</v>
      </c>
      <c t="s" s="6" r="G617">
        <v>4854</v>
      </c>
      <c s="6" r="H617">
        <v>0</v>
      </c>
      <c t="s" s="6" r="I617">
        <v>97</v>
      </c>
      <c t="s" s="6" r="K617">
        <v>4855</v>
      </c>
      <c t="s" s="6" r="M617">
        <v>109</v>
      </c>
      <c s="6" r="N617">
        <v>0</v>
      </c>
      <c s="6" r="O617">
        <v>0</v>
      </c>
      <c t="s" s="6" r="P617">
        <v>141</v>
      </c>
      <c t="s" s="6" r="Q617">
        <v>87</v>
      </c>
      <c t="s" s="6" r="R617">
        <v>4856</v>
      </c>
      <c t="s" s="6" r="S617">
        <v>4857</v>
      </c>
      <c t="s" s="6" r="T617">
        <v>90</v>
      </c>
      <c t="s" s="6" r="U617">
        <v>4858</v>
      </c>
      <c s="6" r="V617">
        <v>1</v>
      </c>
      <c s="6" r="W617">
        <v>1</v>
      </c>
      <c s="6" r="X617">
        <v>1</v>
      </c>
      <c s="6" r="Y617">
        <v>0</v>
      </c>
      <c s="6" r="Z617">
        <v>1</v>
      </c>
      <c s="6" r="AA617">
        <v>5</v>
      </c>
      <c s="6" r="AB617">
        <v>5</v>
      </c>
      <c s="6" r="AC617">
        <v>5</v>
      </c>
      <c s="6" r="AD617">
        <v>6</v>
      </c>
      <c t="s" s="6" r="AE617">
        <v>92</v>
      </c>
      <c t="s" s="6" r="AF617">
        <v>92</v>
      </c>
      <c t="s" s="6" r="AG617">
        <v>92</v>
      </c>
      <c t="s" s="6" r="AH617">
        <v>92</v>
      </c>
      <c s="6" r="AI617">
        <v>4</v>
      </c>
      <c t="s" s="6" r="AJ617">
        <v>92</v>
      </c>
      <c t="s" s="6" r="AK617">
        <v>92</v>
      </c>
      <c s="6" r="AL617">
        <v>5</v>
      </c>
      <c t="s" s="6" r="AM617">
        <v>92</v>
      </c>
      <c s="6" r="AN617">
        <v>5</v>
      </c>
      <c s="6" r="AP617">
        <v>5</v>
      </c>
      <c t="s" s="6" r="AQ617">
        <v>2833</v>
      </c>
      <c t="s" s="6" r="AR617">
        <v>4859</v>
      </c>
      <c s="6" r="AS617">
        <v>0</v>
      </c>
      <c s="6" r="AT617">
        <v>0</v>
      </c>
      <c s="6" r="AU617">
        <v>0</v>
      </c>
      <c s="6" r="AV617">
        <v>0</v>
      </c>
      <c s="6" r="AW617">
        <v>0</v>
      </c>
      <c s="6" r="AX617">
        <v>0</v>
      </c>
      <c s="6" r="AY617">
        <v>0</v>
      </c>
      <c s="6" r="AZ617">
        <v>0</v>
      </c>
      <c s="6" r="BA617">
        <v>1</v>
      </c>
      <c s="6" r="BB617">
        <v>0</v>
      </c>
      <c s="6" r="BC617">
        <v>0</v>
      </c>
      <c s="6" r="BD617">
        <v>0</v>
      </c>
      <c s="6" r="BE617">
        <v>0</v>
      </c>
      <c s="6" r="BF617">
        <v>0</v>
      </c>
      <c s="6" r="BG617">
        <v>0</v>
      </c>
      <c s="6" r="BH617">
        <v>0</v>
      </c>
      <c s="6" r="BI617">
        <v>0</v>
      </c>
      <c s="6" r="BJ617">
        <v>0</v>
      </c>
      <c s="6" r="BK617">
        <v>0</v>
      </c>
      <c s="6" r="BL617">
        <v>0</v>
      </c>
      <c s="6" r="BM617">
        <v>0</v>
      </c>
      <c s="6" r="BN617">
        <v>0</v>
      </c>
      <c s="6" r="BO617">
        <v>0</v>
      </c>
      <c s="6" r="BP617">
        <v>0</v>
      </c>
      <c s="6" r="BQ617">
        <v>0</v>
      </c>
      <c t="str" s="6" r="BR617">
        <f>HYPERLINK("http://www.d20pfsrd.com/magic/all-spells/w/wall-of-stone","Wall of Stone")</f>
        <v>Wall of Stone</v>
      </c>
      <c s="6" r="BS617">
        <v>620</v>
      </c>
      <c t="s" s="6" r="BT617">
        <v>92</v>
      </c>
      <c t="s" s="6" r="BU617">
        <v>2860</v>
      </c>
      <c t="s" s="6" r="BW617">
        <v>4860</v>
      </c>
      <c t="s" s="6" r="BX617">
        <v>4861</v>
      </c>
      <c s="6" r="BY617">
        <v>1</v>
      </c>
    </row>
    <row customHeight="1" r="618" ht="14.25">
      <c t="s" s="6" r="A618">
        <v>4862</v>
      </c>
      <c t="s" s="6" r="B618">
        <v>493</v>
      </c>
      <c t="s" s="6" r="D618">
        <v>55</v>
      </c>
      <c t="s" s="6" r="E618">
        <v>4863</v>
      </c>
      <c t="s" s="6" r="F618">
        <v>81</v>
      </c>
      <c t="s" s="6" r="G618">
        <v>106</v>
      </c>
      <c s="6" r="H618">
        <v>0</v>
      </c>
      <c t="s" s="6" r="I618">
        <v>107</v>
      </c>
      <c t="s" s="6" r="L618">
        <v>4864</v>
      </c>
      <c t="s" s="6" r="M618">
        <v>4865</v>
      </c>
      <c s="6" r="N618">
        <v>0</v>
      </c>
      <c s="6" r="O618">
        <v>0</v>
      </c>
      <c t="s" s="6" r="P618">
        <v>187</v>
      </c>
      <c t="s" s="6" r="Q618">
        <v>188</v>
      </c>
      <c t="s" s="6" r="R618">
        <v>4866</v>
      </c>
      <c t="s" s="6" r="S618">
        <v>4867</v>
      </c>
      <c t="s" s="6" r="T618">
        <v>4868</v>
      </c>
      <c t="s" s="6" r="U618">
        <v>4869</v>
      </c>
      <c s="6" r="V618">
        <v>1</v>
      </c>
      <c s="6" r="W618">
        <v>1</v>
      </c>
      <c s="6" r="X618">
        <v>0</v>
      </c>
      <c s="6" r="Y618">
        <v>0</v>
      </c>
      <c s="6" r="Z618">
        <v>0</v>
      </c>
      <c s="6" r="AA618">
        <v>4</v>
      </c>
      <c s="6" r="AB618">
        <v>4</v>
      </c>
      <c s="6" r="AC618">
        <v>3</v>
      </c>
      <c t="s" s="6" r="AD618">
        <v>92</v>
      </c>
      <c t="s" s="6" r="AE618">
        <v>92</v>
      </c>
      <c t="s" s="6" r="AF618">
        <v>92</v>
      </c>
      <c t="s" s="6" r="AG618">
        <v>92</v>
      </c>
      <c t="s" s="6" r="AH618">
        <v>92</v>
      </c>
      <c t="s" s="6" r="AI618">
        <v>92</v>
      </c>
      <c t="s" s="6" r="AJ618">
        <v>92</v>
      </c>
      <c t="s" s="6" r="AK618">
        <v>92</v>
      </c>
      <c s="6" r="AL618">
        <v>3</v>
      </c>
      <c t="s" s="6" r="AM618">
        <v>92</v>
      </c>
      <c t="s" s="6" r="AN618">
        <v>92</v>
      </c>
      <c s="6" r="AP618">
        <v>4</v>
      </c>
      <c t="s" s="6" r="AR618">
        <v>4870</v>
      </c>
      <c s="6" r="AS618">
        <v>0</v>
      </c>
      <c s="6" r="AT618">
        <v>0</v>
      </c>
      <c s="6" r="AU618">
        <v>0</v>
      </c>
      <c s="6" r="AV618">
        <v>0</v>
      </c>
      <c s="6" r="AW618">
        <v>0</v>
      </c>
      <c s="6" r="AX618">
        <v>0</v>
      </c>
      <c s="6" r="AY618">
        <v>0</v>
      </c>
      <c s="6" r="AZ618">
        <v>0</v>
      </c>
      <c s="6" r="BA618">
        <v>0</v>
      </c>
      <c s="6" r="BB618">
        <v>0</v>
      </c>
      <c s="6" r="BC618">
        <v>0</v>
      </c>
      <c s="6" r="BD618">
        <v>1</v>
      </c>
      <c s="6" r="BE618">
        <v>0</v>
      </c>
      <c s="6" r="BF618">
        <v>0</v>
      </c>
      <c s="6" r="BG618">
        <v>0</v>
      </c>
      <c s="6" r="BH618">
        <v>0</v>
      </c>
      <c s="6" r="BI618">
        <v>0</v>
      </c>
      <c s="6" r="BJ618">
        <v>0</v>
      </c>
      <c s="6" r="BK618">
        <v>0</v>
      </c>
      <c s="6" r="BL618">
        <v>0</v>
      </c>
      <c s="6" r="BM618">
        <v>0</v>
      </c>
      <c s="6" r="BN618">
        <v>0</v>
      </c>
      <c s="6" r="BO618">
        <v>0</v>
      </c>
      <c s="6" r="BP618">
        <v>0</v>
      </c>
      <c s="6" r="BQ618">
        <v>0</v>
      </c>
      <c t="str" s="6" r="BR618">
        <f>HYPERLINK("http://www.d20pfsrd.com/magic/all-spells/a/a/agonize","Agonize")</f>
        <v>Agonize</v>
      </c>
      <c s="6" r="BS618">
        <v>621</v>
      </c>
      <c t="s" s="6" r="BT618">
        <v>92</v>
      </c>
      <c s="6" r="BY618">
        <v>0</v>
      </c>
    </row>
    <row customHeight="1" r="619" ht="14.25">
      <c t="s" s="6" r="A619">
        <v>4871</v>
      </c>
      <c t="s" s="6" r="B619">
        <v>493</v>
      </c>
      <c t="s" s="6" r="D619">
        <v>55</v>
      </c>
      <c t="s" s="6" r="E619">
        <v>1020</v>
      </c>
      <c t="s" s="6" r="F619">
        <v>81</v>
      </c>
      <c t="s" s="6" r="G619">
        <v>4872</v>
      </c>
      <c s="6" r="H619">
        <v>0</v>
      </c>
      <c t="s" s="6" r="I619">
        <v>107</v>
      </c>
      <c t="s" s="6" r="K619">
        <v>1344</v>
      </c>
      <c t="s" s="6" r="M619">
        <v>109</v>
      </c>
      <c s="6" r="N619">
        <v>0</v>
      </c>
      <c s="6" r="O619">
        <v>0</v>
      </c>
      <c t="s" s="6" r="P619">
        <v>4873</v>
      </c>
      <c t="s" s="6" r="Q619">
        <v>188</v>
      </c>
      <c t="s" s="6" r="R619">
        <v>4874</v>
      </c>
      <c t="s" s="6" r="S619">
        <v>4875</v>
      </c>
      <c t="s" s="6" r="T619">
        <v>4868</v>
      </c>
      <c t="s" s="6" r="U619">
        <v>4876</v>
      </c>
      <c s="6" r="V619">
        <v>1</v>
      </c>
      <c s="6" r="W619">
        <v>1</v>
      </c>
      <c s="6" r="X619">
        <v>0</v>
      </c>
      <c s="6" r="Y619">
        <v>0</v>
      </c>
      <c s="6" r="Z619">
        <v>1</v>
      </c>
      <c s="6" r="AA619">
        <v>6</v>
      </c>
      <c s="6" r="AB619">
        <v>6</v>
      </c>
      <c s="6" r="AC619">
        <v>6</v>
      </c>
      <c t="s" s="6" r="AD619">
        <v>92</v>
      </c>
      <c t="s" s="6" r="AE619">
        <v>92</v>
      </c>
      <c t="s" s="6" r="AF619">
        <v>92</v>
      </c>
      <c t="s" s="6" r="AG619">
        <v>92</v>
      </c>
      <c t="s" s="6" r="AH619">
        <v>92</v>
      </c>
      <c t="s" s="6" r="AI619">
        <v>92</v>
      </c>
      <c t="s" s="6" r="AJ619">
        <v>92</v>
      </c>
      <c t="s" s="6" r="AK619">
        <v>92</v>
      </c>
      <c s="6" r="AL619">
        <v>6</v>
      </c>
      <c t="s" s="6" r="AM619">
        <v>92</v>
      </c>
      <c t="s" s="6" r="AN619">
        <v>92</v>
      </c>
      <c s="6" r="AP619">
        <v>6</v>
      </c>
      <c s="6" r="AS619">
        <v>0</v>
      </c>
      <c s="6" r="AT619">
        <v>0</v>
      </c>
      <c s="6" r="AU619">
        <v>0</v>
      </c>
      <c s="6" r="AV619">
        <v>0</v>
      </c>
      <c s="6" r="AW619">
        <v>0</v>
      </c>
      <c s="6" r="AX619">
        <v>0</v>
      </c>
      <c s="6" r="AY619">
        <v>0</v>
      </c>
      <c s="6" r="AZ619">
        <v>0</v>
      </c>
      <c s="6" r="BA619">
        <v>0</v>
      </c>
      <c s="6" r="BB619">
        <v>0</v>
      </c>
      <c s="6" r="BC619">
        <v>0</v>
      </c>
      <c s="6" r="BD619">
        <v>1</v>
      </c>
      <c s="6" r="BE619">
        <v>0</v>
      </c>
      <c s="6" r="BF619">
        <v>0</v>
      </c>
      <c s="6" r="BG619">
        <v>0</v>
      </c>
      <c s="6" r="BH619">
        <v>0</v>
      </c>
      <c s="6" r="BI619">
        <v>0</v>
      </c>
      <c s="6" r="BJ619">
        <v>0</v>
      </c>
      <c s="6" r="BK619">
        <v>0</v>
      </c>
      <c s="6" r="BL619">
        <v>0</v>
      </c>
      <c s="6" r="BM619">
        <v>0</v>
      </c>
      <c s="6" r="BN619">
        <v>0</v>
      </c>
      <c s="6" r="BO619">
        <v>0</v>
      </c>
      <c s="6" r="BP619">
        <v>0</v>
      </c>
      <c s="6" r="BQ619">
        <v>0</v>
      </c>
      <c t="str" s="6" r="BR619">
        <f>HYPERLINK("http://www.d20pfsrd.com/magic/all-spells/h/h/hellfire-ray","Hellfire Ray")</f>
        <v>Hellfire Ray</v>
      </c>
      <c s="6" r="BS619">
        <v>622</v>
      </c>
      <c t="s" s="6" r="BT619">
        <v>92</v>
      </c>
      <c s="6" r="BY619">
        <v>0</v>
      </c>
    </row>
    <row customHeight="1" r="620" ht="14.25">
      <c t="s" s="6" r="A620">
        <v>4877</v>
      </c>
      <c t="s" s="6" r="B620">
        <v>115</v>
      </c>
      <c t="s" s="6" r="C620">
        <v>729</v>
      </c>
      <c t="s" s="6" r="D620">
        <v>117</v>
      </c>
      <c t="s" s="6" r="E620">
        <v>4878</v>
      </c>
      <c t="s" s="6" r="F620">
        <v>197</v>
      </c>
      <c t="s" s="6" r="G620">
        <v>2014</v>
      </c>
      <c s="6" r="H620">
        <v>0</v>
      </c>
      <c t="s" s="6" r="I620">
        <v>107</v>
      </c>
      <c t="s" s="6" r="L620">
        <v>4879</v>
      </c>
      <c t="s" s="6" r="M620">
        <v>4880</v>
      </c>
      <c s="6" r="N620">
        <v>0</v>
      </c>
      <c s="6" r="O620">
        <v>0</v>
      </c>
      <c t="s" s="6" r="P620">
        <v>86</v>
      </c>
      <c t="s" s="6" r="Q620">
        <v>87</v>
      </c>
      <c t="s" s="6" r="R620">
        <v>4881</v>
      </c>
      <c t="s" s="6" r="S620">
        <v>4882</v>
      </c>
      <c t="s" s="6" r="T620">
        <v>4868</v>
      </c>
      <c t="s" s="6" r="U620">
        <v>4883</v>
      </c>
      <c s="6" r="V620">
        <v>1</v>
      </c>
      <c s="6" r="W620">
        <v>1</v>
      </c>
      <c s="6" r="X620">
        <v>1</v>
      </c>
      <c s="6" r="Y620">
        <v>0</v>
      </c>
      <c s="6" r="Z620">
        <v>0</v>
      </c>
      <c s="6" r="AA620">
        <v>4</v>
      </c>
      <c s="6" r="AB620">
        <v>4</v>
      </c>
      <c s="6" r="AC620">
        <v>4</v>
      </c>
      <c t="s" s="6" r="AD620">
        <v>92</v>
      </c>
      <c t="s" s="6" r="AE620">
        <v>92</v>
      </c>
      <c t="s" s="6" r="AF620">
        <v>92</v>
      </c>
      <c t="s" s="6" r="AG620">
        <v>92</v>
      </c>
      <c t="s" s="6" r="AH620">
        <v>92</v>
      </c>
      <c t="s" s="6" r="AI620">
        <v>92</v>
      </c>
      <c t="s" s="6" r="AJ620">
        <v>92</v>
      </c>
      <c t="s" s="6" r="AK620">
        <v>92</v>
      </c>
      <c s="6" r="AL620">
        <v>4</v>
      </c>
      <c t="s" s="6" r="AM620">
        <v>92</v>
      </c>
      <c t="s" s="6" r="AN620">
        <v>92</v>
      </c>
      <c s="6" r="AP620">
        <v>4</v>
      </c>
      <c s="6" r="AS620">
        <v>0</v>
      </c>
      <c s="6" r="AT620">
        <v>0</v>
      </c>
      <c s="6" r="AU620">
        <v>0</v>
      </c>
      <c s="6" r="AV620">
        <v>0</v>
      </c>
      <c s="6" r="AW620">
        <v>0</v>
      </c>
      <c s="6" r="AX620">
        <v>0</v>
      </c>
      <c s="6" r="AY620">
        <v>0</v>
      </c>
      <c s="6" r="AZ620">
        <v>0</v>
      </c>
      <c s="6" r="BA620">
        <v>0</v>
      </c>
      <c s="6" r="BB620">
        <v>0</v>
      </c>
      <c s="6" r="BC620">
        <v>0</v>
      </c>
      <c s="6" r="BD620">
        <v>0</v>
      </c>
      <c s="6" r="BE620">
        <v>0</v>
      </c>
      <c s="6" r="BF620">
        <v>0</v>
      </c>
      <c s="6" r="BG620">
        <v>0</v>
      </c>
      <c s="6" r="BH620">
        <v>0</v>
      </c>
      <c s="6" r="BI620">
        <v>0</v>
      </c>
      <c s="6" r="BJ620">
        <v>0</v>
      </c>
      <c s="6" r="BK620">
        <v>0</v>
      </c>
      <c s="6" r="BL620">
        <v>1</v>
      </c>
      <c s="6" r="BM620">
        <v>0</v>
      </c>
      <c s="6" r="BN620">
        <v>0</v>
      </c>
      <c s="6" r="BO620">
        <v>0</v>
      </c>
      <c s="6" r="BP620">
        <v>0</v>
      </c>
      <c s="6" r="BQ620">
        <v>0</v>
      </c>
      <c t="str" s="6" r="BR620">
        <f>HYPERLINK("http://www.d20pfsrd.com/magic/all-spells/s/s/sacrifice","Sacrifice")</f>
        <v>Sacrifice</v>
      </c>
      <c s="6" r="BS620">
        <v>624</v>
      </c>
      <c t="s" s="6" r="BT620">
        <v>92</v>
      </c>
      <c s="6" r="BY620">
        <v>0</v>
      </c>
    </row>
    <row customHeight="1" r="621" ht="14.25">
      <c t="s" s="6" r="A621">
        <v>4884</v>
      </c>
      <c t="s" s="6" r="B621">
        <v>115</v>
      </c>
      <c t="s" s="6" r="C621">
        <v>116</v>
      </c>
      <c t="s" s="6" r="D621">
        <v>117</v>
      </c>
      <c t="s" s="6" r="E621">
        <v>4885</v>
      </c>
      <c t="s" s="6" r="F621">
        <v>4865</v>
      </c>
      <c t="s" s="6" r="G621">
        <v>4886</v>
      </c>
      <c s="6" r="H621">
        <v>0</v>
      </c>
      <c t="s" s="6" r="I621">
        <v>1052</v>
      </c>
      <c t="s" s="6" r="L621">
        <v>4887</v>
      </c>
      <c t="s" s="6" r="M621">
        <v>4888</v>
      </c>
      <c s="6" r="N621">
        <v>1</v>
      </c>
      <c s="6" r="O621">
        <v>0</v>
      </c>
      <c t="s" s="6" r="P621">
        <v>221</v>
      </c>
      <c t="s" s="6" r="Q621">
        <v>4889</v>
      </c>
      <c t="s" s="6" r="R621">
        <v>4890</v>
      </c>
      <c t="s" s="6" r="S621">
        <v>4891</v>
      </c>
      <c t="s" s="6" r="T621">
        <v>4892</v>
      </c>
      <c t="s" s="6" r="U621">
        <v>4893</v>
      </c>
      <c s="6" r="V621">
        <v>1</v>
      </c>
      <c s="6" r="W621">
        <v>1</v>
      </c>
      <c s="6" r="X621">
        <v>1</v>
      </c>
      <c s="6" r="Y621">
        <v>0</v>
      </c>
      <c s="6" r="Z621">
        <v>0</v>
      </c>
      <c s="6" r="AA621">
        <v>4</v>
      </c>
      <c s="6" r="AB621">
        <v>4</v>
      </c>
      <c t="s" s="6" r="AC621">
        <v>92</v>
      </c>
      <c t="s" s="6" r="AD621">
        <v>92</v>
      </c>
      <c t="s" s="6" r="AE621">
        <v>92</v>
      </c>
      <c s="6" r="AF621">
        <v>3</v>
      </c>
      <c t="s" s="6" r="AG621">
        <v>92</v>
      </c>
      <c t="s" s="6" r="AH621">
        <v>92</v>
      </c>
      <c t="s" s="6" r="AI621">
        <v>92</v>
      </c>
      <c t="s" s="6" r="AJ621">
        <v>92</v>
      </c>
      <c t="s" s="6" r="AK621">
        <v>92</v>
      </c>
      <c t="s" s="6" r="AL621">
        <v>92</v>
      </c>
      <c t="s" s="6" r="AM621">
        <v>92</v>
      </c>
      <c t="s" s="6" r="AN621">
        <v>92</v>
      </c>
      <c s="6" r="AP621">
        <v>4</v>
      </c>
      <c s="6" r="AS621">
        <v>0</v>
      </c>
      <c s="6" r="AT621">
        <v>0</v>
      </c>
      <c s="6" r="AU621">
        <v>0</v>
      </c>
      <c s="6" r="AV621">
        <v>0</v>
      </c>
      <c s="6" r="AW621">
        <v>0</v>
      </c>
      <c s="6" r="AX621">
        <v>0</v>
      </c>
      <c s="6" r="AY621">
        <v>0</v>
      </c>
      <c s="6" r="AZ621">
        <v>0</v>
      </c>
      <c s="6" r="BA621">
        <v>0</v>
      </c>
      <c s="6" r="BB621">
        <v>0</v>
      </c>
      <c s="6" r="BC621">
        <v>0</v>
      </c>
      <c s="6" r="BD621">
        <v>0</v>
      </c>
      <c s="6" r="BE621">
        <v>0</v>
      </c>
      <c s="6" r="BF621">
        <v>0</v>
      </c>
      <c s="6" r="BG621">
        <v>0</v>
      </c>
      <c s="6" r="BH621">
        <v>0</v>
      </c>
      <c s="6" r="BI621">
        <v>0</v>
      </c>
      <c s="6" r="BJ621">
        <v>0</v>
      </c>
      <c s="6" r="BK621">
        <v>0</v>
      </c>
      <c s="6" r="BL621">
        <v>1</v>
      </c>
      <c s="6" r="BM621">
        <v>0</v>
      </c>
      <c s="6" r="BN621">
        <v>0</v>
      </c>
      <c s="6" r="BO621">
        <v>0</v>
      </c>
      <c s="6" r="BP621">
        <v>0</v>
      </c>
      <c s="6" r="BQ621">
        <v>0</v>
      </c>
      <c t="str" s="6" r="BR621">
        <f>HYPERLINK("http://www.d20pfsrd.com/magic/all-spells/a/a/aura-of-the-unremarkable","Aura of the Unremarkable")</f>
        <v>Aura of the Unremarkable</v>
      </c>
      <c s="6" r="BS621">
        <v>626</v>
      </c>
      <c t="s" s="6" r="BT621">
        <v>92</v>
      </c>
      <c s="6" r="BY621">
        <v>0</v>
      </c>
    </row>
    <row customHeight="1" r="622" ht="14.25">
      <c t="s" s="6" r="A622">
        <v>4894</v>
      </c>
      <c t="s" s="6" r="B622">
        <v>131</v>
      </c>
      <c t="s" s="6" r="D622">
        <v>57</v>
      </c>
      <c t="s" s="6" r="E622">
        <v>4895</v>
      </c>
      <c t="s" s="6" r="F622">
        <v>81</v>
      </c>
      <c t="s" s="6" r="G622">
        <v>106</v>
      </c>
      <c s="6" r="H622">
        <v>0</v>
      </c>
      <c t="s" s="6" r="I622">
        <v>4896</v>
      </c>
      <c t="s" s="6" r="L622">
        <v>4897</v>
      </c>
      <c t="s" s="6" r="M622">
        <v>4898</v>
      </c>
      <c s="6" r="N622">
        <v>0</v>
      </c>
      <c s="6" r="O622">
        <v>0</v>
      </c>
      <c t="s" s="6" r="P622">
        <v>4899</v>
      </c>
      <c t="s" s="6" r="Q622">
        <v>4900</v>
      </c>
      <c t="s" s="6" r="R622">
        <v>4901</v>
      </c>
      <c t="s" s="6" r="S622">
        <v>4902</v>
      </c>
      <c t="s" s="6" r="T622">
        <v>4892</v>
      </c>
      <c t="s" s="6" r="U622">
        <v>4903</v>
      </c>
      <c s="6" r="V622">
        <v>1</v>
      </c>
      <c s="6" r="W622">
        <v>1</v>
      </c>
      <c s="6" r="X622">
        <v>0</v>
      </c>
      <c s="6" r="Y622">
        <v>0</v>
      </c>
      <c s="6" r="Z622">
        <v>0</v>
      </c>
      <c s="6" r="AA622">
        <v>1</v>
      </c>
      <c s="6" r="AB622">
        <v>1</v>
      </c>
      <c s="6" r="AC622">
        <v>1</v>
      </c>
      <c s="6" r="AD622">
        <v>1</v>
      </c>
      <c t="s" s="6" r="AE622">
        <v>92</v>
      </c>
      <c t="s" s="6" r="AF622">
        <v>92</v>
      </c>
      <c t="s" s="6" r="AG622">
        <v>92</v>
      </c>
      <c t="s" s="6" r="AH622">
        <v>92</v>
      </c>
      <c t="s" s="6" r="AI622">
        <v>92</v>
      </c>
      <c t="s" s="6" r="AJ622">
        <v>92</v>
      </c>
      <c t="s" s="6" r="AK622">
        <v>92</v>
      </c>
      <c s="6" r="AL622">
        <v>1</v>
      </c>
      <c t="s" s="6" r="AM622">
        <v>92</v>
      </c>
      <c t="s" s="6" r="AN622">
        <v>92</v>
      </c>
      <c s="6" r="AP622">
        <v>1</v>
      </c>
      <c s="6" r="AS622">
        <v>0</v>
      </c>
      <c s="6" r="AT622">
        <v>0</v>
      </c>
      <c s="6" r="AU622">
        <v>0</v>
      </c>
      <c s="6" r="AV622">
        <v>0</v>
      </c>
      <c s="6" r="AW622">
        <v>0</v>
      </c>
      <c s="6" r="AX622">
        <v>0</v>
      </c>
      <c s="6" r="AY622">
        <v>0</v>
      </c>
      <c s="6" r="AZ622">
        <v>0</v>
      </c>
      <c s="6" r="BA622">
        <v>0</v>
      </c>
      <c s="6" r="BB622">
        <v>0</v>
      </c>
      <c s="6" r="BC622">
        <v>0</v>
      </c>
      <c s="6" r="BD622">
        <v>0</v>
      </c>
      <c s="6" r="BE622">
        <v>0</v>
      </c>
      <c s="6" r="BF622">
        <v>1</v>
      </c>
      <c s="6" r="BG622">
        <v>0</v>
      </c>
      <c s="6" r="BH622">
        <v>0</v>
      </c>
      <c s="6" r="BI622">
        <v>0</v>
      </c>
      <c s="6" r="BJ622">
        <v>0</v>
      </c>
      <c s="6" r="BK622">
        <v>0</v>
      </c>
      <c s="6" r="BL622">
        <v>0</v>
      </c>
      <c s="6" r="BM622">
        <v>0</v>
      </c>
      <c s="6" r="BN622">
        <v>0</v>
      </c>
      <c s="6" r="BO622">
        <v>0</v>
      </c>
      <c s="6" r="BP622">
        <v>0</v>
      </c>
      <c s="6" r="BQ622">
        <v>0</v>
      </c>
      <c t="str" s="6" r="BR622">
        <f>HYPERLINK("http://www.d20pfsrd.com/magic/all-spells/b/b/burning-disarm","Burning Disarm")</f>
        <v>Burning Disarm</v>
      </c>
      <c s="6" r="BS622">
        <v>627</v>
      </c>
      <c t="s" s="6" r="BT622">
        <v>92</v>
      </c>
      <c s="6" r="BY622">
        <v>0</v>
      </c>
    </row>
    <row customHeight="1" r="623" ht="14.25">
      <c t="s" s="6" r="A623">
        <v>4904</v>
      </c>
      <c t="s" s="6" r="B623">
        <v>579</v>
      </c>
      <c t="s" s="6" r="C623">
        <v>66</v>
      </c>
      <c t="s" s="6" r="E623">
        <v>4408</v>
      </c>
      <c t="s" s="6" r="F623">
        <v>4865</v>
      </c>
      <c t="s" s="6" r="G623">
        <v>4905</v>
      </c>
      <c s="6" r="H623">
        <v>1</v>
      </c>
      <c t="s" s="6" r="I623">
        <v>2644</v>
      </c>
      <c t="s" s="6" r="K623">
        <v>4906</v>
      </c>
      <c t="s" s="6" r="M623">
        <v>109</v>
      </c>
      <c s="6" r="N623">
        <v>0</v>
      </c>
      <c s="6" r="O623">
        <v>0</v>
      </c>
      <c t="s" s="6" r="P623">
        <v>631</v>
      </c>
      <c t="s" s="6" r="Q623">
        <v>188</v>
      </c>
      <c t="s" s="6" r="R623">
        <v>4907</v>
      </c>
      <c t="s" s="6" r="S623">
        <v>4908</v>
      </c>
      <c t="s" s="6" r="T623">
        <v>4909</v>
      </c>
      <c t="s" s="6" r="U623">
        <v>4910</v>
      </c>
      <c s="6" r="V623">
        <v>1</v>
      </c>
      <c s="6" r="W623">
        <v>1</v>
      </c>
      <c s="6" r="X623">
        <v>0</v>
      </c>
      <c s="6" r="Y623">
        <v>0</v>
      </c>
      <c s="6" r="Z623">
        <v>0</v>
      </c>
      <c t="s" s="6" r="AA623">
        <v>92</v>
      </c>
      <c t="s" s="6" r="AB623">
        <v>92</v>
      </c>
      <c t="s" s="6" r="AC623">
        <v>92</v>
      </c>
      <c t="s" s="6" r="AD623">
        <v>92</v>
      </c>
      <c t="s" s="6" r="AE623">
        <v>92</v>
      </c>
      <c s="6" r="AF623">
        <v>6</v>
      </c>
      <c t="s" s="6" r="AG623">
        <v>92</v>
      </c>
      <c t="s" s="6" r="AH623">
        <v>92</v>
      </c>
      <c t="s" s="6" r="AI623">
        <v>92</v>
      </c>
      <c t="s" s="6" r="AJ623">
        <v>92</v>
      </c>
      <c t="s" s="6" r="AK623">
        <v>92</v>
      </c>
      <c t="s" s="6" r="AL623">
        <v>92</v>
      </c>
      <c t="s" s="6" r="AM623">
        <v>92</v>
      </c>
      <c t="s" s="6" r="AN623">
        <v>92</v>
      </c>
      <c s="6" r="AP623">
        <v>6</v>
      </c>
      <c s="6" r="AS623">
        <v>0</v>
      </c>
      <c s="6" r="AT623">
        <v>0</v>
      </c>
      <c s="6" r="AU623">
        <v>0</v>
      </c>
      <c s="6" r="AV623">
        <v>0</v>
      </c>
      <c s="6" r="AW623">
        <v>0</v>
      </c>
      <c s="6" r="AX623">
        <v>0</v>
      </c>
      <c s="6" r="AY623">
        <v>0</v>
      </c>
      <c s="6" r="AZ623">
        <v>0</v>
      </c>
      <c s="6" r="BA623">
        <v>0</v>
      </c>
      <c s="6" r="BB623">
        <v>0</v>
      </c>
      <c s="6" r="BC623">
        <v>0</v>
      </c>
      <c s="6" r="BD623">
        <v>0</v>
      </c>
      <c s="6" r="BE623">
        <v>0</v>
      </c>
      <c s="6" r="BF623">
        <v>0</v>
      </c>
      <c s="6" r="BG623">
        <v>0</v>
      </c>
      <c s="6" r="BH623">
        <v>0</v>
      </c>
      <c s="6" r="BI623">
        <v>0</v>
      </c>
      <c s="6" r="BJ623">
        <v>0</v>
      </c>
      <c s="6" r="BK623">
        <v>0</v>
      </c>
      <c s="6" r="BL623">
        <v>0</v>
      </c>
      <c s="6" r="BM623">
        <v>0</v>
      </c>
      <c s="6" r="BN623">
        <v>0</v>
      </c>
      <c s="6" r="BO623">
        <v>0</v>
      </c>
      <c s="6" r="BP623">
        <v>0</v>
      </c>
      <c s="6" r="BQ623">
        <v>0</v>
      </c>
      <c t="str" s="6" r="BR623">
        <f>HYPERLINK("http://www.d20pfsrd.com/magic/all-spells/d/dirge-of-the-victorious-knights","Dirge of the Victorious Knights")</f>
        <v>Dirge of the Victorious Knights</v>
      </c>
      <c s="6" r="BS623">
        <v>628</v>
      </c>
      <c s="6" r="BT623">
        <v>100</v>
      </c>
      <c t="s" s="6" r="BW623">
        <v>4911</v>
      </c>
      <c t="s" s="6" r="BX623">
        <v>4912</v>
      </c>
      <c s="6" r="BY623">
        <v>1</v>
      </c>
    </row>
    <row customHeight="1" r="624" ht="14.25">
      <c t="s" s="6" r="A624">
        <v>4913</v>
      </c>
      <c t="s" s="6" r="B624">
        <v>162</v>
      </c>
      <c t="s" s="6" r="E624">
        <v>1691</v>
      </c>
      <c t="s" s="6" r="F624">
        <v>1743</v>
      </c>
      <c t="s" s="6" r="G624">
        <v>251</v>
      </c>
      <c s="6" r="H624">
        <v>0</v>
      </c>
      <c t="s" s="6" r="I624">
        <v>4914</v>
      </c>
      <c t="s" s="6" r="L624">
        <v>4915</v>
      </c>
      <c t="s" s="6" r="M624">
        <v>109</v>
      </c>
      <c s="6" r="N624">
        <v>0</v>
      </c>
      <c s="6" r="O624">
        <v>0</v>
      </c>
      <c t="s" s="6" r="P624">
        <v>86</v>
      </c>
      <c t="s" s="6" r="Q624">
        <v>188</v>
      </c>
      <c t="s" s="6" r="R624">
        <v>4916</v>
      </c>
      <c t="s" s="6" r="S624">
        <v>4917</v>
      </c>
      <c t="s" s="6" r="T624">
        <v>4892</v>
      </c>
      <c t="s" s="6" r="U624">
        <v>4918</v>
      </c>
      <c s="6" r="V624">
        <v>1</v>
      </c>
      <c s="6" r="W624">
        <v>0</v>
      </c>
      <c s="6" r="X624">
        <v>0</v>
      </c>
      <c s="6" r="Y624">
        <v>0</v>
      </c>
      <c s="6" r="Z624">
        <v>0</v>
      </c>
      <c s="6" r="AA624">
        <v>3</v>
      </c>
      <c s="6" r="AB624">
        <v>3</v>
      </c>
      <c t="s" s="6" r="AC624">
        <v>92</v>
      </c>
      <c t="s" s="6" r="AD624">
        <v>92</v>
      </c>
      <c t="s" s="6" r="AE624">
        <v>92</v>
      </c>
      <c t="s" s="6" r="AF624">
        <v>92</v>
      </c>
      <c t="s" s="6" r="AG624">
        <v>92</v>
      </c>
      <c t="s" s="6" r="AH624">
        <v>92</v>
      </c>
      <c t="s" s="6" r="AI624">
        <v>92</v>
      </c>
      <c t="s" s="6" r="AJ624">
        <v>92</v>
      </c>
      <c t="s" s="6" r="AK624">
        <v>92</v>
      </c>
      <c t="s" s="6" r="AL624">
        <v>92</v>
      </c>
      <c t="s" s="6" r="AM624">
        <v>92</v>
      </c>
      <c t="s" s="6" r="AN624">
        <v>92</v>
      </c>
      <c s="6" r="AP624">
        <v>3</v>
      </c>
      <c s="6" r="AS624">
        <v>0</v>
      </c>
      <c s="6" r="AT624">
        <v>0</v>
      </c>
      <c s="6" r="AU624">
        <v>0</v>
      </c>
      <c s="6" r="AV624">
        <v>0</v>
      </c>
      <c s="6" r="AW624">
        <v>0</v>
      </c>
      <c s="6" r="AX624">
        <v>0</v>
      </c>
      <c s="6" r="AY624">
        <v>0</v>
      </c>
      <c s="6" r="AZ624">
        <v>0</v>
      </c>
      <c s="6" r="BA624">
        <v>0</v>
      </c>
      <c s="6" r="BB624">
        <v>0</v>
      </c>
      <c s="6" r="BC624">
        <v>0</v>
      </c>
      <c s="6" r="BD624">
        <v>0</v>
      </c>
      <c s="6" r="BE624">
        <v>0</v>
      </c>
      <c s="6" r="BF624">
        <v>0</v>
      </c>
      <c s="6" r="BG624">
        <v>0</v>
      </c>
      <c s="6" r="BH624">
        <v>0</v>
      </c>
      <c s="6" r="BI624">
        <v>0</v>
      </c>
      <c s="6" r="BJ624">
        <v>0</v>
      </c>
      <c s="6" r="BK624">
        <v>0</v>
      </c>
      <c s="6" r="BL624">
        <v>0</v>
      </c>
      <c s="6" r="BM624">
        <v>0</v>
      </c>
      <c s="6" r="BN624">
        <v>0</v>
      </c>
      <c s="6" r="BO624">
        <v>0</v>
      </c>
      <c s="6" r="BP624">
        <v>0</v>
      </c>
      <c s="6" r="BQ624">
        <v>0</v>
      </c>
      <c t="str" s="6" r="BR624">
        <f>HYPERLINK("http://www.d20pfsrd.com/magic/all-spells/d/dweomer-retaliation","Dweomer Retaliation")</f>
        <v>Dweomer Retaliation</v>
      </c>
      <c s="6" r="BS624">
        <v>629</v>
      </c>
      <c t="s" s="6" r="BT624">
        <v>92</v>
      </c>
      <c s="6" r="BY624">
        <v>0</v>
      </c>
    </row>
    <row customHeight="1" r="625" ht="14.25">
      <c t="s" s="6" r="A625">
        <v>4919</v>
      </c>
      <c t="s" s="6" r="B625">
        <v>493</v>
      </c>
      <c t="s" s="6" r="D625">
        <v>58</v>
      </c>
      <c t="s" s="6" r="E625">
        <v>2102</v>
      </c>
      <c t="s" s="6" r="F625">
        <v>1743</v>
      </c>
      <c t="s" s="6" r="G625">
        <v>251</v>
      </c>
      <c s="6" r="H625">
        <v>0</v>
      </c>
      <c t="s" s="6" r="I625">
        <v>4920</v>
      </c>
      <c t="s" s="6" r="K625">
        <v>4921</v>
      </c>
      <c t="s" s="6" r="M625">
        <v>99</v>
      </c>
      <c s="6" r="N625">
        <v>1</v>
      </c>
      <c s="6" r="O625">
        <v>0</v>
      </c>
      <c t="s" s="6" r="P625">
        <v>4922</v>
      </c>
      <c t="s" s="6" r="Q625">
        <v>4923</v>
      </c>
      <c t="s" s="6" r="R625">
        <v>4924</v>
      </c>
      <c t="s" s="6" r="S625">
        <v>4925</v>
      </c>
      <c t="s" s="6" r="T625">
        <v>4892</v>
      </c>
      <c t="s" s="6" r="U625">
        <v>4926</v>
      </c>
      <c s="6" r="V625">
        <v>1</v>
      </c>
      <c s="6" r="W625">
        <v>0</v>
      </c>
      <c s="6" r="X625">
        <v>0</v>
      </c>
      <c s="6" r="Y625">
        <v>0</v>
      </c>
      <c s="6" r="Z625">
        <v>0</v>
      </c>
      <c s="6" r="AA625">
        <v>4</v>
      </c>
      <c s="6" r="AB625">
        <v>4</v>
      </c>
      <c t="s" s="6" r="AC625">
        <v>92</v>
      </c>
      <c t="s" s="6" r="AD625">
        <v>92</v>
      </c>
      <c t="s" s="6" r="AE625">
        <v>92</v>
      </c>
      <c t="s" s="6" r="AF625">
        <v>92</v>
      </c>
      <c t="s" s="6" r="AG625">
        <v>92</v>
      </c>
      <c t="s" s="6" r="AH625">
        <v>92</v>
      </c>
      <c t="s" s="6" r="AI625">
        <v>92</v>
      </c>
      <c t="s" s="6" r="AJ625">
        <v>92</v>
      </c>
      <c t="s" s="6" r="AK625">
        <v>92</v>
      </c>
      <c t="s" s="6" r="AL625">
        <v>92</v>
      </c>
      <c t="s" s="6" r="AM625">
        <v>92</v>
      </c>
      <c t="s" s="6" r="AN625">
        <v>92</v>
      </c>
      <c s="6" r="AP625">
        <v>4</v>
      </c>
      <c s="6" r="AS625">
        <v>0</v>
      </c>
      <c s="6" r="AT625">
        <v>0</v>
      </c>
      <c s="6" r="AU625">
        <v>0</v>
      </c>
      <c s="6" r="AV625">
        <v>0</v>
      </c>
      <c s="6" r="AW625">
        <v>0</v>
      </c>
      <c s="6" r="AX625">
        <v>0</v>
      </c>
      <c s="6" r="AY625">
        <v>0</v>
      </c>
      <c s="6" r="AZ625">
        <v>0</v>
      </c>
      <c s="6" r="BA625">
        <v>0</v>
      </c>
      <c s="6" r="BB625">
        <v>0</v>
      </c>
      <c s="6" r="BC625">
        <v>0</v>
      </c>
      <c s="6" r="BD625">
        <v>0</v>
      </c>
      <c s="6" r="BE625">
        <v>0</v>
      </c>
      <c s="6" r="BF625">
        <v>0</v>
      </c>
      <c s="6" r="BG625">
        <v>0</v>
      </c>
      <c s="6" r="BH625">
        <v>0</v>
      </c>
      <c s="6" r="BI625">
        <v>0</v>
      </c>
      <c s="6" r="BJ625">
        <v>0</v>
      </c>
      <c s="6" r="BK625">
        <v>0</v>
      </c>
      <c s="6" r="BL625">
        <v>0</v>
      </c>
      <c s="6" r="BM625">
        <v>0</v>
      </c>
      <c s="6" r="BN625">
        <v>0</v>
      </c>
      <c s="6" r="BO625">
        <v>0</v>
      </c>
      <c s="6" r="BP625">
        <v>0</v>
      </c>
      <c s="6" r="BQ625">
        <v>0</v>
      </c>
      <c t="str" s="6" r="BR625">
        <f>HYPERLINK("http://www.d20pfsrd.com/magic/all-spells/e/e/emergency-force-sphere","Emergency Force Sphere")</f>
        <v>Emergency Force Sphere</v>
      </c>
      <c s="6" r="BS625">
        <v>630</v>
      </c>
      <c t="s" s="6" r="BT625">
        <v>92</v>
      </c>
      <c s="6" r="BY625">
        <v>0</v>
      </c>
    </row>
    <row customHeight="1" r="626" ht="14.25">
      <c t="s" s="6" r="A626">
        <v>4927</v>
      </c>
      <c t="s" s="6" r="B626">
        <v>78</v>
      </c>
      <c t="s" s="6" r="C626">
        <v>1356</v>
      </c>
      <c t="s" s="6" r="D626">
        <v>55</v>
      </c>
      <c t="s" s="6" r="E626">
        <v>1667</v>
      </c>
      <c t="s" s="6" r="F626">
        <v>81</v>
      </c>
      <c t="s" s="6" r="G626">
        <v>4928</v>
      </c>
      <c s="6" r="H626">
        <v>1</v>
      </c>
      <c t="s" s="6" r="I626">
        <v>97</v>
      </c>
      <c t="s" s="6" r="L626">
        <v>4929</v>
      </c>
      <c t="s" s="6" r="M626">
        <v>109</v>
      </c>
      <c s="6" r="N626">
        <v>0</v>
      </c>
      <c s="6" r="O626">
        <v>0</v>
      </c>
      <c t="s" s="6" r="P626">
        <v>421</v>
      </c>
      <c t="s" s="6" r="Q626">
        <v>123</v>
      </c>
      <c t="s" s="6" r="R626">
        <v>4930</v>
      </c>
      <c t="s" s="6" r="S626">
        <v>4931</v>
      </c>
      <c t="s" s="6" r="T626">
        <v>4892</v>
      </c>
      <c t="s" s="6" r="U626">
        <v>4932</v>
      </c>
      <c s="6" r="V626">
        <v>1</v>
      </c>
      <c s="6" r="W626">
        <v>1</v>
      </c>
      <c s="6" r="X626">
        <v>1</v>
      </c>
      <c s="6" r="Y626">
        <v>0</v>
      </c>
      <c s="6" r="Z626">
        <v>0</v>
      </c>
      <c s="6" r="AA626">
        <v>7</v>
      </c>
      <c s="6" r="AB626">
        <v>7</v>
      </c>
      <c s="6" r="AC626">
        <v>7</v>
      </c>
      <c t="s" s="6" r="AD626">
        <v>92</v>
      </c>
      <c t="s" s="6" r="AE626">
        <v>92</v>
      </c>
      <c t="s" s="6" r="AF626">
        <v>92</v>
      </c>
      <c t="s" s="6" r="AG626">
        <v>92</v>
      </c>
      <c t="s" s="6" r="AH626">
        <v>92</v>
      </c>
      <c t="s" s="6" r="AI626">
        <v>92</v>
      </c>
      <c t="s" s="6" r="AJ626">
        <v>92</v>
      </c>
      <c t="s" s="6" r="AK626">
        <v>92</v>
      </c>
      <c s="6" r="AL626">
        <v>7</v>
      </c>
      <c t="s" s="6" r="AM626">
        <v>92</v>
      </c>
      <c t="s" s="6" r="AN626">
        <v>92</v>
      </c>
      <c s="6" r="AP626">
        <v>7</v>
      </c>
      <c s="6" r="AS626">
        <v>0</v>
      </c>
      <c s="6" r="AT626">
        <v>0</v>
      </c>
      <c s="6" r="AU626">
        <v>0</v>
      </c>
      <c s="6" r="AV626">
        <v>0</v>
      </c>
      <c s="6" r="AW626">
        <v>0</v>
      </c>
      <c s="6" r="AX626">
        <v>0</v>
      </c>
      <c s="6" r="AY626">
        <v>0</v>
      </c>
      <c s="6" r="AZ626">
        <v>0</v>
      </c>
      <c s="6" r="BA626">
        <v>0</v>
      </c>
      <c s="6" r="BB626">
        <v>0</v>
      </c>
      <c s="6" r="BC626">
        <v>0</v>
      </c>
      <c s="6" r="BD626">
        <v>1</v>
      </c>
      <c s="6" r="BE626">
        <v>0</v>
      </c>
      <c s="6" r="BF626">
        <v>0</v>
      </c>
      <c s="6" r="BG626">
        <v>0</v>
      </c>
      <c s="6" r="BH626">
        <v>0</v>
      </c>
      <c s="6" r="BI626">
        <v>0</v>
      </c>
      <c s="6" r="BJ626">
        <v>0</v>
      </c>
      <c s="6" r="BK626">
        <v>0</v>
      </c>
      <c s="6" r="BL626">
        <v>0</v>
      </c>
      <c s="6" r="BM626">
        <v>0</v>
      </c>
      <c s="6" r="BN626">
        <v>0</v>
      </c>
      <c s="6" r="BO626">
        <v>0</v>
      </c>
      <c s="6" r="BP626">
        <v>0</v>
      </c>
      <c s="6" r="BQ626">
        <v>0</v>
      </c>
      <c t="str" s="6" r="BR626">
        <f>HYPERLINK("http://www.d20pfsrd.com/magic/all-spells/s/s/signifier-s-rally","Signifer's Rally")</f>
        <v>Signifer's Rally</v>
      </c>
      <c s="6" r="BS626">
        <v>631</v>
      </c>
      <c s="6" r="BT626">
        <v>100</v>
      </c>
      <c s="6" r="BY626">
        <v>0</v>
      </c>
    </row>
    <row customHeight="1" r="627" ht="14.25">
      <c t="s" s="6" r="A627">
        <v>4933</v>
      </c>
      <c t="s" s="6" r="B627">
        <v>579</v>
      </c>
      <c t="s" s="6" r="C627">
        <v>66</v>
      </c>
      <c t="s" s="6" r="E627">
        <v>1691</v>
      </c>
      <c t="s" s="6" r="F627">
        <v>311</v>
      </c>
      <c t="s" s="6" r="G627">
        <v>4934</v>
      </c>
      <c s="6" r="H627">
        <v>0</v>
      </c>
      <c t="s" s="6" r="I627">
        <v>813</v>
      </c>
      <c t="s" s="6" r="K627">
        <v>4935</v>
      </c>
      <c t="s" s="6" r="M627">
        <v>2718</v>
      </c>
      <c s="6" r="N627">
        <v>1</v>
      </c>
      <c s="6" r="O627">
        <v>0</v>
      </c>
      <c t="s" s="6" r="P627">
        <v>4922</v>
      </c>
      <c t="s" s="6" r="Q627">
        <v>4923</v>
      </c>
      <c t="s" s="6" r="R627">
        <v>4936</v>
      </c>
      <c t="s" s="6" r="S627">
        <v>4937</v>
      </c>
      <c t="s" s="6" r="T627">
        <v>4892</v>
      </c>
      <c t="s" s="6" r="U627">
        <v>4938</v>
      </c>
      <c s="6" r="V627">
        <v>1</v>
      </c>
      <c s="6" r="W627">
        <v>1</v>
      </c>
      <c s="6" r="X627">
        <v>1</v>
      </c>
      <c s="6" r="Y627">
        <v>0</v>
      </c>
      <c s="6" r="Z627">
        <v>0</v>
      </c>
      <c s="6" r="AA627">
        <v>3</v>
      </c>
      <c s="6" r="AB627">
        <v>3</v>
      </c>
      <c t="s" s="6" r="AC627">
        <v>92</v>
      </c>
      <c t="s" s="6" r="AD627">
        <v>92</v>
      </c>
      <c t="s" s="6" r="AE627">
        <v>92</v>
      </c>
      <c t="s" s="6" r="AF627">
        <v>92</v>
      </c>
      <c t="s" s="6" r="AG627">
        <v>92</v>
      </c>
      <c t="s" s="6" r="AH627">
        <v>92</v>
      </c>
      <c t="s" s="6" r="AI627">
        <v>92</v>
      </c>
      <c t="s" s="6" r="AJ627">
        <v>92</v>
      </c>
      <c t="s" s="6" r="AK627">
        <v>92</v>
      </c>
      <c t="s" s="6" r="AL627">
        <v>92</v>
      </c>
      <c t="s" s="6" r="AM627">
        <v>92</v>
      </c>
      <c t="s" s="6" r="AN627">
        <v>92</v>
      </c>
      <c s="6" r="AP627">
        <v>3</v>
      </c>
      <c s="6" r="AS627">
        <v>0</v>
      </c>
      <c s="6" r="AT627">
        <v>0</v>
      </c>
      <c s="6" r="AU627">
        <v>0</v>
      </c>
      <c s="6" r="AV627">
        <v>0</v>
      </c>
      <c s="6" r="AW627">
        <v>0</v>
      </c>
      <c s="6" r="AX627">
        <v>0</v>
      </c>
      <c s="6" r="AY627">
        <v>0</v>
      </c>
      <c s="6" r="AZ627">
        <v>0</v>
      </c>
      <c s="6" r="BA627">
        <v>0</v>
      </c>
      <c s="6" r="BB627">
        <v>0</v>
      </c>
      <c s="6" r="BC627">
        <v>0</v>
      </c>
      <c s="6" r="BD627">
        <v>0</v>
      </c>
      <c s="6" r="BE627">
        <v>0</v>
      </c>
      <c s="6" r="BF627">
        <v>0</v>
      </c>
      <c s="6" r="BG627">
        <v>0</v>
      </c>
      <c s="6" r="BH627">
        <v>0</v>
      </c>
      <c s="6" r="BI627">
        <v>0</v>
      </c>
      <c s="6" r="BJ627">
        <v>0</v>
      </c>
      <c s="6" r="BK627">
        <v>0</v>
      </c>
      <c s="6" r="BL627">
        <v>0</v>
      </c>
      <c s="6" r="BM627">
        <v>0</v>
      </c>
      <c s="6" r="BN627">
        <v>0</v>
      </c>
      <c s="6" r="BO627">
        <v>0</v>
      </c>
      <c s="6" r="BP627">
        <v>0</v>
      </c>
      <c s="6" r="BQ627">
        <v>0</v>
      </c>
      <c t="str" s="6" r="BR627">
        <f>HYPERLINK("http://www.d20pfsrd.com/magic/all-spells/t/t/twine-double","Twine Double")</f>
        <v>Twine Double</v>
      </c>
      <c s="6" r="BS627">
        <v>632</v>
      </c>
      <c t="s" s="6" r="BT627">
        <v>92</v>
      </c>
      <c s="6" r="BY627">
        <v>0</v>
      </c>
    </row>
    <row customHeight="1" r="628" ht="14.25">
      <c t="s" s="6" r="A628">
        <v>4939</v>
      </c>
      <c t="s" s="6" r="B628">
        <v>227</v>
      </c>
      <c t="s" s="6" r="D628">
        <v>3713</v>
      </c>
      <c t="s" s="6" r="E628">
        <v>4940</v>
      </c>
      <c t="s" s="6" r="F628">
        <v>81</v>
      </c>
      <c t="s" s="6" r="G628">
        <v>4941</v>
      </c>
      <c s="6" r="H628">
        <v>0</v>
      </c>
      <c t="s" s="6" r="I628">
        <v>1052</v>
      </c>
      <c t="s" s="6" r="J628">
        <v>630</v>
      </c>
      <c t="s" s="6" r="M628">
        <v>4942</v>
      </c>
      <c s="6" r="N628">
        <v>0</v>
      </c>
      <c s="6" r="O628">
        <v>0</v>
      </c>
      <c t="s" s="6" r="P628">
        <v>296</v>
      </c>
      <c t="s" s="6" r="Q628">
        <v>188</v>
      </c>
      <c t="s" s="6" r="R628">
        <v>4943</v>
      </c>
      <c t="s" s="6" r="S628">
        <v>4944</v>
      </c>
      <c t="s" s="6" r="T628">
        <v>90</v>
      </c>
      <c t="s" s="6" r="U628">
        <v>4945</v>
      </c>
      <c s="6" r="V628">
        <v>1</v>
      </c>
      <c s="6" r="W628">
        <v>1</v>
      </c>
      <c s="6" r="X628">
        <v>1</v>
      </c>
      <c s="6" r="Y628">
        <v>0</v>
      </c>
      <c s="6" r="Z628">
        <v>0</v>
      </c>
      <c s="6" r="AA628">
        <v>4</v>
      </c>
      <c s="6" r="AB628">
        <v>4</v>
      </c>
      <c t="s" s="6" r="AC628">
        <v>92</v>
      </c>
      <c t="s" s="6" r="AD628">
        <v>92</v>
      </c>
      <c t="s" s="6" r="AE628">
        <v>92</v>
      </c>
      <c s="6" r="AF628">
        <v>3</v>
      </c>
      <c t="s" s="6" r="AG628">
        <v>92</v>
      </c>
      <c t="s" s="6" r="AH628">
        <v>92</v>
      </c>
      <c t="s" s="6" r="AI628">
        <v>92</v>
      </c>
      <c s="6" r="AJ628">
        <v>4</v>
      </c>
      <c s="6" r="AK628">
        <v>4</v>
      </c>
      <c t="s" s="6" r="AL628">
        <v>92</v>
      </c>
      <c s="6" r="AM628">
        <v>4</v>
      </c>
      <c t="s" s="6" r="AN628">
        <v>92</v>
      </c>
      <c s="6" r="AP628">
        <v>4</v>
      </c>
      <c t="s" s="6" r="AR628">
        <v>4946</v>
      </c>
      <c s="6" r="AS628">
        <v>0</v>
      </c>
      <c s="6" r="AT628">
        <v>0</v>
      </c>
      <c s="6" r="AU628">
        <v>0</v>
      </c>
      <c s="6" r="AV628">
        <v>0</v>
      </c>
      <c s="6" r="AW628">
        <v>0</v>
      </c>
      <c s="6" r="AX628">
        <v>0</v>
      </c>
      <c s="6" r="AY628">
        <v>0</v>
      </c>
      <c s="6" r="AZ628">
        <v>0</v>
      </c>
      <c s="6" r="BA628">
        <v>0</v>
      </c>
      <c s="6" r="BB628">
        <v>0</v>
      </c>
      <c s="6" r="BC628">
        <v>1</v>
      </c>
      <c s="6" r="BD628">
        <v>0</v>
      </c>
      <c s="6" r="BE628">
        <v>1</v>
      </c>
      <c s="6" r="BF628">
        <v>0</v>
      </c>
      <c s="6" r="BG628">
        <v>0</v>
      </c>
      <c s="6" r="BH628">
        <v>0</v>
      </c>
      <c s="6" r="BI628">
        <v>0</v>
      </c>
      <c s="6" r="BJ628">
        <v>0</v>
      </c>
      <c s="6" r="BK628">
        <v>0</v>
      </c>
      <c s="6" r="BL628">
        <v>1</v>
      </c>
      <c s="6" r="BM628">
        <v>0</v>
      </c>
      <c s="6" r="BN628">
        <v>0</v>
      </c>
      <c s="6" r="BO628">
        <v>0</v>
      </c>
      <c s="6" r="BP628">
        <v>0</v>
      </c>
      <c s="6" r="BQ628">
        <v>0</v>
      </c>
      <c t="str" s="6" r="BR628">
        <f>HYPERLINK("http://www.d20pfsrd.com/magic/all-spells/f/fear","Fear")</f>
        <v>Fear</v>
      </c>
      <c s="6" r="BS628">
        <v>633</v>
      </c>
      <c t="s" s="6" r="BT628">
        <v>92</v>
      </c>
      <c t="s" s="6" r="BU628">
        <v>1951</v>
      </c>
      <c s="6" r="BY628">
        <v>0</v>
      </c>
    </row>
    <row customHeight="1" r="629" ht="14.25">
      <c t="s" s="6" r="A629">
        <v>4947</v>
      </c>
      <c t="s" s="6" r="B629">
        <v>115</v>
      </c>
      <c t="s" s="6" r="C629">
        <v>116</v>
      </c>
      <c t="s" s="6" r="D629">
        <v>117</v>
      </c>
      <c t="s" s="6" r="E629">
        <v>4295</v>
      </c>
      <c t="s" s="6" r="F629">
        <v>81</v>
      </c>
      <c t="s" s="6" r="G629">
        <v>106</v>
      </c>
      <c s="6" r="H629">
        <v>0</v>
      </c>
      <c t="s" s="6" r="I629">
        <v>97</v>
      </c>
      <c t="s" s="6" r="L629">
        <v>739</v>
      </c>
      <c t="s" s="6" r="M629">
        <v>2321</v>
      </c>
      <c s="6" r="N629">
        <v>1</v>
      </c>
      <c s="6" r="O629">
        <v>0</v>
      </c>
      <c t="s" s="6" r="P629">
        <v>474</v>
      </c>
      <c t="s" s="6" r="Q629">
        <v>188</v>
      </c>
      <c t="s" s="6" r="R629">
        <v>4948</v>
      </c>
      <c t="s" s="6" r="S629">
        <v>4949</v>
      </c>
      <c t="s" s="6" r="T629">
        <v>90</v>
      </c>
      <c t="s" s="6" r="U629">
        <v>4950</v>
      </c>
      <c s="6" r="V629">
        <v>1</v>
      </c>
      <c s="6" r="W629">
        <v>1</v>
      </c>
      <c s="6" r="X629">
        <v>0</v>
      </c>
      <c s="6" r="Y629">
        <v>0</v>
      </c>
      <c s="6" r="Z629">
        <v>0</v>
      </c>
      <c t="s" s="6" r="AA629">
        <v>92</v>
      </c>
      <c t="s" s="6" r="AB629">
        <v>92</v>
      </c>
      <c t="s" s="6" r="AC629">
        <v>92</v>
      </c>
      <c s="6" r="AD629">
        <v>2</v>
      </c>
      <c s="6" r="AE629">
        <v>2</v>
      </c>
      <c t="s" s="6" r="AF629">
        <v>92</v>
      </c>
      <c t="s" s="6" r="AG629">
        <v>92</v>
      </c>
      <c t="s" s="6" r="AH629">
        <v>92</v>
      </c>
      <c t="s" s="6" r="AI629">
        <v>92</v>
      </c>
      <c t="s" s="6" r="AJ629">
        <v>92</v>
      </c>
      <c t="s" s="6" r="AK629">
        <v>92</v>
      </c>
      <c t="s" s="6" r="AL629">
        <v>92</v>
      </c>
      <c t="s" s="6" r="AM629">
        <v>92</v>
      </c>
      <c t="s" s="6" r="AN629">
        <v>92</v>
      </c>
      <c s="6" r="AP629">
        <v>2</v>
      </c>
      <c t="s" s="6" r="AQ629">
        <v>661</v>
      </c>
      <c t="s" s="6" r="AR629">
        <v>4951</v>
      </c>
      <c s="6" r="AS629">
        <v>0</v>
      </c>
      <c s="6" r="AT629">
        <v>0</v>
      </c>
      <c s="6" r="AU629">
        <v>0</v>
      </c>
      <c s="6" r="AV629">
        <v>0</v>
      </c>
      <c s="6" r="AW629">
        <v>0</v>
      </c>
      <c s="6" r="AX629">
        <v>0</v>
      </c>
      <c s="6" r="AY629">
        <v>0</v>
      </c>
      <c s="6" r="AZ629">
        <v>0</v>
      </c>
      <c s="6" r="BA629">
        <v>0</v>
      </c>
      <c s="6" r="BB629">
        <v>0</v>
      </c>
      <c s="6" r="BC629">
        <v>0</v>
      </c>
      <c s="6" r="BD629">
        <v>0</v>
      </c>
      <c s="6" r="BE629">
        <v>0</v>
      </c>
      <c s="6" r="BF629">
        <v>0</v>
      </c>
      <c s="6" r="BG629">
        <v>0</v>
      </c>
      <c s="6" r="BH629">
        <v>0</v>
      </c>
      <c s="6" r="BI629">
        <v>0</v>
      </c>
      <c s="6" r="BJ629">
        <v>0</v>
      </c>
      <c s="6" r="BK629">
        <v>0</v>
      </c>
      <c s="6" r="BL629">
        <v>1</v>
      </c>
      <c s="6" r="BM629">
        <v>0</v>
      </c>
      <c s="6" r="BN629">
        <v>0</v>
      </c>
      <c s="6" r="BO629">
        <v>0</v>
      </c>
      <c s="6" r="BP629">
        <v>0</v>
      </c>
      <c s="6" r="BQ629">
        <v>0</v>
      </c>
      <c t="str" s="6" r="BR629">
        <f>HYPERLINK("http://www.d20pfsrd.com/magic/all-spells/h/hold-animal","Hold Animal")</f>
        <v>Hold Animal</v>
      </c>
      <c s="6" r="BS629">
        <v>634</v>
      </c>
      <c t="s" s="6" r="BT629">
        <v>92</v>
      </c>
      <c s="6" r="BY629">
        <v>0</v>
      </c>
    </row>
    <row customHeight="1" r="630" ht="14.25">
      <c t="s" s="6" r="A630">
        <v>4952</v>
      </c>
      <c t="s" s="6" r="B630">
        <v>78</v>
      </c>
      <c t="s" s="6" r="C630">
        <v>1042</v>
      </c>
      <c t="s" s="6" r="E630">
        <v>4953</v>
      </c>
      <c t="s" s="6" r="F630">
        <v>272</v>
      </c>
      <c t="s" s="6" r="G630">
        <v>119</v>
      </c>
      <c s="6" r="H630">
        <v>0</v>
      </c>
      <c t="s" s="6" r="I630">
        <v>83</v>
      </c>
      <c t="s" s="6" r="K630">
        <v>4954</v>
      </c>
      <c t="s" s="6" r="M630">
        <v>122</v>
      </c>
      <c s="6" r="N630">
        <v>0</v>
      </c>
      <c s="6" r="O630">
        <v>0</v>
      </c>
      <c t="s" s="6" r="P630">
        <v>86</v>
      </c>
      <c t="s" s="6" r="Q630">
        <v>87</v>
      </c>
      <c t="s" s="6" r="R630">
        <v>4955</v>
      </c>
      <c t="s" s="6" r="S630">
        <v>4956</v>
      </c>
      <c t="s" s="6" r="T630">
        <v>90</v>
      </c>
      <c t="s" s="6" r="U630">
        <v>4957</v>
      </c>
      <c s="6" r="V630">
        <v>1</v>
      </c>
      <c s="6" r="W630">
        <v>1</v>
      </c>
      <c s="6" r="X630">
        <v>0</v>
      </c>
      <c s="6" r="Y630">
        <v>0</v>
      </c>
      <c s="6" r="Z630">
        <v>1</v>
      </c>
      <c t="s" s="6" r="AA630">
        <v>92</v>
      </c>
      <c t="s" s="6" r="AB630">
        <v>92</v>
      </c>
      <c s="6" r="AC630">
        <v>5</v>
      </c>
      <c s="6" r="AD630">
        <v>5</v>
      </c>
      <c t="s" s="6" r="AE630">
        <v>92</v>
      </c>
      <c t="s" s="6" r="AF630">
        <v>92</v>
      </c>
      <c t="s" s="6" r="AG630">
        <v>92</v>
      </c>
      <c t="s" s="6" r="AH630">
        <v>92</v>
      </c>
      <c s="6" r="AI630">
        <v>4</v>
      </c>
      <c t="s" s="6" r="AJ630">
        <v>92</v>
      </c>
      <c t="s" s="6" r="AK630">
        <v>92</v>
      </c>
      <c s="6" r="AL630">
        <v>5</v>
      </c>
      <c t="s" s="6" r="AM630">
        <v>92</v>
      </c>
      <c t="s" s="6" r="AN630">
        <v>92</v>
      </c>
      <c s="6" r="AP630">
        <v>5</v>
      </c>
      <c t="s" s="6" r="AR630">
        <v>4958</v>
      </c>
      <c s="6" r="AS630">
        <v>0</v>
      </c>
      <c s="6" r="AT630">
        <v>0</v>
      </c>
      <c s="6" r="AU630">
        <v>0</v>
      </c>
      <c s="6" r="AV630">
        <v>0</v>
      </c>
      <c s="6" r="AW630">
        <v>0</v>
      </c>
      <c s="6" r="AX630">
        <v>0</v>
      </c>
      <c s="6" r="AY630">
        <v>0</v>
      </c>
      <c s="6" r="AZ630">
        <v>0</v>
      </c>
      <c s="6" r="BA630">
        <v>0</v>
      </c>
      <c s="6" r="BB630">
        <v>0</v>
      </c>
      <c s="6" r="BC630">
        <v>0</v>
      </c>
      <c s="6" r="BD630">
        <v>0</v>
      </c>
      <c s="6" r="BE630">
        <v>0</v>
      </c>
      <c s="6" r="BF630">
        <v>0</v>
      </c>
      <c s="6" r="BG630">
        <v>0</v>
      </c>
      <c s="6" r="BH630">
        <v>0</v>
      </c>
      <c s="6" r="BI630">
        <v>0</v>
      </c>
      <c s="6" r="BJ630">
        <v>0</v>
      </c>
      <c s="6" r="BK630">
        <v>0</v>
      </c>
      <c s="6" r="BL630">
        <v>0</v>
      </c>
      <c s="6" r="BM630">
        <v>0</v>
      </c>
      <c s="6" r="BN630">
        <v>0</v>
      </c>
      <c s="6" r="BO630">
        <v>0</v>
      </c>
      <c s="6" r="BP630">
        <v>0</v>
      </c>
      <c s="6" r="BQ630">
        <v>0</v>
      </c>
      <c t="str" s="6" r="BR630">
        <f>HYPERLINK("http://www.d20pfsrd.com/magic/all-spells/i/insect-plague","Insect Plague")</f>
        <v>Insect Plague</v>
      </c>
      <c s="6" r="BS630">
        <v>635</v>
      </c>
      <c t="s" s="6" r="BT630">
        <v>92</v>
      </c>
      <c t="s" s="6" r="BU630">
        <v>744</v>
      </c>
      <c s="6" r="BY630">
        <v>0</v>
      </c>
    </row>
    <row customHeight="1" r="631" ht="14.25">
      <c t="s" s="6" r="A631">
        <v>4959</v>
      </c>
      <c t="s" s="6" r="B631">
        <v>131</v>
      </c>
      <c t="s" s="6" r="C631">
        <v>152</v>
      </c>
      <c t="s" s="6" r="E631">
        <v>4960</v>
      </c>
      <c t="s" s="6" r="F631">
        <v>81</v>
      </c>
      <c t="s" s="6" r="G631">
        <v>106</v>
      </c>
      <c s="6" r="H631">
        <v>0</v>
      </c>
      <c t="s" s="6" r="I631">
        <v>107</v>
      </c>
      <c t="s" s="6" r="L631">
        <v>1235</v>
      </c>
      <c t="s" s="6" r="M631">
        <v>323</v>
      </c>
      <c s="6" r="N631">
        <v>0</v>
      </c>
      <c s="6" r="O631">
        <v>0</v>
      </c>
      <c t="s" s="6" r="P631">
        <v>4961</v>
      </c>
      <c t="s" s="6" r="Q631">
        <v>188</v>
      </c>
      <c t="s" s="6" r="R631">
        <v>4962</v>
      </c>
      <c t="s" s="6" r="S631">
        <v>4963</v>
      </c>
      <c t="s" s="6" r="T631">
        <v>90</v>
      </c>
      <c t="s" s="6" r="U631">
        <v>4964</v>
      </c>
      <c s="6" r="V631">
        <v>1</v>
      </c>
      <c s="6" r="W631">
        <v>1</v>
      </c>
      <c s="6" r="X631">
        <v>0</v>
      </c>
      <c s="6" r="Y631">
        <v>0</v>
      </c>
      <c s="6" r="Z631">
        <v>0</v>
      </c>
      <c s="6" r="AA631">
        <v>5</v>
      </c>
      <c s="6" r="AB631">
        <v>5</v>
      </c>
      <c t="s" s="6" r="AC631">
        <v>92</v>
      </c>
      <c s="6" r="AD631">
        <v>5</v>
      </c>
      <c t="s" s="6" r="AE631">
        <v>92</v>
      </c>
      <c t="s" s="6" r="AF631">
        <v>92</v>
      </c>
      <c t="s" s="6" r="AG631">
        <v>92</v>
      </c>
      <c t="s" s="6" r="AH631">
        <v>92</v>
      </c>
      <c s="6" r="AI631">
        <v>4</v>
      </c>
      <c s="6" r="AJ631">
        <v>5</v>
      </c>
      <c t="s" s="6" r="AK631">
        <v>92</v>
      </c>
      <c t="s" s="6" r="AL631">
        <v>92</v>
      </c>
      <c t="s" s="6" r="AM631">
        <v>92</v>
      </c>
      <c s="6" r="AN631">
        <v>5</v>
      </c>
      <c s="6" r="AP631">
        <v>5</v>
      </c>
      <c t="s" s="6" r="AR631">
        <v>4965</v>
      </c>
      <c s="6" r="AS631">
        <v>0</v>
      </c>
      <c s="6" r="AT631">
        <v>0</v>
      </c>
      <c s="6" r="AU631">
        <v>0</v>
      </c>
      <c s="6" r="AV631">
        <v>0</v>
      </c>
      <c s="6" r="AW631">
        <v>0</v>
      </c>
      <c s="6" r="AX631">
        <v>0</v>
      </c>
      <c s="6" r="AY631">
        <v>0</v>
      </c>
      <c s="6" r="AZ631">
        <v>0</v>
      </c>
      <c s="6" r="BA631">
        <v>0</v>
      </c>
      <c s="6" r="BB631">
        <v>0</v>
      </c>
      <c s="6" r="BC631">
        <v>0</v>
      </c>
      <c s="6" r="BD631">
        <v>0</v>
      </c>
      <c s="6" r="BE631">
        <v>0</v>
      </c>
      <c s="6" r="BF631">
        <v>0</v>
      </c>
      <c s="6" r="BG631">
        <v>0</v>
      </c>
      <c s="6" r="BH631">
        <v>0</v>
      </c>
      <c s="6" r="BI631">
        <v>0</v>
      </c>
      <c s="6" r="BJ631">
        <v>0</v>
      </c>
      <c s="6" r="BK631">
        <v>0</v>
      </c>
      <c s="6" r="BL631">
        <v>0</v>
      </c>
      <c s="6" r="BM631">
        <v>0</v>
      </c>
      <c s="6" r="BN631">
        <v>0</v>
      </c>
      <c s="6" r="BO631">
        <v>0</v>
      </c>
      <c s="6" r="BP631">
        <v>0</v>
      </c>
      <c s="6" r="BQ631">
        <v>0</v>
      </c>
      <c t="str" s="6" r="BR631">
        <f>HYPERLINK("http://www.d20pfsrd.com/magic/all-spells/b/baleful-polymorph","Baleful Polymorph")</f>
        <v>Baleful Polymorph</v>
      </c>
      <c s="6" r="BS631">
        <v>636</v>
      </c>
      <c t="s" s="6" r="BT631">
        <v>92</v>
      </c>
      <c t="s" s="6" r="BW631">
        <v>396</v>
      </c>
      <c t="s" s="6" r="BX631">
        <v>397</v>
      </c>
      <c s="6" r="BY631">
        <v>1</v>
      </c>
    </row>
    <row customHeight="1" r="632" ht="14.25">
      <c t="s" s="6" r="A632">
        <v>4966</v>
      </c>
      <c t="s" s="6" r="B632">
        <v>174</v>
      </c>
      <c t="s" s="6" r="E632">
        <v>1755</v>
      </c>
      <c t="s" s="6" r="F632">
        <v>197</v>
      </c>
      <c t="s" s="6" r="G632">
        <v>3366</v>
      </c>
      <c s="6" r="H632">
        <v>0</v>
      </c>
      <c t="s" s="6" r="I632">
        <v>3367</v>
      </c>
      <c t="s" s="6" r="K632">
        <v>3368</v>
      </c>
      <c t="s" s="6" r="M632">
        <v>3369</v>
      </c>
      <c s="6" r="N632">
        <v>1</v>
      </c>
      <c s="6" r="O632">
        <v>0</v>
      </c>
      <c t="s" s="6" r="P632">
        <v>86</v>
      </c>
      <c t="s" s="6" r="Q632">
        <v>87</v>
      </c>
      <c t="s" s="6" r="R632">
        <v>4967</v>
      </c>
      <c t="s" s="6" r="S632">
        <v>4968</v>
      </c>
      <c t="s" s="6" r="T632">
        <v>90</v>
      </c>
      <c t="s" s="6" r="U632">
        <v>4969</v>
      </c>
      <c s="6" r="V632">
        <v>1</v>
      </c>
      <c s="6" r="W632">
        <v>1</v>
      </c>
      <c s="6" r="X632">
        <v>1</v>
      </c>
      <c s="6" r="Y632">
        <v>0</v>
      </c>
      <c s="6" r="Z632">
        <v>0</v>
      </c>
      <c s="6" r="AA632">
        <v>5</v>
      </c>
      <c s="6" r="AB632">
        <v>5</v>
      </c>
      <c t="s" s="6" r="AC632">
        <v>92</v>
      </c>
      <c t="s" s="6" r="AD632">
        <v>92</v>
      </c>
      <c t="s" s="6" r="AE632">
        <v>92</v>
      </c>
      <c t="s" s="6" r="AF632">
        <v>92</v>
      </c>
      <c t="s" s="6" r="AG632">
        <v>92</v>
      </c>
      <c t="s" s="6" r="AH632">
        <v>92</v>
      </c>
      <c t="s" s="6" r="AI632">
        <v>92</v>
      </c>
      <c s="6" r="AJ632">
        <v>5</v>
      </c>
      <c t="s" s="6" r="AK632">
        <v>92</v>
      </c>
      <c t="s" s="6" r="AL632">
        <v>92</v>
      </c>
      <c t="s" s="6" r="AM632">
        <v>92</v>
      </c>
      <c t="s" s="6" r="AN632">
        <v>92</v>
      </c>
      <c s="6" r="AP632">
        <v>5</v>
      </c>
      <c t="s" s="6" r="AR632">
        <v>4970</v>
      </c>
      <c s="6" r="AS632">
        <v>0</v>
      </c>
      <c s="6" r="AT632">
        <v>0</v>
      </c>
      <c s="6" r="AU632">
        <v>0</v>
      </c>
      <c s="6" r="AV632">
        <v>0</v>
      </c>
      <c s="6" r="AW632">
        <v>0</v>
      </c>
      <c s="6" r="AX632">
        <v>0</v>
      </c>
      <c s="6" r="AY632">
        <v>0</v>
      </c>
      <c s="6" r="AZ632">
        <v>0</v>
      </c>
      <c s="6" r="BA632">
        <v>0</v>
      </c>
      <c s="6" r="BB632">
        <v>0</v>
      </c>
      <c s="6" r="BC632">
        <v>0</v>
      </c>
      <c s="6" r="BD632">
        <v>0</v>
      </c>
      <c s="6" r="BE632">
        <v>0</v>
      </c>
      <c s="6" r="BF632">
        <v>0</v>
      </c>
      <c s="6" r="BG632">
        <v>0</v>
      </c>
      <c s="6" r="BH632">
        <v>0</v>
      </c>
      <c s="6" r="BI632">
        <v>0</v>
      </c>
      <c s="6" r="BJ632">
        <v>0</v>
      </c>
      <c s="6" r="BK632">
        <v>0</v>
      </c>
      <c s="6" r="BL632">
        <v>0</v>
      </c>
      <c s="6" r="BM632">
        <v>0</v>
      </c>
      <c s="6" r="BN632">
        <v>0</v>
      </c>
      <c s="6" r="BO632">
        <v>0</v>
      </c>
      <c s="6" r="BP632">
        <v>0</v>
      </c>
      <c s="6" r="BQ632">
        <v>0</v>
      </c>
      <c t="str" s="6" r="BR632">
        <f>HYPERLINK("http://www.d20pfsrd.com/magic/all-spells/p/prying-eyes","Prying Eyes")</f>
        <v>Prying Eyes</v>
      </c>
      <c s="6" r="BS632">
        <v>637</v>
      </c>
      <c t="s" s="6" r="BT632">
        <v>92</v>
      </c>
      <c t="s" s="6" r="BU632">
        <v>737</v>
      </c>
      <c s="6" r="BY632">
        <v>0</v>
      </c>
    </row>
    <row customHeight="1" r="633" ht="14.25">
      <c t="s" s="6" r="A633">
        <v>4971</v>
      </c>
      <c t="s" s="6" r="B633">
        <v>78</v>
      </c>
      <c t="s" s="6" r="C633">
        <v>1042</v>
      </c>
      <c t="s" s="6" r="E633">
        <v>344</v>
      </c>
      <c t="s" s="6" r="F633">
        <v>81</v>
      </c>
      <c t="s" s="6" r="G633">
        <v>4972</v>
      </c>
      <c s="6" r="H633">
        <v>1</v>
      </c>
      <c t="s" s="6" r="I633">
        <v>141</v>
      </c>
      <c t="s" s="6" r="L633">
        <v>4973</v>
      </c>
      <c t="s" s="6" r="M633">
        <v>1693</v>
      </c>
      <c s="6" r="N633">
        <v>0</v>
      </c>
      <c s="6" r="O633">
        <v>0</v>
      </c>
      <c t="s" s="6" r="P633">
        <v>86</v>
      </c>
      <c t="s" s="6" r="Q633">
        <v>87</v>
      </c>
      <c t="s" s="6" r="R633">
        <v>4974</v>
      </c>
      <c t="s" s="6" r="S633">
        <v>4975</v>
      </c>
      <c t="s" s="6" r="T633">
        <v>90</v>
      </c>
      <c t="s" s="6" r="U633">
        <v>4976</v>
      </c>
      <c s="6" r="V633">
        <v>1</v>
      </c>
      <c s="6" r="W633">
        <v>1</v>
      </c>
      <c s="6" r="X633">
        <v>1</v>
      </c>
      <c s="6" r="Y633">
        <v>0</v>
      </c>
      <c s="6" r="Z633">
        <v>0</v>
      </c>
      <c s="6" r="AA633">
        <v>7</v>
      </c>
      <c s="6" r="AB633">
        <v>7</v>
      </c>
      <c t="s" s="6" r="AC633">
        <v>92</v>
      </c>
      <c t="s" s="6" r="AD633">
        <v>92</v>
      </c>
      <c t="s" s="6" r="AE633">
        <v>92</v>
      </c>
      <c t="s" s="6" r="AF633">
        <v>92</v>
      </c>
      <c t="s" s="6" r="AG633">
        <v>92</v>
      </c>
      <c t="s" s="6" r="AH633">
        <v>92</v>
      </c>
      <c t="s" s="6" r="AI633">
        <v>92</v>
      </c>
      <c s="6" r="AJ633">
        <v>7</v>
      </c>
      <c t="s" s="6" r="AK633">
        <v>92</v>
      </c>
      <c t="s" s="6" r="AL633">
        <v>92</v>
      </c>
      <c t="s" s="6" r="AM633">
        <v>92</v>
      </c>
      <c t="s" s="6" r="AN633">
        <v>92</v>
      </c>
      <c s="6" r="AP633">
        <v>7</v>
      </c>
      <c t="s" s="6" r="AQ633">
        <v>1664</v>
      </c>
      <c t="s" s="6" r="AR633">
        <v>4977</v>
      </c>
      <c s="6" r="AS633">
        <v>0</v>
      </c>
      <c s="6" r="AT633">
        <v>0</v>
      </c>
      <c s="6" r="AU633">
        <v>0</v>
      </c>
      <c s="6" r="AV633">
        <v>0</v>
      </c>
      <c s="6" r="AW633">
        <v>0</v>
      </c>
      <c s="6" r="AX633">
        <v>0</v>
      </c>
      <c s="6" r="AY633">
        <v>0</v>
      </c>
      <c s="6" r="AZ633">
        <v>0</v>
      </c>
      <c s="6" r="BA633">
        <v>0</v>
      </c>
      <c s="6" r="BB633">
        <v>0</v>
      </c>
      <c s="6" r="BC633">
        <v>0</v>
      </c>
      <c s="6" r="BD633">
        <v>0</v>
      </c>
      <c s="6" r="BE633">
        <v>0</v>
      </c>
      <c s="6" r="BF633">
        <v>0</v>
      </c>
      <c s="6" r="BG633">
        <v>0</v>
      </c>
      <c s="6" r="BH633">
        <v>0</v>
      </c>
      <c s="6" r="BI633">
        <v>0</v>
      </c>
      <c s="6" r="BJ633">
        <v>0</v>
      </c>
      <c s="6" r="BK633">
        <v>0</v>
      </c>
      <c s="6" r="BL633">
        <v>0</v>
      </c>
      <c s="6" r="BM633">
        <v>0</v>
      </c>
      <c s="6" r="BN633">
        <v>0</v>
      </c>
      <c s="6" r="BO633">
        <v>0</v>
      </c>
      <c s="6" r="BP633">
        <v>0</v>
      </c>
      <c s="6" r="BQ633">
        <v>0</v>
      </c>
      <c t="str" s="6" r="BR633">
        <f>HYPERLINK("http://www.d20pfsrd.com/magic/all-spells/i/instant-summons","Instant Summons")</f>
        <v>Instant Summons</v>
      </c>
      <c s="6" r="BS633">
        <v>638</v>
      </c>
      <c s="6" r="BT633">
        <v>1000</v>
      </c>
      <c s="6" r="BY633">
        <v>0</v>
      </c>
    </row>
    <row customHeight="1" r="634" ht="14.25">
      <c t="s" s="6" r="A634">
        <v>4978</v>
      </c>
      <c t="s" s="6" r="B634">
        <v>493</v>
      </c>
      <c t="s" s="6" r="E634">
        <v>4979</v>
      </c>
      <c t="s" s="6" r="F634">
        <v>311</v>
      </c>
      <c t="s" s="6" r="G634">
        <v>4980</v>
      </c>
      <c s="6" r="H634">
        <v>0</v>
      </c>
      <c t="s" s="6" r="I634">
        <v>120</v>
      </c>
      <c t="s" s="6" r="L634">
        <v>4981</v>
      </c>
      <c t="s" s="6" r="M634">
        <v>4982</v>
      </c>
      <c s="6" r="N634">
        <v>0</v>
      </c>
      <c s="6" r="O634">
        <v>0</v>
      </c>
      <c t="s" s="6" r="P634">
        <v>421</v>
      </c>
      <c t="s" s="6" r="Q634">
        <v>123</v>
      </c>
      <c t="s" s="6" r="R634">
        <v>4983</v>
      </c>
      <c t="s" s="6" r="S634">
        <v>4984</v>
      </c>
      <c t="s" s="6" r="T634">
        <v>4985</v>
      </c>
      <c t="s" s="6" r="U634">
        <v>4986</v>
      </c>
      <c s="6" r="V634">
        <v>1</v>
      </c>
      <c s="6" r="W634">
        <v>1</v>
      </c>
      <c s="6" r="X634">
        <v>0</v>
      </c>
      <c s="6" r="Y634">
        <v>0</v>
      </c>
      <c s="6" r="Z634">
        <v>0</v>
      </c>
      <c t="s" s="6" r="AA634">
        <v>92</v>
      </c>
      <c t="s" s="6" r="AB634">
        <v>92</v>
      </c>
      <c s="6" r="AC634">
        <v>5</v>
      </c>
      <c t="s" s="6" r="AD634">
        <v>92</v>
      </c>
      <c t="s" s="6" r="AE634">
        <v>92</v>
      </c>
      <c t="s" s="6" r="AF634">
        <v>92</v>
      </c>
      <c t="s" s="6" r="AG634">
        <v>92</v>
      </c>
      <c t="s" s="6" r="AH634">
        <v>92</v>
      </c>
      <c t="s" s="6" r="AI634">
        <v>92</v>
      </c>
      <c t="s" s="6" r="AJ634">
        <v>92</v>
      </c>
      <c t="s" s="6" r="AK634">
        <v>92</v>
      </c>
      <c s="6" r="AL634">
        <v>5</v>
      </c>
      <c t="s" s="6" r="AM634">
        <v>92</v>
      </c>
      <c t="s" s="6" r="AN634">
        <v>92</v>
      </c>
      <c t="s" s="6" r="AO634">
        <v>4987</v>
      </c>
      <c s="6" r="AP634">
        <v>5</v>
      </c>
      <c s="6" r="AS634">
        <v>0</v>
      </c>
      <c s="6" r="AT634">
        <v>0</v>
      </c>
      <c s="6" r="AU634">
        <v>0</v>
      </c>
      <c s="6" r="AV634">
        <v>0</v>
      </c>
      <c s="6" r="AW634">
        <v>0</v>
      </c>
      <c s="6" r="AX634">
        <v>0</v>
      </c>
      <c s="6" r="AY634">
        <v>0</v>
      </c>
      <c s="6" r="AZ634">
        <v>0</v>
      </c>
      <c s="6" r="BA634">
        <v>0</v>
      </c>
      <c s="6" r="BB634">
        <v>0</v>
      </c>
      <c s="6" r="BC634">
        <v>0</v>
      </c>
      <c s="6" r="BD634">
        <v>0</v>
      </c>
      <c s="6" r="BE634">
        <v>0</v>
      </c>
      <c s="6" r="BF634">
        <v>0</v>
      </c>
      <c s="6" r="BG634">
        <v>0</v>
      </c>
      <c s="6" r="BH634">
        <v>0</v>
      </c>
      <c s="6" r="BI634">
        <v>0</v>
      </c>
      <c s="6" r="BJ634">
        <v>0</v>
      </c>
      <c s="6" r="BK634">
        <v>0</v>
      </c>
      <c s="6" r="BL634">
        <v>0</v>
      </c>
      <c s="6" r="BM634">
        <v>0</v>
      </c>
      <c s="6" r="BN634">
        <v>0</v>
      </c>
      <c s="6" r="BO634">
        <v>0</v>
      </c>
      <c s="6" r="BP634">
        <v>0</v>
      </c>
      <c s="6" r="BQ634">
        <v>0</v>
      </c>
      <c t="str" s="6" r="BR634">
        <f>HYPERLINK("http://www.d20pfsrd.com/magic/all-spells/s/s/spellcasting-contract","Spellcasting Contract, Lesser")</f>
        <v>Spellcasting Contract, Lesser</v>
      </c>
      <c s="6" r="BS634">
        <v>641</v>
      </c>
      <c t="s" s="6" r="BT634">
        <v>92</v>
      </c>
      <c s="6" r="BY634">
        <v>0</v>
      </c>
    </row>
    <row customHeight="1" r="635" ht="14.25">
      <c t="s" s="6" r="A635">
        <v>4988</v>
      </c>
      <c t="s" s="6" r="B635">
        <v>493</v>
      </c>
      <c t="s" s="6" r="E635">
        <v>3656</v>
      </c>
      <c t="s" s="6" r="F635">
        <v>311</v>
      </c>
      <c t="s" s="6" r="G635">
        <v>4980</v>
      </c>
      <c s="6" r="H635">
        <v>0</v>
      </c>
      <c t="s" s="6" r="I635">
        <v>120</v>
      </c>
      <c t="s" s="6" r="L635">
        <v>4981</v>
      </c>
      <c t="s" s="6" r="M635">
        <v>4982</v>
      </c>
      <c s="6" r="N635">
        <v>0</v>
      </c>
      <c s="6" r="O635">
        <v>0</v>
      </c>
      <c t="s" s="6" r="P635">
        <v>421</v>
      </c>
      <c t="s" s="6" r="Q635">
        <v>123</v>
      </c>
      <c t="s" s="6" r="R635">
        <v>4989</v>
      </c>
      <c t="s" s="6" r="S635">
        <v>4990</v>
      </c>
      <c t="s" s="6" r="T635">
        <v>4985</v>
      </c>
      <c t="s" s="6" r="U635">
        <v>4991</v>
      </c>
      <c s="6" r="V635">
        <v>1</v>
      </c>
      <c s="6" r="W635">
        <v>1</v>
      </c>
      <c s="6" r="X635">
        <v>0</v>
      </c>
      <c s="6" r="Y635">
        <v>0</v>
      </c>
      <c s="6" r="Z635">
        <v>0</v>
      </c>
      <c t="s" s="6" r="AA635">
        <v>92</v>
      </c>
      <c t="s" s="6" r="AB635">
        <v>92</v>
      </c>
      <c s="6" r="AC635">
        <v>7</v>
      </c>
      <c t="s" s="6" r="AD635">
        <v>92</v>
      </c>
      <c t="s" s="6" r="AE635">
        <v>92</v>
      </c>
      <c t="s" s="6" r="AF635">
        <v>92</v>
      </c>
      <c t="s" s="6" r="AG635">
        <v>92</v>
      </c>
      <c t="s" s="6" r="AH635">
        <v>92</v>
      </c>
      <c t="s" s="6" r="AI635">
        <v>92</v>
      </c>
      <c t="s" s="6" r="AJ635">
        <v>92</v>
      </c>
      <c t="s" s="6" r="AK635">
        <v>92</v>
      </c>
      <c s="6" r="AL635">
        <v>7</v>
      </c>
      <c t="s" s="6" r="AM635">
        <v>92</v>
      </c>
      <c t="s" s="6" r="AN635">
        <v>92</v>
      </c>
      <c t="s" s="6" r="AO635">
        <v>4987</v>
      </c>
      <c s="6" r="AP635">
        <v>7</v>
      </c>
      <c s="6" r="AS635">
        <v>0</v>
      </c>
      <c s="6" r="AT635">
        <v>0</v>
      </c>
      <c s="6" r="AU635">
        <v>0</v>
      </c>
      <c s="6" r="AV635">
        <v>0</v>
      </c>
      <c s="6" r="AW635">
        <v>0</v>
      </c>
      <c s="6" r="AX635">
        <v>0</v>
      </c>
      <c s="6" r="AY635">
        <v>0</v>
      </c>
      <c s="6" r="AZ635">
        <v>0</v>
      </c>
      <c s="6" r="BA635">
        <v>0</v>
      </c>
      <c s="6" r="BB635">
        <v>0</v>
      </c>
      <c s="6" r="BC635">
        <v>0</v>
      </c>
      <c s="6" r="BD635">
        <v>0</v>
      </c>
      <c s="6" r="BE635">
        <v>0</v>
      </c>
      <c s="6" r="BF635">
        <v>0</v>
      </c>
      <c s="6" r="BG635">
        <v>0</v>
      </c>
      <c s="6" r="BH635">
        <v>0</v>
      </c>
      <c s="6" r="BI635">
        <v>0</v>
      </c>
      <c s="6" r="BJ635">
        <v>0</v>
      </c>
      <c s="6" r="BK635">
        <v>0</v>
      </c>
      <c s="6" r="BL635">
        <v>0</v>
      </c>
      <c s="6" r="BM635">
        <v>0</v>
      </c>
      <c s="6" r="BN635">
        <v>0</v>
      </c>
      <c s="6" r="BO635">
        <v>0</v>
      </c>
      <c s="6" r="BP635">
        <v>0</v>
      </c>
      <c s="6" r="BQ635">
        <v>0</v>
      </c>
      <c t="str" s="6" r="BR635">
        <f>HYPERLINK("http://www.d20pfsrd.com/magic/all-spells/s/s/spellcasting-contract","Spellcasting Contract")</f>
        <v>Spellcasting Contract</v>
      </c>
      <c s="6" r="BS635">
        <v>642</v>
      </c>
      <c t="s" s="6" r="BT635">
        <v>92</v>
      </c>
      <c s="6" r="BY635">
        <v>0</v>
      </c>
    </row>
    <row customHeight="1" r="636" ht="14.25">
      <c t="s" s="6" r="A636">
        <v>4992</v>
      </c>
      <c t="s" s="6" r="B636">
        <v>493</v>
      </c>
      <c t="s" s="6" r="E636">
        <v>2240</v>
      </c>
      <c t="s" s="6" r="F636">
        <v>311</v>
      </c>
      <c t="s" s="6" r="G636">
        <v>4980</v>
      </c>
      <c s="6" r="H636">
        <v>0</v>
      </c>
      <c t="s" s="6" r="I636">
        <v>120</v>
      </c>
      <c t="s" s="6" r="L636">
        <v>4981</v>
      </c>
      <c t="s" s="6" r="M636">
        <v>4982</v>
      </c>
      <c s="6" r="N636">
        <v>0</v>
      </c>
      <c s="6" r="O636">
        <v>0</v>
      </c>
      <c t="s" s="6" r="P636">
        <v>421</v>
      </c>
      <c t="s" s="6" r="Q636">
        <v>123</v>
      </c>
      <c t="s" s="6" r="R636">
        <v>4993</v>
      </c>
      <c t="s" s="6" r="S636">
        <v>4994</v>
      </c>
      <c t="s" s="6" r="T636">
        <v>4985</v>
      </c>
      <c t="s" s="6" r="U636">
        <v>4995</v>
      </c>
      <c s="6" r="V636">
        <v>1</v>
      </c>
      <c s="6" r="W636">
        <v>1</v>
      </c>
      <c s="6" r="X636">
        <v>0</v>
      </c>
      <c s="6" r="Y636">
        <v>0</v>
      </c>
      <c s="6" r="Z636">
        <v>0</v>
      </c>
      <c t="s" s="6" r="AA636">
        <v>92</v>
      </c>
      <c t="s" s="6" r="AB636">
        <v>92</v>
      </c>
      <c s="6" r="AC636">
        <v>9</v>
      </c>
      <c t="s" s="6" r="AD636">
        <v>92</v>
      </c>
      <c t="s" s="6" r="AE636">
        <v>92</v>
      </c>
      <c t="s" s="6" r="AF636">
        <v>92</v>
      </c>
      <c t="s" s="6" r="AG636">
        <v>92</v>
      </c>
      <c t="s" s="6" r="AH636">
        <v>92</v>
      </c>
      <c t="s" s="6" r="AI636">
        <v>92</v>
      </c>
      <c t="s" s="6" r="AJ636">
        <v>92</v>
      </c>
      <c t="s" s="6" r="AK636">
        <v>92</v>
      </c>
      <c s="6" r="AL636">
        <v>9</v>
      </c>
      <c t="s" s="6" r="AM636">
        <v>92</v>
      </c>
      <c t="s" s="6" r="AN636">
        <v>92</v>
      </c>
      <c t="s" s="6" r="AO636">
        <v>4987</v>
      </c>
      <c s="6" r="AP636">
        <v>9</v>
      </c>
      <c s="6" r="AS636">
        <v>0</v>
      </c>
      <c s="6" r="AT636">
        <v>0</v>
      </c>
      <c s="6" r="AU636">
        <v>0</v>
      </c>
      <c s="6" r="AV636">
        <v>0</v>
      </c>
      <c s="6" r="AW636">
        <v>0</v>
      </c>
      <c s="6" r="AX636">
        <v>0</v>
      </c>
      <c s="6" r="AY636">
        <v>0</v>
      </c>
      <c s="6" r="AZ636">
        <v>0</v>
      </c>
      <c s="6" r="BA636">
        <v>0</v>
      </c>
      <c s="6" r="BB636">
        <v>0</v>
      </c>
      <c s="6" r="BC636">
        <v>0</v>
      </c>
      <c s="6" r="BD636">
        <v>0</v>
      </c>
      <c s="6" r="BE636">
        <v>0</v>
      </c>
      <c s="6" r="BF636">
        <v>0</v>
      </c>
      <c s="6" r="BG636">
        <v>0</v>
      </c>
      <c s="6" r="BH636">
        <v>0</v>
      </c>
      <c s="6" r="BI636">
        <v>0</v>
      </c>
      <c s="6" r="BJ636">
        <v>0</v>
      </c>
      <c s="6" r="BK636">
        <v>0</v>
      </c>
      <c s="6" r="BL636">
        <v>0</v>
      </c>
      <c s="6" r="BM636">
        <v>0</v>
      </c>
      <c s="6" r="BN636">
        <v>0</v>
      </c>
      <c s="6" r="BO636">
        <v>0</v>
      </c>
      <c s="6" r="BP636">
        <v>0</v>
      </c>
      <c s="6" r="BQ636">
        <v>0</v>
      </c>
      <c t="str" s="6" r="BR636">
        <f>HYPERLINK("http://www.d20pfsrd.com/magic/all-spells/s/s/spellcasting-contract","Spellcasting Contract, Greater")</f>
        <v>Spellcasting Contract, Greater</v>
      </c>
      <c s="6" r="BS636">
        <v>643</v>
      </c>
      <c t="s" s="6" r="BT636">
        <v>92</v>
      </c>
      <c s="6" r="BY636">
        <v>0</v>
      </c>
    </row>
    <row customHeight="1" r="637" ht="14.25">
      <c t="s" s="6" r="A637">
        <v>4996</v>
      </c>
      <c t="s" s="6" r="B637">
        <v>174</v>
      </c>
      <c t="s" s="6" r="E637">
        <v>4051</v>
      </c>
      <c t="s" s="6" r="F637">
        <v>197</v>
      </c>
      <c t="s" s="6" r="G637">
        <v>4997</v>
      </c>
      <c s="6" r="H637">
        <v>0</v>
      </c>
      <c t="s" s="6" r="I637">
        <v>155</v>
      </c>
      <c t="s" s="6" r="L637">
        <v>156</v>
      </c>
      <c t="s" s="6" r="M637">
        <v>2718</v>
      </c>
      <c s="6" r="N637">
        <v>0</v>
      </c>
      <c s="6" r="O637">
        <v>0</v>
      </c>
      <c t="s" s="6" r="R637">
        <v>4998</v>
      </c>
      <c t="s" s="6" r="S637">
        <v>4999</v>
      </c>
      <c t="s" s="6" r="T637">
        <v>5000</v>
      </c>
      <c t="s" s="6" r="U637">
        <v>5001</v>
      </c>
      <c s="6" r="V637">
        <v>1</v>
      </c>
      <c s="6" r="W637">
        <v>1</v>
      </c>
      <c s="6" r="X637">
        <v>0</v>
      </c>
      <c s="6" r="Y637">
        <v>0</v>
      </c>
      <c s="6" r="Z637">
        <v>1</v>
      </c>
      <c t="s" s="6" r="AA637">
        <v>92</v>
      </c>
      <c t="s" s="6" r="AB637">
        <v>92</v>
      </c>
      <c s="6" r="AC637">
        <v>2</v>
      </c>
      <c t="s" s="6" r="AD637">
        <v>92</v>
      </c>
      <c t="s" s="6" r="AE637">
        <v>92</v>
      </c>
      <c s="6" r="AF637">
        <v>2</v>
      </c>
      <c t="s" s="6" r="AG637">
        <v>92</v>
      </c>
      <c t="s" s="6" r="AH637">
        <v>92</v>
      </c>
      <c t="s" s="6" r="AI637">
        <v>92</v>
      </c>
      <c t="s" s="6" r="AJ637">
        <v>92</v>
      </c>
      <c t="s" s="6" r="AK637">
        <v>92</v>
      </c>
      <c s="6" r="AL637">
        <v>2</v>
      </c>
      <c t="s" s="6" r="AM637">
        <v>92</v>
      </c>
      <c t="s" s="6" r="AN637">
        <v>92</v>
      </c>
      <c s="6" r="AP637">
        <v>2</v>
      </c>
      <c s="6" r="AS637">
        <v>0</v>
      </c>
      <c s="6" r="AT637">
        <v>0</v>
      </c>
      <c s="6" r="AU637">
        <v>0</v>
      </c>
      <c s="6" r="AV637">
        <v>0</v>
      </c>
      <c s="6" r="AW637">
        <v>0</v>
      </c>
      <c s="6" r="AX637">
        <v>0</v>
      </c>
      <c s="6" r="AY637">
        <v>0</v>
      </c>
      <c s="6" r="AZ637">
        <v>0</v>
      </c>
      <c s="6" r="BA637">
        <v>0</v>
      </c>
      <c s="6" r="BB637">
        <v>0</v>
      </c>
      <c s="6" r="BC637">
        <v>0</v>
      </c>
      <c s="6" r="BD637">
        <v>0</v>
      </c>
      <c s="6" r="BE637">
        <v>0</v>
      </c>
      <c s="6" r="BF637">
        <v>0</v>
      </c>
      <c s="6" r="BG637">
        <v>0</v>
      </c>
      <c s="6" r="BH637">
        <v>0</v>
      </c>
      <c s="6" r="BI637">
        <v>0</v>
      </c>
      <c s="6" r="BJ637">
        <v>0</v>
      </c>
      <c s="6" r="BK637">
        <v>0</v>
      </c>
      <c s="6" r="BL637">
        <v>0</v>
      </c>
      <c s="6" r="BM637">
        <v>0</v>
      </c>
      <c s="6" r="BN637">
        <v>0</v>
      </c>
      <c s="6" r="BO637">
        <v>0</v>
      </c>
      <c s="6" r="BP637">
        <v>0</v>
      </c>
      <c s="6" r="BQ637">
        <v>0</v>
      </c>
      <c t="str" s="6" r="BR637">
        <f>HYPERLINK("http://www.d20pfsrd.com/magic/all-spells/a/a/ancestral-communion","Ancestral Communion")</f>
        <v>Ancestral Communion</v>
      </c>
      <c s="6" r="BS637">
        <v>644</v>
      </c>
      <c t="s" s="6" r="BT637">
        <v>92</v>
      </c>
      <c s="6" r="BY637">
        <v>0</v>
      </c>
    </row>
    <row customHeight="1" r="638" ht="14.25">
      <c t="s" s="6" r="A638">
        <v>5002</v>
      </c>
      <c t="s" s="6" r="B638">
        <v>78</v>
      </c>
      <c t="s" s="6" r="C638">
        <v>1042</v>
      </c>
      <c t="s" s="6" r="E638">
        <v>5003</v>
      </c>
      <c t="s" s="6" r="F638">
        <v>81</v>
      </c>
      <c t="s" s="6" r="G638">
        <v>4997</v>
      </c>
      <c s="6" r="H638">
        <v>0</v>
      </c>
      <c t="s" s="6" r="I638">
        <v>155</v>
      </c>
      <c t="s" s="6" r="K638">
        <v>5004</v>
      </c>
      <c t="s" s="6" r="M638">
        <v>5005</v>
      </c>
      <c s="6" r="N638">
        <v>0</v>
      </c>
      <c s="6" r="O638">
        <v>0</v>
      </c>
      <c t="s" s="6" r="R638">
        <v>5006</v>
      </c>
      <c t="s" s="6" r="S638">
        <v>5007</v>
      </c>
      <c t="s" s="6" r="T638">
        <v>5000</v>
      </c>
      <c t="s" s="6" r="U638">
        <v>5008</v>
      </c>
      <c s="6" r="V638">
        <v>1</v>
      </c>
      <c s="6" r="W638">
        <v>1</v>
      </c>
      <c s="6" r="X638">
        <v>0</v>
      </c>
      <c s="6" r="Y638">
        <v>0</v>
      </c>
      <c s="6" r="Z638">
        <v>1</v>
      </c>
      <c t="s" s="6" r="AA638">
        <v>92</v>
      </c>
      <c t="s" s="6" r="AB638">
        <v>92</v>
      </c>
      <c s="6" r="AC638">
        <v>4</v>
      </c>
      <c t="s" s="6" r="AD638">
        <v>92</v>
      </c>
      <c t="s" s="6" r="AE638">
        <v>92</v>
      </c>
      <c s="6" r="AF638">
        <v>4</v>
      </c>
      <c t="s" s="6" r="AG638">
        <v>92</v>
      </c>
      <c t="s" s="6" r="AH638">
        <v>92</v>
      </c>
      <c t="s" s="6" r="AI638">
        <v>92</v>
      </c>
      <c t="s" s="6" r="AJ638">
        <v>92</v>
      </c>
      <c t="s" s="6" r="AK638">
        <v>92</v>
      </c>
      <c s="6" r="AL638">
        <v>4</v>
      </c>
      <c t="s" s="6" r="AM638">
        <v>92</v>
      </c>
      <c t="s" s="6" r="AN638">
        <v>92</v>
      </c>
      <c s="6" r="AP638">
        <v>4</v>
      </c>
      <c s="6" r="AS638">
        <v>0</v>
      </c>
      <c s="6" r="AT638">
        <v>0</v>
      </c>
      <c s="6" r="AU638">
        <v>0</v>
      </c>
      <c s="6" r="AV638">
        <v>0</v>
      </c>
      <c s="6" r="AW638">
        <v>0</v>
      </c>
      <c s="6" r="AX638">
        <v>0</v>
      </c>
      <c s="6" r="AY638">
        <v>0</v>
      </c>
      <c s="6" r="AZ638">
        <v>0</v>
      </c>
      <c s="6" r="BA638">
        <v>0</v>
      </c>
      <c s="6" r="BB638">
        <v>0</v>
      </c>
      <c s="6" r="BC638">
        <v>0</v>
      </c>
      <c s="6" r="BD638">
        <v>0</v>
      </c>
      <c s="6" r="BE638">
        <v>0</v>
      </c>
      <c s="6" r="BF638">
        <v>0</v>
      </c>
      <c s="6" r="BG638">
        <v>0</v>
      </c>
      <c s="6" r="BH638">
        <v>0</v>
      </c>
      <c s="6" r="BI638">
        <v>0</v>
      </c>
      <c s="6" r="BJ638">
        <v>0</v>
      </c>
      <c s="6" r="BK638">
        <v>0</v>
      </c>
      <c s="6" r="BL638">
        <v>0</v>
      </c>
      <c s="6" r="BM638">
        <v>0</v>
      </c>
      <c s="6" r="BN638">
        <v>0</v>
      </c>
      <c s="6" r="BO638">
        <v>0</v>
      </c>
      <c s="6" r="BP638">
        <v>0</v>
      </c>
      <c s="6" r="BQ638">
        <v>0</v>
      </c>
      <c t="str" s="6" r="BR638">
        <f>HYPERLINK("http://www.d20pfsrd.com/magic/all-spells/a/a/ancestral-gift","Ancestral Gift")</f>
        <v>Ancestral Gift</v>
      </c>
      <c s="6" r="BS638">
        <v>645</v>
      </c>
      <c t="s" s="6" r="BT638">
        <v>92</v>
      </c>
      <c s="6" r="BY638">
        <v>0</v>
      </c>
    </row>
    <row customHeight="1" r="639" ht="14.25">
      <c t="s" s="6" r="A639">
        <v>5009</v>
      </c>
      <c t="s" s="6" r="B639">
        <v>78</v>
      </c>
      <c t="s" s="6" r="C639">
        <v>1042</v>
      </c>
      <c t="s" s="6" r="E639">
        <v>5010</v>
      </c>
      <c t="s" s="6" r="F639">
        <v>81</v>
      </c>
      <c t="s" s="6" r="G639">
        <v>4997</v>
      </c>
      <c s="6" r="H639">
        <v>0</v>
      </c>
      <c t="s" s="6" r="I639">
        <v>97</v>
      </c>
      <c t="s" s="6" r="K639">
        <v>5011</v>
      </c>
      <c t="s" s="6" r="M639">
        <v>99</v>
      </c>
      <c s="6" r="N639">
        <v>1</v>
      </c>
      <c s="6" r="O639">
        <v>0</v>
      </c>
      <c t="s" s="6" r="P639">
        <v>86</v>
      </c>
      <c t="s" s="6" r="Q639">
        <v>188</v>
      </c>
      <c t="s" s="6" r="R639">
        <v>5012</v>
      </c>
      <c t="s" s="6" r="S639">
        <v>5013</v>
      </c>
      <c t="s" s="6" r="T639">
        <v>5000</v>
      </c>
      <c t="s" s="6" r="U639">
        <v>5014</v>
      </c>
      <c s="6" r="V639">
        <v>1</v>
      </c>
      <c s="6" r="W639">
        <v>1</v>
      </c>
      <c s="6" r="X639">
        <v>0</v>
      </c>
      <c s="6" r="Y639">
        <v>0</v>
      </c>
      <c s="6" r="Z639">
        <v>1</v>
      </c>
      <c t="s" s="6" r="AA639">
        <v>92</v>
      </c>
      <c t="s" s="6" r="AB639">
        <v>92</v>
      </c>
      <c s="6" r="AC639">
        <v>3</v>
      </c>
      <c t="s" s="6" r="AD639">
        <v>92</v>
      </c>
      <c t="s" s="6" r="AE639">
        <v>92</v>
      </c>
      <c s="6" r="AF639">
        <v>3</v>
      </c>
      <c t="s" s="6" r="AG639">
        <v>92</v>
      </c>
      <c t="s" s="6" r="AH639">
        <v>92</v>
      </c>
      <c t="s" s="6" r="AI639">
        <v>92</v>
      </c>
      <c t="s" s="6" r="AJ639">
        <v>92</v>
      </c>
      <c t="s" s="6" r="AK639">
        <v>92</v>
      </c>
      <c s="6" r="AL639">
        <v>3</v>
      </c>
      <c t="s" s="6" r="AM639">
        <v>92</v>
      </c>
      <c t="s" s="6" r="AN639">
        <v>92</v>
      </c>
      <c s="6" r="AP639">
        <v>3</v>
      </c>
      <c s="6" r="AS639">
        <v>0</v>
      </c>
      <c s="6" r="AT639">
        <v>0</v>
      </c>
      <c s="6" r="AU639">
        <v>0</v>
      </c>
      <c s="6" r="AV639">
        <v>0</v>
      </c>
      <c s="6" r="AW639">
        <v>0</v>
      </c>
      <c s="6" r="AX639">
        <v>0</v>
      </c>
      <c s="6" r="AY639">
        <v>0</v>
      </c>
      <c s="6" r="AZ639">
        <v>0</v>
      </c>
      <c s="6" r="BA639">
        <v>0</v>
      </c>
      <c s="6" r="BB639">
        <v>0</v>
      </c>
      <c s="6" r="BC639">
        <v>0</v>
      </c>
      <c s="6" r="BD639">
        <v>0</v>
      </c>
      <c s="6" r="BE639">
        <v>0</v>
      </c>
      <c s="6" r="BF639">
        <v>0</v>
      </c>
      <c s="6" r="BG639">
        <v>0</v>
      </c>
      <c s="6" r="BH639">
        <v>0</v>
      </c>
      <c s="6" r="BI639">
        <v>0</v>
      </c>
      <c s="6" r="BJ639">
        <v>0</v>
      </c>
      <c s="6" r="BK639">
        <v>0</v>
      </c>
      <c s="6" r="BL639">
        <v>0</v>
      </c>
      <c s="6" r="BM639">
        <v>0</v>
      </c>
      <c s="6" r="BN639">
        <v>0</v>
      </c>
      <c s="6" r="BO639">
        <v>0</v>
      </c>
      <c s="6" r="BP639">
        <v>0</v>
      </c>
      <c s="6" r="BQ639">
        <v>0</v>
      </c>
      <c t="str" s="6" r="BR639">
        <f>HYPERLINK("http://www.d20pfsrd.com/magic/all-spells/s/s/summon-ancestral-guardian","Summon Ancestral Guardian")</f>
        <v>Summon Ancestral Guardian</v>
      </c>
      <c s="6" r="BS639">
        <v>646</v>
      </c>
      <c t="s" s="6" r="BT639">
        <v>92</v>
      </c>
      <c s="6" r="BY639">
        <v>0</v>
      </c>
    </row>
    <row customHeight="1" r="640" ht="14.25">
      <c t="s" s="6" r="A640">
        <v>5015</v>
      </c>
      <c t="s" s="6" r="B640">
        <v>174</v>
      </c>
      <c t="s" s="6" r="E640">
        <v>859</v>
      </c>
      <c t="s" s="6" r="F640">
        <v>81</v>
      </c>
      <c t="s" s="6" r="G640">
        <v>119</v>
      </c>
      <c s="6" r="H640">
        <v>0</v>
      </c>
      <c t="s" s="6" r="I640">
        <v>120</v>
      </c>
      <c t="s" s="6" r="L640">
        <v>420</v>
      </c>
      <c t="s" s="6" r="M640">
        <v>666</v>
      </c>
      <c s="6" r="N640">
        <v>1</v>
      </c>
      <c s="6" r="O640">
        <v>0</v>
      </c>
      <c t="s" s="6" r="P640">
        <v>421</v>
      </c>
      <c t="s" s="6" r="Q640">
        <v>123</v>
      </c>
      <c t="s" s="6" r="R640">
        <v>5016</v>
      </c>
      <c t="s" s="6" r="S640">
        <v>5017</v>
      </c>
      <c t="s" s="6" r="T640">
        <v>5000</v>
      </c>
      <c t="s" s="6" r="U640">
        <v>5018</v>
      </c>
      <c s="6" r="V640">
        <v>1</v>
      </c>
      <c s="6" r="W640">
        <v>1</v>
      </c>
      <c s="6" r="X640">
        <v>0</v>
      </c>
      <c s="6" r="Y640">
        <v>0</v>
      </c>
      <c s="6" r="Z640">
        <v>1</v>
      </c>
      <c t="s" s="6" r="AA640">
        <v>92</v>
      </c>
      <c t="s" s="6" r="AB640">
        <v>92</v>
      </c>
      <c t="s" s="6" r="AC640">
        <v>92</v>
      </c>
      <c s="6" r="AD640">
        <v>4</v>
      </c>
      <c s="6" r="AE640">
        <v>3</v>
      </c>
      <c t="s" s="6" r="AF640">
        <v>92</v>
      </c>
      <c t="s" s="6" r="AG640">
        <v>92</v>
      </c>
      <c t="s" s="6" r="AH640">
        <v>92</v>
      </c>
      <c t="s" s="6" r="AI640">
        <v>92</v>
      </c>
      <c t="s" s="6" r="AJ640">
        <v>92</v>
      </c>
      <c t="s" s="6" r="AK640">
        <v>92</v>
      </c>
      <c t="s" s="6" r="AL640">
        <v>92</v>
      </c>
      <c t="s" s="6" r="AM640">
        <v>92</v>
      </c>
      <c t="s" s="6" r="AN640">
        <v>92</v>
      </c>
      <c s="6" r="AP640">
        <v>4</v>
      </c>
      <c s="6" r="AS640">
        <v>0</v>
      </c>
      <c s="6" r="AT640">
        <v>0</v>
      </c>
      <c s="6" r="AU640">
        <v>0</v>
      </c>
      <c s="6" r="AV640">
        <v>0</v>
      </c>
      <c s="6" r="AW640">
        <v>0</v>
      </c>
      <c s="6" r="AX640">
        <v>0</v>
      </c>
      <c s="6" r="AY640">
        <v>0</v>
      </c>
      <c s="6" r="AZ640">
        <v>0</v>
      </c>
      <c s="6" r="BA640">
        <v>0</v>
      </c>
      <c s="6" r="BB640">
        <v>0</v>
      </c>
      <c s="6" r="BC640">
        <v>0</v>
      </c>
      <c s="6" r="BD640">
        <v>0</v>
      </c>
      <c s="6" r="BE640">
        <v>0</v>
      </c>
      <c s="6" r="BF640">
        <v>0</v>
      </c>
      <c s="6" r="BG640">
        <v>0</v>
      </c>
      <c s="6" r="BH640">
        <v>0</v>
      </c>
      <c s="6" r="BI640">
        <v>0</v>
      </c>
      <c s="6" r="BJ640">
        <v>0</v>
      </c>
      <c s="6" r="BK640">
        <v>0</v>
      </c>
      <c s="6" r="BL640">
        <v>0</v>
      </c>
      <c s="6" r="BM640">
        <v>0</v>
      </c>
      <c s="6" r="BN640">
        <v>0</v>
      </c>
      <c s="6" r="BO640">
        <v>0</v>
      </c>
      <c s="6" r="BP640">
        <v>0</v>
      </c>
      <c s="6" r="BQ640">
        <v>0</v>
      </c>
      <c t="str" s="6" r="BR640">
        <f>HYPERLINK("http://www.d20pfsrd.com/magic/all-spells/s/s/see-through-stone","See Through Stone")</f>
        <v>See Through Stone</v>
      </c>
      <c s="6" r="BS640">
        <v>647</v>
      </c>
      <c t="s" s="6" r="BT640">
        <v>92</v>
      </c>
      <c s="6" r="BY640">
        <v>0</v>
      </c>
    </row>
    <row customHeight="1" r="641" ht="14.25">
      <c t="s" s="6" r="A641">
        <v>5019</v>
      </c>
      <c t="s" s="6" r="B641">
        <v>131</v>
      </c>
      <c t="s" s="6" r="E641">
        <v>1691</v>
      </c>
      <c t="s" s="6" r="F641">
        <v>197</v>
      </c>
      <c t="s" s="6" r="G641">
        <v>5020</v>
      </c>
      <c s="6" r="H641">
        <v>0</v>
      </c>
      <c t="s" s="6" r="I641">
        <v>120</v>
      </c>
      <c t="s" s="6" r="L641">
        <v>545</v>
      </c>
      <c t="s" s="6" r="M641">
        <v>323</v>
      </c>
      <c s="6" r="N641">
        <v>0</v>
      </c>
      <c s="6" r="O641">
        <v>0</v>
      </c>
      <c t="s" s="6" r="P641">
        <v>86</v>
      </c>
      <c t="s" s="6" r="Q641">
        <v>87</v>
      </c>
      <c t="s" s="6" r="R641">
        <v>5021</v>
      </c>
      <c t="s" s="6" r="S641">
        <v>5022</v>
      </c>
      <c t="s" s="6" r="T641">
        <v>5000</v>
      </c>
      <c t="s" s="6" r="U641">
        <v>5023</v>
      </c>
      <c s="6" r="V641">
        <v>1</v>
      </c>
      <c s="6" r="W641">
        <v>1</v>
      </c>
      <c s="6" r="X641">
        <v>1</v>
      </c>
      <c s="6" r="Y641">
        <v>0</v>
      </c>
      <c s="6" r="Z641">
        <v>0</v>
      </c>
      <c s="6" r="AA641">
        <v>3</v>
      </c>
      <c s="6" r="AB641">
        <v>3</v>
      </c>
      <c t="s" s="6" r="AC641">
        <v>92</v>
      </c>
      <c t="s" s="6" r="AD641">
        <v>92</v>
      </c>
      <c t="s" s="6" r="AE641">
        <v>92</v>
      </c>
      <c t="s" s="6" r="AF641">
        <v>92</v>
      </c>
      <c t="s" s="6" r="AG641">
        <v>92</v>
      </c>
      <c t="s" s="6" r="AH641">
        <v>92</v>
      </c>
      <c t="s" s="6" r="AI641">
        <v>92</v>
      </c>
      <c t="s" s="6" r="AJ641">
        <v>92</v>
      </c>
      <c t="s" s="6" r="AK641">
        <v>92</v>
      </c>
      <c t="s" s="6" r="AL641">
        <v>92</v>
      </c>
      <c t="s" s="6" r="AM641">
        <v>92</v>
      </c>
      <c t="s" s="6" r="AN641">
        <v>92</v>
      </c>
      <c s="6" r="AP641">
        <v>3</v>
      </c>
      <c s="6" r="AS641">
        <v>0</v>
      </c>
      <c s="6" r="AT641">
        <v>0</v>
      </c>
      <c s="6" r="AU641">
        <v>0</v>
      </c>
      <c s="6" r="AV641">
        <v>0</v>
      </c>
      <c s="6" r="AW641">
        <v>0</v>
      </c>
      <c s="6" r="AX641">
        <v>0</v>
      </c>
      <c s="6" r="AY641">
        <v>0</v>
      </c>
      <c s="6" r="AZ641">
        <v>0</v>
      </c>
      <c s="6" r="BA641">
        <v>0</v>
      </c>
      <c s="6" r="BB641">
        <v>0</v>
      </c>
      <c s="6" r="BC641">
        <v>0</v>
      </c>
      <c s="6" r="BD641">
        <v>0</v>
      </c>
      <c s="6" r="BE641">
        <v>0</v>
      </c>
      <c s="6" r="BF641">
        <v>0</v>
      </c>
      <c s="6" r="BG641">
        <v>0</v>
      </c>
      <c s="6" r="BH641">
        <v>0</v>
      </c>
      <c s="6" r="BI641">
        <v>0</v>
      </c>
      <c s="6" r="BJ641">
        <v>0</v>
      </c>
      <c s="6" r="BK641">
        <v>0</v>
      </c>
      <c s="6" r="BL641">
        <v>0</v>
      </c>
      <c s="6" r="BM641">
        <v>0</v>
      </c>
      <c s="6" r="BN641">
        <v>0</v>
      </c>
      <c s="6" r="BO641">
        <v>0</v>
      </c>
      <c s="6" r="BP641">
        <v>0</v>
      </c>
      <c s="6" r="BQ641">
        <v>0</v>
      </c>
      <c t="str" s="6" r="BR641">
        <f>HYPERLINK("http://www.d20pfsrd.com/magic/all-spells/r/r/rune-of-durability","Rune of Durability")</f>
        <v>Rune of Durability</v>
      </c>
      <c s="6" r="BS641">
        <v>648</v>
      </c>
      <c t="s" s="6" r="BT641">
        <v>92</v>
      </c>
      <c s="6" r="BY641">
        <v>0</v>
      </c>
    </row>
    <row customHeight="1" r="642" ht="14.25">
      <c t="s" s="6" r="A642">
        <v>5024</v>
      </c>
      <c t="s" s="6" r="B642">
        <v>162</v>
      </c>
      <c t="s" s="6" r="E642">
        <v>1691</v>
      </c>
      <c t="s" s="6" r="F642">
        <v>293</v>
      </c>
      <c t="s" s="6" r="G642">
        <v>5025</v>
      </c>
      <c s="6" r="H642">
        <v>1</v>
      </c>
      <c t="s" s="6" r="I642">
        <v>120</v>
      </c>
      <c t="s" s="6" r="L642">
        <v>5026</v>
      </c>
      <c t="s" s="6" r="M642">
        <v>1693</v>
      </c>
      <c s="6" r="N642">
        <v>1</v>
      </c>
      <c s="6" r="O642">
        <v>0</v>
      </c>
      <c t="s" s="6" r="P642">
        <v>631</v>
      </c>
      <c t="s" s="6" r="Q642">
        <v>5027</v>
      </c>
      <c t="s" s="6" r="R642">
        <v>5028</v>
      </c>
      <c t="s" s="6" r="S642">
        <v>5029</v>
      </c>
      <c t="s" s="6" r="T642">
        <v>5000</v>
      </c>
      <c t="s" s="6" r="U642">
        <v>5030</v>
      </c>
      <c s="6" r="V642">
        <v>1</v>
      </c>
      <c s="6" r="W642">
        <v>1</v>
      </c>
      <c s="6" r="X642">
        <v>1</v>
      </c>
      <c s="6" r="Y642">
        <v>0</v>
      </c>
      <c s="6" r="Z642">
        <v>0</v>
      </c>
      <c s="6" r="AA642">
        <v>3</v>
      </c>
      <c s="6" r="AB642">
        <v>3</v>
      </c>
      <c t="s" s="6" r="AC642">
        <v>92</v>
      </c>
      <c t="s" s="6" r="AD642">
        <v>92</v>
      </c>
      <c t="s" s="6" r="AE642">
        <v>92</v>
      </c>
      <c t="s" s="6" r="AF642">
        <v>92</v>
      </c>
      <c t="s" s="6" r="AG642">
        <v>92</v>
      </c>
      <c t="s" s="6" r="AH642">
        <v>92</v>
      </c>
      <c t="s" s="6" r="AI642">
        <v>92</v>
      </c>
      <c t="s" s="6" r="AJ642">
        <v>92</v>
      </c>
      <c t="s" s="6" r="AK642">
        <v>92</v>
      </c>
      <c t="s" s="6" r="AL642">
        <v>92</v>
      </c>
      <c t="s" s="6" r="AM642">
        <v>92</v>
      </c>
      <c t="s" s="6" r="AN642">
        <v>92</v>
      </c>
      <c s="6" r="AP642">
        <v>3</v>
      </c>
      <c s="6" r="AS642">
        <v>0</v>
      </c>
      <c s="6" r="AT642">
        <v>0</v>
      </c>
      <c s="6" r="AU642">
        <v>0</v>
      </c>
      <c s="6" r="AV642">
        <v>0</v>
      </c>
      <c s="6" r="AW642">
        <v>0</v>
      </c>
      <c s="6" r="AX642">
        <v>0</v>
      </c>
      <c s="6" r="AY642">
        <v>0</v>
      </c>
      <c s="6" r="AZ642">
        <v>0</v>
      </c>
      <c s="6" r="BA642">
        <v>0</v>
      </c>
      <c s="6" r="BB642">
        <v>0</v>
      </c>
      <c s="6" r="BC642">
        <v>0</v>
      </c>
      <c s="6" r="BD642">
        <v>0</v>
      </c>
      <c s="6" r="BE642">
        <v>0</v>
      </c>
      <c s="6" r="BF642">
        <v>0</v>
      </c>
      <c s="6" r="BG642">
        <v>0</v>
      </c>
      <c s="6" r="BH642">
        <v>0</v>
      </c>
      <c s="6" r="BI642">
        <v>0</v>
      </c>
      <c s="6" r="BJ642">
        <v>0</v>
      </c>
      <c s="6" r="BK642">
        <v>0</v>
      </c>
      <c s="6" r="BL642">
        <v>0</v>
      </c>
      <c s="6" r="BM642">
        <v>0</v>
      </c>
      <c s="6" r="BN642">
        <v>0</v>
      </c>
      <c s="6" r="BO642">
        <v>0</v>
      </c>
      <c s="6" r="BP642">
        <v>0</v>
      </c>
      <c s="6" r="BQ642">
        <v>0</v>
      </c>
      <c t="str" s="6" r="BR642">
        <f>HYPERLINK("http://www.d20pfsrd.com/magic/all-spells/r/r/rune-of-warding","Rune of Warding")</f>
        <v>Rune of Warding</v>
      </c>
      <c s="6" r="BS642">
        <v>649</v>
      </c>
      <c s="6" r="BT642">
        <v>200</v>
      </c>
      <c s="6" r="BY642">
        <v>0</v>
      </c>
    </row>
    <row customHeight="1" r="643" ht="14.25">
      <c t="s" s="6" r="A643">
        <v>5031</v>
      </c>
      <c t="s" s="6" r="B643">
        <v>174</v>
      </c>
      <c t="s" s="6" r="E643">
        <v>5032</v>
      </c>
      <c t="s" s="6" r="F643">
        <v>81</v>
      </c>
      <c t="s" s="6" r="G643">
        <v>106</v>
      </c>
      <c s="6" r="H643">
        <v>0</v>
      </c>
      <c t="s" s="6" r="I643">
        <v>897</v>
      </c>
      <c t="s" s="6" r="J643">
        <v>1195</v>
      </c>
      <c t="s" s="6" r="M643">
        <v>5033</v>
      </c>
      <c s="6" r="N643">
        <v>1</v>
      </c>
      <c s="6" r="O643">
        <v>0</v>
      </c>
      <c t="s" s="6" r="R643">
        <v>5034</v>
      </c>
      <c t="s" s="6" r="S643">
        <v>5035</v>
      </c>
      <c t="s" s="6" r="T643">
        <v>5036</v>
      </c>
      <c t="s" s="6" r="U643">
        <v>5037</v>
      </c>
      <c s="6" r="V643">
        <v>1</v>
      </c>
      <c s="6" r="W643">
        <v>1</v>
      </c>
      <c s="6" r="X643">
        <v>0</v>
      </c>
      <c s="6" r="Y643">
        <v>0</v>
      </c>
      <c s="6" r="Z643">
        <v>0</v>
      </c>
      <c s="6" r="AA643">
        <v>1</v>
      </c>
      <c s="6" r="AB643">
        <v>1</v>
      </c>
      <c s="6" r="AC643">
        <v>1</v>
      </c>
      <c t="s" s="6" r="AD643">
        <v>92</v>
      </c>
      <c t="s" s="6" r="AE643">
        <v>92</v>
      </c>
      <c s="6" r="AF643">
        <v>1</v>
      </c>
      <c s="6" r="AG643">
        <v>1</v>
      </c>
      <c t="s" s="6" r="AH643">
        <v>92</v>
      </c>
      <c t="s" s="6" r="AI643">
        <v>92</v>
      </c>
      <c t="s" s="6" r="AJ643">
        <v>92</v>
      </c>
      <c t="s" s="6" r="AK643">
        <v>92</v>
      </c>
      <c s="6" r="AL643">
        <v>1</v>
      </c>
      <c t="s" s="6" r="AM643">
        <v>92</v>
      </c>
      <c t="s" s="6" r="AN643">
        <v>92</v>
      </c>
      <c s="6" r="AP643">
        <v>1</v>
      </c>
      <c s="6" r="AS643">
        <v>0</v>
      </c>
      <c s="6" r="AT643">
        <v>0</v>
      </c>
      <c s="6" r="AU643">
        <v>0</v>
      </c>
      <c s="6" r="AV643">
        <v>0</v>
      </c>
      <c s="6" r="AW643">
        <v>0</v>
      </c>
      <c s="6" r="AX643">
        <v>0</v>
      </c>
      <c s="6" r="AY643">
        <v>0</v>
      </c>
      <c s="6" r="AZ643">
        <v>0</v>
      </c>
      <c s="6" r="BA643">
        <v>0</v>
      </c>
      <c s="6" r="BB643">
        <v>0</v>
      </c>
      <c s="6" r="BC643">
        <v>0</v>
      </c>
      <c s="6" r="BD643">
        <v>0</v>
      </c>
      <c s="6" r="BE643">
        <v>0</v>
      </c>
      <c s="6" r="BF643">
        <v>0</v>
      </c>
      <c s="6" r="BG643">
        <v>0</v>
      </c>
      <c s="6" r="BH643">
        <v>0</v>
      </c>
      <c s="6" r="BI643">
        <v>0</v>
      </c>
      <c s="6" r="BJ643">
        <v>0</v>
      </c>
      <c s="6" r="BK643">
        <v>0</v>
      </c>
      <c s="6" r="BL643">
        <v>0</v>
      </c>
      <c s="6" r="BM643">
        <v>0</v>
      </c>
      <c s="6" r="BN643">
        <v>0</v>
      </c>
      <c s="6" r="BO643">
        <v>0</v>
      </c>
      <c s="6" r="BP643">
        <v>0</v>
      </c>
      <c s="6" r="BQ643">
        <v>0</v>
      </c>
      <c t="str" s="6" r="BR643">
        <f>HYPERLINK("http://www.d20pfsrd.com/magic/all-spells/d/detect-charm","Detect Charm")</f>
        <v>Detect Charm</v>
      </c>
      <c s="6" r="BS643">
        <v>650</v>
      </c>
      <c t="s" s="6" r="BT643">
        <v>92</v>
      </c>
      <c s="6" r="BY643">
        <v>0</v>
      </c>
    </row>
    <row customHeight="1" r="644" ht="14.25">
      <c t="s" s="6" r="A644">
        <v>5038</v>
      </c>
      <c t="s" s="6" r="B644">
        <v>131</v>
      </c>
      <c t="s" s="6" r="E644">
        <v>5039</v>
      </c>
      <c t="s" s="6" r="F644">
        <v>1743</v>
      </c>
      <c t="s" s="6" r="G644">
        <v>251</v>
      </c>
      <c s="6" r="H644">
        <v>0</v>
      </c>
      <c t="s" s="6" r="I644">
        <v>107</v>
      </c>
      <c t="s" s="6" r="L644">
        <v>1235</v>
      </c>
      <c t="s" s="6" r="M644">
        <v>109</v>
      </c>
      <c s="6" r="N644">
        <v>0</v>
      </c>
      <c s="6" r="O644">
        <v>0</v>
      </c>
      <c t="s" s="6" r="P644">
        <v>421</v>
      </c>
      <c t="s" s="6" r="Q644">
        <v>123</v>
      </c>
      <c t="s" s="6" r="R644">
        <v>5040</v>
      </c>
      <c t="s" s="6" r="S644">
        <v>5041</v>
      </c>
      <c t="s" s="6" r="T644">
        <v>5036</v>
      </c>
      <c t="s" s="6" r="U644">
        <v>5042</v>
      </c>
      <c s="6" r="V644">
        <v>1</v>
      </c>
      <c s="6" r="W644">
        <v>0</v>
      </c>
      <c s="6" r="X644">
        <v>0</v>
      </c>
      <c s="6" r="Y644">
        <v>0</v>
      </c>
      <c s="6" r="Z644">
        <v>0</v>
      </c>
      <c s="6" r="AA644">
        <v>1</v>
      </c>
      <c s="6" r="AB644">
        <v>1</v>
      </c>
      <c s="6" r="AC644">
        <v>1</v>
      </c>
      <c s="6" r="AD644">
        <v>1</v>
      </c>
      <c s="6" r="AE644">
        <v>1</v>
      </c>
      <c s="6" r="AF644">
        <v>1</v>
      </c>
      <c s="6" r="AG644">
        <v>1</v>
      </c>
      <c t="s" s="6" r="AH644">
        <v>92</v>
      </c>
      <c t="s" s="6" r="AI644">
        <v>92</v>
      </c>
      <c t="s" s="6" r="AJ644">
        <v>92</v>
      </c>
      <c t="s" s="6" r="AK644">
        <v>92</v>
      </c>
      <c s="6" r="AL644">
        <v>1</v>
      </c>
      <c t="s" s="6" r="AM644">
        <v>92</v>
      </c>
      <c t="s" s="6" r="AN644">
        <v>92</v>
      </c>
      <c s="6" r="AP644">
        <v>1</v>
      </c>
      <c s="6" r="AS644">
        <v>0</v>
      </c>
      <c s="6" r="AT644">
        <v>0</v>
      </c>
      <c s="6" r="AU644">
        <v>0</v>
      </c>
      <c s="6" r="AV644">
        <v>0</v>
      </c>
      <c s="6" r="AW644">
        <v>0</v>
      </c>
      <c s="6" r="AX644">
        <v>0</v>
      </c>
      <c s="6" r="AY644">
        <v>0</v>
      </c>
      <c s="6" r="AZ644">
        <v>0</v>
      </c>
      <c s="6" r="BA644">
        <v>0</v>
      </c>
      <c s="6" r="BB644">
        <v>0</v>
      </c>
      <c s="6" r="BC644">
        <v>0</v>
      </c>
      <c s="6" r="BD644">
        <v>0</v>
      </c>
      <c s="6" r="BE644">
        <v>0</v>
      </c>
      <c s="6" r="BF644">
        <v>0</v>
      </c>
      <c s="6" r="BG644">
        <v>0</v>
      </c>
      <c s="6" r="BH644">
        <v>0</v>
      </c>
      <c s="6" r="BI644">
        <v>0</v>
      </c>
      <c s="6" r="BJ644">
        <v>0</v>
      </c>
      <c s="6" r="BK644">
        <v>0</v>
      </c>
      <c s="6" r="BL644">
        <v>0</v>
      </c>
      <c s="6" r="BM644">
        <v>0</v>
      </c>
      <c s="6" r="BN644">
        <v>0</v>
      </c>
      <c s="6" r="BO644">
        <v>0</v>
      </c>
      <c s="6" r="BP644">
        <v>0</v>
      </c>
      <c s="6" r="BQ644">
        <v>0</v>
      </c>
      <c t="str" s="6" r="BR644">
        <f>HYPERLINK("http://www.d20pfsrd.com/magic/all-spells/l/l/liberating-command","Liberating Comand")</f>
        <v>Liberating Comand</v>
      </c>
      <c s="6" r="BS644">
        <v>651</v>
      </c>
      <c t="s" s="6" r="BT644">
        <v>92</v>
      </c>
      <c s="6" r="BY644">
        <v>0</v>
      </c>
    </row>
    <row customHeight="1" r="645" ht="14.25">
      <c t="s" s="6" r="A645">
        <v>5043</v>
      </c>
      <c t="s" s="6" r="B645">
        <v>162</v>
      </c>
      <c t="s" s="6" r="E645">
        <v>5044</v>
      </c>
      <c t="s" s="6" r="F645">
        <v>81</v>
      </c>
      <c t="s" s="6" r="G645">
        <v>106</v>
      </c>
      <c s="6" r="H645">
        <v>0</v>
      </c>
      <c t="s" s="6" r="I645">
        <v>107</v>
      </c>
      <c t="s" s="6" r="L645">
        <v>5045</v>
      </c>
      <c t="s" s="6" r="M645">
        <v>991</v>
      </c>
      <c s="6" r="N645">
        <v>0</v>
      </c>
      <c s="6" r="O645">
        <v>0</v>
      </c>
      <c t="s" s="6" r="P645">
        <v>421</v>
      </c>
      <c t="s" s="6" r="Q645">
        <v>123</v>
      </c>
      <c t="s" s="6" r="R645">
        <v>5046</v>
      </c>
      <c t="s" s="6" r="S645">
        <v>5047</v>
      </c>
      <c t="s" s="6" r="T645">
        <v>5036</v>
      </c>
      <c t="s" s="6" r="U645">
        <v>5048</v>
      </c>
      <c s="6" r="V645">
        <v>1</v>
      </c>
      <c s="6" r="W645">
        <v>1</v>
      </c>
      <c s="6" r="X645">
        <v>0</v>
      </c>
      <c s="6" r="Y645">
        <v>0</v>
      </c>
      <c s="6" r="Z645">
        <v>0</v>
      </c>
      <c s="6" r="AA645">
        <v>2</v>
      </c>
      <c s="6" r="AB645">
        <v>2</v>
      </c>
      <c s="6" r="AC645">
        <v>2</v>
      </c>
      <c t="s" s="6" r="AD645">
        <v>92</v>
      </c>
      <c t="s" s="6" r="AE645">
        <v>92</v>
      </c>
      <c s="6" r="AF645">
        <v>2</v>
      </c>
      <c s="6" r="AG645">
        <v>2</v>
      </c>
      <c t="s" s="6" r="AH645">
        <v>92</v>
      </c>
      <c t="s" s="6" r="AI645">
        <v>92</v>
      </c>
      <c t="s" s="6" r="AJ645">
        <v>92</v>
      </c>
      <c t="s" s="6" r="AK645">
        <v>92</v>
      </c>
      <c s="6" r="AL645">
        <v>2</v>
      </c>
      <c t="s" s="6" r="AM645">
        <v>92</v>
      </c>
      <c t="s" s="6" r="AN645">
        <v>92</v>
      </c>
      <c s="6" r="AP645">
        <v>2</v>
      </c>
      <c s="6" r="AS645">
        <v>0</v>
      </c>
      <c s="6" r="AT645">
        <v>0</v>
      </c>
      <c s="6" r="AU645">
        <v>0</v>
      </c>
      <c s="6" r="AV645">
        <v>0</v>
      </c>
      <c s="6" r="AW645">
        <v>0</v>
      </c>
      <c s="6" r="AX645">
        <v>0</v>
      </c>
      <c s="6" r="AY645">
        <v>0</v>
      </c>
      <c s="6" r="AZ645">
        <v>0</v>
      </c>
      <c s="6" r="BA645">
        <v>0</v>
      </c>
      <c s="6" r="BB645">
        <v>0</v>
      </c>
      <c s="6" r="BC645">
        <v>0</v>
      </c>
      <c s="6" r="BD645">
        <v>0</v>
      </c>
      <c s="6" r="BE645">
        <v>0</v>
      </c>
      <c s="6" r="BF645">
        <v>0</v>
      </c>
      <c s="6" r="BG645">
        <v>0</v>
      </c>
      <c s="6" r="BH645">
        <v>0</v>
      </c>
      <c s="6" r="BI645">
        <v>0</v>
      </c>
      <c s="6" r="BJ645">
        <v>0</v>
      </c>
      <c s="6" r="BK645">
        <v>0</v>
      </c>
      <c s="6" r="BL645">
        <v>0</v>
      </c>
      <c s="6" r="BM645">
        <v>0</v>
      </c>
      <c s="6" r="BN645">
        <v>0</v>
      </c>
      <c s="6" r="BO645">
        <v>0</v>
      </c>
      <c s="6" r="BP645">
        <v>0</v>
      </c>
      <c s="6" r="BQ645">
        <v>0</v>
      </c>
      <c t="str" s="6" r="BR645">
        <f>HYPERLINK("http://www.d20pfsrd.com/magic/all-spells/s/s/suppres-charms-and-compulsions","Suppress Charms and Compulsions")</f>
        <v>Suppress Charms and Compulsions</v>
      </c>
      <c s="6" r="BS645">
        <v>652</v>
      </c>
      <c t="s" s="6" r="BT645">
        <v>92</v>
      </c>
      <c s="6" r="BY645">
        <v>0</v>
      </c>
    </row>
    <row customHeight="1" r="646" ht="14.25">
      <c t="s" s="6" r="A646">
        <v>5049</v>
      </c>
      <c t="s" s="6" r="B646">
        <v>78</v>
      </c>
      <c t="s" s="6" r="C646">
        <v>1042</v>
      </c>
      <c t="s" s="6" r="E646">
        <v>5050</v>
      </c>
      <c t="s" s="6" r="F646">
        <v>272</v>
      </c>
      <c t="s" s="6" r="G646">
        <v>5051</v>
      </c>
      <c s="6" r="H646">
        <v>1</v>
      </c>
      <c t="s" s="6" r="I646">
        <v>107</v>
      </c>
      <c t="s" s="6" r="K646">
        <v>5052</v>
      </c>
      <c t="s" s="6" r="M646">
        <v>2718</v>
      </c>
      <c s="6" r="N646">
        <v>0</v>
      </c>
      <c s="6" r="O646">
        <v>0</v>
      </c>
      <c t="s" s="6" r="P646">
        <v>86</v>
      </c>
      <c t="s" s="6" r="Q646">
        <v>87</v>
      </c>
      <c t="s" s="6" r="R646">
        <v>5053</v>
      </c>
      <c t="s" s="6" r="S646">
        <v>5054</v>
      </c>
      <c t="s" s="6" r="T646">
        <v>5036</v>
      </c>
      <c t="s" s="6" r="U646">
        <v>5055</v>
      </c>
      <c s="6" r="V646">
        <v>1</v>
      </c>
      <c s="6" r="W646">
        <v>1</v>
      </c>
      <c s="6" r="X646">
        <v>0</v>
      </c>
      <c s="6" r="Y646">
        <v>0</v>
      </c>
      <c s="6" r="Z646">
        <v>0</v>
      </c>
      <c s="6" r="AA646">
        <v>6</v>
      </c>
      <c s="6" r="AB646">
        <v>6</v>
      </c>
      <c t="s" s="6" r="AC646">
        <v>92</v>
      </c>
      <c s="6" r="AD646">
        <v>6</v>
      </c>
      <c s="6" r="AE646">
        <v>4</v>
      </c>
      <c t="s" s="6" r="AF646">
        <v>92</v>
      </c>
      <c t="s" s="6" r="AG646">
        <v>92</v>
      </c>
      <c t="s" s="6" r="AH646">
        <v>92</v>
      </c>
      <c t="s" s="6" r="AI646">
        <v>92</v>
      </c>
      <c t="s" s="6" r="AJ646">
        <v>92</v>
      </c>
      <c t="s" s="6" r="AK646">
        <v>92</v>
      </c>
      <c t="s" s="6" r="AL646">
        <v>92</v>
      </c>
      <c t="s" s="6" r="AM646">
        <v>92</v>
      </c>
      <c t="s" s="6" r="AN646">
        <v>92</v>
      </c>
      <c s="6" r="AP646">
        <v>6</v>
      </c>
      <c s="6" r="AS646">
        <v>0</v>
      </c>
      <c s="6" r="AT646">
        <v>0</v>
      </c>
      <c s="6" r="AU646">
        <v>0</v>
      </c>
      <c s="6" r="AV646">
        <v>0</v>
      </c>
      <c s="6" r="AW646">
        <v>0</v>
      </c>
      <c s="6" r="AX646">
        <v>0</v>
      </c>
      <c s="6" r="AY646">
        <v>0</v>
      </c>
      <c s="6" r="AZ646">
        <v>0</v>
      </c>
      <c s="6" r="BA646">
        <v>0</v>
      </c>
      <c s="6" r="BB646">
        <v>0</v>
      </c>
      <c s="6" r="BC646">
        <v>0</v>
      </c>
      <c s="6" r="BD646">
        <v>0</v>
      </c>
      <c s="6" r="BE646">
        <v>0</v>
      </c>
      <c s="6" r="BF646">
        <v>0</v>
      </c>
      <c s="6" r="BG646">
        <v>0</v>
      </c>
      <c s="6" r="BH646">
        <v>0</v>
      </c>
      <c s="6" r="BI646">
        <v>0</v>
      </c>
      <c s="6" r="BJ646">
        <v>0</v>
      </c>
      <c s="6" r="BK646">
        <v>0</v>
      </c>
      <c s="6" r="BL646">
        <v>0</v>
      </c>
      <c s="6" r="BM646">
        <v>0</v>
      </c>
      <c s="6" r="BN646">
        <v>0</v>
      </c>
      <c s="6" r="BO646">
        <v>0</v>
      </c>
      <c s="6" r="BP646">
        <v>0</v>
      </c>
      <c s="6" r="BQ646">
        <v>0</v>
      </c>
      <c t="str" s="6" r="BR646">
        <f>HYPERLINK("http://www.d20pfsrd.com/magic/all-spells/s/s/summon-flight-of-eagles","Summon Flight of Eagles")</f>
        <v>Summon Flight of Eagles</v>
      </c>
      <c s="6" r="BS646">
        <v>653</v>
      </c>
      <c s="6" r="BT646">
        <v>100</v>
      </c>
      <c s="6" r="BY646">
        <v>0</v>
      </c>
    </row>
    <row customHeight="1" r="647" ht="14.25">
      <c t="s" s="6" r="A647">
        <v>5056</v>
      </c>
      <c t="s" s="6" r="B647">
        <v>78</v>
      </c>
      <c t="s" s="6" r="C647">
        <v>79</v>
      </c>
      <c t="s" s="6" r="D647">
        <v>55</v>
      </c>
      <c t="s" s="6" r="E647">
        <v>1020</v>
      </c>
      <c t="s" s="6" r="F647">
        <v>311</v>
      </c>
      <c t="s" s="6" r="G647">
        <v>5057</v>
      </c>
      <c s="6" r="H647">
        <v>0</v>
      </c>
      <c t="s" s="6" r="I647">
        <v>120</v>
      </c>
      <c t="s" s="6" r="K647">
        <v>5058</v>
      </c>
      <c t="s" s="6" r="M647">
        <v>5059</v>
      </c>
      <c s="6" r="N647">
        <v>0</v>
      </c>
      <c s="6" r="O647">
        <v>0</v>
      </c>
      <c t="s" s="6" r="P647">
        <v>86</v>
      </c>
      <c t="s" s="6" r="Q647">
        <v>87</v>
      </c>
      <c t="s" s="6" r="R647">
        <v>5060</v>
      </c>
      <c t="s" s="6" r="S647">
        <v>5061</v>
      </c>
      <c t="s" s="6" r="T647">
        <v>5062</v>
      </c>
      <c t="s" s="6" r="U647">
        <v>5063</v>
      </c>
      <c s="6" r="V647">
        <v>1</v>
      </c>
      <c s="6" r="W647">
        <v>1</v>
      </c>
      <c s="6" r="X647">
        <v>1</v>
      </c>
      <c s="6" r="Y647">
        <v>0</v>
      </c>
      <c s="6" r="Z647">
        <v>0</v>
      </c>
      <c s="6" r="AA647">
        <v>6</v>
      </c>
      <c s="6" r="AB647">
        <v>6</v>
      </c>
      <c s="6" r="AC647">
        <v>6</v>
      </c>
      <c t="s" s="6" r="AD647">
        <v>92</v>
      </c>
      <c t="s" s="6" r="AE647">
        <v>92</v>
      </c>
      <c t="s" s="6" r="AF647">
        <v>92</v>
      </c>
      <c t="s" s="6" r="AG647">
        <v>92</v>
      </c>
      <c t="s" s="6" r="AH647">
        <v>92</v>
      </c>
      <c t="s" s="6" r="AI647">
        <v>92</v>
      </c>
      <c t="s" s="6" r="AJ647">
        <v>92</v>
      </c>
      <c t="s" s="6" r="AK647">
        <v>92</v>
      </c>
      <c s="6" r="AL647">
        <v>6</v>
      </c>
      <c t="s" s="6" r="AM647">
        <v>92</v>
      </c>
      <c t="s" s="6" r="AN647">
        <v>92</v>
      </c>
      <c s="6" r="AP647">
        <v>6</v>
      </c>
      <c s="6" r="AS647">
        <v>0</v>
      </c>
      <c s="6" r="AT647">
        <v>0</v>
      </c>
      <c s="6" r="AU647">
        <v>0</v>
      </c>
      <c s="6" r="AV647">
        <v>0</v>
      </c>
      <c s="6" r="AW647">
        <v>0</v>
      </c>
      <c s="6" r="AX647">
        <v>0</v>
      </c>
      <c s="6" r="AY647">
        <v>0</v>
      </c>
      <c s="6" r="AZ647">
        <v>0</v>
      </c>
      <c s="6" r="BA647">
        <v>0</v>
      </c>
      <c s="6" r="BB647">
        <v>0</v>
      </c>
      <c s="6" r="BC647">
        <v>0</v>
      </c>
      <c s="6" r="BD647">
        <v>1</v>
      </c>
      <c s="6" r="BE647">
        <v>0</v>
      </c>
      <c s="6" r="BF647">
        <v>0</v>
      </c>
      <c s="6" r="BG647">
        <v>0</v>
      </c>
      <c s="6" r="BH647">
        <v>0</v>
      </c>
      <c s="6" r="BI647">
        <v>0</v>
      </c>
      <c s="6" r="BJ647">
        <v>0</v>
      </c>
      <c s="6" r="BK647">
        <v>0</v>
      </c>
      <c s="6" r="BL647">
        <v>0</v>
      </c>
      <c s="6" r="BM647">
        <v>0</v>
      </c>
      <c s="6" r="BN647">
        <v>0</v>
      </c>
      <c s="6" r="BO647">
        <v>0</v>
      </c>
      <c s="6" r="BP647">
        <v>0</v>
      </c>
      <c s="6" r="BQ647">
        <v>0</v>
      </c>
      <c t="str" s="6" r="BR647">
        <f>HYPERLINK("http://www.d20pfsrd.com/magic/all-spells/g/g/genius-avaricious","Genius Avaricious")</f>
        <v>Genius Avaricious</v>
      </c>
      <c s="6" r="BS647">
        <v>654</v>
      </c>
      <c t="s" s="6" r="BT647">
        <v>92</v>
      </c>
      <c s="6" r="BY647">
        <v>0</v>
      </c>
    </row>
    <row customHeight="1" r="648" ht="14.25">
      <c t="s" s="6" r="A648">
        <v>5064</v>
      </c>
      <c t="s" s="6" r="B648">
        <v>162</v>
      </c>
      <c t="s" s="6" r="E648">
        <v>5065</v>
      </c>
      <c t="s" s="6" r="F648">
        <v>81</v>
      </c>
      <c t="s" s="6" r="G648">
        <v>119</v>
      </c>
      <c s="6" r="H648">
        <v>0</v>
      </c>
      <c t="s" s="6" r="I648">
        <v>120</v>
      </c>
      <c t="s" s="6" r="L648">
        <v>420</v>
      </c>
      <c t="s" s="6" r="M648">
        <v>4186</v>
      </c>
      <c s="6" r="N648">
        <v>0</v>
      </c>
      <c s="6" r="O648">
        <v>0</v>
      </c>
      <c t="s" s="6" r="P648">
        <v>1227</v>
      </c>
      <c t="s" s="6" r="Q648">
        <v>123</v>
      </c>
      <c t="s" s="6" r="R648">
        <v>5066</v>
      </c>
      <c t="s" s="6" r="S648">
        <v>5067</v>
      </c>
      <c t="s" s="6" r="T648">
        <v>90</v>
      </c>
      <c t="s" s="6" r="U648">
        <v>5068</v>
      </c>
      <c s="6" r="V648">
        <v>1</v>
      </c>
      <c s="6" r="W648">
        <v>1</v>
      </c>
      <c s="6" r="X648">
        <v>0</v>
      </c>
      <c s="6" r="Y648">
        <v>0</v>
      </c>
      <c s="6" r="Z648">
        <v>1</v>
      </c>
      <c s="6" r="AA648">
        <v>3</v>
      </c>
      <c s="6" r="AB648">
        <v>3</v>
      </c>
      <c s="6" r="AC648">
        <v>3</v>
      </c>
      <c s="6" r="AD648">
        <v>3</v>
      </c>
      <c s="6" r="AE648">
        <v>2</v>
      </c>
      <c t="s" s="6" r="AF648">
        <v>92</v>
      </c>
      <c t="s" s="6" r="AG648">
        <v>92</v>
      </c>
      <c s="6" r="AH648">
        <v>3</v>
      </c>
      <c s="6" r="AI648">
        <v>3</v>
      </c>
      <c t="s" s="6" r="AJ648">
        <v>92</v>
      </c>
      <c s="6" r="AK648">
        <v>3</v>
      </c>
      <c s="6" r="AL648">
        <v>3</v>
      </c>
      <c t="s" s="6" r="AM648">
        <v>92</v>
      </c>
      <c t="s" s="6" r="AN648">
        <v>92</v>
      </c>
      <c s="6" r="AP648">
        <v>3</v>
      </c>
      <c t="s" s="6" r="AQ648">
        <v>5069</v>
      </c>
      <c t="s" s="6" r="AR648">
        <v>5070</v>
      </c>
      <c s="6" r="AS648">
        <v>0</v>
      </c>
      <c s="6" r="AT648">
        <v>0</v>
      </c>
      <c s="6" r="AU648">
        <v>0</v>
      </c>
      <c s="6" r="AV648">
        <v>0</v>
      </c>
      <c s="6" r="AW648">
        <v>0</v>
      </c>
      <c s="6" r="AX648">
        <v>0</v>
      </c>
      <c s="6" r="AY648">
        <v>0</v>
      </c>
      <c s="6" r="AZ648">
        <v>0</v>
      </c>
      <c s="6" r="BA648">
        <v>0</v>
      </c>
      <c s="6" r="BB648">
        <v>0</v>
      </c>
      <c s="6" r="BC648">
        <v>0</v>
      </c>
      <c s="6" r="BD648">
        <v>0</v>
      </c>
      <c s="6" r="BE648">
        <v>0</v>
      </c>
      <c s="6" r="BF648">
        <v>0</v>
      </c>
      <c s="6" r="BG648">
        <v>0</v>
      </c>
      <c s="6" r="BH648">
        <v>0</v>
      </c>
      <c s="6" r="BI648">
        <v>0</v>
      </c>
      <c s="6" r="BJ648">
        <v>0</v>
      </c>
      <c s="6" r="BK648">
        <v>0</v>
      </c>
      <c s="6" r="BL648">
        <v>0</v>
      </c>
      <c s="6" r="BM648">
        <v>0</v>
      </c>
      <c s="6" r="BN648">
        <v>0</v>
      </c>
      <c s="6" r="BO648">
        <v>0</v>
      </c>
      <c s="6" r="BP648">
        <v>0</v>
      </c>
      <c s="6" r="BQ648">
        <v>0</v>
      </c>
      <c t="str" s="6" r="BR648">
        <f>HYPERLINK("http://www.d20pfsrd.com/magic/all-spells/p/protection-from-energy","Protection from Energy")</f>
        <v>Protection from Energy</v>
      </c>
      <c s="6" r="BS648">
        <v>655</v>
      </c>
      <c t="s" s="6" r="BT648">
        <v>92</v>
      </c>
      <c t="s" s="6" r="BU648">
        <v>5071</v>
      </c>
      <c t="s" s="6" r="BV648">
        <v>434</v>
      </c>
      <c s="6" r="BY648">
        <v>0</v>
      </c>
    </row>
    <row customHeight="1" r="649" ht="14.25">
      <c t="s" s="6" r="A649">
        <v>5072</v>
      </c>
      <c t="s" s="6" r="B649">
        <v>493</v>
      </c>
      <c t="s" s="6" r="E649">
        <v>5073</v>
      </c>
      <c t="s" s="6" r="F649">
        <v>81</v>
      </c>
      <c t="s" s="6" r="G649">
        <v>2295</v>
      </c>
      <c s="6" r="H649">
        <v>0</v>
      </c>
      <c t="s" s="6" r="I649">
        <v>83</v>
      </c>
      <c t="s" s="6" r="L649">
        <v>1235</v>
      </c>
      <c t="s" s="6" r="M649">
        <v>5005</v>
      </c>
      <c s="6" r="N649">
        <v>1</v>
      </c>
      <c s="6" r="O649">
        <v>0</v>
      </c>
      <c t="s" s="6" r="P649">
        <v>221</v>
      </c>
      <c t="s" s="6" r="Q649">
        <v>188</v>
      </c>
      <c t="s" s="6" r="R649">
        <v>5074</v>
      </c>
      <c t="s" s="6" r="S649">
        <v>5075</v>
      </c>
      <c t="s" s="6" r="T649">
        <v>5076</v>
      </c>
      <c t="s" s="6" r="U649">
        <v>5077</v>
      </c>
      <c s="6" r="V649">
        <v>0</v>
      </c>
      <c s="6" r="W649">
        <v>1</v>
      </c>
      <c s="6" r="X649">
        <v>0</v>
      </c>
      <c s="6" r="Y649">
        <v>0</v>
      </c>
      <c s="6" r="Z649">
        <v>1</v>
      </c>
      <c t="s" s="6" r="AA649">
        <v>92</v>
      </c>
      <c t="s" s="6" r="AB649">
        <v>92</v>
      </c>
      <c s="6" r="AC649">
        <v>1</v>
      </c>
      <c s="6" r="AD649">
        <v>1</v>
      </c>
      <c s="6" r="AE649">
        <v>1</v>
      </c>
      <c t="s" s="6" r="AF649">
        <v>92</v>
      </c>
      <c s="6" r="AG649">
        <v>1</v>
      </c>
      <c t="s" s="6" r="AH649">
        <v>92</v>
      </c>
      <c t="s" s="6" r="AI649">
        <v>92</v>
      </c>
      <c t="s" s="6" r="AJ649">
        <v>92</v>
      </c>
      <c t="s" s="6" r="AK649">
        <v>92</v>
      </c>
      <c s="6" r="AL649">
        <v>1</v>
      </c>
      <c t="s" s="6" r="AM649">
        <v>92</v>
      </c>
      <c t="s" s="6" r="AN649">
        <v>92</v>
      </c>
      <c t="s" s="6" r="AO649">
        <v>5078</v>
      </c>
      <c s="6" r="AP649">
        <v>1</v>
      </c>
      <c s="6" r="AS649">
        <v>0</v>
      </c>
      <c s="6" r="AT649">
        <v>0</v>
      </c>
      <c s="6" r="AU649">
        <v>0</v>
      </c>
      <c s="6" r="AV649">
        <v>0</v>
      </c>
      <c s="6" r="AW649">
        <v>0</v>
      </c>
      <c s="6" r="AX649">
        <v>0</v>
      </c>
      <c s="6" r="AY649">
        <v>0</v>
      </c>
      <c s="6" r="AZ649">
        <v>0</v>
      </c>
      <c s="6" r="BA649">
        <v>0</v>
      </c>
      <c s="6" r="BB649">
        <v>0</v>
      </c>
      <c s="6" r="BC649">
        <v>0</v>
      </c>
      <c s="6" r="BD649">
        <v>0</v>
      </c>
      <c s="6" r="BE649">
        <v>0</v>
      </c>
      <c s="6" r="BF649">
        <v>0</v>
      </c>
      <c s="6" r="BG649">
        <v>0</v>
      </c>
      <c s="6" r="BH649">
        <v>0</v>
      </c>
      <c s="6" r="BI649">
        <v>0</v>
      </c>
      <c s="6" r="BJ649">
        <v>0</v>
      </c>
      <c s="6" r="BK649">
        <v>0</v>
      </c>
      <c s="6" r="BL649">
        <v>0</v>
      </c>
      <c s="6" r="BM649">
        <v>0</v>
      </c>
      <c s="6" r="BN649">
        <v>0</v>
      </c>
      <c s="6" r="BO649">
        <v>0</v>
      </c>
      <c s="6" r="BP649">
        <v>0</v>
      </c>
      <c s="6" r="BQ649">
        <v>0</v>
      </c>
      <c t="s" s="6" r="BR649">
        <v>92</v>
      </c>
      <c s="6" r="BS649">
        <v>656</v>
      </c>
      <c t="s" s="6" r="BT649">
        <v>92</v>
      </c>
      <c s="6" r="BY649">
        <v>0</v>
      </c>
    </row>
    <row customHeight="1" r="650" ht="14.25">
      <c t="s" s="6" r="A650">
        <v>5079</v>
      </c>
      <c t="s" s="6" r="B650">
        <v>78</v>
      </c>
      <c t="s" s="6" r="C650">
        <v>3188</v>
      </c>
      <c t="s" s="6" r="E650">
        <v>2392</v>
      </c>
      <c t="s" s="6" r="F650">
        <v>4865</v>
      </c>
      <c t="s" s="6" r="G650">
        <v>106</v>
      </c>
      <c s="6" r="H650">
        <v>0</v>
      </c>
      <c t="s" s="6" r="I650">
        <v>83</v>
      </c>
      <c t="s" s="6" r="L650">
        <v>5080</v>
      </c>
      <c t="s" s="6" r="M650">
        <v>1693</v>
      </c>
      <c s="6" r="N650">
        <v>0</v>
      </c>
      <c s="6" r="O650">
        <v>0</v>
      </c>
      <c t="s" s="6" r="P650">
        <v>86</v>
      </c>
      <c t="s" s="6" r="Q650">
        <v>87</v>
      </c>
      <c t="s" s="6" r="R650">
        <v>5081</v>
      </c>
      <c t="s" s="6" r="S650">
        <v>5082</v>
      </c>
      <c t="s" s="6" r="T650">
        <v>5083</v>
      </c>
      <c t="s" s="6" r="U650">
        <v>5084</v>
      </c>
      <c s="6" r="V650">
        <v>1</v>
      </c>
      <c s="6" r="W650">
        <v>1</v>
      </c>
      <c s="6" r="X650">
        <v>0</v>
      </c>
      <c s="6" r="Y650">
        <v>0</v>
      </c>
      <c s="6" r="Z650">
        <v>0</v>
      </c>
      <c s="6" r="AA650">
        <v>2</v>
      </c>
      <c s="6" r="AB650">
        <v>2</v>
      </c>
      <c t="s" s="6" r="AC650">
        <v>92</v>
      </c>
      <c t="s" s="6" r="AD650">
        <v>92</v>
      </c>
      <c t="s" s="6" r="AE650">
        <v>92</v>
      </c>
      <c s="6" r="AF650">
        <v>2</v>
      </c>
      <c t="s" s="6" r="AG650">
        <v>92</v>
      </c>
      <c t="s" s="6" r="AH650">
        <v>92</v>
      </c>
      <c t="s" s="6" r="AI650">
        <v>92</v>
      </c>
      <c t="s" s="6" r="AJ650">
        <v>92</v>
      </c>
      <c t="s" s="6" r="AK650">
        <v>92</v>
      </c>
      <c t="s" s="6" r="AL650">
        <v>92</v>
      </c>
      <c t="s" s="6" r="AM650">
        <v>92</v>
      </c>
      <c t="s" s="6" r="AN650">
        <v>92</v>
      </c>
      <c s="6" r="AP650">
        <v>2</v>
      </c>
      <c s="6" r="AS650">
        <v>0</v>
      </c>
      <c s="6" r="AT650">
        <v>0</v>
      </c>
      <c s="6" r="AU650">
        <v>0</v>
      </c>
      <c s="6" r="AV650">
        <v>0</v>
      </c>
      <c s="6" r="AW650">
        <v>0</v>
      </c>
      <c s="6" r="AX650">
        <v>0</v>
      </c>
      <c s="6" r="AY650">
        <v>0</v>
      </c>
      <c s="6" r="AZ650">
        <v>0</v>
      </c>
      <c s="6" r="BA650">
        <v>0</v>
      </c>
      <c s="6" r="BB650">
        <v>0</v>
      </c>
      <c s="6" r="BC650">
        <v>0</v>
      </c>
      <c s="6" r="BD650">
        <v>0</v>
      </c>
      <c s="6" r="BE650">
        <v>0</v>
      </c>
      <c s="6" r="BF650">
        <v>0</v>
      </c>
      <c s="6" r="BG650">
        <v>0</v>
      </c>
      <c s="6" r="BH650">
        <v>0</v>
      </c>
      <c s="6" r="BI650">
        <v>0</v>
      </c>
      <c s="6" r="BJ650">
        <v>0</v>
      </c>
      <c s="6" r="BK650">
        <v>0</v>
      </c>
      <c s="6" r="BL650">
        <v>0</v>
      </c>
      <c s="6" r="BM650">
        <v>0</v>
      </c>
      <c s="6" r="BN650">
        <v>0</v>
      </c>
      <c s="6" r="BO650">
        <v>0</v>
      </c>
      <c s="6" r="BP650">
        <v>0</v>
      </c>
      <c s="6" r="BQ650">
        <v>0</v>
      </c>
      <c t="s" s="6" r="BR650">
        <v>92</v>
      </c>
      <c s="6" r="BS650">
        <v>657</v>
      </c>
      <c t="s" s="6" r="BT650">
        <v>92</v>
      </c>
      <c s="6" r="BY650">
        <v>0</v>
      </c>
    </row>
    <row customHeight="1" r="651" ht="14.25">
      <c t="s" s="6" r="A651">
        <v>5085</v>
      </c>
      <c t="s" s="6" r="B651">
        <v>174</v>
      </c>
      <c t="s" s="6" r="C651">
        <v>309</v>
      </c>
      <c t="s" s="6" r="E651">
        <v>1691</v>
      </c>
      <c t="s" s="6" r="F651">
        <v>293</v>
      </c>
      <c t="s" s="6" r="G651">
        <v>5086</v>
      </c>
      <c s="6" r="H651">
        <v>1</v>
      </c>
      <c t="s" s="6" r="I651">
        <v>141</v>
      </c>
      <c t="s" s="6" r="M651">
        <v>2718</v>
      </c>
      <c s="6" r="N651">
        <v>0</v>
      </c>
      <c s="6" r="O651">
        <v>0</v>
      </c>
      <c t="s" s="6" r="P651">
        <v>86</v>
      </c>
      <c t="s" s="6" r="Q651">
        <v>87</v>
      </c>
      <c t="s" s="6" r="R651">
        <v>5087</v>
      </c>
      <c t="s" s="6" r="S651">
        <v>5088</v>
      </c>
      <c t="s" s="6" r="T651">
        <v>5083</v>
      </c>
      <c t="s" s="6" r="U651">
        <v>5089</v>
      </c>
      <c s="6" r="V651">
        <v>1</v>
      </c>
      <c s="6" r="W651">
        <v>1</v>
      </c>
      <c s="6" r="X651">
        <v>0</v>
      </c>
      <c s="6" r="Y651">
        <v>0</v>
      </c>
      <c s="6" r="Z651">
        <v>0</v>
      </c>
      <c s="6" r="AA651">
        <v>3</v>
      </c>
      <c s="6" r="AB651">
        <v>3</v>
      </c>
      <c t="s" s="6" r="AC651">
        <v>92</v>
      </c>
      <c t="s" s="6" r="AD651">
        <v>92</v>
      </c>
      <c t="s" s="6" r="AE651">
        <v>92</v>
      </c>
      <c t="s" s="6" r="AF651">
        <v>92</v>
      </c>
      <c t="s" s="6" r="AG651">
        <v>92</v>
      </c>
      <c t="s" s="6" r="AH651">
        <v>92</v>
      </c>
      <c t="s" s="6" r="AI651">
        <v>92</v>
      </c>
      <c t="s" s="6" r="AJ651">
        <v>92</v>
      </c>
      <c t="s" s="6" r="AK651">
        <v>92</v>
      </c>
      <c t="s" s="6" r="AL651">
        <v>92</v>
      </c>
      <c t="s" s="6" r="AM651">
        <v>92</v>
      </c>
      <c t="s" s="6" r="AN651">
        <v>92</v>
      </c>
      <c s="6" r="AP651">
        <v>3</v>
      </c>
      <c s="6" r="AS651">
        <v>0</v>
      </c>
      <c s="6" r="AT651">
        <v>0</v>
      </c>
      <c s="6" r="AU651">
        <v>0</v>
      </c>
      <c s="6" r="AV651">
        <v>0</v>
      </c>
      <c s="6" r="AW651">
        <v>0</v>
      </c>
      <c s="6" r="AX651">
        <v>0</v>
      </c>
      <c s="6" r="AY651">
        <v>0</v>
      </c>
      <c s="6" r="AZ651">
        <v>0</v>
      </c>
      <c s="6" r="BA651">
        <v>0</v>
      </c>
      <c s="6" r="BB651">
        <v>0</v>
      </c>
      <c s="6" r="BC651">
        <v>0</v>
      </c>
      <c s="6" r="BD651">
        <v>0</v>
      </c>
      <c s="6" r="BE651">
        <v>0</v>
      </c>
      <c s="6" r="BF651">
        <v>0</v>
      </c>
      <c s="6" r="BG651">
        <v>0</v>
      </c>
      <c s="6" r="BH651">
        <v>0</v>
      </c>
      <c s="6" r="BI651">
        <v>0</v>
      </c>
      <c s="6" r="BJ651">
        <v>0</v>
      </c>
      <c s="6" r="BK651">
        <v>0</v>
      </c>
      <c s="6" r="BL651">
        <v>0</v>
      </c>
      <c s="6" r="BM651">
        <v>0</v>
      </c>
      <c s="6" r="BN651">
        <v>0</v>
      </c>
      <c s="6" r="BO651">
        <v>0</v>
      </c>
      <c s="6" r="BP651">
        <v>0</v>
      </c>
      <c s="6" r="BQ651">
        <v>0</v>
      </c>
      <c t="s" s="6" r="BR651">
        <v>92</v>
      </c>
      <c s="6" r="BS651">
        <v>658</v>
      </c>
      <c s="6" r="BT651">
        <v>50</v>
      </c>
      <c s="6" r="BY651">
        <v>0</v>
      </c>
    </row>
    <row customHeight="1" r="652" ht="14.25">
      <c t="s" s="6" r="A652">
        <v>5090</v>
      </c>
      <c t="s" s="6" r="B652">
        <v>579</v>
      </c>
      <c t="s" s="6" r="C652">
        <v>1523</v>
      </c>
      <c t="s" s="6" r="D652">
        <v>117</v>
      </c>
      <c t="s" s="6" r="E652">
        <v>1691</v>
      </c>
      <c t="s" s="6" r="F652">
        <v>81</v>
      </c>
      <c t="s" s="6" r="G652">
        <v>106</v>
      </c>
      <c s="6" r="H652">
        <v>0</v>
      </c>
      <c t="s" s="6" r="I652">
        <v>120</v>
      </c>
      <c t="s" s="6" r="L652">
        <v>545</v>
      </c>
      <c t="s" s="6" r="M652">
        <v>5091</v>
      </c>
      <c s="6" r="N652">
        <v>0</v>
      </c>
      <c s="6" r="O652">
        <v>0</v>
      </c>
      <c t="s" s="6" r="P652">
        <v>5092</v>
      </c>
      <c t="s" s="6" r="Q652">
        <v>188</v>
      </c>
      <c t="s" s="6" r="R652">
        <v>5093</v>
      </c>
      <c t="s" s="6" r="S652">
        <v>5094</v>
      </c>
      <c t="s" s="6" r="T652">
        <v>5095</v>
      </c>
      <c t="s" s="6" r="U652">
        <v>5096</v>
      </c>
      <c s="6" r="V652">
        <v>1</v>
      </c>
      <c s="6" r="W652">
        <v>1</v>
      </c>
      <c s="6" r="X652">
        <v>0</v>
      </c>
      <c s="6" r="Y652">
        <v>0</v>
      </c>
      <c s="6" r="Z652">
        <v>0</v>
      </c>
      <c s="6" r="AA652">
        <v>3</v>
      </c>
      <c s="6" r="AB652">
        <v>3</v>
      </c>
      <c t="s" s="6" r="AC652">
        <v>92</v>
      </c>
      <c t="s" s="6" r="AD652">
        <v>92</v>
      </c>
      <c t="s" s="6" r="AE652">
        <v>92</v>
      </c>
      <c t="s" s="6" r="AF652">
        <v>92</v>
      </c>
      <c t="s" s="6" r="AG652">
        <v>92</v>
      </c>
      <c t="s" s="6" r="AH652">
        <v>92</v>
      </c>
      <c t="s" s="6" r="AI652">
        <v>92</v>
      </c>
      <c t="s" s="6" r="AJ652">
        <v>92</v>
      </c>
      <c t="s" s="6" r="AK652">
        <v>92</v>
      </c>
      <c t="s" s="6" r="AL652">
        <v>92</v>
      </c>
      <c t="s" s="6" r="AM652">
        <v>92</v>
      </c>
      <c t="s" s="6" r="AN652">
        <v>92</v>
      </c>
      <c s="6" r="AP652">
        <v>3</v>
      </c>
      <c s="6" r="AS652">
        <v>0</v>
      </c>
      <c s="6" r="AT652">
        <v>0</v>
      </c>
      <c s="6" r="AU652">
        <v>0</v>
      </c>
      <c s="6" r="AV652">
        <v>0</v>
      </c>
      <c s="6" r="AW652">
        <v>0</v>
      </c>
      <c s="6" r="AX652">
        <v>0</v>
      </c>
      <c s="6" r="AY652">
        <v>0</v>
      </c>
      <c s="6" r="AZ652">
        <v>0</v>
      </c>
      <c s="6" r="BA652">
        <v>0</v>
      </c>
      <c s="6" r="BB652">
        <v>0</v>
      </c>
      <c s="6" r="BC652">
        <v>0</v>
      </c>
      <c s="6" r="BD652">
        <v>0</v>
      </c>
      <c s="6" r="BE652">
        <v>0</v>
      </c>
      <c s="6" r="BF652">
        <v>0</v>
      </c>
      <c s="6" r="BG652">
        <v>0</v>
      </c>
      <c s="6" r="BH652">
        <v>0</v>
      </c>
      <c s="6" r="BI652">
        <v>0</v>
      </c>
      <c s="6" r="BJ652">
        <v>0</v>
      </c>
      <c s="6" r="BK652">
        <v>0</v>
      </c>
      <c s="6" r="BL652">
        <v>1</v>
      </c>
      <c s="6" r="BM652">
        <v>0</v>
      </c>
      <c s="6" r="BN652">
        <v>0</v>
      </c>
      <c s="6" r="BO652">
        <v>0</v>
      </c>
      <c s="6" r="BP652">
        <v>0</v>
      </c>
      <c s="6" r="BQ652">
        <v>0</v>
      </c>
      <c t="str" s="6" r="BR652">
        <f>HYPERLINK("http://www.d20pfsrd.com/magic/all-spells/i/i/illusory-poison","Illusory Poison")</f>
        <v>Illusory Poison</v>
      </c>
      <c s="6" r="BS652">
        <v>659</v>
      </c>
      <c t="s" s="6" r="BT652">
        <v>92</v>
      </c>
      <c s="6" r="BY652">
        <v>0</v>
      </c>
    </row>
    <row customHeight="1" r="653" ht="14.25">
      <c t="s" s="6" r="A653">
        <v>5097</v>
      </c>
      <c t="s" s="6" r="B653">
        <v>131</v>
      </c>
      <c t="s" s="6" r="E653">
        <v>1691</v>
      </c>
      <c t="s" s="6" r="F653">
        <v>272</v>
      </c>
      <c t="s" s="6" r="G653">
        <v>106</v>
      </c>
      <c s="6" r="H653">
        <v>0</v>
      </c>
      <c t="s" s="6" r="I653">
        <v>155</v>
      </c>
      <c t="s" s="6" r="L653">
        <v>156</v>
      </c>
      <c t="s" s="6" r="M653">
        <v>5098</v>
      </c>
      <c s="6" r="N653">
        <v>0</v>
      </c>
      <c s="6" r="O653">
        <v>0</v>
      </c>
      <c t="s" s="6" r="R653">
        <v>5099</v>
      </c>
      <c t="s" s="6" r="S653">
        <v>5100</v>
      </c>
      <c t="s" s="6" r="T653">
        <v>5101</v>
      </c>
      <c t="s" s="6" r="U653">
        <v>5102</v>
      </c>
      <c s="6" r="V653">
        <v>1</v>
      </c>
      <c s="6" r="W653">
        <v>1</v>
      </c>
      <c s="6" r="X653">
        <v>0</v>
      </c>
      <c s="6" r="Y653">
        <v>0</v>
      </c>
      <c s="6" r="Z653">
        <v>0</v>
      </c>
      <c s="6" r="AA653">
        <v>3</v>
      </c>
      <c s="6" r="AB653">
        <v>3</v>
      </c>
      <c t="s" s="6" r="AC653">
        <v>92</v>
      </c>
      <c t="s" s="6" r="AD653">
        <v>92</v>
      </c>
      <c t="s" s="6" r="AE653">
        <v>92</v>
      </c>
      <c t="s" s="6" r="AF653">
        <v>92</v>
      </c>
      <c t="s" s="6" r="AG653">
        <v>92</v>
      </c>
      <c t="s" s="6" r="AH653">
        <v>92</v>
      </c>
      <c t="s" s="6" r="AI653">
        <v>92</v>
      </c>
      <c t="s" s="6" r="AJ653">
        <v>92</v>
      </c>
      <c t="s" s="6" r="AK653">
        <v>92</v>
      </c>
      <c t="s" s="6" r="AL653">
        <v>92</v>
      </c>
      <c t="s" s="6" r="AM653">
        <v>92</v>
      </c>
      <c t="s" s="6" r="AN653">
        <v>92</v>
      </c>
      <c s="6" r="AP653">
        <v>3</v>
      </c>
      <c s="6" r="AS653">
        <v>0</v>
      </c>
      <c s="6" r="AT653">
        <v>0</v>
      </c>
      <c s="6" r="AU653">
        <v>0</v>
      </c>
      <c s="6" r="AV653">
        <v>0</v>
      </c>
      <c s="6" r="AW653">
        <v>0</v>
      </c>
      <c s="6" r="AX653">
        <v>0</v>
      </c>
      <c s="6" r="AY653">
        <v>0</v>
      </c>
      <c s="6" r="AZ653">
        <v>0</v>
      </c>
      <c s="6" r="BA653">
        <v>0</v>
      </c>
      <c s="6" r="BB653">
        <v>0</v>
      </c>
      <c s="6" r="BC653">
        <v>0</v>
      </c>
      <c s="6" r="BD653">
        <v>0</v>
      </c>
      <c s="6" r="BE653">
        <v>0</v>
      </c>
      <c s="6" r="BF653">
        <v>0</v>
      </c>
      <c s="6" r="BG653">
        <v>0</v>
      </c>
      <c s="6" r="BH653">
        <v>0</v>
      </c>
      <c s="6" r="BI653">
        <v>0</v>
      </c>
      <c s="6" r="BJ653">
        <v>0</v>
      </c>
      <c s="6" r="BK653">
        <v>0</v>
      </c>
      <c s="6" r="BL653">
        <v>0</v>
      </c>
      <c s="6" r="BM653">
        <v>0</v>
      </c>
      <c s="6" r="BN653">
        <v>0</v>
      </c>
      <c s="6" r="BO653">
        <v>0</v>
      </c>
      <c s="6" r="BP653">
        <v>0</v>
      </c>
      <c s="6" r="BQ653">
        <v>0</v>
      </c>
      <c t="s" s="6" r="BR653">
        <v>92</v>
      </c>
      <c s="6" r="BS653">
        <v>660</v>
      </c>
      <c t="s" s="6" r="BT653">
        <v>92</v>
      </c>
      <c s="6" r="BY653">
        <v>0</v>
      </c>
    </row>
    <row customHeight="1" r="654" ht="14.25">
      <c t="s" s="6" r="A654">
        <v>5103</v>
      </c>
      <c t="s" s="6" r="B654">
        <v>227</v>
      </c>
      <c t="s" s="6" r="D654">
        <v>1177</v>
      </c>
      <c t="s" s="6" r="E654">
        <v>1599</v>
      </c>
      <c t="s" s="6" r="F654">
        <v>272</v>
      </c>
      <c t="s" s="6" r="G654">
        <v>5104</v>
      </c>
      <c s="6" r="H654">
        <v>1</v>
      </c>
      <c t="s" s="6" r="I654">
        <v>107</v>
      </c>
      <c t="s" s="6" r="L654">
        <v>5105</v>
      </c>
      <c t="s" s="6" r="M654">
        <v>5106</v>
      </c>
      <c s="6" r="N654">
        <v>0</v>
      </c>
      <c s="6" r="O654">
        <v>0</v>
      </c>
      <c t="s" s="6" r="P654">
        <v>2384</v>
      </c>
      <c t="s" s="6" r="Q654">
        <v>188</v>
      </c>
      <c t="s" s="6" r="R654">
        <v>5107</v>
      </c>
      <c t="s" s="6" r="S654">
        <v>5108</v>
      </c>
      <c t="s" s="6" r="T654">
        <v>5101</v>
      </c>
      <c t="s" s="6" r="U654">
        <v>5109</v>
      </c>
      <c s="6" r="V654">
        <v>1</v>
      </c>
      <c s="6" r="W654">
        <v>1</v>
      </c>
      <c s="6" r="X654">
        <v>1</v>
      </c>
      <c s="6" r="Y654">
        <v>0</v>
      </c>
      <c s="6" r="Z654">
        <v>0</v>
      </c>
      <c s="6" r="AA654">
        <v>9</v>
      </c>
      <c s="6" r="AB654">
        <v>9</v>
      </c>
      <c s="6" r="AC654">
        <v>9</v>
      </c>
      <c t="s" s="6" r="AD654">
        <v>92</v>
      </c>
      <c t="s" s="6" r="AE654">
        <v>92</v>
      </c>
      <c t="s" s="6" r="AF654">
        <v>92</v>
      </c>
      <c t="s" s="6" r="AG654">
        <v>92</v>
      </c>
      <c t="s" s="6" r="AH654">
        <v>92</v>
      </c>
      <c t="s" s="6" r="AI654">
        <v>92</v>
      </c>
      <c t="s" s="6" r="AJ654">
        <v>92</v>
      </c>
      <c t="s" s="6" r="AK654">
        <v>92</v>
      </c>
      <c s="6" r="AL654">
        <v>9</v>
      </c>
      <c t="s" s="6" r="AM654">
        <v>92</v>
      </c>
      <c t="s" s="6" r="AN654">
        <v>92</v>
      </c>
      <c s="6" r="AP654">
        <v>9</v>
      </c>
      <c s="6" r="AS654">
        <v>0</v>
      </c>
      <c s="6" r="AT654">
        <v>0</v>
      </c>
      <c s="6" r="AU654">
        <v>0</v>
      </c>
      <c s="6" r="AV654">
        <v>0</v>
      </c>
      <c s="6" r="AW654">
        <v>0</v>
      </c>
      <c s="6" r="AX654">
        <v>0</v>
      </c>
      <c s="6" r="AY654">
        <v>1</v>
      </c>
      <c s="6" r="AZ654">
        <v>0</v>
      </c>
      <c s="6" r="BA654">
        <v>0</v>
      </c>
      <c s="6" r="BB654">
        <v>0</v>
      </c>
      <c s="6" r="BC654">
        <v>0</v>
      </c>
      <c s="6" r="BD654">
        <v>1</v>
      </c>
      <c s="6" r="BE654">
        <v>0</v>
      </c>
      <c s="6" r="BF654">
        <v>0</v>
      </c>
      <c s="6" r="BG654">
        <v>0</v>
      </c>
      <c s="6" r="BH654">
        <v>0</v>
      </c>
      <c s="6" r="BI654">
        <v>0</v>
      </c>
      <c s="6" r="BJ654">
        <v>0</v>
      </c>
      <c s="6" r="BK654">
        <v>0</v>
      </c>
      <c s="6" r="BL654">
        <v>0</v>
      </c>
      <c s="6" r="BM654">
        <v>0</v>
      </c>
      <c s="6" r="BN654">
        <v>0</v>
      </c>
      <c s="6" r="BO654">
        <v>0</v>
      </c>
      <c s="6" r="BP654">
        <v>0</v>
      </c>
      <c s="6" r="BQ654">
        <v>0</v>
      </c>
      <c t="s" s="6" r="BR654">
        <v>92</v>
      </c>
      <c s="6" r="BS654">
        <v>661</v>
      </c>
      <c s="6" r="BT654">
        <v>100</v>
      </c>
      <c s="6" r="BY654">
        <v>0</v>
      </c>
    </row>
    <row customHeight="1" r="655" ht="14.25">
      <c t="s" s="6" r="A655">
        <v>5110</v>
      </c>
      <c t="s" s="6" r="B655">
        <v>131</v>
      </c>
      <c t="s" s="6" r="E655">
        <v>262</v>
      </c>
      <c t="s" s="6" r="F655">
        <v>81</v>
      </c>
      <c t="s" s="6" r="G655">
        <v>251</v>
      </c>
      <c s="6" r="H655">
        <v>0</v>
      </c>
      <c t="s" s="6" r="I655">
        <v>155</v>
      </c>
      <c t="s" s="6" r="L655">
        <v>156</v>
      </c>
      <c t="s" s="6" r="M655">
        <v>2718</v>
      </c>
      <c s="6" r="N655">
        <v>0</v>
      </c>
      <c s="6" r="O655">
        <v>0</v>
      </c>
      <c t="s" s="6" r="R655">
        <v>5111</v>
      </c>
      <c t="s" s="6" r="S655">
        <v>5112</v>
      </c>
      <c t="s" s="6" r="T655">
        <v>5101</v>
      </c>
      <c t="s" s="6" r="U655">
        <v>5113</v>
      </c>
      <c s="6" r="V655">
        <v>1</v>
      </c>
      <c s="6" r="W655">
        <v>0</v>
      </c>
      <c s="6" r="X655">
        <v>0</v>
      </c>
      <c s="6" r="Y655">
        <v>0</v>
      </c>
      <c s="6" r="Z655">
        <v>0</v>
      </c>
      <c s="6" r="AA655">
        <v>1</v>
      </c>
      <c s="6" r="AB655">
        <v>1</v>
      </c>
      <c t="s" s="6" r="AC655">
        <v>92</v>
      </c>
      <c t="s" s="6" r="AD655">
        <v>92</v>
      </c>
      <c t="s" s="6" r="AE655">
        <v>92</v>
      </c>
      <c s="6" r="AF655">
        <v>1</v>
      </c>
      <c t="s" s="6" r="AG655">
        <v>92</v>
      </c>
      <c t="s" s="6" r="AH655">
        <v>92</v>
      </c>
      <c t="s" s="6" r="AI655">
        <v>92</v>
      </c>
      <c t="s" s="6" r="AJ655">
        <v>92</v>
      </c>
      <c t="s" s="6" r="AK655">
        <v>92</v>
      </c>
      <c t="s" s="6" r="AL655">
        <v>92</v>
      </c>
      <c t="s" s="6" r="AM655">
        <v>92</v>
      </c>
      <c t="s" s="6" r="AN655">
        <v>92</v>
      </c>
      <c s="6" r="AP655">
        <v>1</v>
      </c>
      <c s="6" r="AS655">
        <v>0</v>
      </c>
      <c s="6" r="AT655">
        <v>0</v>
      </c>
      <c s="6" r="AU655">
        <v>0</v>
      </c>
      <c s="6" r="AV655">
        <v>0</v>
      </c>
      <c s="6" r="AW655">
        <v>0</v>
      </c>
      <c s="6" r="AX655">
        <v>0</v>
      </c>
      <c s="6" r="AY655">
        <v>0</v>
      </c>
      <c s="6" r="AZ655">
        <v>0</v>
      </c>
      <c s="6" r="BA655">
        <v>0</v>
      </c>
      <c s="6" r="BB655">
        <v>0</v>
      </c>
      <c s="6" r="BC655">
        <v>0</v>
      </c>
      <c s="6" r="BD655">
        <v>0</v>
      </c>
      <c s="6" r="BE655">
        <v>0</v>
      </c>
      <c s="6" r="BF655">
        <v>0</v>
      </c>
      <c s="6" r="BG655">
        <v>0</v>
      </c>
      <c s="6" r="BH655">
        <v>0</v>
      </c>
      <c s="6" r="BI655">
        <v>0</v>
      </c>
      <c s="6" r="BJ655">
        <v>0</v>
      </c>
      <c s="6" r="BK655">
        <v>0</v>
      </c>
      <c s="6" r="BL655">
        <v>0</v>
      </c>
      <c s="6" r="BM655">
        <v>0</v>
      </c>
      <c s="6" r="BN655">
        <v>0</v>
      </c>
      <c s="6" r="BO655">
        <v>0</v>
      </c>
      <c s="6" r="BP655">
        <v>0</v>
      </c>
      <c s="6" r="BQ655">
        <v>0</v>
      </c>
      <c t="s" s="6" r="BR655">
        <v>92</v>
      </c>
      <c s="6" r="BS655">
        <v>662</v>
      </c>
      <c t="s" s="6" r="BT655">
        <v>92</v>
      </c>
      <c s="6" r="BY655">
        <v>0</v>
      </c>
    </row>
    <row customHeight="1" r="656" ht="14.25">
      <c t="s" s="6" r="A656">
        <v>5114</v>
      </c>
      <c t="s" s="6" r="B656">
        <v>78</v>
      </c>
      <c t="s" s="6" r="C656">
        <v>1042</v>
      </c>
      <c t="s" s="6" r="D656">
        <v>141</v>
      </c>
      <c t="s" s="6" r="E656">
        <v>3866</v>
      </c>
      <c t="s" s="6" r="F656">
        <v>311</v>
      </c>
      <c t="s" s="6" r="G656">
        <v>119</v>
      </c>
      <c s="6" r="H656">
        <v>0</v>
      </c>
      <c t="s" s="6" r="I656">
        <v>5115</v>
      </c>
      <c t="s" s="6" r="K656">
        <v>5116</v>
      </c>
      <c t="s" s="6" r="M656">
        <v>5005</v>
      </c>
      <c s="6" r="N656">
        <v>1</v>
      </c>
      <c s="6" r="O656">
        <v>0</v>
      </c>
      <c t="s" s="6" r="P656">
        <v>86</v>
      </c>
      <c t="s" s="6" r="Q656">
        <v>87</v>
      </c>
      <c t="s" s="6" r="R656">
        <v>5117</v>
      </c>
      <c t="s" s="6" r="S656">
        <v>5118</v>
      </c>
      <c t="s" s="6" r="T656">
        <v>5101</v>
      </c>
      <c t="s" s="6" r="U656">
        <v>5119</v>
      </c>
      <c s="6" r="V656">
        <v>1</v>
      </c>
      <c s="6" r="W656">
        <v>1</v>
      </c>
      <c s="6" r="X656">
        <v>0</v>
      </c>
      <c s="6" r="Y656">
        <v>0</v>
      </c>
      <c s="6" r="Z656">
        <v>1</v>
      </c>
      <c t="s" s="6" r="AA656">
        <v>92</v>
      </c>
      <c t="s" s="6" r="AB656">
        <v>92</v>
      </c>
      <c t="s" s="6" r="AC656">
        <v>92</v>
      </c>
      <c s="6" r="AD656">
        <v>9</v>
      </c>
      <c t="s" s="6" r="AE656">
        <v>92</v>
      </c>
      <c t="s" s="6" r="AF656">
        <v>92</v>
      </c>
      <c t="s" s="6" r="AG656">
        <v>92</v>
      </c>
      <c t="s" s="6" r="AH656">
        <v>92</v>
      </c>
      <c t="s" s="6" r="AI656">
        <v>92</v>
      </c>
      <c t="s" s="6" r="AJ656">
        <v>92</v>
      </c>
      <c t="s" s="6" r="AK656">
        <v>92</v>
      </c>
      <c t="s" s="6" r="AL656">
        <v>92</v>
      </c>
      <c t="s" s="6" r="AM656">
        <v>92</v>
      </c>
      <c t="s" s="6" r="AN656">
        <v>92</v>
      </c>
      <c s="6" r="AP656">
        <v>9</v>
      </c>
      <c s="6" r="AS656">
        <v>0</v>
      </c>
      <c s="6" r="AT656">
        <v>0</v>
      </c>
      <c s="6" r="AU656">
        <v>0</v>
      </c>
      <c s="6" r="AV656">
        <v>0</v>
      </c>
      <c s="6" r="AW656">
        <v>0</v>
      </c>
      <c s="6" r="AX656">
        <v>0</v>
      </c>
      <c s="6" r="AY656">
        <v>0</v>
      </c>
      <c s="6" r="AZ656">
        <v>0</v>
      </c>
      <c s="6" r="BA656">
        <v>0</v>
      </c>
      <c s="6" r="BB656">
        <v>0</v>
      </c>
      <c s="6" r="BC656">
        <v>0</v>
      </c>
      <c s="6" r="BD656">
        <v>0</v>
      </c>
      <c s="6" r="BE656">
        <v>0</v>
      </c>
      <c s="6" r="BF656">
        <v>0</v>
      </c>
      <c s="6" r="BG656">
        <v>0</v>
      </c>
      <c s="6" r="BH656">
        <v>0</v>
      </c>
      <c s="6" r="BI656">
        <v>0</v>
      </c>
      <c s="6" r="BJ656">
        <v>0</v>
      </c>
      <c s="6" r="BK656">
        <v>0</v>
      </c>
      <c s="6" r="BL656">
        <v>0</v>
      </c>
      <c s="6" r="BM656">
        <v>0</v>
      </c>
      <c s="6" r="BN656">
        <v>0</v>
      </c>
      <c s="6" r="BO656">
        <v>0</v>
      </c>
      <c s="6" r="BP656">
        <v>0</v>
      </c>
      <c s="6" r="BQ656">
        <v>0</v>
      </c>
      <c t="s" s="6" r="BR656">
        <v>92</v>
      </c>
      <c s="6" r="BS656">
        <v>663</v>
      </c>
      <c t="s" s="6" r="BT656">
        <v>92</v>
      </c>
      <c s="6" r="BY656">
        <v>0</v>
      </c>
    </row>
    <row customHeight="1" r="657" ht="14.25">
      <c t="s" s="6" r="A657">
        <v>5120</v>
      </c>
      <c t="s" s="6" r="B657">
        <v>227</v>
      </c>
      <c t="s" s="6" r="E657">
        <v>1717</v>
      </c>
      <c t="s" s="6" r="F657">
        <v>81</v>
      </c>
      <c t="s" s="6" r="G657">
        <v>119</v>
      </c>
      <c s="6" r="H657">
        <v>0</v>
      </c>
      <c t="s" s="6" r="I657">
        <v>120</v>
      </c>
      <c t="s" s="6" r="L657">
        <v>420</v>
      </c>
      <c t="s" s="6" r="M657">
        <v>2718</v>
      </c>
      <c s="6" r="N657">
        <v>1</v>
      </c>
      <c s="6" r="O657">
        <v>0</v>
      </c>
      <c t="s" s="6" r="P657">
        <v>86</v>
      </c>
      <c t="s" s="6" r="Q657">
        <v>87</v>
      </c>
      <c t="s" s="6" r="R657">
        <v>5121</v>
      </c>
      <c t="s" s="6" r="S657">
        <v>5122</v>
      </c>
      <c t="s" s="6" r="T657">
        <v>5101</v>
      </c>
      <c t="s" s="6" r="U657">
        <v>5123</v>
      </c>
      <c s="6" r="V657">
        <v>1</v>
      </c>
      <c s="6" r="W657">
        <v>1</v>
      </c>
      <c s="6" r="X657">
        <v>0</v>
      </c>
      <c s="6" r="Y657">
        <v>0</v>
      </c>
      <c s="6" r="Z657">
        <v>1</v>
      </c>
      <c t="s" s="6" r="AA657">
        <v>92</v>
      </c>
      <c t="s" s="6" r="AB657">
        <v>92</v>
      </c>
      <c t="s" s="6" r="AC657">
        <v>92</v>
      </c>
      <c s="6" r="AD657">
        <v>1</v>
      </c>
      <c t="s" s="6" r="AE657">
        <v>92</v>
      </c>
      <c t="s" s="6" r="AF657">
        <v>92</v>
      </c>
      <c t="s" s="6" r="AG657">
        <v>92</v>
      </c>
      <c t="s" s="6" r="AH657">
        <v>92</v>
      </c>
      <c t="s" s="6" r="AI657">
        <v>92</v>
      </c>
      <c t="s" s="6" r="AJ657">
        <v>92</v>
      </c>
      <c t="s" s="6" r="AK657">
        <v>92</v>
      </c>
      <c t="s" s="6" r="AL657">
        <v>92</v>
      </c>
      <c t="s" s="6" r="AM657">
        <v>92</v>
      </c>
      <c t="s" s="6" r="AN657">
        <v>92</v>
      </c>
      <c s="6" r="AP657">
        <v>1</v>
      </c>
      <c s="6" r="AS657">
        <v>0</v>
      </c>
      <c s="6" r="AT657">
        <v>0</v>
      </c>
      <c s="6" r="AU657">
        <v>0</v>
      </c>
      <c s="6" r="AV657">
        <v>0</v>
      </c>
      <c s="6" r="AW657">
        <v>0</v>
      </c>
      <c s="6" r="AX657">
        <v>0</v>
      </c>
      <c s="6" r="AY657">
        <v>0</v>
      </c>
      <c s="6" r="AZ657">
        <v>0</v>
      </c>
      <c s="6" r="BA657">
        <v>0</v>
      </c>
      <c s="6" r="BB657">
        <v>0</v>
      </c>
      <c s="6" r="BC657">
        <v>0</v>
      </c>
      <c s="6" r="BD657">
        <v>0</v>
      </c>
      <c s="6" r="BE657">
        <v>0</v>
      </c>
      <c s="6" r="BF657">
        <v>0</v>
      </c>
      <c s="6" r="BG657">
        <v>0</v>
      </c>
      <c s="6" r="BH657">
        <v>0</v>
      </c>
      <c s="6" r="BI657">
        <v>0</v>
      </c>
      <c s="6" r="BJ657">
        <v>0</v>
      </c>
      <c s="6" r="BK657">
        <v>0</v>
      </c>
      <c s="6" r="BL657">
        <v>0</v>
      </c>
      <c s="6" r="BM657">
        <v>0</v>
      </c>
      <c s="6" r="BN657">
        <v>0</v>
      </c>
      <c s="6" r="BO657">
        <v>0</v>
      </c>
      <c s="6" r="BP657">
        <v>0</v>
      </c>
      <c s="6" r="BQ657">
        <v>0</v>
      </c>
      <c t="s" s="6" r="BR657">
        <v>92</v>
      </c>
      <c s="6" r="BS657">
        <v>664</v>
      </c>
      <c t="s" s="6" r="BT657">
        <v>92</v>
      </c>
      <c s="6" r="BY657">
        <v>0</v>
      </c>
    </row>
    <row customHeight="1" r="658" ht="14.25">
      <c t="s" s="6" r="A658">
        <v>5124</v>
      </c>
      <c t="s" s="6" r="B658">
        <v>227</v>
      </c>
      <c t="s" s="6" r="E658">
        <v>5125</v>
      </c>
      <c t="s" s="6" r="F658">
        <v>81</v>
      </c>
      <c t="s" s="6" r="G658">
        <v>5126</v>
      </c>
      <c s="6" r="H658">
        <v>0</v>
      </c>
      <c t="s" s="6" r="I658">
        <v>120</v>
      </c>
      <c t="s" s="6" r="L658">
        <v>5127</v>
      </c>
      <c t="s" s="6" r="M658">
        <v>5128</v>
      </c>
      <c s="6" r="N658">
        <v>0</v>
      </c>
      <c s="6" r="O658">
        <v>0</v>
      </c>
      <c t="s" s="6" r="P658">
        <v>221</v>
      </c>
      <c t="s" s="6" r="Q658">
        <v>188</v>
      </c>
      <c t="s" s="6" r="R658">
        <v>5129</v>
      </c>
      <c t="s" s="6" r="S658">
        <v>5130</v>
      </c>
      <c t="s" s="6" r="T658">
        <v>5101</v>
      </c>
      <c t="s" s="6" r="U658">
        <v>5131</v>
      </c>
      <c s="6" r="V658">
        <v>1</v>
      </c>
      <c s="6" r="W658">
        <v>1</v>
      </c>
      <c s="6" r="X658">
        <v>1</v>
      </c>
      <c s="6" r="Y658">
        <v>0</v>
      </c>
      <c s="6" r="Z658">
        <v>0</v>
      </c>
      <c s="6" r="AA658">
        <v>2</v>
      </c>
      <c s="6" r="AB658">
        <v>2</v>
      </c>
      <c t="s" s="6" r="AC658">
        <v>92</v>
      </c>
      <c t="s" s="6" r="AD658">
        <v>92</v>
      </c>
      <c t="s" s="6" r="AE658">
        <v>92</v>
      </c>
      <c t="s" s="6" r="AF658">
        <v>92</v>
      </c>
      <c t="s" s="6" r="AG658">
        <v>92</v>
      </c>
      <c t="s" s="6" r="AH658">
        <v>92</v>
      </c>
      <c t="s" s="6" r="AI658">
        <v>92</v>
      </c>
      <c t="s" s="6" r="AJ658">
        <v>92</v>
      </c>
      <c t="s" s="6" r="AK658">
        <v>92</v>
      </c>
      <c t="s" s="6" r="AL658">
        <v>92</v>
      </c>
      <c t="s" s="6" r="AM658">
        <v>92</v>
      </c>
      <c t="s" s="6" r="AN658">
        <v>92</v>
      </c>
      <c s="6" r="AP658">
        <v>2</v>
      </c>
      <c s="6" r="AS658">
        <v>0</v>
      </c>
      <c s="6" r="AT658">
        <v>0</v>
      </c>
      <c s="6" r="AU658">
        <v>0</v>
      </c>
      <c s="6" r="AV658">
        <v>0</v>
      </c>
      <c s="6" r="AW658">
        <v>0</v>
      </c>
      <c s="6" r="AX658">
        <v>0</v>
      </c>
      <c s="6" r="AY658">
        <v>0</v>
      </c>
      <c s="6" r="AZ658">
        <v>0</v>
      </c>
      <c s="6" r="BA658">
        <v>0</v>
      </c>
      <c s="6" r="BB658">
        <v>0</v>
      </c>
      <c s="6" r="BC658">
        <v>0</v>
      </c>
      <c s="6" r="BD658">
        <v>0</v>
      </c>
      <c s="6" r="BE658">
        <v>0</v>
      </c>
      <c s="6" r="BF658">
        <v>0</v>
      </c>
      <c s="6" r="BG658">
        <v>0</v>
      </c>
      <c s="6" r="BH658">
        <v>0</v>
      </c>
      <c s="6" r="BI658">
        <v>0</v>
      </c>
      <c s="6" r="BJ658">
        <v>0</v>
      </c>
      <c s="6" r="BK658">
        <v>0</v>
      </c>
      <c s="6" r="BL658">
        <v>0</v>
      </c>
      <c s="6" r="BM658">
        <v>0</v>
      </c>
      <c s="6" r="BN658">
        <v>0</v>
      </c>
      <c s="6" r="BO658">
        <v>0</v>
      </c>
      <c s="6" r="BP658">
        <v>0</v>
      </c>
      <c s="6" r="BQ658">
        <v>0</v>
      </c>
      <c t="s" s="6" r="BR658">
        <v>92</v>
      </c>
      <c s="6" r="BS658">
        <v>665</v>
      </c>
      <c t="s" s="6" r="BT658">
        <v>92</v>
      </c>
      <c s="6" r="BY658">
        <v>0</v>
      </c>
    </row>
    <row customHeight="1" r="659" ht="14.25">
      <c t="s" s="6" r="A659">
        <v>5132</v>
      </c>
      <c t="s" s="6" r="B659">
        <v>227</v>
      </c>
      <c t="s" s="6" r="D659">
        <v>5133</v>
      </c>
      <c t="s" s="6" r="E659">
        <v>5134</v>
      </c>
      <c t="s" s="6" r="F659">
        <v>81</v>
      </c>
      <c t="s" s="6" r="G659">
        <v>251</v>
      </c>
      <c s="6" r="H659">
        <v>0</v>
      </c>
      <c t="s" s="6" r="I659">
        <v>5115</v>
      </c>
      <c t="s" s="6" r="L659">
        <v>1164</v>
      </c>
      <c t="s" s="6" r="M659">
        <v>272</v>
      </c>
      <c s="6" r="N659">
        <v>0</v>
      </c>
      <c s="6" r="O659">
        <v>0</v>
      </c>
      <c t="s" s="6" r="P659">
        <v>221</v>
      </c>
      <c t="s" s="6" r="Q659">
        <v>188</v>
      </c>
      <c t="s" s="6" r="R659">
        <v>5135</v>
      </c>
      <c t="s" s="6" r="S659">
        <v>5136</v>
      </c>
      <c t="s" s="6" r="T659">
        <v>5101</v>
      </c>
      <c t="s" s="6" r="U659">
        <v>5137</v>
      </c>
      <c s="6" r="V659">
        <v>1</v>
      </c>
      <c s="6" r="W659">
        <v>0</v>
      </c>
      <c s="6" r="X659">
        <v>0</v>
      </c>
      <c s="6" r="Y659">
        <v>0</v>
      </c>
      <c s="6" r="Z659">
        <v>0</v>
      </c>
      <c s="6" r="AA659">
        <v>0</v>
      </c>
      <c s="6" r="AB659">
        <v>0</v>
      </c>
      <c s="6" r="AC659">
        <v>0</v>
      </c>
      <c t="s" s="6" r="AD659">
        <v>92</v>
      </c>
      <c t="s" s="6" r="AE659">
        <v>92</v>
      </c>
      <c s="6" r="AF659">
        <v>1</v>
      </c>
      <c t="s" s="6" r="AG659">
        <v>92</v>
      </c>
      <c t="s" s="6" r="AH659">
        <v>92</v>
      </c>
      <c t="s" s="6" r="AI659">
        <v>92</v>
      </c>
      <c t="s" s="6" r="AJ659">
        <v>92</v>
      </c>
      <c t="s" s="6" r="AK659">
        <v>92</v>
      </c>
      <c s="6" r="AL659">
        <v>0</v>
      </c>
      <c t="s" s="6" r="AM659">
        <v>92</v>
      </c>
      <c t="s" s="6" r="AN659">
        <v>92</v>
      </c>
      <c s="6" r="AP659">
        <v>0</v>
      </c>
      <c s="6" r="AS659">
        <v>0</v>
      </c>
      <c s="6" r="AT659">
        <v>0</v>
      </c>
      <c s="6" r="AU659">
        <v>0</v>
      </c>
      <c s="6" r="AV659">
        <v>0</v>
      </c>
      <c s="6" r="AW659">
        <v>0</v>
      </c>
      <c s="6" r="AX659">
        <v>0</v>
      </c>
      <c s="6" r="AY659">
        <v>0</v>
      </c>
      <c s="6" r="AZ659">
        <v>0</v>
      </c>
      <c s="6" r="BA659">
        <v>0</v>
      </c>
      <c s="6" r="BB659">
        <v>0</v>
      </c>
      <c s="6" r="BC659">
        <v>0</v>
      </c>
      <c s="6" r="BD659">
        <v>0</v>
      </c>
      <c s="6" r="BE659">
        <v>1</v>
      </c>
      <c s="6" r="BF659">
        <v>0</v>
      </c>
      <c s="6" r="BG659">
        <v>0</v>
      </c>
      <c s="6" r="BH659">
        <v>0</v>
      </c>
      <c s="6" r="BI659">
        <v>0</v>
      </c>
      <c s="6" r="BJ659">
        <v>0</v>
      </c>
      <c s="6" r="BK659">
        <v>0</v>
      </c>
      <c s="6" r="BL659">
        <v>1</v>
      </c>
      <c s="6" r="BM659">
        <v>0</v>
      </c>
      <c s="6" r="BN659">
        <v>0</v>
      </c>
      <c s="6" r="BO659">
        <v>0</v>
      </c>
      <c s="6" r="BP659">
        <v>1</v>
      </c>
      <c s="6" r="BQ659">
        <v>0</v>
      </c>
      <c t="s" s="6" r="BR659">
        <v>92</v>
      </c>
      <c s="6" r="BS659">
        <v>666</v>
      </c>
      <c t="s" s="6" r="BT659">
        <v>92</v>
      </c>
      <c s="6" r="BY659">
        <v>0</v>
      </c>
    </row>
    <row customHeight="1" r="660" ht="14.25">
      <c t="s" s="6" r="A660">
        <v>5138</v>
      </c>
      <c t="s" s="6" r="B660">
        <v>227</v>
      </c>
      <c t="s" s="6" r="D660">
        <v>55</v>
      </c>
      <c t="s" s="6" r="E660">
        <v>1029</v>
      </c>
      <c t="s" s="6" r="F660">
        <v>81</v>
      </c>
      <c t="s" s="6" r="G660">
        <v>106</v>
      </c>
      <c s="6" r="H660">
        <v>0</v>
      </c>
      <c t="s" s="6" r="I660">
        <v>97</v>
      </c>
      <c t="s" s="6" r="K660">
        <v>5139</v>
      </c>
      <c t="s" s="6" r="M660">
        <v>3868</v>
      </c>
      <c s="6" r="N660">
        <v>1</v>
      </c>
      <c s="6" r="O660">
        <v>0</v>
      </c>
      <c t="s" s="6" r="P660">
        <v>86</v>
      </c>
      <c t="s" s="6" r="Q660">
        <v>87</v>
      </c>
      <c t="s" s="6" r="R660">
        <v>5140</v>
      </c>
      <c t="s" s="6" r="S660">
        <v>5141</v>
      </c>
      <c t="s" s="6" r="T660">
        <v>5101</v>
      </c>
      <c t="s" s="6" r="U660">
        <v>5142</v>
      </c>
      <c s="6" r="V660">
        <v>1</v>
      </c>
      <c s="6" r="W660">
        <v>1</v>
      </c>
      <c s="6" r="X660">
        <v>0</v>
      </c>
      <c s="6" r="Y660">
        <v>0</v>
      </c>
      <c s="6" r="Z660">
        <v>0</v>
      </c>
      <c s="6" r="AA660">
        <v>8</v>
      </c>
      <c s="6" r="AB660">
        <v>8</v>
      </c>
      <c s="6" r="AC660">
        <v>8</v>
      </c>
      <c t="s" s="6" r="AD660">
        <v>92</v>
      </c>
      <c t="s" s="6" r="AE660">
        <v>92</v>
      </c>
      <c t="s" s="6" r="AF660">
        <v>92</v>
      </c>
      <c t="s" s="6" r="AG660">
        <v>92</v>
      </c>
      <c t="s" s="6" r="AH660">
        <v>92</v>
      </c>
      <c t="s" s="6" r="AI660">
        <v>92</v>
      </c>
      <c t="s" s="6" r="AJ660">
        <v>92</v>
      </c>
      <c t="s" s="6" r="AK660">
        <v>92</v>
      </c>
      <c s="6" r="AL660">
        <v>8</v>
      </c>
      <c t="s" s="6" r="AM660">
        <v>92</v>
      </c>
      <c t="s" s="6" r="AN660">
        <v>92</v>
      </c>
      <c s="6" r="AP660">
        <v>8</v>
      </c>
      <c s="6" r="AS660">
        <v>0</v>
      </c>
      <c s="6" r="AT660">
        <v>0</v>
      </c>
      <c s="6" r="AU660">
        <v>0</v>
      </c>
      <c s="6" r="AV660">
        <v>0</v>
      </c>
      <c s="6" r="AW660">
        <v>0</v>
      </c>
      <c s="6" r="AX660">
        <v>0</v>
      </c>
      <c s="6" r="AY660">
        <v>0</v>
      </c>
      <c s="6" r="AZ660">
        <v>0</v>
      </c>
      <c s="6" r="BA660">
        <v>0</v>
      </c>
      <c s="6" r="BB660">
        <v>0</v>
      </c>
      <c s="6" r="BC660">
        <v>0</v>
      </c>
      <c s="6" r="BD660">
        <v>1</v>
      </c>
      <c s="6" r="BE660">
        <v>0</v>
      </c>
      <c s="6" r="BF660">
        <v>0</v>
      </c>
      <c s="6" r="BG660">
        <v>0</v>
      </c>
      <c s="6" r="BH660">
        <v>0</v>
      </c>
      <c s="6" r="BI660">
        <v>0</v>
      </c>
      <c s="6" r="BJ660">
        <v>0</v>
      </c>
      <c s="6" r="BK660">
        <v>0</v>
      </c>
      <c s="6" r="BL660">
        <v>0</v>
      </c>
      <c s="6" r="BM660">
        <v>0</v>
      </c>
      <c s="6" r="BN660">
        <v>0</v>
      </c>
      <c s="6" r="BO660">
        <v>0</v>
      </c>
      <c s="6" r="BP660">
        <v>0</v>
      </c>
      <c s="6" r="BQ660">
        <v>0</v>
      </c>
      <c t="s" s="6" r="BR660">
        <v>92</v>
      </c>
      <c s="6" r="BS660">
        <v>667</v>
      </c>
      <c t="s" s="6" r="BT660">
        <v>92</v>
      </c>
      <c s="6" r="BY660">
        <v>0</v>
      </c>
    </row>
    <row customHeight="1" r="661" ht="14.25">
      <c t="s" s="6" r="A661">
        <v>5143</v>
      </c>
      <c t="s" s="6" r="B661">
        <v>131</v>
      </c>
      <c t="s" s="6" r="E661">
        <v>5144</v>
      </c>
      <c t="s" s="6" r="F661">
        <v>81</v>
      </c>
      <c t="s" s="6" r="G661">
        <v>106</v>
      </c>
      <c s="6" r="H661">
        <v>0</v>
      </c>
      <c t="s" s="6" r="I661">
        <v>120</v>
      </c>
      <c t="s" s="6" r="L661">
        <v>5145</v>
      </c>
      <c t="s" s="6" r="M661">
        <v>5005</v>
      </c>
      <c s="6" r="N661">
        <v>0</v>
      </c>
      <c s="6" r="O661">
        <v>0</v>
      </c>
      <c t="s" s="6" r="P661">
        <v>1865</v>
      </c>
      <c t="s" s="6" r="Q661">
        <v>87</v>
      </c>
      <c t="s" s="6" r="R661">
        <v>5146</v>
      </c>
      <c t="s" s="6" r="S661">
        <v>5147</v>
      </c>
      <c t="s" s="6" r="T661">
        <v>5101</v>
      </c>
      <c t="s" s="6" r="U661">
        <v>5148</v>
      </c>
      <c s="6" r="V661">
        <v>1</v>
      </c>
      <c s="6" r="W661">
        <v>1</v>
      </c>
      <c s="6" r="X661">
        <v>0</v>
      </c>
      <c s="6" r="Y661">
        <v>0</v>
      </c>
      <c s="6" r="Z661">
        <v>0</v>
      </c>
      <c s="6" r="AA661">
        <v>1</v>
      </c>
      <c s="6" r="AB661">
        <v>1</v>
      </c>
      <c t="s" s="6" r="AC661">
        <v>92</v>
      </c>
      <c s="6" r="AD661">
        <v>1</v>
      </c>
      <c t="s" s="6" r="AE661">
        <v>92</v>
      </c>
      <c s="6" r="AF661">
        <v>1</v>
      </c>
      <c t="s" s="6" r="AG661">
        <v>92</v>
      </c>
      <c t="s" s="6" r="AH661">
        <v>92</v>
      </c>
      <c t="s" s="6" r="AI661">
        <v>92</v>
      </c>
      <c t="s" s="6" r="AJ661">
        <v>92</v>
      </c>
      <c t="s" s="6" r="AK661">
        <v>92</v>
      </c>
      <c t="s" s="6" r="AL661">
        <v>92</v>
      </c>
      <c t="s" s="6" r="AM661">
        <v>92</v>
      </c>
      <c t="s" s="6" r="AN661">
        <v>92</v>
      </c>
      <c s="6" r="AP661">
        <v>1</v>
      </c>
      <c s="6" r="AS661">
        <v>0</v>
      </c>
      <c s="6" r="AT661">
        <v>0</v>
      </c>
      <c s="6" r="AU661">
        <v>0</v>
      </c>
      <c s="6" r="AV661">
        <v>0</v>
      </c>
      <c s="6" r="AW661">
        <v>0</v>
      </c>
      <c s="6" r="AX661">
        <v>0</v>
      </c>
      <c s="6" r="AY661">
        <v>0</v>
      </c>
      <c s="6" r="AZ661">
        <v>0</v>
      </c>
      <c s="6" r="BA661">
        <v>0</v>
      </c>
      <c s="6" r="BB661">
        <v>0</v>
      </c>
      <c s="6" r="BC661">
        <v>0</v>
      </c>
      <c s="6" r="BD661">
        <v>0</v>
      </c>
      <c s="6" r="BE661">
        <v>0</v>
      </c>
      <c s="6" r="BF661">
        <v>0</v>
      </c>
      <c s="6" r="BG661">
        <v>0</v>
      </c>
      <c s="6" r="BH661">
        <v>0</v>
      </c>
      <c s="6" r="BI661">
        <v>0</v>
      </c>
      <c s="6" r="BJ661">
        <v>0</v>
      </c>
      <c s="6" r="BK661">
        <v>0</v>
      </c>
      <c s="6" r="BL661">
        <v>0</v>
      </c>
      <c s="6" r="BM661">
        <v>0</v>
      </c>
      <c s="6" r="BN661">
        <v>0</v>
      </c>
      <c s="6" r="BO661">
        <v>0</v>
      </c>
      <c s="6" r="BP661">
        <v>0</v>
      </c>
      <c s="6" r="BQ661">
        <v>0</v>
      </c>
      <c t="s" s="6" r="BR661">
        <v>92</v>
      </c>
      <c s="6" r="BS661">
        <v>668</v>
      </c>
      <c t="s" s="6" r="BT661">
        <v>92</v>
      </c>
      <c s="6" r="BY661">
        <v>0</v>
      </c>
    </row>
    <row customHeight="1" r="662" ht="14.25">
      <c t="s" s="6" r="A662">
        <v>5149</v>
      </c>
      <c t="s" s="6" r="B662">
        <v>131</v>
      </c>
      <c t="s" s="6" r="E662">
        <v>5150</v>
      </c>
      <c t="s" s="6" r="F662">
        <v>81</v>
      </c>
      <c t="s" s="6" r="G662">
        <v>5151</v>
      </c>
      <c s="6" r="H662">
        <v>0</v>
      </c>
      <c t="s" s="6" r="I662">
        <v>120</v>
      </c>
      <c t="s" s="6" r="L662">
        <v>420</v>
      </c>
      <c t="s" s="6" r="M662">
        <v>5005</v>
      </c>
      <c s="6" r="N662">
        <v>0</v>
      </c>
      <c s="6" r="O662">
        <v>0</v>
      </c>
      <c t="s" s="6" r="P662">
        <v>421</v>
      </c>
      <c t="s" s="6" r="Q662">
        <v>188</v>
      </c>
      <c t="s" s="6" r="R662">
        <v>5152</v>
      </c>
      <c t="s" s="6" r="S662">
        <v>5153</v>
      </c>
      <c t="s" s="6" r="T662">
        <v>5154</v>
      </c>
      <c t="s" s="6" r="U662">
        <v>5155</v>
      </c>
      <c s="6" r="V662">
        <v>1</v>
      </c>
      <c s="6" r="W662">
        <v>1</v>
      </c>
      <c s="6" r="X662">
        <v>1</v>
      </c>
      <c s="6" r="Y662">
        <v>0</v>
      </c>
      <c s="6" r="Z662">
        <v>0</v>
      </c>
      <c s="6" r="AA662">
        <v>3</v>
      </c>
      <c s="6" r="AB662">
        <v>3</v>
      </c>
      <c t="s" s="6" r="AC662">
        <v>92</v>
      </c>
      <c s="6" r="AD662">
        <v>3</v>
      </c>
      <c s="6" r="AE662">
        <v>2</v>
      </c>
      <c t="s" s="6" r="AF662">
        <v>92</v>
      </c>
      <c t="s" s="6" r="AG662">
        <v>92</v>
      </c>
      <c t="s" s="6" r="AH662">
        <v>92</v>
      </c>
      <c t="s" s="6" r="AI662">
        <v>92</v>
      </c>
      <c t="s" s="6" r="AJ662">
        <v>92</v>
      </c>
      <c t="s" s="6" r="AK662">
        <v>92</v>
      </c>
      <c t="s" s="6" r="AL662">
        <v>92</v>
      </c>
      <c t="s" s="6" r="AM662">
        <v>92</v>
      </c>
      <c t="s" s="6" r="AN662">
        <v>92</v>
      </c>
      <c s="6" r="AP662">
        <v>3</v>
      </c>
      <c s="6" r="AS662">
        <v>0</v>
      </c>
      <c s="6" r="AT662">
        <v>0</v>
      </c>
      <c s="6" r="AU662">
        <v>0</v>
      </c>
      <c s="6" r="AV662">
        <v>0</v>
      </c>
      <c s="6" r="AW662">
        <v>0</v>
      </c>
      <c s="6" r="AX662">
        <v>0</v>
      </c>
      <c s="6" r="AY662">
        <v>0</v>
      </c>
      <c s="6" r="AZ662">
        <v>0</v>
      </c>
      <c s="6" r="BA662">
        <v>0</v>
      </c>
      <c s="6" r="BB662">
        <v>0</v>
      </c>
      <c s="6" r="BC662">
        <v>0</v>
      </c>
      <c s="6" r="BD662">
        <v>0</v>
      </c>
      <c s="6" r="BE662">
        <v>0</v>
      </c>
      <c s="6" r="BF662">
        <v>0</v>
      </c>
      <c s="6" r="BG662">
        <v>0</v>
      </c>
      <c s="6" r="BH662">
        <v>0</v>
      </c>
      <c s="6" r="BI662">
        <v>0</v>
      </c>
      <c s="6" r="BJ662">
        <v>0</v>
      </c>
      <c s="6" r="BK662">
        <v>0</v>
      </c>
      <c s="6" r="BL662">
        <v>0</v>
      </c>
      <c s="6" r="BM662">
        <v>0</v>
      </c>
      <c s="6" r="BN662">
        <v>0</v>
      </c>
      <c s="6" r="BO662">
        <v>0</v>
      </c>
      <c s="6" r="BP662">
        <v>0</v>
      </c>
      <c s="6" r="BQ662">
        <v>0</v>
      </c>
      <c t="str" s="6" r="BR662">
        <f>HYPERLINK("http://www.d20pfsrd.com/magic/all-spells/a/a/ape-walk","Ape Walk")</f>
        <v>Ape Walk</v>
      </c>
      <c s="6" r="BS662">
        <v>669</v>
      </c>
      <c t="s" s="6" r="BT662">
        <v>92</v>
      </c>
      <c s="6" r="BY662">
        <v>0</v>
      </c>
    </row>
    <row customHeight="1" r="663" ht="14.25">
      <c t="s" s="6" r="A663">
        <v>5156</v>
      </c>
      <c t="s" s="6" r="B663">
        <v>227</v>
      </c>
      <c t="s" s="6" r="E663">
        <v>5157</v>
      </c>
      <c t="s" s="6" r="F663">
        <v>81</v>
      </c>
      <c t="s" s="6" r="G663">
        <v>5158</v>
      </c>
      <c s="6" r="H663">
        <v>0</v>
      </c>
      <c t="s" s="6" r="I663">
        <v>107</v>
      </c>
      <c t="s" s="6" r="J663">
        <v>141</v>
      </c>
      <c t="s" s="6" r="L663">
        <v>141</v>
      </c>
      <c t="s" s="6" r="M663">
        <v>109</v>
      </c>
      <c s="6" r="N663">
        <v>0</v>
      </c>
      <c s="6" r="O663">
        <v>0</v>
      </c>
      <c t="s" s="6" r="P663">
        <v>86</v>
      </c>
      <c t="s" s="6" r="Q663">
        <v>188</v>
      </c>
      <c t="s" s="6" r="R663">
        <v>5159</v>
      </c>
      <c t="s" s="6" r="S663">
        <v>5160</v>
      </c>
      <c t="s" s="6" r="T663">
        <v>5154</v>
      </c>
      <c t="s" s="6" r="U663">
        <v>5161</v>
      </c>
      <c s="6" r="V663">
        <v>1</v>
      </c>
      <c s="6" r="W663">
        <v>1</v>
      </c>
      <c s="6" r="X663">
        <v>1</v>
      </c>
      <c s="6" r="Y663">
        <v>0</v>
      </c>
      <c s="6" r="Z663">
        <v>0</v>
      </c>
      <c s="6" r="AA663">
        <v>2</v>
      </c>
      <c s="6" r="AB663">
        <v>2</v>
      </c>
      <c t="s" s="6" r="AC663">
        <v>92</v>
      </c>
      <c s="6" r="AD663">
        <v>2</v>
      </c>
      <c s="6" r="AE663">
        <v>1</v>
      </c>
      <c t="s" s="6" r="AF663">
        <v>92</v>
      </c>
      <c t="s" s="6" r="AG663">
        <v>92</v>
      </c>
      <c t="s" s="6" r="AH663">
        <v>92</v>
      </c>
      <c t="s" s="6" r="AI663">
        <v>92</v>
      </c>
      <c t="s" s="6" r="AJ663">
        <v>92</v>
      </c>
      <c t="s" s="6" r="AK663">
        <v>92</v>
      </c>
      <c t="s" s="6" r="AL663">
        <v>92</v>
      </c>
      <c t="s" s="6" r="AM663">
        <v>92</v>
      </c>
      <c t="s" s="6" r="AN663">
        <v>92</v>
      </c>
      <c s="6" r="AP663">
        <v>2</v>
      </c>
      <c t="s" s="6" r="AQ663">
        <v>5162</v>
      </c>
      <c s="6" r="AS663">
        <v>0</v>
      </c>
      <c s="6" r="AT663">
        <v>0</v>
      </c>
      <c s="6" r="AU663">
        <v>0</v>
      </c>
      <c s="6" r="AV663">
        <v>0</v>
      </c>
      <c s="6" r="AW663">
        <v>0</v>
      </c>
      <c s="6" r="AX663">
        <v>0</v>
      </c>
      <c s="6" r="AY663">
        <v>0</v>
      </c>
      <c s="6" r="AZ663">
        <v>0</v>
      </c>
      <c s="6" r="BA663">
        <v>0</v>
      </c>
      <c s="6" r="BB663">
        <v>0</v>
      </c>
      <c s="6" r="BC663">
        <v>0</v>
      </c>
      <c s="6" r="BD663">
        <v>0</v>
      </c>
      <c s="6" r="BE663">
        <v>0</v>
      </c>
      <c s="6" r="BF663">
        <v>0</v>
      </c>
      <c s="6" r="BG663">
        <v>0</v>
      </c>
      <c s="6" r="BH663">
        <v>0</v>
      </c>
      <c s="6" r="BI663">
        <v>0</v>
      </c>
      <c s="6" r="BJ663">
        <v>0</v>
      </c>
      <c s="6" r="BK663">
        <v>0</v>
      </c>
      <c s="6" r="BL663">
        <v>0</v>
      </c>
      <c s="6" r="BM663">
        <v>0</v>
      </c>
      <c s="6" r="BN663">
        <v>0</v>
      </c>
      <c s="6" r="BO663">
        <v>0</v>
      </c>
      <c s="6" r="BP663">
        <v>0</v>
      </c>
      <c s="6" r="BQ663">
        <v>0</v>
      </c>
      <c t="str" s="6" r="BR663">
        <f>HYPERLINK("http://www.d20pfsrd.com/magic/all-spells/d/defoliate","Defoliate")</f>
        <v>Defoliate</v>
      </c>
      <c s="6" r="BS663">
        <v>670</v>
      </c>
      <c t="s" s="6" r="BT663">
        <v>92</v>
      </c>
      <c s="6" r="BY663">
        <v>0</v>
      </c>
    </row>
    <row customHeight="1" r="664" ht="14.25">
      <c t="s" s="6" r="A664">
        <v>5163</v>
      </c>
      <c t="s" s="6" r="B664">
        <v>493</v>
      </c>
      <c t="s" s="6" r="D664">
        <v>57</v>
      </c>
      <c t="s" s="6" r="E664">
        <v>5164</v>
      </c>
      <c t="s" s="6" r="F664">
        <v>81</v>
      </c>
      <c t="s" s="6" r="G664">
        <v>3502</v>
      </c>
      <c s="6" r="H664">
        <v>0</v>
      </c>
      <c t="s" s="6" r="I664">
        <v>107</v>
      </c>
      <c t="s" s="6" r="K664">
        <v>1344</v>
      </c>
      <c t="s" s="6" r="M664">
        <v>2718</v>
      </c>
      <c s="6" r="N664">
        <v>0</v>
      </c>
      <c s="6" r="O664">
        <v>0</v>
      </c>
      <c t="s" s="6" r="P664">
        <v>5165</v>
      </c>
      <c t="s" s="6" r="Q664">
        <v>188</v>
      </c>
      <c t="s" s="6" r="R664">
        <v>5166</v>
      </c>
      <c t="s" s="6" r="S664">
        <v>5167</v>
      </c>
      <c t="s" s="6" r="T664">
        <v>5154</v>
      </c>
      <c t="s" s="6" r="U664">
        <v>5168</v>
      </c>
      <c s="6" r="V664">
        <v>1</v>
      </c>
      <c s="6" r="W664">
        <v>1</v>
      </c>
      <c s="6" r="X664">
        <v>1</v>
      </c>
      <c s="6" r="Y664">
        <v>0</v>
      </c>
      <c s="6" r="Z664">
        <v>0</v>
      </c>
      <c s="6" r="AA664">
        <v>3</v>
      </c>
      <c s="6" r="AB664">
        <v>3</v>
      </c>
      <c t="s" s="6" r="AC664">
        <v>92</v>
      </c>
      <c s="6" r="AD664">
        <v>3</v>
      </c>
      <c t="s" s="6" r="AE664">
        <v>92</v>
      </c>
      <c t="s" s="6" r="AF664">
        <v>92</v>
      </c>
      <c t="s" s="6" r="AG664">
        <v>92</v>
      </c>
      <c t="s" s="6" r="AH664">
        <v>92</v>
      </c>
      <c t="s" s="6" r="AI664">
        <v>92</v>
      </c>
      <c t="s" s="6" r="AJ664">
        <v>92</v>
      </c>
      <c t="s" s="6" r="AK664">
        <v>92</v>
      </c>
      <c t="s" s="6" r="AL664">
        <v>92</v>
      </c>
      <c t="s" s="6" r="AM664">
        <v>92</v>
      </c>
      <c t="s" s="6" r="AN664">
        <v>92</v>
      </c>
      <c s="6" r="AP664">
        <v>3</v>
      </c>
      <c s="6" r="AS664">
        <v>0</v>
      </c>
      <c s="6" r="AT664">
        <v>0</v>
      </c>
      <c s="6" r="AU664">
        <v>0</v>
      </c>
      <c s="6" r="AV664">
        <v>0</v>
      </c>
      <c s="6" r="AW664">
        <v>0</v>
      </c>
      <c s="6" r="AX664">
        <v>0</v>
      </c>
      <c s="6" r="AY664">
        <v>0</v>
      </c>
      <c s="6" r="AZ664">
        <v>0</v>
      </c>
      <c s="6" r="BA664">
        <v>0</v>
      </c>
      <c s="6" r="BB664">
        <v>0</v>
      </c>
      <c s="6" r="BC664">
        <v>0</v>
      </c>
      <c s="6" r="BD664">
        <v>0</v>
      </c>
      <c s="6" r="BE664">
        <v>0</v>
      </c>
      <c s="6" r="BF664">
        <v>1</v>
      </c>
      <c s="6" r="BG664">
        <v>0</v>
      </c>
      <c s="6" r="BH664">
        <v>0</v>
      </c>
      <c s="6" r="BI664">
        <v>0</v>
      </c>
      <c s="6" r="BJ664">
        <v>0</v>
      </c>
      <c s="6" r="BK664">
        <v>0</v>
      </c>
      <c s="6" r="BL664">
        <v>0</v>
      </c>
      <c s="6" r="BM664">
        <v>0</v>
      </c>
      <c s="6" r="BN664">
        <v>0</v>
      </c>
      <c s="6" r="BO664">
        <v>0</v>
      </c>
      <c s="6" r="BP664">
        <v>0</v>
      </c>
      <c s="6" r="BQ664">
        <v>0</v>
      </c>
      <c t="str" s="6" r="BR664">
        <f>HYPERLINK("http://www.d20pfsrd.com/magic/all-spells/h/h/heatstroke","Heatstroke")</f>
        <v>Heatstroke</v>
      </c>
      <c s="6" r="BS664">
        <v>671</v>
      </c>
      <c t="s" s="6" r="BT664">
        <v>92</v>
      </c>
      <c s="6" r="BY664">
        <v>0</v>
      </c>
    </row>
    <row customHeight="1" r="665" ht="14.25">
      <c t="s" s="6" r="A665">
        <v>5169</v>
      </c>
      <c t="s" s="6" r="B665">
        <v>115</v>
      </c>
      <c t="s" s="6" r="E665">
        <v>5170</v>
      </c>
      <c t="s" s="6" r="F665">
        <v>81</v>
      </c>
      <c t="s" s="6" r="G665">
        <v>106</v>
      </c>
      <c s="6" r="H665">
        <v>0</v>
      </c>
      <c t="s" s="6" r="I665">
        <v>107</v>
      </c>
      <c t="s" s="6" r="L665">
        <v>3583</v>
      </c>
      <c t="s" s="6" r="M665">
        <v>991</v>
      </c>
      <c s="6" r="N665">
        <v>0</v>
      </c>
      <c s="6" r="O665">
        <v>0</v>
      </c>
      <c t="s" s="6" r="P665">
        <v>421</v>
      </c>
      <c t="s" s="6" r="Q665">
        <v>123</v>
      </c>
      <c t="s" s="6" r="R665">
        <v>5171</v>
      </c>
      <c t="s" s="6" r="S665">
        <v>5172</v>
      </c>
      <c t="s" s="6" r="T665">
        <v>5173</v>
      </c>
      <c t="s" s="6" r="U665">
        <v>5174</v>
      </c>
      <c s="6" r="V665">
        <v>1</v>
      </c>
      <c s="6" r="W665">
        <v>1</v>
      </c>
      <c s="6" r="X665">
        <v>0</v>
      </c>
      <c s="6" r="Y665">
        <v>0</v>
      </c>
      <c s="6" r="Z665">
        <v>0</v>
      </c>
      <c t="s" s="6" r="AA665">
        <v>92</v>
      </c>
      <c t="s" s="6" r="AB665">
        <v>92</v>
      </c>
      <c s="6" r="AC665">
        <v>1</v>
      </c>
      <c t="s" s="6" r="AD665">
        <v>92</v>
      </c>
      <c t="s" s="6" r="AE665">
        <v>92</v>
      </c>
      <c s="6" r="AF665">
        <v>1</v>
      </c>
      <c t="s" s="6" r="AG665">
        <v>92</v>
      </c>
      <c t="s" s="6" r="AH665">
        <v>92</v>
      </c>
      <c t="s" s="6" r="AI665">
        <v>92</v>
      </c>
      <c t="s" s="6" r="AJ665">
        <v>92</v>
      </c>
      <c t="s" s="6" r="AK665">
        <v>92</v>
      </c>
      <c s="6" r="AL665">
        <v>1</v>
      </c>
      <c t="s" s="6" r="AM665">
        <v>92</v>
      </c>
      <c t="s" s="6" r="AN665">
        <v>92</v>
      </c>
      <c s="6" r="AP665">
        <v>1</v>
      </c>
      <c s="6" r="AS665">
        <v>0</v>
      </c>
      <c s="6" r="AT665">
        <v>0</v>
      </c>
      <c s="6" r="AU665">
        <v>0</v>
      </c>
      <c s="6" r="AV665">
        <v>0</v>
      </c>
      <c s="6" r="AW665">
        <v>0</v>
      </c>
      <c s="6" r="AX665">
        <v>0</v>
      </c>
      <c s="6" r="AY665">
        <v>0</v>
      </c>
      <c s="6" r="AZ665">
        <v>0</v>
      </c>
      <c s="6" r="BA665">
        <v>0</v>
      </c>
      <c s="6" r="BB665">
        <v>0</v>
      </c>
      <c s="6" r="BC665">
        <v>0</v>
      </c>
      <c s="6" r="BD665">
        <v>0</v>
      </c>
      <c s="6" r="BE665">
        <v>0</v>
      </c>
      <c s="6" r="BF665">
        <v>0</v>
      </c>
      <c s="6" r="BG665">
        <v>0</v>
      </c>
      <c s="6" r="BH665">
        <v>0</v>
      </c>
      <c s="6" r="BI665">
        <v>0</v>
      </c>
      <c s="6" r="BJ665">
        <v>0</v>
      </c>
      <c s="6" r="BK665">
        <v>0</v>
      </c>
      <c s="6" r="BL665">
        <v>0</v>
      </c>
      <c s="6" r="BM665">
        <v>0</v>
      </c>
      <c s="6" r="BN665">
        <v>0</v>
      </c>
      <c s="6" r="BO665">
        <v>0</v>
      </c>
      <c s="6" r="BP665">
        <v>0</v>
      </c>
      <c s="6" r="BQ665">
        <v>0</v>
      </c>
      <c t="s" s="6" r="BR665">
        <v>92</v>
      </c>
      <c s="6" r="BS665">
        <v>672</v>
      </c>
      <c t="s" s="6" r="BT665">
        <v>92</v>
      </c>
      <c s="6" r="BY665">
        <v>0</v>
      </c>
    </row>
    <row customHeight="1" r="666" ht="14.25">
      <c t="s" s="6" r="A666">
        <v>5175</v>
      </c>
      <c t="s" s="6" r="B666">
        <v>115</v>
      </c>
      <c t="s" s="6" r="C666">
        <v>116</v>
      </c>
      <c t="s" s="6" r="D666">
        <v>117</v>
      </c>
      <c t="s" s="6" r="E666">
        <v>5176</v>
      </c>
      <c t="s" s="6" r="F666">
        <v>81</v>
      </c>
      <c t="s" s="6" r="G666">
        <v>5177</v>
      </c>
      <c s="6" r="H666">
        <v>0</v>
      </c>
      <c t="s" s="6" r="I666">
        <v>5115</v>
      </c>
      <c t="s" s="6" r="L666">
        <v>5178</v>
      </c>
      <c t="s" s="6" r="M666">
        <v>99</v>
      </c>
      <c s="6" r="N666">
        <v>0</v>
      </c>
      <c s="6" r="O666">
        <v>0</v>
      </c>
      <c t="s" s="6" r="P666">
        <v>421</v>
      </c>
      <c t="s" s="6" r="Q666">
        <v>123</v>
      </c>
      <c t="s" s="6" r="R666">
        <v>5179</v>
      </c>
      <c t="s" s="6" r="S666">
        <v>5180</v>
      </c>
      <c t="s" s="6" r="T666">
        <v>5181</v>
      </c>
      <c t="s" s="6" r="U666">
        <v>5182</v>
      </c>
      <c s="6" r="V666">
        <v>1</v>
      </c>
      <c s="6" r="W666">
        <v>1</v>
      </c>
      <c s="6" r="X666">
        <v>1</v>
      </c>
      <c s="6" r="Y666">
        <v>0</v>
      </c>
      <c s="6" r="Z666">
        <v>0</v>
      </c>
      <c s="6" r="AA666">
        <v>3</v>
      </c>
      <c s="6" r="AB666">
        <v>3</v>
      </c>
      <c s="6" r="AC666">
        <v>3</v>
      </c>
      <c t="s" s="6" r="AD666">
        <v>92</v>
      </c>
      <c t="s" s="6" r="AE666">
        <v>92</v>
      </c>
      <c s="6" r="AF666">
        <v>2</v>
      </c>
      <c t="s" s="6" r="AG666">
        <v>92</v>
      </c>
      <c t="s" s="6" r="AH666">
        <v>92</v>
      </c>
      <c t="s" s="6" r="AI666">
        <v>92</v>
      </c>
      <c t="s" s="6" r="AJ666">
        <v>92</v>
      </c>
      <c t="s" s="6" r="AK666">
        <v>92</v>
      </c>
      <c s="6" r="AL666">
        <v>3</v>
      </c>
      <c t="s" s="6" r="AM666">
        <v>92</v>
      </c>
      <c t="s" s="6" r="AN666">
        <v>92</v>
      </c>
      <c s="6" r="AP666">
        <v>3</v>
      </c>
      <c s="6" r="AS666">
        <v>0</v>
      </c>
      <c s="6" r="AT666">
        <v>0</v>
      </c>
      <c s="6" r="AU666">
        <v>0</v>
      </c>
      <c s="6" r="AV666">
        <v>0</v>
      </c>
      <c s="6" r="AW666">
        <v>0</v>
      </c>
      <c s="6" r="AX666">
        <v>0</v>
      </c>
      <c s="6" r="AY666">
        <v>0</v>
      </c>
      <c s="6" r="AZ666">
        <v>0</v>
      </c>
      <c s="6" r="BA666">
        <v>0</v>
      </c>
      <c s="6" r="BB666">
        <v>0</v>
      </c>
      <c s="6" r="BC666">
        <v>0</v>
      </c>
      <c s="6" r="BD666">
        <v>0</v>
      </c>
      <c s="6" r="BE666">
        <v>0</v>
      </c>
      <c s="6" r="BF666">
        <v>0</v>
      </c>
      <c s="6" r="BG666">
        <v>0</v>
      </c>
      <c s="6" r="BH666">
        <v>0</v>
      </c>
      <c s="6" r="BI666">
        <v>0</v>
      </c>
      <c s="6" r="BJ666">
        <v>0</v>
      </c>
      <c s="6" r="BK666">
        <v>0</v>
      </c>
      <c s="6" r="BL666">
        <v>1</v>
      </c>
      <c s="6" r="BM666">
        <v>0</v>
      </c>
      <c s="6" r="BN666">
        <v>0</v>
      </c>
      <c s="6" r="BO666">
        <v>0</v>
      </c>
      <c s="6" r="BP666">
        <v>0</v>
      </c>
      <c s="6" r="BQ666">
        <v>0</v>
      </c>
      <c t="s" s="6" r="BR666">
        <v>92</v>
      </c>
      <c s="6" r="BS666">
        <v>673</v>
      </c>
      <c t="s" s="6" r="BT666">
        <v>92</v>
      </c>
      <c s="6" r="BY666">
        <v>0</v>
      </c>
    </row>
    <row customHeight="1" r="667" ht="14.25">
      <c t="s" s="6" r="A667">
        <v>5183</v>
      </c>
      <c t="s" s="6" r="B667">
        <v>162</v>
      </c>
      <c t="s" s="6" r="E667">
        <v>5184</v>
      </c>
      <c t="s" s="6" r="F667">
        <v>81</v>
      </c>
      <c t="s" s="6" r="G667">
        <v>119</v>
      </c>
      <c s="6" r="H667">
        <v>0</v>
      </c>
      <c t="s" s="6" r="I667">
        <v>120</v>
      </c>
      <c t="s" s="6" r="L667">
        <v>5185</v>
      </c>
      <c t="s" s="6" r="M667">
        <v>2718</v>
      </c>
      <c s="6" r="N667">
        <v>0</v>
      </c>
      <c s="6" r="O667">
        <v>0</v>
      </c>
      <c t="s" s="6" r="P667">
        <v>221</v>
      </c>
      <c t="s" s="6" r="Q667">
        <v>87</v>
      </c>
      <c t="s" s="6" r="R667">
        <v>5186</v>
      </c>
      <c t="s" s="6" r="S667">
        <v>5187</v>
      </c>
      <c t="s" s="6" r="T667">
        <v>5181</v>
      </c>
      <c t="s" s="6" r="U667">
        <v>5188</v>
      </c>
      <c s="6" r="V667">
        <v>1</v>
      </c>
      <c s="6" r="W667">
        <v>1</v>
      </c>
      <c s="6" r="X667">
        <v>0</v>
      </c>
      <c s="6" r="Y667">
        <v>0</v>
      </c>
      <c s="6" r="Z667">
        <v>1</v>
      </c>
      <c t="s" s="6" r="AA667">
        <v>92</v>
      </c>
      <c t="s" s="6" r="AB667">
        <v>92</v>
      </c>
      <c s="6" r="AC667">
        <v>1</v>
      </c>
      <c t="s" s="6" r="AD667">
        <v>92</v>
      </c>
      <c t="s" s="6" r="AE667">
        <v>92</v>
      </c>
      <c t="s" s="6" r="AF667">
        <v>92</v>
      </c>
      <c t="s" s="6" r="AG667">
        <v>92</v>
      </c>
      <c t="s" s="6" r="AH667">
        <v>92</v>
      </c>
      <c t="s" s="6" r="AI667">
        <v>92</v>
      </c>
      <c t="s" s="6" r="AJ667">
        <v>92</v>
      </c>
      <c t="s" s="6" r="AK667">
        <v>92</v>
      </c>
      <c s="6" r="AL667">
        <v>1</v>
      </c>
      <c t="s" s="6" r="AM667">
        <v>92</v>
      </c>
      <c t="s" s="6" r="AN667">
        <v>92</v>
      </c>
      <c s="6" r="AP667">
        <v>1</v>
      </c>
      <c s="6" r="AS667">
        <v>0</v>
      </c>
      <c s="6" r="AT667">
        <v>0</v>
      </c>
      <c s="6" r="AU667">
        <v>0</v>
      </c>
      <c s="6" r="AV667">
        <v>0</v>
      </c>
      <c s="6" r="AW667">
        <v>0</v>
      </c>
      <c s="6" r="AX667">
        <v>0</v>
      </c>
      <c s="6" r="AY667">
        <v>0</v>
      </c>
      <c s="6" r="AZ667">
        <v>0</v>
      </c>
      <c s="6" r="BA667">
        <v>0</v>
      </c>
      <c s="6" r="BB667">
        <v>0</v>
      </c>
      <c s="6" r="BC667">
        <v>0</v>
      </c>
      <c s="6" r="BD667">
        <v>0</v>
      </c>
      <c s="6" r="BE667">
        <v>0</v>
      </c>
      <c s="6" r="BF667">
        <v>0</v>
      </c>
      <c s="6" r="BG667">
        <v>0</v>
      </c>
      <c s="6" r="BH667">
        <v>0</v>
      </c>
      <c s="6" r="BI667">
        <v>0</v>
      </c>
      <c s="6" r="BJ667">
        <v>0</v>
      </c>
      <c s="6" r="BK667">
        <v>0</v>
      </c>
      <c s="6" r="BL667">
        <v>0</v>
      </c>
      <c s="6" r="BM667">
        <v>0</v>
      </c>
      <c s="6" r="BN667">
        <v>0</v>
      </c>
      <c s="6" r="BO667">
        <v>0</v>
      </c>
      <c s="6" r="BP667">
        <v>0</v>
      </c>
      <c s="6" r="BQ667">
        <v>0</v>
      </c>
      <c t="s" s="6" r="BR667">
        <v>92</v>
      </c>
      <c s="6" r="BS667">
        <v>676</v>
      </c>
      <c t="s" s="6" r="BT667">
        <v>92</v>
      </c>
      <c s="6" r="BY667">
        <v>0</v>
      </c>
    </row>
    <row customHeight="1" r="668" ht="14.25">
      <c t="s" s="6" r="A668">
        <v>5189</v>
      </c>
      <c t="s" s="6" r="B668">
        <v>131</v>
      </c>
      <c t="s" s="6" r="E668">
        <v>5190</v>
      </c>
      <c t="s" s="6" r="F668">
        <v>81</v>
      </c>
      <c t="s" s="6" r="G668">
        <v>106</v>
      </c>
      <c s="6" r="H668">
        <v>0</v>
      </c>
      <c t="s" s="6" r="I668">
        <v>120</v>
      </c>
      <c t="s" s="6" r="L668">
        <v>420</v>
      </c>
      <c t="s" s="6" r="M668">
        <v>2172</v>
      </c>
      <c s="6" r="N668">
        <v>0</v>
      </c>
      <c s="6" r="O668">
        <v>0</v>
      </c>
      <c t="s" s="6" r="P668">
        <v>421</v>
      </c>
      <c t="s" s="6" r="Q668">
        <v>188</v>
      </c>
      <c t="s" s="6" r="R668">
        <v>5191</v>
      </c>
      <c t="s" s="6" r="S668">
        <v>5192</v>
      </c>
      <c t="s" s="6" r="T668">
        <v>5181</v>
      </c>
      <c t="s" s="6" r="U668">
        <v>5193</v>
      </c>
      <c s="6" r="V668">
        <v>1</v>
      </c>
      <c s="6" r="W668">
        <v>1</v>
      </c>
      <c s="6" r="X668">
        <v>0</v>
      </c>
      <c s="6" r="Y668">
        <v>0</v>
      </c>
      <c s="6" r="Z668">
        <v>0</v>
      </c>
      <c t="s" s="6" r="AA668">
        <v>92</v>
      </c>
      <c t="s" s="6" r="AB668">
        <v>92</v>
      </c>
      <c s="6" r="AC668">
        <v>0</v>
      </c>
      <c t="s" s="6" r="AD668">
        <v>92</v>
      </c>
      <c t="s" s="6" r="AE668">
        <v>92</v>
      </c>
      <c t="s" s="6" r="AF668">
        <v>92</v>
      </c>
      <c t="s" s="6" r="AG668">
        <v>92</v>
      </c>
      <c t="s" s="6" r="AH668">
        <v>92</v>
      </c>
      <c t="s" s="6" r="AI668">
        <v>92</v>
      </c>
      <c t="s" s="6" r="AJ668">
        <v>92</v>
      </c>
      <c t="s" s="6" r="AK668">
        <v>92</v>
      </c>
      <c s="6" r="AL668">
        <v>0</v>
      </c>
      <c t="s" s="6" r="AM668">
        <v>92</v>
      </c>
      <c t="s" s="6" r="AN668">
        <v>92</v>
      </c>
      <c s="6" r="AP668">
        <v>0</v>
      </c>
      <c s="6" r="AS668">
        <v>0</v>
      </c>
      <c s="6" r="AT668">
        <v>0</v>
      </c>
      <c s="6" r="AU668">
        <v>0</v>
      </c>
      <c s="6" r="AV668">
        <v>0</v>
      </c>
      <c s="6" r="AW668">
        <v>0</v>
      </c>
      <c s="6" r="AX668">
        <v>0</v>
      </c>
      <c s="6" r="AY668">
        <v>0</v>
      </c>
      <c s="6" r="AZ668">
        <v>0</v>
      </c>
      <c s="6" r="BA668">
        <v>0</v>
      </c>
      <c s="6" r="BB668">
        <v>0</v>
      </c>
      <c s="6" r="BC668">
        <v>0</v>
      </c>
      <c s="6" r="BD668">
        <v>0</v>
      </c>
      <c s="6" r="BE668">
        <v>0</v>
      </c>
      <c s="6" r="BF668">
        <v>0</v>
      </c>
      <c s="6" r="BG668">
        <v>0</v>
      </c>
      <c s="6" r="BH668">
        <v>0</v>
      </c>
      <c s="6" r="BI668">
        <v>0</v>
      </c>
      <c s="6" r="BJ668">
        <v>0</v>
      </c>
      <c s="6" r="BK668">
        <v>0</v>
      </c>
      <c s="6" r="BL668">
        <v>0</v>
      </c>
      <c s="6" r="BM668">
        <v>0</v>
      </c>
      <c s="6" r="BN668">
        <v>0</v>
      </c>
      <c s="6" r="BO668">
        <v>0</v>
      </c>
      <c s="6" r="BP668">
        <v>0</v>
      </c>
      <c s="6" r="BQ668">
        <v>0</v>
      </c>
      <c t="s" s="6" r="BR668">
        <v>92</v>
      </c>
      <c s="6" r="BS668">
        <v>678</v>
      </c>
      <c t="s" s="6" r="BT668">
        <v>92</v>
      </c>
      <c s="6" r="BY668">
        <v>0</v>
      </c>
    </row>
    <row customHeight="1" r="669" ht="14.25">
      <c t="s" s="6" r="A669">
        <v>5194</v>
      </c>
      <c t="s" s="6" r="B669">
        <v>131</v>
      </c>
      <c t="s" s="6" r="E669">
        <v>5195</v>
      </c>
      <c t="s" s="6" r="F669">
        <v>81</v>
      </c>
      <c t="s" s="6" r="G669">
        <v>2086</v>
      </c>
      <c s="6" r="H669">
        <v>0</v>
      </c>
      <c t="s" s="6" r="I669">
        <v>120</v>
      </c>
      <c t="s" s="6" r="L669">
        <v>1137</v>
      </c>
      <c t="s" s="6" r="M669">
        <v>5196</v>
      </c>
      <c s="6" r="N669">
        <v>1</v>
      </c>
      <c s="6" r="O669">
        <v>0</v>
      </c>
      <c t="s" s="6" r="P669">
        <v>5197</v>
      </c>
      <c t="s" s="6" r="Q669">
        <v>87</v>
      </c>
      <c t="s" s="6" r="R669">
        <v>5198</v>
      </c>
      <c t="s" s="6" r="S669">
        <v>5199</v>
      </c>
      <c t="s" s="6" r="T669">
        <v>5200</v>
      </c>
      <c t="s" s="6" r="U669">
        <v>5201</v>
      </c>
      <c s="6" r="V669">
        <v>0</v>
      </c>
      <c s="6" r="W669">
        <v>1</v>
      </c>
      <c s="6" r="X669">
        <v>0</v>
      </c>
      <c s="6" r="Y669">
        <v>0</v>
      </c>
      <c s="6" r="Z669">
        <v>0</v>
      </c>
      <c t="s" s="6" r="AA669">
        <v>92</v>
      </c>
      <c t="s" s="6" r="AB669">
        <v>92</v>
      </c>
      <c t="s" s="6" r="AC669">
        <v>92</v>
      </c>
      <c t="s" s="6" r="AD669">
        <v>92</v>
      </c>
      <c t="s" s="6" r="AE669">
        <v>92</v>
      </c>
      <c t="s" s="6" r="AF669">
        <v>92</v>
      </c>
      <c t="s" s="6" r="AG669">
        <v>92</v>
      </c>
      <c s="6" r="AH669">
        <v>3</v>
      </c>
      <c t="s" s="6" r="AI669">
        <v>92</v>
      </c>
      <c t="s" s="6" r="AJ669">
        <v>92</v>
      </c>
      <c t="s" s="6" r="AK669">
        <v>92</v>
      </c>
      <c t="s" s="6" r="AL669">
        <v>92</v>
      </c>
      <c t="s" s="6" r="AM669">
        <v>92</v>
      </c>
      <c t="s" s="6" r="AN669">
        <v>92</v>
      </c>
      <c s="6" r="AP669">
        <v>3</v>
      </c>
      <c t="s" s="6" r="AR669">
        <v>5202</v>
      </c>
      <c s="6" r="AS669">
        <v>0</v>
      </c>
      <c s="6" r="AT669">
        <v>0</v>
      </c>
      <c s="6" r="AU669">
        <v>0</v>
      </c>
      <c s="6" r="AV669">
        <v>0</v>
      </c>
      <c s="6" r="AW669">
        <v>0</v>
      </c>
      <c s="6" r="AX669">
        <v>0</v>
      </c>
      <c s="6" r="AY669">
        <v>0</v>
      </c>
      <c s="6" r="AZ669">
        <v>0</v>
      </c>
      <c s="6" r="BA669">
        <v>0</v>
      </c>
      <c s="6" r="BB669">
        <v>0</v>
      </c>
      <c s="6" r="BC669">
        <v>0</v>
      </c>
      <c s="6" r="BD669">
        <v>0</v>
      </c>
      <c s="6" r="BE669">
        <v>0</v>
      </c>
      <c s="6" r="BF669">
        <v>0</v>
      </c>
      <c s="6" r="BG669">
        <v>0</v>
      </c>
      <c s="6" r="BH669">
        <v>0</v>
      </c>
      <c s="6" r="BI669">
        <v>0</v>
      </c>
      <c s="6" r="BJ669">
        <v>0</v>
      </c>
      <c s="6" r="BK669">
        <v>0</v>
      </c>
      <c s="6" r="BL669">
        <v>0</v>
      </c>
      <c s="6" r="BM669">
        <v>0</v>
      </c>
      <c s="6" r="BN669">
        <v>0</v>
      </c>
      <c s="6" r="BO669">
        <v>0</v>
      </c>
      <c s="6" r="BP669">
        <v>0</v>
      </c>
      <c s="6" r="BQ669">
        <v>0</v>
      </c>
      <c t="str" s="6" r="BR669">
        <f>HYPERLINK("http://www.d20pfsrd.com/magic/all-spells/a/absorbing-touch","Absorbing Touch")</f>
        <v>Absorbing Touch</v>
      </c>
      <c s="6" r="BS669">
        <v>679</v>
      </c>
      <c t="s" s="6" r="BT669">
        <v>92</v>
      </c>
      <c s="6" r="BY669">
        <v>0</v>
      </c>
    </row>
    <row customHeight="1" r="670" ht="14.25">
      <c t="s" s="6" r="A670">
        <v>5203</v>
      </c>
      <c t="s" s="6" r="B670">
        <v>131</v>
      </c>
      <c t="s" s="6" r="D670">
        <v>65</v>
      </c>
      <c t="s" s="6" r="E670">
        <v>5204</v>
      </c>
      <c t="s" s="6" r="F670">
        <v>81</v>
      </c>
      <c t="s" s="6" r="G670">
        <v>5205</v>
      </c>
      <c s="6" r="H670">
        <v>0</v>
      </c>
      <c t="s" s="6" r="I670">
        <v>120</v>
      </c>
      <c t="s" s="6" r="L670">
        <v>420</v>
      </c>
      <c t="s" s="6" r="M670">
        <v>109</v>
      </c>
      <c s="6" r="N670">
        <v>0</v>
      </c>
      <c s="6" r="O670">
        <v>0</v>
      </c>
      <c t="s" s="6" r="P670">
        <v>187</v>
      </c>
      <c t="s" s="6" r="Q670">
        <v>188</v>
      </c>
      <c t="s" s="6" r="R670">
        <v>5206</v>
      </c>
      <c t="s" s="6" r="S670">
        <v>5207</v>
      </c>
      <c t="s" s="6" r="T670">
        <v>5200</v>
      </c>
      <c t="s" s="6" r="U670">
        <v>5208</v>
      </c>
      <c s="6" r="V670">
        <v>1</v>
      </c>
      <c s="6" r="W670">
        <v>1</v>
      </c>
      <c s="6" r="X670">
        <v>1</v>
      </c>
      <c s="6" r="Y670">
        <v>0</v>
      </c>
      <c s="6" r="Z670">
        <v>0</v>
      </c>
      <c s="6" r="AA670">
        <v>2</v>
      </c>
      <c s="6" r="AB670">
        <v>2</v>
      </c>
      <c t="s" s="6" r="AC670">
        <v>92</v>
      </c>
      <c s="6" r="AD670">
        <v>2</v>
      </c>
      <c s="6" r="AE670">
        <v>2</v>
      </c>
      <c t="s" s="6" r="AF670">
        <v>92</v>
      </c>
      <c t="s" s="6" r="AG670">
        <v>92</v>
      </c>
      <c t="s" s="6" r="AH670">
        <v>92</v>
      </c>
      <c t="s" s="6" r="AI670">
        <v>92</v>
      </c>
      <c t="s" s="6" r="AJ670">
        <v>92</v>
      </c>
      <c t="s" s="6" r="AK670">
        <v>92</v>
      </c>
      <c t="s" s="6" r="AL670">
        <v>92</v>
      </c>
      <c t="s" s="6" r="AM670">
        <v>92</v>
      </c>
      <c t="s" s="6" r="AN670">
        <v>92</v>
      </c>
      <c s="6" r="AP670">
        <v>2</v>
      </c>
      <c t="s" s="6" r="AR670">
        <v>5209</v>
      </c>
      <c s="6" r="AS670">
        <v>0</v>
      </c>
      <c s="6" r="AT670">
        <v>0</v>
      </c>
      <c s="6" r="AU670">
        <v>0</v>
      </c>
      <c s="6" r="AV670">
        <v>0</v>
      </c>
      <c s="6" r="AW670">
        <v>0</v>
      </c>
      <c s="6" r="AX670">
        <v>0</v>
      </c>
      <c s="6" r="AY670">
        <v>0</v>
      </c>
      <c s="6" r="AZ670">
        <v>0</v>
      </c>
      <c s="6" r="BA670">
        <v>0</v>
      </c>
      <c s="6" r="BB670">
        <v>0</v>
      </c>
      <c s="6" r="BC670">
        <v>0</v>
      </c>
      <c s="6" r="BD670">
        <v>0</v>
      </c>
      <c s="6" r="BE670">
        <v>0</v>
      </c>
      <c s="6" r="BF670">
        <v>0</v>
      </c>
      <c s="6" r="BG670">
        <v>0</v>
      </c>
      <c s="6" r="BH670">
        <v>0</v>
      </c>
      <c s="6" r="BI670">
        <v>0</v>
      </c>
      <c s="6" r="BJ670">
        <v>0</v>
      </c>
      <c s="6" r="BK670">
        <v>0</v>
      </c>
      <c s="6" r="BL670">
        <v>0</v>
      </c>
      <c s="6" r="BM670">
        <v>0</v>
      </c>
      <c s="6" r="BN670">
        <v>1</v>
      </c>
      <c s="6" r="BO670">
        <v>0</v>
      </c>
      <c s="6" r="BP670">
        <v>0</v>
      </c>
      <c s="6" r="BQ670">
        <v>0</v>
      </c>
      <c t="str" s="6" r="BR670">
        <f>HYPERLINK("http://www.d20pfsrd.com/magic/all-spells/a/accelerate-poison","Accelerate Poison")</f>
        <v>Accelerate Poison</v>
      </c>
      <c s="6" r="BS670">
        <v>680</v>
      </c>
      <c t="s" s="6" r="BT670">
        <v>92</v>
      </c>
      <c s="6" r="BY670">
        <v>0</v>
      </c>
    </row>
    <row customHeight="1" r="671" ht="14.25">
      <c t="s" s="6" r="A671">
        <v>5210</v>
      </c>
      <c t="s" s="6" r="B671">
        <v>78</v>
      </c>
      <c t="s" s="6" r="C671">
        <v>79</v>
      </c>
      <c t="s" s="6" r="D671">
        <v>44</v>
      </c>
      <c t="s" s="6" r="E671">
        <v>5211</v>
      </c>
      <c t="s" s="6" r="F671">
        <v>81</v>
      </c>
      <c t="s" s="6" r="G671">
        <v>5212</v>
      </c>
      <c s="6" r="H671">
        <v>1</v>
      </c>
      <c t="s" s="6" r="I671">
        <v>97</v>
      </c>
      <c t="s" s="6" r="K671">
        <v>5213</v>
      </c>
      <c t="s" s="6" r="M671">
        <v>5214</v>
      </c>
      <c s="6" r="N671">
        <v>0</v>
      </c>
      <c s="6" r="O671">
        <v>0</v>
      </c>
      <c t="s" s="6" r="P671">
        <v>4701</v>
      </c>
      <c t="s" s="6" r="Q671">
        <v>87</v>
      </c>
      <c t="s" s="6" r="R671">
        <v>5215</v>
      </c>
      <c t="s" s="6" r="S671">
        <v>5216</v>
      </c>
      <c t="s" s="6" r="T671">
        <v>5200</v>
      </c>
      <c t="s" s="6" r="U671">
        <v>5217</v>
      </c>
      <c s="6" r="V671">
        <v>1</v>
      </c>
      <c s="6" r="W671">
        <v>1</v>
      </c>
      <c s="6" r="X671">
        <v>1</v>
      </c>
      <c s="6" r="Y671">
        <v>0</v>
      </c>
      <c s="6" r="Z671">
        <v>0</v>
      </c>
      <c s="6" r="AA671">
        <v>4</v>
      </c>
      <c s="6" r="AB671">
        <v>4</v>
      </c>
      <c t="s" s="6" r="AC671">
        <v>92</v>
      </c>
      <c t="s" s="6" r="AD671">
        <v>92</v>
      </c>
      <c t="s" s="6" r="AE671">
        <v>92</v>
      </c>
      <c t="s" s="6" r="AF671">
        <v>92</v>
      </c>
      <c t="s" s="6" r="AG671">
        <v>92</v>
      </c>
      <c t="s" s="6" r="AH671">
        <v>92</v>
      </c>
      <c s="6" r="AI671">
        <v>4</v>
      </c>
      <c t="s" s="6" r="AJ671">
        <v>92</v>
      </c>
      <c t="s" s="6" r="AK671">
        <v>92</v>
      </c>
      <c t="s" s="6" r="AL671">
        <v>92</v>
      </c>
      <c t="s" s="6" r="AM671">
        <v>92</v>
      </c>
      <c t="s" s="6" r="AN671">
        <v>92</v>
      </c>
      <c s="6" r="AP671">
        <v>4</v>
      </c>
      <c t="s" s="6" r="AR671">
        <v>5218</v>
      </c>
      <c s="6" r="AS671">
        <v>1</v>
      </c>
      <c s="6" r="AT671">
        <v>0</v>
      </c>
      <c s="6" r="AU671">
        <v>0</v>
      </c>
      <c s="6" r="AV671">
        <v>0</v>
      </c>
      <c s="6" r="AW671">
        <v>0</v>
      </c>
      <c s="6" r="AX671">
        <v>0</v>
      </c>
      <c s="6" r="AY671">
        <v>0</v>
      </c>
      <c s="6" r="AZ671">
        <v>0</v>
      </c>
      <c s="6" r="BA671">
        <v>0</v>
      </c>
      <c s="6" r="BB671">
        <v>0</v>
      </c>
      <c s="6" r="BC671">
        <v>0</v>
      </c>
      <c s="6" r="BD671">
        <v>0</v>
      </c>
      <c s="6" r="BE671">
        <v>0</v>
      </c>
      <c s="6" r="BF671">
        <v>0</v>
      </c>
      <c s="6" r="BG671">
        <v>0</v>
      </c>
      <c s="6" r="BH671">
        <v>0</v>
      </c>
      <c s="6" r="BI671">
        <v>0</v>
      </c>
      <c s="6" r="BJ671">
        <v>0</v>
      </c>
      <c s="6" r="BK671">
        <v>0</v>
      </c>
      <c s="6" r="BL671">
        <v>0</v>
      </c>
      <c s="6" r="BM671">
        <v>0</v>
      </c>
      <c s="6" r="BN671">
        <v>0</v>
      </c>
      <c s="6" r="BO671">
        <v>0</v>
      </c>
      <c s="6" r="BP671">
        <v>0</v>
      </c>
      <c s="6" r="BQ671">
        <v>0</v>
      </c>
      <c t="str" s="6" r="BR671">
        <f>HYPERLINK("http://www.d20pfsrd.com/magic/all-spells/a/acid-pit","Acid Pit")</f>
        <v>Acid Pit</v>
      </c>
      <c s="6" r="BS671">
        <v>681</v>
      </c>
      <c s="6" r="BT671">
        <v>10</v>
      </c>
      <c s="6" r="BY671">
        <v>0</v>
      </c>
    </row>
    <row customHeight="1" r="672" ht="14.25">
      <c t="s" s="6" r="A672">
        <v>5219</v>
      </c>
      <c t="s" s="6" r="B672">
        <v>131</v>
      </c>
      <c t="s" s="6" r="E672">
        <v>5220</v>
      </c>
      <c t="s" s="6" r="F672">
        <v>81</v>
      </c>
      <c t="s" s="6" r="G672">
        <v>2086</v>
      </c>
      <c s="6" r="H672">
        <v>0</v>
      </c>
      <c t="s" s="6" r="I672">
        <v>155</v>
      </c>
      <c t="s" s="6" r="L672">
        <v>156</v>
      </c>
      <c t="s" s="6" r="M672">
        <v>272</v>
      </c>
      <c s="6" r="N672">
        <v>0</v>
      </c>
      <c s="6" r="O672">
        <v>0</v>
      </c>
      <c t="s" s="6" r="R672">
        <v>5221</v>
      </c>
      <c t="s" s="6" r="S672">
        <v>5222</v>
      </c>
      <c t="s" s="6" r="T672">
        <v>5200</v>
      </c>
      <c t="s" s="6" r="U672">
        <v>5223</v>
      </c>
      <c s="6" r="V672">
        <v>0</v>
      </c>
      <c s="6" r="W672">
        <v>1</v>
      </c>
      <c s="6" r="X672">
        <v>0</v>
      </c>
      <c s="6" r="Y672">
        <v>0</v>
      </c>
      <c s="6" r="Z672">
        <v>0</v>
      </c>
      <c t="s" s="6" r="AA672">
        <v>92</v>
      </c>
      <c t="s" s="6" r="AB672">
        <v>92</v>
      </c>
      <c t="s" s="6" r="AC672">
        <v>92</v>
      </c>
      <c t="s" s="6" r="AD672">
        <v>92</v>
      </c>
      <c t="s" s="6" r="AE672">
        <v>92</v>
      </c>
      <c t="s" s="6" r="AF672">
        <v>92</v>
      </c>
      <c t="s" s="6" r="AG672">
        <v>92</v>
      </c>
      <c s="6" r="AH672">
        <v>2</v>
      </c>
      <c t="s" s="6" r="AI672">
        <v>92</v>
      </c>
      <c t="s" s="6" r="AJ672">
        <v>92</v>
      </c>
      <c t="s" s="6" r="AK672">
        <v>92</v>
      </c>
      <c t="s" s="6" r="AL672">
        <v>92</v>
      </c>
      <c t="s" s="6" r="AM672">
        <v>92</v>
      </c>
      <c t="s" s="6" r="AN672">
        <v>92</v>
      </c>
      <c s="6" r="AP672">
        <v>2</v>
      </c>
      <c t="s" s="6" r="AR672">
        <v>5224</v>
      </c>
      <c s="6" r="AS672">
        <v>0</v>
      </c>
      <c s="6" r="AT672">
        <v>0</v>
      </c>
      <c s="6" r="AU672">
        <v>0</v>
      </c>
      <c s="6" r="AV672">
        <v>0</v>
      </c>
      <c s="6" r="AW672">
        <v>0</v>
      </c>
      <c s="6" r="AX672">
        <v>0</v>
      </c>
      <c s="6" r="AY672">
        <v>0</v>
      </c>
      <c s="6" r="AZ672">
        <v>0</v>
      </c>
      <c s="6" r="BA672">
        <v>0</v>
      </c>
      <c s="6" r="BB672">
        <v>0</v>
      </c>
      <c s="6" r="BC672">
        <v>0</v>
      </c>
      <c s="6" r="BD672">
        <v>0</v>
      </c>
      <c s="6" r="BE672">
        <v>0</v>
      </c>
      <c s="6" r="BF672">
        <v>0</v>
      </c>
      <c s="6" r="BG672">
        <v>0</v>
      </c>
      <c s="6" r="BH672">
        <v>0</v>
      </c>
      <c s="6" r="BI672">
        <v>0</v>
      </c>
      <c s="6" r="BJ672">
        <v>0</v>
      </c>
      <c s="6" r="BK672">
        <v>0</v>
      </c>
      <c s="6" r="BL672">
        <v>0</v>
      </c>
      <c s="6" r="BM672">
        <v>0</v>
      </c>
      <c s="6" r="BN672">
        <v>0</v>
      </c>
      <c s="6" r="BO672">
        <v>0</v>
      </c>
      <c s="6" r="BP672">
        <v>0</v>
      </c>
      <c s="6" r="BQ672">
        <v>0</v>
      </c>
      <c t="str" s="6" r="BR672">
        <f>HYPERLINK("http://www.d20pfsrd.com/magic/all-spells/a/alchemical-allocation","Alchemical Allocation")</f>
        <v>Alchemical Allocation</v>
      </c>
      <c s="6" r="BS672">
        <v>682</v>
      </c>
      <c t="s" s="6" r="BT672">
        <v>92</v>
      </c>
      <c s="6" r="BY672">
        <v>0</v>
      </c>
    </row>
    <row customHeight="1" r="673" ht="14.25">
      <c t="s" s="6" r="A673">
        <v>5225</v>
      </c>
      <c t="s" s="6" r="B673">
        <v>131</v>
      </c>
      <c t="s" s="6" r="E673">
        <v>5226</v>
      </c>
      <c t="s" s="6" r="F673">
        <v>81</v>
      </c>
      <c t="s" s="6" r="G673">
        <v>5227</v>
      </c>
      <c s="6" r="H673">
        <v>0</v>
      </c>
      <c t="s" s="6" r="I673">
        <v>120</v>
      </c>
      <c t="s" s="6" r="L673">
        <v>5228</v>
      </c>
      <c t="s" s="6" r="M673">
        <v>109</v>
      </c>
      <c s="6" r="N673">
        <v>0</v>
      </c>
      <c s="6" r="O673">
        <v>0</v>
      </c>
      <c t="s" s="6" r="P673">
        <v>535</v>
      </c>
      <c t="s" s="6" r="Q673">
        <v>536</v>
      </c>
      <c t="s" s="6" r="R673">
        <v>5229</v>
      </c>
      <c t="s" s="6" r="S673">
        <v>5230</v>
      </c>
      <c t="s" s="6" r="T673">
        <v>5200</v>
      </c>
      <c t="s" s="6" r="U673">
        <v>5231</v>
      </c>
      <c s="6" r="V673">
        <v>1</v>
      </c>
      <c s="6" r="W673">
        <v>1</v>
      </c>
      <c s="6" r="X673">
        <v>1</v>
      </c>
      <c s="6" r="Y673">
        <v>0</v>
      </c>
      <c s="6" r="Z673">
        <v>0</v>
      </c>
      <c t="s" s="6" r="AA673">
        <v>92</v>
      </c>
      <c t="s" s="6" r="AB673">
        <v>92</v>
      </c>
      <c t="s" s="6" r="AC673">
        <v>92</v>
      </c>
      <c t="s" s="6" r="AD673">
        <v>92</v>
      </c>
      <c s="6" r="AE673">
        <v>2</v>
      </c>
      <c t="s" s="6" r="AF673">
        <v>92</v>
      </c>
      <c t="s" s="6" r="AG673">
        <v>92</v>
      </c>
      <c t="s" s="6" r="AH673">
        <v>92</v>
      </c>
      <c t="s" s="6" r="AI673">
        <v>92</v>
      </c>
      <c t="s" s="6" r="AJ673">
        <v>92</v>
      </c>
      <c t="s" s="6" r="AK673">
        <v>92</v>
      </c>
      <c t="s" s="6" r="AL673">
        <v>92</v>
      </c>
      <c t="s" s="6" r="AM673">
        <v>92</v>
      </c>
      <c t="s" s="6" r="AN673">
        <v>92</v>
      </c>
      <c s="6" r="AP673">
        <v>2</v>
      </c>
      <c t="s" s="6" r="AR673">
        <v>5232</v>
      </c>
      <c s="6" r="AS673">
        <v>0</v>
      </c>
      <c s="6" r="AT673">
        <v>0</v>
      </c>
      <c s="6" r="AU673">
        <v>0</v>
      </c>
      <c s="6" r="AV673">
        <v>0</v>
      </c>
      <c s="6" r="AW673">
        <v>0</v>
      </c>
      <c s="6" r="AX673">
        <v>0</v>
      </c>
      <c s="6" r="AY673">
        <v>0</v>
      </c>
      <c s="6" r="AZ673">
        <v>0</v>
      </c>
      <c s="6" r="BA673">
        <v>0</v>
      </c>
      <c s="6" r="BB673">
        <v>0</v>
      </c>
      <c s="6" r="BC673">
        <v>0</v>
      </c>
      <c s="6" r="BD673">
        <v>0</v>
      </c>
      <c s="6" r="BE673">
        <v>0</v>
      </c>
      <c s="6" r="BF673">
        <v>0</v>
      </c>
      <c s="6" r="BG673">
        <v>0</v>
      </c>
      <c s="6" r="BH673">
        <v>0</v>
      </c>
      <c s="6" r="BI673">
        <v>0</v>
      </c>
      <c s="6" r="BJ673">
        <v>0</v>
      </c>
      <c s="6" r="BK673">
        <v>0</v>
      </c>
      <c s="6" r="BL673">
        <v>0</v>
      </c>
      <c s="6" r="BM673">
        <v>0</v>
      </c>
      <c s="6" r="BN673">
        <v>0</v>
      </c>
      <c s="6" r="BO673">
        <v>0</v>
      </c>
      <c s="6" r="BP673">
        <v>0</v>
      </c>
      <c s="6" r="BQ673">
        <v>0</v>
      </c>
      <c t="str" s="6" r="BR673">
        <f>HYPERLINK("http://www.d20pfsrd.com/magic/all-spells/a/allfood","Allfood")</f>
        <v>Allfood</v>
      </c>
      <c s="6" r="BS673">
        <v>683</v>
      </c>
      <c t="s" s="6" r="BT673">
        <v>92</v>
      </c>
      <c s="6" r="BY673">
        <v>0</v>
      </c>
    </row>
    <row customHeight="1" r="674" ht="14.25">
      <c t="s" s="6" r="A674">
        <v>5233</v>
      </c>
      <c t="s" s="6" r="B674">
        <v>131</v>
      </c>
      <c t="s" s="6" r="D674">
        <v>45</v>
      </c>
      <c t="s" s="6" r="E674">
        <v>5234</v>
      </c>
      <c t="s" s="6" r="F674">
        <v>197</v>
      </c>
      <c t="s" s="6" r="G674">
        <v>106</v>
      </c>
      <c s="6" r="H674">
        <v>0</v>
      </c>
      <c t="s" s="6" r="I674">
        <v>120</v>
      </c>
      <c t="s" s="6" r="J674">
        <v>5235</v>
      </c>
      <c t="s" s="6" r="M674">
        <v>209</v>
      </c>
      <c s="6" r="N674">
        <v>0</v>
      </c>
      <c s="6" r="O674">
        <v>0</v>
      </c>
      <c t="s" s="6" r="P674">
        <v>221</v>
      </c>
      <c t="s" s="6" r="Q674">
        <v>188</v>
      </c>
      <c t="s" s="6" r="R674">
        <v>5236</v>
      </c>
      <c t="s" s="6" r="S674">
        <v>5237</v>
      </c>
      <c t="s" s="6" r="T674">
        <v>5200</v>
      </c>
      <c t="s" s="6" r="U674">
        <v>5238</v>
      </c>
      <c s="6" r="V674">
        <v>1</v>
      </c>
      <c s="6" r="W674">
        <v>1</v>
      </c>
      <c s="6" r="X674">
        <v>0</v>
      </c>
      <c s="6" r="Y674">
        <v>0</v>
      </c>
      <c s="6" r="Z674">
        <v>0</v>
      </c>
      <c s="6" r="AA674">
        <v>1</v>
      </c>
      <c s="6" r="AB674">
        <v>1</v>
      </c>
      <c t="s" s="6" r="AC674">
        <v>92</v>
      </c>
      <c s="6" r="AD674">
        <v>1</v>
      </c>
      <c t="s" s="6" r="AE674">
        <v>92</v>
      </c>
      <c t="s" s="6" r="AF674">
        <v>92</v>
      </c>
      <c t="s" s="6" r="AG674">
        <v>92</v>
      </c>
      <c t="s" s="6" r="AH674">
        <v>92</v>
      </c>
      <c t="s" s="6" r="AI674">
        <v>92</v>
      </c>
      <c t="s" s="6" r="AJ674">
        <v>92</v>
      </c>
      <c t="s" s="6" r="AK674">
        <v>92</v>
      </c>
      <c t="s" s="6" r="AL674">
        <v>92</v>
      </c>
      <c t="s" s="6" r="AM674">
        <v>92</v>
      </c>
      <c t="s" s="6" r="AN674">
        <v>92</v>
      </c>
      <c s="6" r="AP674">
        <v>1</v>
      </c>
      <c t="s" s="6" r="AR674">
        <v>5239</v>
      </c>
      <c s="6" r="AS674">
        <v>0</v>
      </c>
      <c s="6" r="AT674">
        <v>1</v>
      </c>
      <c s="6" r="AU674">
        <v>0</v>
      </c>
      <c s="6" r="AV674">
        <v>0</v>
      </c>
      <c s="6" r="AW674">
        <v>0</v>
      </c>
      <c s="6" r="AX674">
        <v>0</v>
      </c>
      <c s="6" r="AY674">
        <v>0</v>
      </c>
      <c s="6" r="AZ674">
        <v>0</v>
      </c>
      <c s="6" r="BA674">
        <v>0</v>
      </c>
      <c s="6" r="BB674">
        <v>0</v>
      </c>
      <c s="6" r="BC674">
        <v>0</v>
      </c>
      <c s="6" r="BD674">
        <v>0</v>
      </c>
      <c s="6" r="BE674">
        <v>0</v>
      </c>
      <c s="6" r="BF674">
        <v>0</v>
      </c>
      <c s="6" r="BG674">
        <v>0</v>
      </c>
      <c s="6" r="BH674">
        <v>0</v>
      </c>
      <c s="6" r="BI674">
        <v>0</v>
      </c>
      <c s="6" r="BJ674">
        <v>0</v>
      </c>
      <c s="6" r="BK674">
        <v>0</v>
      </c>
      <c s="6" r="BL674">
        <v>0</v>
      </c>
      <c s="6" r="BM674">
        <v>0</v>
      </c>
      <c s="6" r="BN674">
        <v>0</v>
      </c>
      <c s="6" r="BO674">
        <v>0</v>
      </c>
      <c s="6" r="BP674">
        <v>0</v>
      </c>
      <c s="6" r="BQ674">
        <v>0</v>
      </c>
      <c t="str" s="6" r="BR674">
        <f>HYPERLINK("http://www.d20pfsrd.com/magic/all-spells/a/alter-winds","Alter Winds")</f>
        <v>Alter Winds</v>
      </c>
      <c s="6" r="BS674">
        <v>684</v>
      </c>
      <c t="s" s="6" r="BT674">
        <v>92</v>
      </c>
      <c s="6" r="BY674">
        <v>0</v>
      </c>
    </row>
    <row customHeight="1" r="675" ht="14.25">
      <c t="s" s="6" r="A675">
        <v>5240</v>
      </c>
      <c t="s" s="6" r="B675">
        <v>131</v>
      </c>
      <c t="s" s="6" r="E675">
        <v>5195</v>
      </c>
      <c t="s" s="6" r="F675">
        <v>81</v>
      </c>
      <c t="s" s="6" r="G675">
        <v>2086</v>
      </c>
      <c s="6" r="H675">
        <v>0</v>
      </c>
      <c t="s" s="6" r="I675">
        <v>155</v>
      </c>
      <c t="s" s="6" r="L675">
        <v>156</v>
      </c>
      <c t="s" s="6" r="M675">
        <v>99</v>
      </c>
      <c s="6" r="N675">
        <v>0</v>
      </c>
      <c s="6" r="O675">
        <v>0</v>
      </c>
      <c t="s" s="6" r="R675">
        <v>5241</v>
      </c>
      <c t="s" s="6" r="S675">
        <v>5242</v>
      </c>
      <c t="s" s="6" r="T675">
        <v>5200</v>
      </c>
      <c t="s" s="6" r="U675">
        <v>5243</v>
      </c>
      <c s="6" r="V675">
        <v>0</v>
      </c>
      <c s="6" r="W675">
        <v>1</v>
      </c>
      <c s="6" r="X675">
        <v>0</v>
      </c>
      <c s="6" r="Y675">
        <v>0</v>
      </c>
      <c s="6" r="Z675">
        <v>0</v>
      </c>
      <c t="s" s="6" r="AA675">
        <v>92</v>
      </c>
      <c t="s" s="6" r="AB675">
        <v>92</v>
      </c>
      <c t="s" s="6" r="AC675">
        <v>92</v>
      </c>
      <c t="s" s="6" r="AD675">
        <v>92</v>
      </c>
      <c t="s" s="6" r="AE675">
        <v>92</v>
      </c>
      <c t="s" s="6" r="AF675">
        <v>92</v>
      </c>
      <c t="s" s="6" r="AG675">
        <v>92</v>
      </c>
      <c s="6" r="AH675">
        <v>3</v>
      </c>
      <c t="s" s="6" r="AI675">
        <v>92</v>
      </c>
      <c t="s" s="6" r="AJ675">
        <v>92</v>
      </c>
      <c t="s" s="6" r="AK675">
        <v>92</v>
      </c>
      <c t="s" s="6" r="AL675">
        <v>92</v>
      </c>
      <c t="s" s="6" r="AM675">
        <v>92</v>
      </c>
      <c t="s" s="6" r="AN675">
        <v>92</v>
      </c>
      <c s="6" r="AP675">
        <v>3</v>
      </c>
      <c t="s" s="6" r="AR675">
        <v>5244</v>
      </c>
      <c s="6" r="AS675">
        <v>0</v>
      </c>
      <c s="6" r="AT675">
        <v>0</v>
      </c>
      <c s="6" r="AU675">
        <v>0</v>
      </c>
      <c s="6" r="AV675">
        <v>0</v>
      </c>
      <c s="6" r="AW675">
        <v>0</v>
      </c>
      <c s="6" r="AX675">
        <v>0</v>
      </c>
      <c s="6" r="AY675">
        <v>0</v>
      </c>
      <c s="6" r="AZ675">
        <v>0</v>
      </c>
      <c s="6" r="BA675">
        <v>0</v>
      </c>
      <c s="6" r="BB675">
        <v>0</v>
      </c>
      <c s="6" r="BC675">
        <v>0</v>
      </c>
      <c s="6" r="BD675">
        <v>0</v>
      </c>
      <c s="6" r="BE675">
        <v>0</v>
      </c>
      <c s="6" r="BF675">
        <v>0</v>
      </c>
      <c s="6" r="BG675">
        <v>0</v>
      </c>
      <c s="6" r="BH675">
        <v>0</v>
      </c>
      <c s="6" r="BI675">
        <v>0</v>
      </c>
      <c s="6" r="BJ675">
        <v>0</v>
      </c>
      <c s="6" r="BK675">
        <v>0</v>
      </c>
      <c s="6" r="BL675">
        <v>0</v>
      </c>
      <c s="6" r="BM675">
        <v>0</v>
      </c>
      <c s="6" r="BN675">
        <v>0</v>
      </c>
      <c s="6" r="BO675">
        <v>0</v>
      </c>
      <c s="6" r="BP675">
        <v>0</v>
      </c>
      <c s="6" r="BQ675">
        <v>0</v>
      </c>
      <c t="str" s="6" r="BR675">
        <f>HYPERLINK("http://www.d20pfsrd.com/magic/all-spells/a/amplify-elixir","Amplify Elixir")</f>
        <v>Amplify Elixir</v>
      </c>
      <c s="6" r="BS675">
        <v>685</v>
      </c>
      <c t="s" s="6" r="BT675">
        <v>92</v>
      </c>
      <c s="6" r="BY675">
        <v>0</v>
      </c>
    </row>
    <row customHeight="1" r="676" ht="14.25">
      <c t="s" s="6" r="A676">
        <v>5245</v>
      </c>
      <c t="s" s="6" r="B676">
        <v>131</v>
      </c>
      <c t="s" s="6" r="E676">
        <v>5246</v>
      </c>
      <c t="s" s="6" r="F676">
        <v>81</v>
      </c>
      <c t="s" s="6" r="G676">
        <v>5247</v>
      </c>
      <c s="6" r="H676">
        <v>0</v>
      </c>
      <c t="s" s="6" r="I676">
        <v>120</v>
      </c>
      <c t="s" s="6" r="L676">
        <v>420</v>
      </c>
      <c t="s" s="6" r="M676">
        <v>166</v>
      </c>
      <c s="6" r="N676">
        <v>0</v>
      </c>
      <c s="6" r="O676">
        <v>0</v>
      </c>
      <c t="s" s="6" r="P676">
        <v>1227</v>
      </c>
      <c t="s" s="6" r="Q676">
        <v>123</v>
      </c>
      <c t="s" s="6" r="R676">
        <v>5248</v>
      </c>
      <c t="s" s="6" r="S676">
        <v>5249</v>
      </c>
      <c t="s" s="6" r="T676">
        <v>5200</v>
      </c>
      <c t="s" s="6" r="U676">
        <v>5250</v>
      </c>
      <c s="6" r="V676">
        <v>1</v>
      </c>
      <c s="6" r="W676">
        <v>1</v>
      </c>
      <c s="6" r="X676">
        <v>1</v>
      </c>
      <c s="6" r="Y676">
        <v>0</v>
      </c>
      <c s="6" r="Z676">
        <v>1</v>
      </c>
      <c s="6" r="AA676">
        <v>1</v>
      </c>
      <c s="6" r="AB676">
        <v>1</v>
      </c>
      <c s="6" r="AC676">
        <v>1</v>
      </c>
      <c s="6" r="AD676">
        <v>1</v>
      </c>
      <c s="6" r="AE676">
        <v>1</v>
      </c>
      <c t="s" s="6" r="AF676">
        <v>92</v>
      </c>
      <c t="s" s="6" r="AG676">
        <v>92</v>
      </c>
      <c s="6" r="AH676">
        <v>1</v>
      </c>
      <c s="6" r="AI676">
        <v>1</v>
      </c>
      <c t="s" s="6" r="AJ676">
        <v>92</v>
      </c>
      <c t="s" s="6" r="AK676">
        <v>92</v>
      </c>
      <c s="6" r="AL676">
        <v>1</v>
      </c>
      <c t="s" s="6" r="AM676">
        <v>92</v>
      </c>
      <c t="s" s="6" r="AN676">
        <v>92</v>
      </c>
      <c s="6" r="AP676">
        <v>1</v>
      </c>
      <c t="s" s="6" r="AR676">
        <v>5251</v>
      </c>
      <c s="6" r="AS676">
        <v>0</v>
      </c>
      <c s="6" r="AT676">
        <v>0</v>
      </c>
      <c s="6" r="AU676">
        <v>0</v>
      </c>
      <c s="6" r="AV676">
        <v>0</v>
      </c>
      <c s="6" r="AW676">
        <v>0</v>
      </c>
      <c s="6" r="AX676">
        <v>0</v>
      </c>
      <c s="6" r="AY676">
        <v>0</v>
      </c>
      <c s="6" r="AZ676">
        <v>0</v>
      </c>
      <c s="6" r="BA676">
        <v>0</v>
      </c>
      <c s="6" r="BB676">
        <v>0</v>
      </c>
      <c s="6" r="BC676">
        <v>0</v>
      </c>
      <c s="6" r="BD676">
        <v>0</v>
      </c>
      <c s="6" r="BE676">
        <v>0</v>
      </c>
      <c s="6" r="BF676">
        <v>0</v>
      </c>
      <c s="6" r="BG676">
        <v>0</v>
      </c>
      <c s="6" r="BH676">
        <v>0</v>
      </c>
      <c s="6" r="BI676">
        <v>0</v>
      </c>
      <c s="6" r="BJ676">
        <v>0</v>
      </c>
      <c s="6" r="BK676">
        <v>0</v>
      </c>
      <c s="6" r="BL676">
        <v>0</v>
      </c>
      <c s="6" r="BM676">
        <v>0</v>
      </c>
      <c s="6" r="BN676">
        <v>0</v>
      </c>
      <c s="6" r="BO676">
        <v>0</v>
      </c>
      <c s="6" r="BP676">
        <v>0</v>
      </c>
      <c s="6" r="BQ676">
        <v>0</v>
      </c>
      <c t="str" s="6" r="BR676">
        <f>HYPERLINK("http://www.d20pfsrd.com/magic/all-spells/a/ant-haul","Ant Haul")</f>
        <v>Ant Haul</v>
      </c>
      <c s="6" r="BS676">
        <v>686</v>
      </c>
      <c t="s" s="6" r="BT676">
        <v>92</v>
      </c>
      <c s="6" r="BY676">
        <v>0</v>
      </c>
    </row>
    <row customHeight="1" r="677" ht="14.25">
      <c t="s" s="6" r="A677">
        <v>5252</v>
      </c>
      <c t="s" s="6" r="B677">
        <v>78</v>
      </c>
      <c t="s" s="6" r="C677">
        <v>79</v>
      </c>
      <c t="s" s="6" r="D677">
        <v>68</v>
      </c>
      <c t="s" s="6" r="E677">
        <v>5253</v>
      </c>
      <c t="s" s="6" r="F677">
        <v>81</v>
      </c>
      <c t="s" s="6" r="G677">
        <v>5254</v>
      </c>
      <c s="6" r="H677">
        <v>0</v>
      </c>
      <c t="s" s="6" r="I677">
        <v>97</v>
      </c>
      <c t="s" s="6" r="K677">
        <v>5255</v>
      </c>
      <c t="s" s="6" r="M677">
        <v>99</v>
      </c>
      <c s="6" r="N677">
        <v>0</v>
      </c>
      <c s="6" r="O677">
        <v>0</v>
      </c>
      <c t="s" s="6" r="P677">
        <v>1865</v>
      </c>
      <c t="s" s="6" r="Q677">
        <v>87</v>
      </c>
      <c t="s" s="6" r="R677">
        <v>5256</v>
      </c>
      <c t="s" s="6" r="S677">
        <v>5257</v>
      </c>
      <c t="s" s="6" r="T677">
        <v>5200</v>
      </c>
      <c t="s" s="6" r="U677">
        <v>5258</v>
      </c>
      <c s="6" r="V677">
        <v>1</v>
      </c>
      <c s="6" r="W677">
        <v>1</v>
      </c>
      <c s="6" r="X677">
        <v>1</v>
      </c>
      <c s="6" r="Y677">
        <v>0</v>
      </c>
      <c s="6" r="Z677">
        <v>0</v>
      </c>
      <c s="6" r="AA677">
        <v>3</v>
      </c>
      <c s="6" r="AB677">
        <v>3</v>
      </c>
      <c t="s" s="6" r="AC677">
        <v>92</v>
      </c>
      <c s="6" r="AD677">
        <v>3</v>
      </c>
      <c t="s" s="6" r="AE677">
        <v>92</v>
      </c>
      <c t="s" s="6" r="AF677">
        <v>92</v>
      </c>
      <c t="s" s="6" r="AG677">
        <v>92</v>
      </c>
      <c t="s" s="6" r="AH677">
        <v>92</v>
      </c>
      <c s="6" r="AI677">
        <v>3</v>
      </c>
      <c t="s" s="6" r="AJ677">
        <v>92</v>
      </c>
      <c t="s" s="6" r="AK677">
        <v>92</v>
      </c>
      <c t="s" s="6" r="AL677">
        <v>92</v>
      </c>
      <c t="s" s="6" r="AM677">
        <v>92</v>
      </c>
      <c s="6" r="AN677">
        <v>3</v>
      </c>
      <c s="6" r="AP677">
        <v>3</v>
      </c>
      <c t="s" s="6" r="AR677">
        <v>5259</v>
      </c>
      <c s="6" r="AS677">
        <v>0</v>
      </c>
      <c s="6" r="AT677">
        <v>0</v>
      </c>
      <c s="6" r="AU677">
        <v>0</v>
      </c>
      <c s="6" r="AV677">
        <v>0</v>
      </c>
      <c s="6" r="AW677">
        <v>0</v>
      </c>
      <c s="6" r="AX677">
        <v>0</v>
      </c>
      <c s="6" r="AY677">
        <v>0</v>
      </c>
      <c s="6" r="AZ677">
        <v>0</v>
      </c>
      <c s="6" r="BA677">
        <v>0</v>
      </c>
      <c s="6" r="BB677">
        <v>0</v>
      </c>
      <c s="6" r="BC677">
        <v>0</v>
      </c>
      <c s="6" r="BD677">
        <v>0</v>
      </c>
      <c s="6" r="BE677">
        <v>0</v>
      </c>
      <c s="6" r="BF677">
        <v>0</v>
      </c>
      <c s="6" r="BG677">
        <v>0</v>
      </c>
      <c s="6" r="BH677">
        <v>0</v>
      </c>
      <c s="6" r="BI677">
        <v>0</v>
      </c>
      <c s="6" r="BJ677">
        <v>0</v>
      </c>
      <c s="6" r="BK677">
        <v>0</v>
      </c>
      <c s="6" r="BL677">
        <v>0</v>
      </c>
      <c s="6" r="BM677">
        <v>0</v>
      </c>
      <c s="6" r="BN677">
        <v>0</v>
      </c>
      <c s="6" r="BO677">
        <v>0</v>
      </c>
      <c s="6" r="BP677">
        <v>0</v>
      </c>
      <c s="6" r="BQ677">
        <v>1</v>
      </c>
      <c t="s" s="6" r="BR677">
        <v>92</v>
      </c>
      <c s="6" r="BS677">
        <v>687</v>
      </c>
      <c t="s" s="6" r="BT677">
        <v>92</v>
      </c>
      <c t="s" s="6" r="BU677">
        <v>462</v>
      </c>
      <c s="6" r="BY677">
        <v>0</v>
      </c>
    </row>
    <row customHeight="1" r="678" ht="14.25">
      <c t="s" s="6" r="A678">
        <v>5260</v>
      </c>
      <c t="s" s="6" r="B678">
        <v>493</v>
      </c>
      <c t="s" s="6" r="E678">
        <v>2085</v>
      </c>
      <c t="s" s="6" r="F678">
        <v>81</v>
      </c>
      <c t="s" s="6" r="G678">
        <v>5261</v>
      </c>
      <c s="6" r="H678">
        <v>0</v>
      </c>
      <c t="s" s="6" r="I678">
        <v>155</v>
      </c>
      <c t="s" s="6" r="J678">
        <v>3603</v>
      </c>
      <c t="s" s="6" r="L678">
        <v>156</v>
      </c>
      <c t="s" s="6" r="M678">
        <v>99</v>
      </c>
      <c s="6" r="N678">
        <v>0</v>
      </c>
      <c s="6" r="O678">
        <v>0</v>
      </c>
      <c t="s" s="6" r="P678">
        <v>86</v>
      </c>
      <c t="s" s="6" r="Q678">
        <v>87</v>
      </c>
      <c t="s" s="6" r="R678">
        <v>5262</v>
      </c>
      <c t="s" s="6" r="S678">
        <v>5263</v>
      </c>
      <c t="s" s="6" r="T678">
        <v>5200</v>
      </c>
      <c t="s" s="6" r="U678">
        <v>5264</v>
      </c>
      <c s="6" r="V678">
        <v>1</v>
      </c>
      <c s="6" r="W678">
        <v>1</v>
      </c>
      <c s="6" r="X678">
        <v>1</v>
      </c>
      <c s="6" r="Y678">
        <v>0</v>
      </c>
      <c s="6" r="Z678">
        <v>0</v>
      </c>
      <c t="s" s="6" r="AA678">
        <v>92</v>
      </c>
      <c t="s" s="6" r="AB678">
        <v>92</v>
      </c>
      <c t="s" s="6" r="AC678">
        <v>92</v>
      </c>
      <c t="s" s="6" r="AD678">
        <v>92</v>
      </c>
      <c t="s" s="6" r="AE678">
        <v>92</v>
      </c>
      <c s="6" r="AF678">
        <v>3</v>
      </c>
      <c t="s" s="6" r="AG678">
        <v>92</v>
      </c>
      <c t="s" s="6" r="AH678">
        <v>92</v>
      </c>
      <c t="s" s="6" r="AI678">
        <v>92</v>
      </c>
      <c t="s" s="6" r="AJ678">
        <v>92</v>
      </c>
      <c t="s" s="6" r="AK678">
        <v>92</v>
      </c>
      <c t="s" s="6" r="AL678">
        <v>92</v>
      </c>
      <c t="s" s="6" r="AM678">
        <v>92</v>
      </c>
      <c t="s" s="6" r="AN678">
        <v>92</v>
      </c>
      <c s="6" r="AP678">
        <v>3</v>
      </c>
      <c t="s" s="6" r="AR678">
        <v>5265</v>
      </c>
      <c s="6" r="AS678">
        <v>0</v>
      </c>
      <c s="6" r="AT678">
        <v>0</v>
      </c>
      <c s="6" r="AU678">
        <v>0</v>
      </c>
      <c s="6" r="AV678">
        <v>0</v>
      </c>
      <c s="6" r="AW678">
        <v>0</v>
      </c>
      <c s="6" r="AX678">
        <v>0</v>
      </c>
      <c s="6" r="AY678">
        <v>0</v>
      </c>
      <c s="6" r="AZ678">
        <v>0</v>
      </c>
      <c s="6" r="BA678">
        <v>0</v>
      </c>
      <c s="6" r="BB678">
        <v>0</v>
      </c>
      <c s="6" r="BC678">
        <v>0</v>
      </c>
      <c s="6" r="BD678">
        <v>0</v>
      </c>
      <c s="6" r="BE678">
        <v>0</v>
      </c>
      <c s="6" r="BF678">
        <v>0</v>
      </c>
      <c s="6" r="BG678">
        <v>0</v>
      </c>
      <c s="6" r="BH678">
        <v>0</v>
      </c>
      <c s="6" r="BI678">
        <v>0</v>
      </c>
      <c s="6" r="BJ678">
        <v>0</v>
      </c>
      <c s="6" r="BK678">
        <v>0</v>
      </c>
      <c s="6" r="BL678">
        <v>0</v>
      </c>
      <c s="6" r="BM678">
        <v>0</v>
      </c>
      <c s="6" r="BN678">
        <v>0</v>
      </c>
      <c s="6" r="BO678">
        <v>0</v>
      </c>
      <c s="6" r="BP678">
        <v>0</v>
      </c>
      <c s="6" r="BQ678">
        <v>0</v>
      </c>
      <c t="str" s="6" r="BR678">
        <f>HYPERLINK("http://www.d20pfsrd.com/magic/all-spells/a/arcane-concordance","Arcane Concordance")</f>
        <v>Arcane Concordance</v>
      </c>
      <c s="6" r="BS678">
        <v>688</v>
      </c>
      <c t="s" s="6" r="BT678">
        <v>92</v>
      </c>
      <c s="6" r="BY678">
        <v>0</v>
      </c>
    </row>
    <row customHeight="1" r="679" ht="14.25">
      <c t="s" s="6" r="A679">
        <v>5266</v>
      </c>
      <c t="s" s="6" r="B679">
        <v>78</v>
      </c>
      <c t="s" s="6" r="C679">
        <v>79</v>
      </c>
      <c t="s" s="6" r="E679">
        <v>5267</v>
      </c>
      <c t="s" s="6" r="F679">
        <v>81</v>
      </c>
      <c t="s" s="6" r="G679">
        <v>5268</v>
      </c>
      <c s="6" r="H679">
        <v>0</v>
      </c>
      <c t="s" s="6" r="I679">
        <v>83</v>
      </c>
      <c t="s" s="6" r="J679">
        <v>5269</v>
      </c>
      <c t="s" s="6" r="M679">
        <v>109</v>
      </c>
      <c s="6" r="N679">
        <v>0</v>
      </c>
      <c s="6" r="O679">
        <v>0</v>
      </c>
      <c t="s" s="6" r="P679">
        <v>86</v>
      </c>
      <c t="s" s="6" r="Q679">
        <v>188</v>
      </c>
      <c t="s" s="6" r="R679">
        <v>5270</v>
      </c>
      <c t="s" s="6" r="S679">
        <v>5271</v>
      </c>
      <c t="s" s="6" r="T679">
        <v>5200</v>
      </c>
      <c t="s" s="6" r="U679">
        <v>5272</v>
      </c>
      <c s="6" r="V679">
        <v>1</v>
      </c>
      <c s="6" r="W679">
        <v>1</v>
      </c>
      <c s="6" r="X679">
        <v>1</v>
      </c>
      <c s="6" r="Y679">
        <v>0</v>
      </c>
      <c s="6" r="Z679">
        <v>0</v>
      </c>
      <c s="6" r="AA679">
        <v>2</v>
      </c>
      <c s="6" r="AB679">
        <v>2</v>
      </c>
      <c t="s" s="6" r="AC679">
        <v>92</v>
      </c>
      <c t="s" s="6" r="AD679">
        <v>92</v>
      </c>
      <c s="6" r="AE679">
        <v>2</v>
      </c>
      <c t="s" s="6" r="AF679">
        <v>92</v>
      </c>
      <c t="s" s="6" r="AG679">
        <v>92</v>
      </c>
      <c t="s" s="6" r="AH679">
        <v>92</v>
      </c>
      <c t="s" s="6" r="AI679">
        <v>92</v>
      </c>
      <c t="s" s="6" r="AJ679">
        <v>92</v>
      </c>
      <c t="s" s="6" r="AK679">
        <v>92</v>
      </c>
      <c t="s" s="6" r="AL679">
        <v>92</v>
      </c>
      <c t="s" s="6" r="AM679">
        <v>92</v>
      </c>
      <c t="s" s="6" r="AN679">
        <v>92</v>
      </c>
      <c s="6" r="AP679">
        <v>2</v>
      </c>
      <c t="s" s="6" r="AR679">
        <v>5273</v>
      </c>
      <c s="6" r="AS679">
        <v>0</v>
      </c>
      <c s="6" r="AT679">
        <v>0</v>
      </c>
      <c s="6" r="AU679">
        <v>0</v>
      </c>
      <c s="6" r="AV679">
        <v>0</v>
      </c>
      <c s="6" r="AW679">
        <v>0</v>
      </c>
      <c s="6" r="AX679">
        <v>0</v>
      </c>
      <c s="6" r="AY679">
        <v>0</v>
      </c>
      <c s="6" r="AZ679">
        <v>0</v>
      </c>
      <c s="6" r="BA679">
        <v>0</v>
      </c>
      <c s="6" r="BB679">
        <v>0</v>
      </c>
      <c s="6" r="BC679">
        <v>0</v>
      </c>
      <c s="6" r="BD679">
        <v>0</v>
      </c>
      <c s="6" r="BE679">
        <v>0</v>
      </c>
      <c s="6" r="BF679">
        <v>0</v>
      </c>
      <c s="6" r="BG679">
        <v>0</v>
      </c>
      <c s="6" r="BH679">
        <v>0</v>
      </c>
      <c s="6" r="BI679">
        <v>0</v>
      </c>
      <c s="6" r="BJ679">
        <v>0</v>
      </c>
      <c s="6" r="BK679">
        <v>0</v>
      </c>
      <c s="6" r="BL679">
        <v>0</v>
      </c>
      <c s="6" r="BM679">
        <v>0</v>
      </c>
      <c s="6" r="BN679">
        <v>0</v>
      </c>
      <c s="6" r="BO679">
        <v>0</v>
      </c>
      <c s="6" r="BP679">
        <v>0</v>
      </c>
      <c s="6" r="BQ679">
        <v>0</v>
      </c>
      <c t="str" s="6" r="BR679">
        <f>HYPERLINK("http://www.d20pfsrd.com/magic/all-spells/a/arrow-eruption","Arrow Eruption")</f>
        <v>Arrow Eruption</v>
      </c>
      <c s="6" r="BS679">
        <v>689</v>
      </c>
      <c t="s" s="6" r="BT679">
        <v>92</v>
      </c>
      <c s="6" r="BY679">
        <v>0</v>
      </c>
    </row>
    <row customHeight="1" r="680" ht="14.25">
      <c t="s" s="6" r="A680">
        <v>5274</v>
      </c>
      <c t="s" s="6" r="B680">
        <v>131</v>
      </c>
      <c t="s" s="6" r="C680">
        <v>152</v>
      </c>
      <c t="s" s="6" r="E680">
        <v>4295</v>
      </c>
      <c t="s" s="6" r="F680">
        <v>81</v>
      </c>
      <c t="s" s="6" r="G680">
        <v>119</v>
      </c>
      <c s="6" r="H680">
        <v>0</v>
      </c>
      <c t="s" s="6" r="I680">
        <v>155</v>
      </c>
      <c t="s" s="6" r="L680">
        <v>156</v>
      </c>
      <c t="s" s="6" r="M680">
        <v>2718</v>
      </c>
      <c s="6" r="N680">
        <v>0</v>
      </c>
      <c s="6" r="O680">
        <v>0</v>
      </c>
      <c t="s" s="6" r="R680">
        <v>5275</v>
      </c>
      <c t="s" s="6" r="S680">
        <v>5276</v>
      </c>
      <c t="s" s="6" r="T680">
        <v>5200</v>
      </c>
      <c t="s" s="6" r="U680">
        <v>5277</v>
      </c>
      <c s="6" r="V680">
        <v>1</v>
      </c>
      <c s="6" r="W680">
        <v>1</v>
      </c>
      <c s="6" r="X680">
        <v>0</v>
      </c>
      <c s="6" r="Y680">
        <v>0</v>
      </c>
      <c s="6" r="Z680">
        <v>1</v>
      </c>
      <c t="s" s="6" r="AA680">
        <v>92</v>
      </c>
      <c t="s" s="6" r="AB680">
        <v>92</v>
      </c>
      <c t="s" s="6" r="AC680">
        <v>92</v>
      </c>
      <c s="6" r="AD680">
        <v>2</v>
      </c>
      <c s="6" r="AE680">
        <v>2</v>
      </c>
      <c t="s" s="6" r="AF680">
        <v>92</v>
      </c>
      <c t="s" s="6" r="AG680">
        <v>92</v>
      </c>
      <c t="s" s="6" r="AH680">
        <v>92</v>
      </c>
      <c t="s" s="6" r="AI680">
        <v>92</v>
      </c>
      <c t="s" s="6" r="AJ680">
        <v>92</v>
      </c>
      <c t="s" s="6" r="AK680">
        <v>92</v>
      </c>
      <c t="s" s="6" r="AL680">
        <v>92</v>
      </c>
      <c t="s" s="6" r="AM680">
        <v>92</v>
      </c>
      <c t="s" s="6" r="AN680">
        <v>92</v>
      </c>
      <c s="6" r="AP680">
        <v>2</v>
      </c>
      <c t="s" s="6" r="AR680">
        <v>5278</v>
      </c>
      <c s="6" r="AS680">
        <v>0</v>
      </c>
      <c s="6" r="AT680">
        <v>0</v>
      </c>
      <c s="6" r="AU680">
        <v>0</v>
      </c>
      <c s="6" r="AV680">
        <v>0</v>
      </c>
      <c s="6" r="AW680">
        <v>0</v>
      </c>
      <c s="6" r="AX680">
        <v>0</v>
      </c>
      <c s="6" r="AY680">
        <v>0</v>
      </c>
      <c s="6" r="AZ680">
        <v>0</v>
      </c>
      <c s="6" r="BA680">
        <v>0</v>
      </c>
      <c s="6" r="BB680">
        <v>0</v>
      </c>
      <c s="6" r="BC680">
        <v>0</v>
      </c>
      <c s="6" r="BD680">
        <v>0</v>
      </c>
      <c s="6" r="BE680">
        <v>0</v>
      </c>
      <c s="6" r="BF680">
        <v>0</v>
      </c>
      <c s="6" r="BG680">
        <v>0</v>
      </c>
      <c s="6" r="BH680">
        <v>0</v>
      </c>
      <c s="6" r="BI680">
        <v>0</v>
      </c>
      <c s="6" r="BJ680">
        <v>0</v>
      </c>
      <c s="6" r="BK680">
        <v>0</v>
      </c>
      <c s="6" r="BL680">
        <v>0</v>
      </c>
      <c s="6" r="BM680">
        <v>0</v>
      </c>
      <c s="6" r="BN680">
        <v>0</v>
      </c>
      <c s="6" r="BO680">
        <v>0</v>
      </c>
      <c s="6" r="BP680">
        <v>0</v>
      </c>
      <c s="6" r="BQ680">
        <v>0</v>
      </c>
      <c t="str" s="6" r="BR680">
        <f>HYPERLINK("http://www.d20pfsrd.com/magic/all-spells/a/aspect-of-the-bear","Aspect of the Bear")</f>
        <v>Aspect of the Bear</v>
      </c>
      <c s="6" r="BS680">
        <v>690</v>
      </c>
      <c t="s" s="6" r="BT680">
        <v>92</v>
      </c>
      <c s="6" r="BY680">
        <v>0</v>
      </c>
    </row>
    <row customHeight="1" r="681" ht="14.25">
      <c t="s" s="6" r="A681">
        <v>5279</v>
      </c>
      <c t="s" s="6" r="B681">
        <v>131</v>
      </c>
      <c t="s" s="6" r="C681">
        <v>152</v>
      </c>
      <c t="s" s="6" r="E681">
        <v>656</v>
      </c>
      <c t="s" s="6" r="F681">
        <v>81</v>
      </c>
      <c t="s" s="6" r="G681">
        <v>119</v>
      </c>
      <c s="6" r="H681">
        <v>0</v>
      </c>
      <c t="s" s="6" r="I681">
        <v>155</v>
      </c>
      <c t="s" s="6" r="L681">
        <v>156</v>
      </c>
      <c t="s" s="6" r="M681">
        <v>2718</v>
      </c>
      <c s="6" r="N681">
        <v>0</v>
      </c>
      <c s="6" r="O681">
        <v>0</v>
      </c>
      <c t="s" s="6" r="R681">
        <v>5280</v>
      </c>
      <c t="s" s="6" r="S681">
        <v>5281</v>
      </c>
      <c t="s" s="6" r="T681">
        <v>5200</v>
      </c>
      <c t="s" s="6" r="U681">
        <v>5282</v>
      </c>
      <c s="6" r="V681">
        <v>1</v>
      </c>
      <c s="6" r="W681">
        <v>1</v>
      </c>
      <c s="6" r="X681">
        <v>0</v>
      </c>
      <c s="6" r="Y681">
        <v>0</v>
      </c>
      <c s="6" r="Z681">
        <v>1</v>
      </c>
      <c t="s" s="6" r="AA681">
        <v>92</v>
      </c>
      <c t="s" s="6" r="AB681">
        <v>92</v>
      </c>
      <c t="s" s="6" r="AC681">
        <v>92</v>
      </c>
      <c s="6" r="AD681">
        <v>1</v>
      </c>
      <c s="6" r="AE681">
        <v>1</v>
      </c>
      <c t="s" s="6" r="AF681">
        <v>92</v>
      </c>
      <c t="s" s="6" r="AG681">
        <v>92</v>
      </c>
      <c t="s" s="6" r="AH681">
        <v>92</v>
      </c>
      <c t="s" s="6" r="AI681">
        <v>92</v>
      </c>
      <c t="s" s="6" r="AJ681">
        <v>92</v>
      </c>
      <c t="s" s="6" r="AK681">
        <v>92</v>
      </c>
      <c t="s" s="6" r="AL681">
        <v>92</v>
      </c>
      <c t="s" s="6" r="AM681">
        <v>92</v>
      </c>
      <c t="s" s="6" r="AN681">
        <v>92</v>
      </c>
      <c s="6" r="AP681">
        <v>1</v>
      </c>
      <c t="s" s="6" r="AR681">
        <v>5283</v>
      </c>
      <c s="6" r="AS681">
        <v>0</v>
      </c>
      <c s="6" r="AT681">
        <v>0</v>
      </c>
      <c s="6" r="AU681">
        <v>0</v>
      </c>
      <c s="6" r="AV681">
        <v>0</v>
      </c>
      <c s="6" r="AW681">
        <v>0</v>
      </c>
      <c s="6" r="AX681">
        <v>0</v>
      </c>
      <c s="6" r="AY681">
        <v>0</v>
      </c>
      <c s="6" r="AZ681">
        <v>0</v>
      </c>
      <c s="6" r="BA681">
        <v>0</v>
      </c>
      <c s="6" r="BB681">
        <v>0</v>
      </c>
      <c s="6" r="BC681">
        <v>0</v>
      </c>
      <c s="6" r="BD681">
        <v>0</v>
      </c>
      <c s="6" r="BE681">
        <v>0</v>
      </c>
      <c s="6" r="BF681">
        <v>0</v>
      </c>
      <c s="6" r="BG681">
        <v>0</v>
      </c>
      <c s="6" r="BH681">
        <v>0</v>
      </c>
      <c s="6" r="BI681">
        <v>0</v>
      </c>
      <c s="6" r="BJ681">
        <v>0</v>
      </c>
      <c s="6" r="BK681">
        <v>0</v>
      </c>
      <c s="6" r="BL681">
        <v>0</v>
      </c>
      <c s="6" r="BM681">
        <v>0</v>
      </c>
      <c s="6" r="BN681">
        <v>0</v>
      </c>
      <c s="6" r="BO681">
        <v>0</v>
      </c>
      <c s="6" r="BP681">
        <v>0</v>
      </c>
      <c s="6" r="BQ681">
        <v>0</v>
      </c>
      <c t="str" s="6" r="BR681">
        <f>HYPERLINK("http://www.d20pfsrd.com/magic/all-spells/a/aspect-of-the-falcon","Aspect of the Falcon")</f>
        <v>Aspect of the Falcon</v>
      </c>
      <c s="6" r="BS681">
        <v>691</v>
      </c>
      <c t="s" s="6" r="BT681">
        <v>92</v>
      </c>
      <c s="6" r="BY681">
        <v>0</v>
      </c>
    </row>
    <row customHeight="1" r="682" ht="14.25">
      <c t="s" s="6" r="A682">
        <v>5284</v>
      </c>
      <c t="s" s="6" r="B682">
        <v>131</v>
      </c>
      <c t="s" s="6" r="C682">
        <v>152</v>
      </c>
      <c t="s" s="6" r="E682">
        <v>859</v>
      </c>
      <c t="s" s="6" r="F682">
        <v>81</v>
      </c>
      <c t="s" s="6" r="G682">
        <v>119</v>
      </c>
      <c s="6" r="H682">
        <v>0</v>
      </c>
      <c t="s" s="6" r="I682">
        <v>155</v>
      </c>
      <c t="s" s="6" r="L682">
        <v>156</v>
      </c>
      <c t="s" s="6" r="M682">
        <v>2718</v>
      </c>
      <c s="6" r="N682">
        <v>0</v>
      </c>
      <c s="6" r="O682">
        <v>0</v>
      </c>
      <c t="s" s="6" r="R682">
        <v>5285</v>
      </c>
      <c t="s" s="6" r="S682">
        <v>5286</v>
      </c>
      <c t="s" s="6" r="T682">
        <v>5200</v>
      </c>
      <c t="s" s="6" r="U682">
        <v>5287</v>
      </c>
      <c s="6" r="V682">
        <v>1</v>
      </c>
      <c s="6" r="W682">
        <v>1</v>
      </c>
      <c s="6" r="X682">
        <v>0</v>
      </c>
      <c s="6" r="Y682">
        <v>0</v>
      </c>
      <c s="6" r="Z682">
        <v>1</v>
      </c>
      <c t="s" s="6" r="AA682">
        <v>92</v>
      </c>
      <c t="s" s="6" r="AB682">
        <v>92</v>
      </c>
      <c t="s" s="6" r="AC682">
        <v>92</v>
      </c>
      <c s="6" r="AD682">
        <v>4</v>
      </c>
      <c s="6" r="AE682">
        <v>3</v>
      </c>
      <c t="s" s="6" r="AF682">
        <v>92</v>
      </c>
      <c t="s" s="6" r="AG682">
        <v>92</v>
      </c>
      <c t="s" s="6" r="AH682">
        <v>92</v>
      </c>
      <c t="s" s="6" r="AI682">
        <v>92</v>
      </c>
      <c t="s" s="6" r="AJ682">
        <v>92</v>
      </c>
      <c t="s" s="6" r="AK682">
        <v>92</v>
      </c>
      <c t="s" s="6" r="AL682">
        <v>92</v>
      </c>
      <c t="s" s="6" r="AM682">
        <v>92</v>
      </c>
      <c t="s" s="6" r="AN682">
        <v>92</v>
      </c>
      <c s="6" r="AP682">
        <v>4</v>
      </c>
      <c t="s" s="6" r="AR682">
        <v>5288</v>
      </c>
      <c s="6" r="AS682">
        <v>0</v>
      </c>
      <c s="6" r="AT682">
        <v>0</v>
      </c>
      <c s="6" r="AU682">
        <v>0</v>
      </c>
      <c s="6" r="AV682">
        <v>0</v>
      </c>
      <c s="6" r="AW682">
        <v>0</v>
      </c>
      <c s="6" r="AX682">
        <v>0</v>
      </c>
      <c s="6" r="AY682">
        <v>0</v>
      </c>
      <c s="6" r="AZ682">
        <v>0</v>
      </c>
      <c s="6" r="BA682">
        <v>0</v>
      </c>
      <c s="6" r="BB682">
        <v>0</v>
      </c>
      <c s="6" r="BC682">
        <v>0</v>
      </c>
      <c s="6" r="BD682">
        <v>0</v>
      </c>
      <c s="6" r="BE682">
        <v>0</v>
      </c>
      <c s="6" r="BF682">
        <v>0</v>
      </c>
      <c s="6" r="BG682">
        <v>0</v>
      </c>
      <c s="6" r="BH682">
        <v>0</v>
      </c>
      <c s="6" r="BI682">
        <v>0</v>
      </c>
      <c s="6" r="BJ682">
        <v>0</v>
      </c>
      <c s="6" r="BK682">
        <v>0</v>
      </c>
      <c s="6" r="BL682">
        <v>0</v>
      </c>
      <c s="6" r="BM682">
        <v>0</v>
      </c>
      <c s="6" r="BN682">
        <v>0</v>
      </c>
      <c s="6" r="BO682">
        <v>0</v>
      </c>
      <c s="6" r="BP682">
        <v>0</v>
      </c>
      <c s="6" r="BQ682">
        <v>0</v>
      </c>
      <c t="str" s="6" r="BR682">
        <f>HYPERLINK("http://www.d20pfsrd.com/magic/all-spells/a/aspect-of-the-stag","Aspect of the Stag")</f>
        <v>Aspect of the Stag</v>
      </c>
      <c s="6" r="BS682">
        <v>692</v>
      </c>
      <c t="s" s="6" r="BT682">
        <v>92</v>
      </c>
      <c s="6" r="BY682">
        <v>0</v>
      </c>
    </row>
    <row customHeight="1" r="683" ht="14.25">
      <c t="s" s="6" r="A683">
        <v>5289</v>
      </c>
      <c t="s" s="6" r="B683">
        <v>131</v>
      </c>
      <c t="s" s="6" r="C683">
        <v>152</v>
      </c>
      <c t="s" s="6" r="E683">
        <v>881</v>
      </c>
      <c t="s" s="6" r="F683">
        <v>81</v>
      </c>
      <c t="s" s="6" r="G683">
        <v>119</v>
      </c>
      <c s="6" r="H683">
        <v>0</v>
      </c>
      <c t="s" s="6" r="I683">
        <v>155</v>
      </c>
      <c t="s" s="6" r="L683">
        <v>156</v>
      </c>
      <c t="s" s="6" r="M683">
        <v>2718</v>
      </c>
      <c s="6" r="N683">
        <v>0</v>
      </c>
      <c s="6" r="O683">
        <v>0</v>
      </c>
      <c t="s" s="6" r="R683">
        <v>5290</v>
      </c>
      <c t="s" s="6" r="S683">
        <v>5291</v>
      </c>
      <c t="s" s="6" r="T683">
        <v>5200</v>
      </c>
      <c t="s" s="6" r="U683">
        <v>5292</v>
      </c>
      <c s="6" r="V683">
        <v>1</v>
      </c>
      <c s="6" r="W683">
        <v>1</v>
      </c>
      <c s="6" r="X683">
        <v>0</v>
      </c>
      <c s="6" r="Y683">
        <v>0</v>
      </c>
      <c s="6" r="Z683">
        <v>1</v>
      </c>
      <c t="s" s="6" r="AA683">
        <v>92</v>
      </c>
      <c t="s" s="6" r="AB683">
        <v>92</v>
      </c>
      <c t="s" s="6" r="AC683">
        <v>92</v>
      </c>
      <c s="6" r="AD683">
        <v>5</v>
      </c>
      <c s="6" r="AE683">
        <v>4</v>
      </c>
      <c t="s" s="6" r="AF683">
        <v>92</v>
      </c>
      <c t="s" s="6" r="AG683">
        <v>92</v>
      </c>
      <c t="s" s="6" r="AH683">
        <v>92</v>
      </c>
      <c t="s" s="6" r="AI683">
        <v>92</v>
      </c>
      <c t="s" s="6" r="AJ683">
        <v>92</v>
      </c>
      <c t="s" s="6" r="AK683">
        <v>92</v>
      </c>
      <c t="s" s="6" r="AL683">
        <v>92</v>
      </c>
      <c t="s" s="6" r="AM683">
        <v>92</v>
      </c>
      <c t="s" s="6" r="AN683">
        <v>92</v>
      </c>
      <c s="6" r="AP683">
        <v>5</v>
      </c>
      <c t="s" s="6" r="AR683">
        <v>5293</v>
      </c>
      <c s="6" r="AS683">
        <v>0</v>
      </c>
      <c s="6" r="AT683">
        <v>0</v>
      </c>
      <c s="6" r="AU683">
        <v>0</v>
      </c>
      <c s="6" r="AV683">
        <v>0</v>
      </c>
      <c s="6" r="AW683">
        <v>0</v>
      </c>
      <c s="6" r="AX683">
        <v>0</v>
      </c>
      <c s="6" r="AY683">
        <v>0</v>
      </c>
      <c s="6" r="AZ683">
        <v>0</v>
      </c>
      <c s="6" r="BA683">
        <v>0</v>
      </c>
      <c s="6" r="BB683">
        <v>0</v>
      </c>
      <c s="6" r="BC683">
        <v>0</v>
      </c>
      <c s="6" r="BD683">
        <v>0</v>
      </c>
      <c s="6" r="BE683">
        <v>0</v>
      </c>
      <c s="6" r="BF683">
        <v>0</v>
      </c>
      <c s="6" r="BG683">
        <v>0</v>
      </c>
      <c s="6" r="BH683">
        <v>0</v>
      </c>
      <c s="6" r="BI683">
        <v>0</v>
      </c>
      <c s="6" r="BJ683">
        <v>0</v>
      </c>
      <c s="6" r="BK683">
        <v>0</v>
      </c>
      <c s="6" r="BL683">
        <v>0</v>
      </c>
      <c s="6" r="BM683">
        <v>0</v>
      </c>
      <c s="6" r="BN683">
        <v>0</v>
      </c>
      <c s="6" r="BO683">
        <v>0</v>
      </c>
      <c s="6" r="BP683">
        <v>0</v>
      </c>
      <c s="6" r="BQ683">
        <v>0</v>
      </c>
      <c t="str" s="6" r="BR683">
        <f>HYPERLINK("http://www.d20pfsrd.com/magic/all-spells/a/aspect-of-the-wolf","Aspect of the Wolf")</f>
        <v>Aspect of the Wolf</v>
      </c>
      <c s="6" r="BS683">
        <v>693</v>
      </c>
      <c t="s" s="6" r="BT683">
        <v>92</v>
      </c>
      <c t="s" s="6" r="BV683">
        <v>1152</v>
      </c>
      <c s="6" r="BY683">
        <v>0</v>
      </c>
    </row>
    <row customHeight="1" r="684" ht="14.25">
      <c t="s" s="6" r="A684">
        <v>5294</v>
      </c>
      <c t="s" s="6" r="B684">
        <v>162</v>
      </c>
      <c t="s" s="6" r="D684">
        <v>54</v>
      </c>
      <c t="s" s="6" r="E684">
        <v>5295</v>
      </c>
      <c t="s" s="6" r="F684">
        <v>81</v>
      </c>
      <c t="s" s="6" r="G684">
        <v>119</v>
      </c>
      <c s="6" r="H684">
        <v>0</v>
      </c>
      <c t="s" s="6" r="I684">
        <v>155</v>
      </c>
      <c t="s" s="6" r="J684">
        <v>3603</v>
      </c>
      <c t="s" s="6" r="M684">
        <v>5296</v>
      </c>
      <c s="6" r="N684">
        <v>0</v>
      </c>
      <c s="6" r="O684">
        <v>0</v>
      </c>
      <c t="s" s="6" r="P684">
        <v>421</v>
      </c>
      <c t="s" s="6" r="Q684">
        <v>123</v>
      </c>
      <c t="s" s="6" r="R684">
        <v>5297</v>
      </c>
      <c t="s" s="6" r="S684">
        <v>5298</v>
      </c>
      <c t="s" s="6" r="T684">
        <v>5200</v>
      </c>
      <c t="s" s="6" r="U684">
        <v>5299</v>
      </c>
      <c s="6" r="V684">
        <v>1</v>
      </c>
      <c s="6" r="W684">
        <v>1</v>
      </c>
      <c s="6" r="X684">
        <v>0</v>
      </c>
      <c s="6" r="Y684">
        <v>0</v>
      </c>
      <c s="6" r="Z684">
        <v>1</v>
      </c>
      <c t="s" s="6" r="AA684">
        <v>92</v>
      </c>
      <c t="s" s="6" r="AB684">
        <v>92</v>
      </c>
      <c t="s" s="6" r="AC684">
        <v>92</v>
      </c>
      <c t="s" s="6" r="AD684">
        <v>92</v>
      </c>
      <c t="s" s="6" r="AE684">
        <v>92</v>
      </c>
      <c t="s" s="6" r="AF684">
        <v>92</v>
      </c>
      <c s="6" r="AG684">
        <v>2</v>
      </c>
      <c t="s" s="6" r="AH684">
        <v>92</v>
      </c>
      <c t="s" s="6" r="AI684">
        <v>92</v>
      </c>
      <c t="s" s="6" r="AJ684">
        <v>92</v>
      </c>
      <c t="s" s="6" r="AK684">
        <v>92</v>
      </c>
      <c t="s" s="6" r="AL684">
        <v>92</v>
      </c>
      <c t="s" s="6" r="AM684">
        <v>92</v>
      </c>
      <c t="s" s="6" r="AN684">
        <v>92</v>
      </c>
      <c s="6" r="AP684">
        <v>2</v>
      </c>
      <c t="s" s="6" r="AR684">
        <v>5300</v>
      </c>
      <c s="6" r="AS684">
        <v>0</v>
      </c>
      <c s="6" r="AT684">
        <v>0</v>
      </c>
      <c s="6" r="AU684">
        <v>0</v>
      </c>
      <c s="6" r="AV684">
        <v>0</v>
      </c>
      <c s="6" r="AW684">
        <v>0</v>
      </c>
      <c s="6" r="AX684">
        <v>0</v>
      </c>
      <c s="6" r="AY684">
        <v>0</v>
      </c>
      <c s="6" r="AZ684">
        <v>0</v>
      </c>
      <c s="6" r="BA684">
        <v>0</v>
      </c>
      <c s="6" r="BB684">
        <v>0</v>
      </c>
      <c s="6" r="BC684">
        <v>1</v>
      </c>
      <c s="6" r="BD684">
        <v>0</v>
      </c>
      <c s="6" r="BE684">
        <v>0</v>
      </c>
      <c s="6" r="BF684">
        <v>0</v>
      </c>
      <c s="6" r="BG684">
        <v>0</v>
      </c>
      <c s="6" r="BH684">
        <v>0</v>
      </c>
      <c s="6" r="BI684">
        <v>0</v>
      </c>
      <c s="6" r="BJ684">
        <v>0</v>
      </c>
      <c s="6" r="BK684">
        <v>0</v>
      </c>
      <c s="6" r="BL684">
        <v>0</v>
      </c>
      <c s="6" r="BM684">
        <v>0</v>
      </c>
      <c s="6" r="BN684">
        <v>0</v>
      </c>
      <c s="6" r="BO684">
        <v>0</v>
      </c>
      <c s="6" r="BP684">
        <v>0</v>
      </c>
      <c s="6" r="BQ684">
        <v>0</v>
      </c>
      <c t="str" s="6" r="BR684">
        <f>HYPERLINK("http://www.d20pfsrd.com/magic/all-spells/a/aura-of-greater-courage","Aura of Greater Courage")</f>
        <v>Aura of Greater Courage</v>
      </c>
      <c s="6" r="BS684">
        <v>694</v>
      </c>
      <c t="s" s="6" r="BT684">
        <v>92</v>
      </c>
      <c s="6" r="BY684">
        <v>0</v>
      </c>
    </row>
    <row customHeight="1" r="685" ht="14.25">
      <c t="s" s="6" r="A685">
        <v>5301</v>
      </c>
      <c t="s" s="6" r="B685">
        <v>493</v>
      </c>
      <c t="s" s="6" r="D685">
        <v>5302</v>
      </c>
      <c t="s" s="6" r="E685">
        <v>5303</v>
      </c>
      <c t="s" s="6" r="F685">
        <v>81</v>
      </c>
      <c t="s" s="6" r="G685">
        <v>5304</v>
      </c>
      <c s="6" r="H685">
        <v>0</v>
      </c>
      <c t="s" s="6" r="I685">
        <v>97</v>
      </c>
      <c t="s" s="6" r="K685">
        <v>5305</v>
      </c>
      <c t="s" s="6" r="M685">
        <v>99</v>
      </c>
      <c s="6" r="N685">
        <v>0</v>
      </c>
      <c s="6" r="O685">
        <v>0</v>
      </c>
      <c t="s" s="6" r="P685">
        <v>1865</v>
      </c>
      <c t="s" s="6" r="Q685">
        <v>188</v>
      </c>
      <c t="s" s="6" r="R685">
        <v>5306</v>
      </c>
      <c t="s" s="6" r="S685">
        <v>5307</v>
      </c>
      <c t="s" s="6" r="T685">
        <v>5200</v>
      </c>
      <c t="s" s="6" r="U685">
        <v>5308</v>
      </c>
      <c s="6" r="V685">
        <v>1</v>
      </c>
      <c s="6" r="W685">
        <v>1</v>
      </c>
      <c s="6" r="X685">
        <v>1</v>
      </c>
      <c s="6" r="Y685">
        <v>0</v>
      </c>
      <c s="6" r="Z685">
        <v>1</v>
      </c>
      <c s="6" r="AA685">
        <v>4</v>
      </c>
      <c s="6" r="AB685">
        <v>4</v>
      </c>
      <c t="s" s="6" r="AC685">
        <v>92</v>
      </c>
      <c s="6" r="AD685">
        <v>4</v>
      </c>
      <c t="s" s="6" r="AE685">
        <v>92</v>
      </c>
      <c t="s" s="6" r="AF685">
        <v>92</v>
      </c>
      <c t="s" s="6" r="AG685">
        <v>92</v>
      </c>
      <c t="s" s="6" r="AH685">
        <v>92</v>
      </c>
      <c t="s" s="6" r="AI685">
        <v>92</v>
      </c>
      <c t="s" s="6" r="AJ685">
        <v>92</v>
      </c>
      <c t="s" s="6" r="AK685">
        <v>92</v>
      </c>
      <c t="s" s="6" r="AL685">
        <v>92</v>
      </c>
      <c t="s" s="6" r="AM685">
        <v>92</v>
      </c>
      <c s="6" r="AN685">
        <v>4</v>
      </c>
      <c s="6" r="AP685">
        <v>4</v>
      </c>
      <c t="s" s="6" r="AR685">
        <v>5309</v>
      </c>
      <c s="6" r="AS685">
        <v>0</v>
      </c>
      <c s="6" r="AT685">
        <v>1</v>
      </c>
      <c s="6" r="AU685">
        <v>0</v>
      </c>
      <c s="6" r="AV685">
        <v>0</v>
      </c>
      <c s="6" r="AW685">
        <v>0</v>
      </c>
      <c s="6" r="AX685">
        <v>0</v>
      </c>
      <c s="6" r="AY685">
        <v>0</v>
      </c>
      <c s="6" r="AZ685">
        <v>0</v>
      </c>
      <c s="6" r="BA685">
        <v>0</v>
      </c>
      <c s="6" r="BB685">
        <v>1</v>
      </c>
      <c s="6" r="BC685">
        <v>0</v>
      </c>
      <c s="6" r="BD685">
        <v>0</v>
      </c>
      <c s="6" r="BE685">
        <v>0</v>
      </c>
      <c s="6" r="BF685">
        <v>0</v>
      </c>
      <c s="6" r="BG685">
        <v>0</v>
      </c>
      <c s="6" r="BH685">
        <v>0</v>
      </c>
      <c s="6" r="BI685">
        <v>0</v>
      </c>
      <c s="6" r="BJ685">
        <v>0</v>
      </c>
      <c s="6" r="BK685">
        <v>0</v>
      </c>
      <c s="6" r="BL685">
        <v>0</v>
      </c>
      <c s="6" r="BM685">
        <v>0</v>
      </c>
      <c s="6" r="BN685">
        <v>0</v>
      </c>
      <c s="6" r="BO685">
        <v>0</v>
      </c>
      <c s="6" r="BP685">
        <v>0</v>
      </c>
      <c s="6" r="BQ685">
        <v>0</v>
      </c>
      <c t="str" s="6" r="BR685">
        <f>HYPERLINK("http://www.d20pfsrd.com/magic/all-spells/b/ball-lightning","Ball Lightning")</f>
        <v>Ball Lightning</v>
      </c>
      <c s="6" r="BS685">
        <v>695</v>
      </c>
      <c t="s" s="6" r="BT685">
        <v>92</v>
      </c>
      <c s="6" r="BY685">
        <v>0</v>
      </c>
    </row>
    <row customHeight="1" r="686" ht="14.25">
      <c t="s" s="6" r="A686">
        <v>5310</v>
      </c>
      <c t="s" s="6" r="B686">
        <v>162</v>
      </c>
      <c t="s" s="6" r="E686">
        <v>5311</v>
      </c>
      <c t="s" s="6" r="F686">
        <v>81</v>
      </c>
      <c t="s" s="6" r="G686">
        <v>5312</v>
      </c>
      <c s="6" r="H686">
        <v>0</v>
      </c>
      <c t="s" s="6" r="I686">
        <v>120</v>
      </c>
      <c t="s" s="6" r="L686">
        <v>1380</v>
      </c>
      <c t="s" s="6" r="M686">
        <v>5313</v>
      </c>
      <c s="6" r="N686">
        <v>0</v>
      </c>
      <c s="6" r="O686">
        <v>0</v>
      </c>
      <c t="s" s="6" r="P686">
        <v>86</v>
      </c>
      <c t="s" s="6" r="Q686">
        <v>87</v>
      </c>
      <c t="s" s="6" r="R686">
        <v>5314</v>
      </c>
      <c t="s" s="6" r="S686">
        <v>5315</v>
      </c>
      <c t="s" s="6" r="T686">
        <v>5200</v>
      </c>
      <c t="s" s="6" r="U686">
        <v>5316</v>
      </c>
      <c s="6" r="V686">
        <v>1</v>
      </c>
      <c s="6" r="W686">
        <v>1</v>
      </c>
      <c s="6" r="X686">
        <v>1</v>
      </c>
      <c s="6" r="Y686">
        <v>0</v>
      </c>
      <c s="6" r="Z686">
        <v>0</v>
      </c>
      <c t="s" s="6" r="AA686">
        <v>92</v>
      </c>
      <c t="s" s="6" r="AB686">
        <v>92</v>
      </c>
      <c t="s" s="6" r="AC686">
        <v>92</v>
      </c>
      <c t="s" s="6" r="AD686">
        <v>92</v>
      </c>
      <c t="s" s="6" r="AE686">
        <v>92</v>
      </c>
      <c t="s" s="6" r="AF686">
        <v>92</v>
      </c>
      <c t="s" s="6" r="AG686">
        <v>92</v>
      </c>
      <c t="s" s="6" r="AH686">
        <v>92</v>
      </c>
      <c t="s" s="6" r="AI686">
        <v>92</v>
      </c>
      <c s="6" r="AJ686">
        <v>5</v>
      </c>
      <c s="6" r="AK686">
        <v>3</v>
      </c>
      <c t="s" s="6" r="AL686">
        <v>92</v>
      </c>
      <c t="s" s="6" r="AM686">
        <v>92</v>
      </c>
      <c t="s" s="6" r="AN686">
        <v>92</v>
      </c>
      <c t="s" s="6" r="AP686">
        <v>92</v>
      </c>
      <c t="s" s="6" r="AR686">
        <v>5317</v>
      </c>
      <c s="6" r="AS686">
        <v>0</v>
      </c>
      <c s="6" r="AT686">
        <v>0</v>
      </c>
      <c s="6" r="AU686">
        <v>0</v>
      </c>
      <c s="6" r="AV686">
        <v>0</v>
      </c>
      <c s="6" r="AW686">
        <v>0</v>
      </c>
      <c s="6" r="AX686">
        <v>0</v>
      </c>
      <c s="6" r="AY686">
        <v>0</v>
      </c>
      <c s="6" r="AZ686">
        <v>0</v>
      </c>
      <c s="6" r="BA686">
        <v>0</v>
      </c>
      <c s="6" r="BB686">
        <v>0</v>
      </c>
      <c s="6" r="BC686">
        <v>0</v>
      </c>
      <c s="6" r="BD686">
        <v>0</v>
      </c>
      <c s="6" r="BE686">
        <v>0</v>
      </c>
      <c s="6" r="BF686">
        <v>0</v>
      </c>
      <c s="6" r="BG686">
        <v>0</v>
      </c>
      <c s="6" r="BH686">
        <v>0</v>
      </c>
      <c s="6" r="BI686">
        <v>0</v>
      </c>
      <c s="6" r="BJ686">
        <v>0</v>
      </c>
      <c s="6" r="BK686">
        <v>0</v>
      </c>
      <c s="6" r="BL686">
        <v>0</v>
      </c>
      <c s="6" r="BM686">
        <v>0</v>
      </c>
      <c s="6" r="BN686">
        <v>0</v>
      </c>
      <c s="6" r="BO686">
        <v>0</v>
      </c>
      <c s="6" r="BP686">
        <v>0</v>
      </c>
      <c s="6" r="BQ686">
        <v>0</v>
      </c>
      <c t="str" s="6" r="BR686">
        <f>HYPERLINK("http://www.d20pfsrd.com/magic/all-spells/b/banish-seeming","Banish Seeming")</f>
        <v>Banish Seeming</v>
      </c>
      <c s="6" r="BS686">
        <v>696</v>
      </c>
      <c t="s" s="6" r="BT686">
        <v>92</v>
      </c>
      <c s="6" r="BY686">
        <v>0</v>
      </c>
    </row>
    <row customHeight="1" r="687" ht="14.25">
      <c t="s" s="6" r="A687">
        <v>5318</v>
      </c>
      <c t="s" s="6" r="B687">
        <v>78</v>
      </c>
      <c t="s" s="6" r="C687">
        <v>1356</v>
      </c>
      <c t="s" s="6" r="E687">
        <v>4038</v>
      </c>
      <c t="s" s="6" r="F687">
        <v>81</v>
      </c>
      <c t="s" s="6" r="G687">
        <v>5319</v>
      </c>
      <c s="6" r="H687">
        <v>0</v>
      </c>
      <c t="s" s="6" r="I687">
        <v>97</v>
      </c>
      <c t="s" s="6" r="L687">
        <v>5320</v>
      </c>
      <c t="s" s="6" r="M687">
        <v>109</v>
      </c>
      <c s="6" r="N687">
        <v>0</v>
      </c>
      <c s="6" r="O687">
        <v>0</v>
      </c>
      <c t="s" s="6" r="P687">
        <v>86</v>
      </c>
      <c t="s" s="6" r="Q687">
        <v>87</v>
      </c>
      <c t="s" s="6" r="R687">
        <v>5321</v>
      </c>
      <c t="s" s="6" r="S687">
        <v>5322</v>
      </c>
      <c t="s" s="6" r="T687">
        <v>5200</v>
      </c>
      <c t="s" s="6" r="U687">
        <v>5323</v>
      </c>
      <c s="6" r="V687">
        <v>1</v>
      </c>
      <c s="6" r="W687">
        <v>1</v>
      </c>
      <c s="6" r="X687">
        <v>1</v>
      </c>
      <c s="6" r="Y687">
        <v>0</v>
      </c>
      <c s="6" r="Z687">
        <v>0</v>
      </c>
      <c t="s" s="6" r="AA687">
        <v>92</v>
      </c>
      <c t="s" s="6" r="AB687">
        <v>92</v>
      </c>
      <c t="s" s="6" r="AC687">
        <v>92</v>
      </c>
      <c t="s" s="6" r="AD687">
        <v>92</v>
      </c>
      <c t="s" s="6" r="AE687">
        <v>92</v>
      </c>
      <c s="6" r="AF687">
        <v>5</v>
      </c>
      <c t="s" s="6" r="AG687">
        <v>92</v>
      </c>
      <c t="s" s="6" r="AH687">
        <v>92</v>
      </c>
      <c t="s" s="6" r="AI687">
        <v>92</v>
      </c>
      <c t="s" s="6" r="AJ687">
        <v>92</v>
      </c>
      <c t="s" s="6" r="AK687">
        <v>92</v>
      </c>
      <c t="s" s="6" r="AL687">
        <v>92</v>
      </c>
      <c t="s" s="6" r="AM687">
        <v>92</v>
      </c>
      <c t="s" s="6" r="AN687">
        <v>92</v>
      </c>
      <c s="6" r="AP687">
        <v>5</v>
      </c>
      <c t="s" s="6" r="AR687">
        <v>5324</v>
      </c>
      <c s="6" r="AS687">
        <v>0</v>
      </c>
      <c s="6" r="AT687">
        <v>0</v>
      </c>
      <c s="6" r="AU687">
        <v>0</v>
      </c>
      <c s="6" r="AV687">
        <v>0</v>
      </c>
      <c s="6" r="AW687">
        <v>0</v>
      </c>
      <c s="6" r="AX687">
        <v>0</v>
      </c>
      <c s="6" r="AY687">
        <v>0</v>
      </c>
      <c s="6" r="AZ687">
        <v>0</v>
      </c>
      <c s="6" r="BA687">
        <v>0</v>
      </c>
      <c s="6" r="BB687">
        <v>0</v>
      </c>
      <c s="6" r="BC687">
        <v>0</v>
      </c>
      <c s="6" r="BD687">
        <v>0</v>
      </c>
      <c s="6" r="BE687">
        <v>0</v>
      </c>
      <c s="6" r="BF687">
        <v>0</v>
      </c>
      <c s="6" r="BG687">
        <v>0</v>
      </c>
      <c s="6" r="BH687">
        <v>0</v>
      </c>
      <c s="6" r="BI687">
        <v>0</v>
      </c>
      <c s="6" r="BJ687">
        <v>0</v>
      </c>
      <c s="6" r="BK687">
        <v>0</v>
      </c>
      <c s="6" r="BL687">
        <v>0</v>
      </c>
      <c s="6" r="BM687">
        <v>0</v>
      </c>
      <c s="6" r="BN687">
        <v>0</v>
      </c>
      <c s="6" r="BO687">
        <v>0</v>
      </c>
      <c s="6" r="BP687">
        <v>0</v>
      </c>
      <c s="6" r="BQ687">
        <v>0</v>
      </c>
      <c t="str" s="6" r="BR687">
        <f>HYPERLINK("http://www.d20pfsrd.com/magic/all-spells/b/bard-s-escape","Bard's Escape")</f>
        <v>Bard's Escape</v>
      </c>
      <c s="6" r="BS687">
        <v>697</v>
      </c>
      <c t="s" s="6" r="BT687">
        <v>92</v>
      </c>
      <c s="6" r="BY687">
        <v>0</v>
      </c>
    </row>
    <row customHeight="1" r="688" ht="14.25">
      <c t="s" s="6" r="A688">
        <v>5325</v>
      </c>
      <c t="s" s="6" r="B688">
        <v>115</v>
      </c>
      <c t="s" s="6" r="C688">
        <v>116</v>
      </c>
      <c t="s" s="6" r="D688">
        <v>117</v>
      </c>
      <c t="s" s="6" r="E688">
        <v>5326</v>
      </c>
      <c t="s" s="6" r="F688">
        <v>81</v>
      </c>
      <c t="s" s="6" r="G688">
        <v>5327</v>
      </c>
      <c s="6" r="H688">
        <v>0</v>
      </c>
      <c t="s" s="6" r="I688">
        <v>4920</v>
      </c>
      <c t="s" s="6" r="L688">
        <v>1235</v>
      </c>
      <c t="s" s="6" r="M688">
        <v>272</v>
      </c>
      <c s="6" r="N688">
        <v>0</v>
      </c>
      <c s="6" r="O688">
        <v>0</v>
      </c>
      <c t="s" s="6" r="P688">
        <v>221</v>
      </c>
      <c t="s" s="6" r="Q688">
        <v>188</v>
      </c>
      <c t="s" s="6" r="R688">
        <v>5328</v>
      </c>
      <c t="s" s="6" r="S688">
        <v>5329</v>
      </c>
      <c t="s" s="6" r="T688">
        <v>5200</v>
      </c>
      <c t="s" s="6" r="U688">
        <v>5330</v>
      </c>
      <c s="6" r="V688">
        <v>1</v>
      </c>
      <c s="6" r="W688">
        <v>1</v>
      </c>
      <c s="6" r="X688">
        <v>0</v>
      </c>
      <c s="6" r="Y688">
        <v>0</v>
      </c>
      <c s="6" r="Z688">
        <v>0</v>
      </c>
      <c t="s" s="6" r="AA688">
        <v>92</v>
      </c>
      <c t="s" s="6" r="AB688">
        <v>92</v>
      </c>
      <c t="s" s="6" r="AC688">
        <v>92</v>
      </c>
      <c t="s" s="6" r="AD688">
        <v>92</v>
      </c>
      <c t="s" s="6" r="AE688">
        <v>92</v>
      </c>
      <c s="6" r="AF688">
        <v>1</v>
      </c>
      <c t="s" s="6" r="AG688">
        <v>92</v>
      </c>
      <c t="s" s="6" r="AH688">
        <v>92</v>
      </c>
      <c t="s" s="6" r="AI688">
        <v>92</v>
      </c>
      <c s="6" r="AJ688">
        <v>1</v>
      </c>
      <c t="s" s="6" r="AK688">
        <v>92</v>
      </c>
      <c t="s" s="6" r="AL688">
        <v>92</v>
      </c>
      <c t="s" s="6" r="AM688">
        <v>92</v>
      </c>
      <c t="s" s="6" r="AN688">
        <v>92</v>
      </c>
      <c s="6" r="AP688">
        <v>1</v>
      </c>
      <c t="s" s="6" r="AR688">
        <v>5331</v>
      </c>
      <c s="6" r="AS688">
        <v>0</v>
      </c>
      <c s="6" r="AT688">
        <v>0</v>
      </c>
      <c s="6" r="AU688">
        <v>0</v>
      </c>
      <c s="6" r="AV688">
        <v>0</v>
      </c>
      <c s="6" r="AW688">
        <v>0</v>
      </c>
      <c s="6" r="AX688">
        <v>0</v>
      </c>
      <c s="6" r="AY688">
        <v>0</v>
      </c>
      <c s="6" r="AZ688">
        <v>0</v>
      </c>
      <c s="6" r="BA688">
        <v>0</v>
      </c>
      <c s="6" r="BB688">
        <v>0</v>
      </c>
      <c s="6" r="BC688">
        <v>0</v>
      </c>
      <c s="6" r="BD688">
        <v>0</v>
      </c>
      <c s="6" r="BE688">
        <v>0</v>
      </c>
      <c s="6" r="BF688">
        <v>0</v>
      </c>
      <c s="6" r="BG688">
        <v>0</v>
      </c>
      <c s="6" r="BH688">
        <v>0</v>
      </c>
      <c s="6" r="BI688">
        <v>0</v>
      </c>
      <c s="6" r="BJ688">
        <v>0</v>
      </c>
      <c s="6" r="BK688">
        <v>0</v>
      </c>
      <c s="6" r="BL688">
        <v>1</v>
      </c>
      <c s="6" r="BM688">
        <v>0</v>
      </c>
      <c s="6" r="BN688">
        <v>0</v>
      </c>
      <c s="6" r="BO688">
        <v>0</v>
      </c>
      <c s="6" r="BP688">
        <v>0</v>
      </c>
      <c s="6" r="BQ688">
        <v>0</v>
      </c>
      <c t="str" s="6" r="BR688">
        <f>HYPERLINK("http://www.d20pfsrd.com/magic/all-spells/b/beguiling-gift","Beguiling Gift")</f>
        <v>Beguiling Gift</v>
      </c>
      <c s="6" r="BS688">
        <v>698</v>
      </c>
      <c t="s" s="6" r="BT688">
        <v>92</v>
      </c>
      <c s="6" r="BY688">
        <v>0</v>
      </c>
    </row>
    <row customHeight="1" r="689" ht="14.25">
      <c t="s" s="6" r="A689">
        <v>5332</v>
      </c>
      <c t="s" s="6" r="B689">
        <v>162</v>
      </c>
      <c t="s" s="6" r="E689">
        <v>5295</v>
      </c>
      <c t="s" s="6" r="F689">
        <v>81</v>
      </c>
      <c t="s" s="6" r="G689">
        <v>119</v>
      </c>
      <c s="6" r="H689">
        <v>0</v>
      </c>
      <c t="s" s="6" r="I689">
        <v>120</v>
      </c>
      <c t="s" s="6" r="L689">
        <v>5333</v>
      </c>
      <c t="s" s="6" r="M689">
        <v>2718</v>
      </c>
      <c s="6" r="N689">
        <v>0</v>
      </c>
      <c s="6" r="O689">
        <v>0</v>
      </c>
      <c t="s" s="6" r="P689">
        <v>5334</v>
      </c>
      <c t="s" s="6" r="Q689">
        <v>123</v>
      </c>
      <c t="s" s="6" r="R689">
        <v>5335</v>
      </c>
      <c t="s" s="6" r="S689">
        <v>5336</v>
      </c>
      <c t="s" s="6" r="T689">
        <v>5200</v>
      </c>
      <c t="s" s="6" r="U689">
        <v>5337</v>
      </c>
      <c s="6" r="V689">
        <v>1</v>
      </c>
      <c s="6" r="W689">
        <v>1</v>
      </c>
      <c s="6" r="X689">
        <v>0</v>
      </c>
      <c s="6" r="Y689">
        <v>0</v>
      </c>
      <c s="6" r="Z689">
        <v>1</v>
      </c>
      <c t="s" s="6" r="AA689">
        <v>92</v>
      </c>
      <c t="s" s="6" r="AB689">
        <v>92</v>
      </c>
      <c t="s" s="6" r="AC689">
        <v>92</v>
      </c>
      <c t="s" s="6" r="AD689">
        <v>92</v>
      </c>
      <c t="s" s="6" r="AE689">
        <v>92</v>
      </c>
      <c t="s" s="6" r="AF689">
        <v>92</v>
      </c>
      <c s="6" r="AG689">
        <v>2</v>
      </c>
      <c t="s" s="6" r="AH689">
        <v>92</v>
      </c>
      <c t="s" s="6" r="AI689">
        <v>92</v>
      </c>
      <c t="s" s="6" r="AJ689">
        <v>92</v>
      </c>
      <c t="s" s="6" r="AK689">
        <v>92</v>
      </c>
      <c t="s" s="6" r="AL689">
        <v>92</v>
      </c>
      <c t="s" s="6" r="AM689">
        <v>92</v>
      </c>
      <c t="s" s="6" r="AN689">
        <v>92</v>
      </c>
      <c s="6" r="AP689">
        <v>2</v>
      </c>
      <c t="s" s="6" r="AR689">
        <v>5338</v>
      </c>
      <c s="6" r="AS689">
        <v>0</v>
      </c>
      <c s="6" r="AT689">
        <v>0</v>
      </c>
      <c s="6" r="AU689">
        <v>0</v>
      </c>
      <c s="6" r="AV689">
        <v>0</v>
      </c>
      <c s="6" r="AW689">
        <v>0</v>
      </c>
      <c s="6" r="AX689">
        <v>0</v>
      </c>
      <c s="6" r="AY689">
        <v>0</v>
      </c>
      <c s="6" r="AZ689">
        <v>0</v>
      </c>
      <c s="6" r="BA689">
        <v>0</v>
      </c>
      <c s="6" r="BB689">
        <v>0</v>
      </c>
      <c s="6" r="BC689">
        <v>0</v>
      </c>
      <c s="6" r="BD689">
        <v>0</v>
      </c>
      <c s="6" r="BE689">
        <v>0</v>
      </c>
      <c s="6" r="BF689">
        <v>0</v>
      </c>
      <c s="6" r="BG689">
        <v>0</v>
      </c>
      <c s="6" r="BH689">
        <v>0</v>
      </c>
      <c s="6" r="BI689">
        <v>0</v>
      </c>
      <c s="6" r="BJ689">
        <v>0</v>
      </c>
      <c s="6" r="BK689">
        <v>0</v>
      </c>
      <c s="6" r="BL689">
        <v>0</v>
      </c>
      <c s="6" r="BM689">
        <v>0</v>
      </c>
      <c s="6" r="BN689">
        <v>0</v>
      </c>
      <c s="6" r="BO689">
        <v>0</v>
      </c>
      <c s="6" r="BP689">
        <v>0</v>
      </c>
      <c s="6" r="BQ689">
        <v>0</v>
      </c>
      <c t="str" s="6" r="BR689">
        <f>HYPERLINK("http://www.d20pfsrd.com/magic/all-spells/b/bestow-grace","Bestow Grace")</f>
        <v>Bestow Grace</v>
      </c>
      <c s="6" r="BS689">
        <v>699</v>
      </c>
      <c t="s" s="6" r="BT689">
        <v>92</v>
      </c>
      <c s="6" r="BY689">
        <v>0</v>
      </c>
    </row>
    <row customHeight="1" r="690" ht="14.25">
      <c t="s" s="6" r="A690">
        <v>5339</v>
      </c>
      <c t="s" s="6" r="B690">
        <v>78</v>
      </c>
      <c t="s" s="6" r="C690">
        <v>598</v>
      </c>
      <c t="s" s="6" r="D690">
        <v>5340</v>
      </c>
      <c t="s" s="6" r="E690">
        <v>2367</v>
      </c>
      <c t="s" s="6" r="F690">
        <v>5341</v>
      </c>
      <c t="s" s="6" r="G690">
        <v>251</v>
      </c>
      <c s="6" r="H690">
        <v>0</v>
      </c>
      <c t="s" s="6" r="J690">
        <v>5342</v>
      </c>
      <c t="s" s="6" r="M690">
        <v>5313</v>
      </c>
      <c s="6" r="N690">
        <v>0</v>
      </c>
      <c s="6" r="O690">
        <v>0</v>
      </c>
      <c t="s" s="6" r="P690">
        <v>296</v>
      </c>
      <c t="s" s="6" r="Q690">
        <v>188</v>
      </c>
      <c t="s" s="6" r="R690">
        <v>5343</v>
      </c>
      <c t="s" s="6" r="S690">
        <v>5344</v>
      </c>
      <c t="s" s="6" r="T690">
        <v>5200</v>
      </c>
      <c t="s" s="6" r="U690">
        <v>5345</v>
      </c>
      <c s="6" r="V690">
        <v>1</v>
      </c>
      <c s="6" r="W690">
        <v>0</v>
      </c>
      <c s="6" r="X690">
        <v>0</v>
      </c>
      <c s="6" r="Y690">
        <v>0</v>
      </c>
      <c s="6" r="Z690">
        <v>0</v>
      </c>
      <c t="s" s="6" r="AA690">
        <v>92</v>
      </c>
      <c t="s" s="6" r="AB690">
        <v>92</v>
      </c>
      <c t="s" s="6" r="AC690">
        <v>92</v>
      </c>
      <c t="s" s="6" r="AD690">
        <v>92</v>
      </c>
      <c t="s" s="6" r="AE690">
        <v>92</v>
      </c>
      <c t="s" s="6" r="AF690">
        <v>92</v>
      </c>
      <c s="6" r="AG690">
        <v>4</v>
      </c>
      <c t="s" s="6" r="AH690">
        <v>92</v>
      </c>
      <c t="s" s="6" r="AI690">
        <v>92</v>
      </c>
      <c t="s" s="6" r="AJ690">
        <v>92</v>
      </c>
      <c t="s" s="6" r="AK690">
        <v>92</v>
      </c>
      <c t="s" s="6" r="AL690">
        <v>92</v>
      </c>
      <c t="s" s="6" r="AM690">
        <v>92</v>
      </c>
      <c t="s" s="6" r="AN690">
        <v>92</v>
      </c>
      <c s="6" r="AP690">
        <v>4</v>
      </c>
      <c t="s" s="6" r="AR690">
        <v>5346</v>
      </c>
      <c s="6" r="AS690">
        <v>0</v>
      </c>
      <c s="6" r="AT690">
        <v>0</v>
      </c>
      <c s="6" r="AU690">
        <v>0</v>
      </c>
      <c s="6" r="AV690">
        <v>0</v>
      </c>
      <c s="6" r="AW690">
        <v>0</v>
      </c>
      <c s="6" r="AX690">
        <v>0</v>
      </c>
      <c s="6" r="AY690">
        <v>0</v>
      </c>
      <c s="6" r="AZ690">
        <v>0</v>
      </c>
      <c s="6" r="BA690">
        <v>0</v>
      </c>
      <c s="6" r="BB690">
        <v>0</v>
      </c>
      <c s="6" r="BC690">
        <v>0</v>
      </c>
      <c s="6" r="BD690">
        <v>0</v>
      </c>
      <c s="6" r="BE690">
        <v>0</v>
      </c>
      <c s="6" r="BF690">
        <v>0</v>
      </c>
      <c s="6" r="BG690">
        <v>0</v>
      </c>
      <c s="6" r="BH690">
        <v>1</v>
      </c>
      <c s="6" r="BI690">
        <v>0</v>
      </c>
      <c s="6" r="BJ690">
        <v>0</v>
      </c>
      <c s="6" r="BK690">
        <v>0</v>
      </c>
      <c s="6" r="BL690">
        <v>1</v>
      </c>
      <c s="6" r="BM690">
        <v>0</v>
      </c>
      <c s="6" r="BN690">
        <v>0</v>
      </c>
      <c s="6" r="BO690">
        <v>0</v>
      </c>
      <c s="6" r="BP690">
        <v>0</v>
      </c>
      <c s="6" r="BQ690">
        <v>0</v>
      </c>
      <c t="str" s="6" r="BR690">
        <f>HYPERLINK("http://www.d20pfsrd.com/magic/all-spells/b/blaze-of-glory","Blaze of Glory")</f>
        <v>Blaze of Glory</v>
      </c>
      <c s="6" r="BS690">
        <v>700</v>
      </c>
      <c t="s" s="6" r="BT690">
        <v>92</v>
      </c>
      <c s="6" r="BY690">
        <v>0</v>
      </c>
    </row>
    <row customHeight="1" r="691" ht="14.25">
      <c t="s" s="6" r="A691">
        <v>5347</v>
      </c>
      <c t="s" s="6" r="B691">
        <v>131</v>
      </c>
      <c t="s" s="6" r="E691">
        <v>5348</v>
      </c>
      <c t="s" s="6" r="F691">
        <v>81</v>
      </c>
      <c t="s" s="6" r="G691">
        <v>119</v>
      </c>
      <c s="6" r="H691">
        <v>0</v>
      </c>
      <c t="s" s="6" r="I691">
        <v>107</v>
      </c>
      <c t="s" s="6" r="L691">
        <v>620</v>
      </c>
      <c t="s" s="6" r="M691">
        <v>99</v>
      </c>
      <c s="6" r="N691">
        <v>0</v>
      </c>
      <c s="6" r="O691">
        <v>0</v>
      </c>
      <c t="s" s="6" r="P691">
        <v>1227</v>
      </c>
      <c t="s" s="6" r="Q691">
        <v>123</v>
      </c>
      <c t="s" s="6" r="R691">
        <v>5349</v>
      </c>
      <c t="s" s="6" r="S691">
        <v>5350</v>
      </c>
      <c t="s" s="6" r="T691">
        <v>5200</v>
      </c>
      <c t="s" s="6" r="U691">
        <v>5351</v>
      </c>
      <c s="6" r="V691">
        <v>1</v>
      </c>
      <c s="6" r="W691">
        <v>1</v>
      </c>
      <c s="6" r="X691">
        <v>0</v>
      </c>
      <c s="6" r="Y691">
        <v>0</v>
      </c>
      <c s="6" r="Z691">
        <v>1</v>
      </c>
      <c t="s" s="6" r="AA691">
        <v>92</v>
      </c>
      <c t="s" s="6" r="AB691">
        <v>92</v>
      </c>
      <c s="6" r="AC691">
        <v>4</v>
      </c>
      <c t="s" s="6" r="AD691">
        <v>92</v>
      </c>
      <c t="s" s="6" r="AE691">
        <v>92</v>
      </c>
      <c t="s" s="6" r="AF691">
        <v>92</v>
      </c>
      <c t="s" s="6" r="AG691">
        <v>92</v>
      </c>
      <c t="s" s="6" r="AH691">
        <v>92</v>
      </c>
      <c t="s" s="6" r="AI691">
        <v>92</v>
      </c>
      <c t="s" s="6" r="AJ691">
        <v>92</v>
      </c>
      <c t="s" s="6" r="AK691">
        <v>92</v>
      </c>
      <c s="6" r="AL691">
        <v>4</v>
      </c>
      <c t="s" s="6" r="AM691">
        <v>92</v>
      </c>
      <c t="s" s="6" r="AN691">
        <v>92</v>
      </c>
      <c s="6" r="AP691">
        <v>4</v>
      </c>
      <c t="s" s="6" r="AR691">
        <v>5352</v>
      </c>
      <c s="6" r="AS691">
        <v>0</v>
      </c>
      <c s="6" r="AT691">
        <v>0</v>
      </c>
      <c s="6" r="AU691">
        <v>0</v>
      </c>
      <c s="6" r="AV691">
        <v>0</v>
      </c>
      <c s="6" r="AW691">
        <v>0</v>
      </c>
      <c s="6" r="AX691">
        <v>0</v>
      </c>
      <c s="6" r="AY691">
        <v>0</v>
      </c>
      <c s="6" r="AZ691">
        <v>0</v>
      </c>
      <c s="6" r="BA691">
        <v>0</v>
      </c>
      <c s="6" r="BB691">
        <v>0</v>
      </c>
      <c s="6" r="BC691">
        <v>0</v>
      </c>
      <c s="6" r="BD691">
        <v>0</v>
      </c>
      <c s="6" r="BE691">
        <v>0</v>
      </c>
      <c s="6" r="BF691">
        <v>0</v>
      </c>
      <c s="6" r="BG691">
        <v>0</v>
      </c>
      <c s="6" r="BH691">
        <v>0</v>
      </c>
      <c s="6" r="BI691">
        <v>0</v>
      </c>
      <c s="6" r="BJ691">
        <v>0</v>
      </c>
      <c s="6" r="BK691">
        <v>0</v>
      </c>
      <c s="6" r="BL691">
        <v>0</v>
      </c>
      <c s="6" r="BM691">
        <v>0</v>
      </c>
      <c s="6" r="BN691">
        <v>0</v>
      </c>
      <c s="6" r="BO691">
        <v>0</v>
      </c>
      <c s="6" r="BP691">
        <v>0</v>
      </c>
      <c s="6" r="BQ691">
        <v>0</v>
      </c>
      <c t="str" s="6" r="BR691">
        <f>HYPERLINK("http://www.d20pfsrd.com/magic/all-spells/b/blessing-of-fervor","Blessing of Fervor")</f>
        <v>Blessing of Fervor</v>
      </c>
      <c s="6" r="BS691">
        <v>701</v>
      </c>
      <c t="s" s="6" r="BT691">
        <v>92</v>
      </c>
      <c t="s" s="6" r="BU691">
        <v>1596</v>
      </c>
      <c t="s" s="6" r="BV691">
        <v>129</v>
      </c>
      <c t="s" s="6" r="BW691">
        <v>5353</v>
      </c>
      <c s="6" r="BY691">
        <v>1</v>
      </c>
    </row>
    <row customHeight="1" r="692" ht="14.25">
      <c t="s" s="6" r="A692">
        <v>5354</v>
      </c>
      <c t="s" s="6" r="B692">
        <v>131</v>
      </c>
      <c t="s" s="6" r="C692">
        <v>152</v>
      </c>
      <c t="s" s="6" r="E692">
        <v>881</v>
      </c>
      <c t="s" s="6" r="F692">
        <v>81</v>
      </c>
      <c t="s" s="6" r="G692">
        <v>119</v>
      </c>
      <c s="6" r="H692">
        <v>0</v>
      </c>
      <c t="s" s="6" r="I692">
        <v>120</v>
      </c>
      <c t="s" s="6" r="L692">
        <v>420</v>
      </c>
      <c t="s" s="6" r="M692">
        <v>99</v>
      </c>
      <c s="6" r="N692">
        <v>0</v>
      </c>
      <c s="6" r="O692">
        <v>0</v>
      </c>
      <c t="s" s="6" r="P692">
        <v>1227</v>
      </c>
      <c t="s" s="6" r="Q692">
        <v>123</v>
      </c>
      <c t="s" s="6" r="R692">
        <v>5355</v>
      </c>
      <c t="s" s="6" r="S692">
        <v>5356</v>
      </c>
      <c t="s" s="6" r="T692">
        <v>5200</v>
      </c>
      <c t="s" s="6" r="U692">
        <v>5357</v>
      </c>
      <c s="6" r="V692">
        <v>1</v>
      </c>
      <c s="6" r="W692">
        <v>1</v>
      </c>
      <c s="6" r="X692">
        <v>0</v>
      </c>
      <c s="6" r="Y692">
        <v>0</v>
      </c>
      <c s="6" r="Z692">
        <v>1</v>
      </c>
      <c t="s" s="6" r="AA692">
        <v>92</v>
      </c>
      <c t="s" s="6" r="AB692">
        <v>92</v>
      </c>
      <c t="s" s="6" r="AC692">
        <v>92</v>
      </c>
      <c s="6" r="AD692">
        <v>5</v>
      </c>
      <c s="6" r="AE692">
        <v>4</v>
      </c>
      <c t="s" s="6" r="AF692">
        <v>92</v>
      </c>
      <c t="s" s="6" r="AG692">
        <v>92</v>
      </c>
      <c t="s" s="6" r="AH692">
        <v>92</v>
      </c>
      <c t="s" s="6" r="AI692">
        <v>92</v>
      </c>
      <c t="s" s="6" r="AJ692">
        <v>92</v>
      </c>
      <c t="s" s="6" r="AK692">
        <v>92</v>
      </c>
      <c t="s" s="6" r="AL692">
        <v>92</v>
      </c>
      <c t="s" s="6" r="AM692">
        <v>92</v>
      </c>
      <c t="s" s="6" r="AN692">
        <v>92</v>
      </c>
      <c s="6" r="AP692">
        <v>5</v>
      </c>
      <c t="s" s="6" r="AR692">
        <v>5358</v>
      </c>
      <c s="6" r="AS692">
        <v>0</v>
      </c>
      <c s="6" r="AT692">
        <v>0</v>
      </c>
      <c s="6" r="AU692">
        <v>0</v>
      </c>
      <c s="6" r="AV692">
        <v>0</v>
      </c>
      <c s="6" r="AW692">
        <v>0</v>
      </c>
      <c s="6" r="AX692">
        <v>0</v>
      </c>
      <c s="6" r="AY692">
        <v>0</v>
      </c>
      <c s="6" r="AZ692">
        <v>0</v>
      </c>
      <c s="6" r="BA692">
        <v>0</v>
      </c>
      <c s="6" r="BB692">
        <v>0</v>
      </c>
      <c s="6" r="BC692">
        <v>0</v>
      </c>
      <c s="6" r="BD692">
        <v>0</v>
      </c>
      <c s="6" r="BE692">
        <v>0</v>
      </c>
      <c s="6" r="BF692">
        <v>0</v>
      </c>
      <c s="6" r="BG692">
        <v>0</v>
      </c>
      <c s="6" r="BH692">
        <v>0</v>
      </c>
      <c s="6" r="BI692">
        <v>0</v>
      </c>
      <c s="6" r="BJ692">
        <v>0</v>
      </c>
      <c s="6" r="BK692">
        <v>0</v>
      </c>
      <c s="6" r="BL692">
        <v>0</v>
      </c>
      <c s="6" r="BM692">
        <v>0</v>
      </c>
      <c s="6" r="BN692">
        <v>0</v>
      </c>
      <c s="6" r="BO692">
        <v>0</v>
      </c>
      <c s="6" r="BP692">
        <v>0</v>
      </c>
      <c s="6" r="BQ692">
        <v>0</v>
      </c>
      <c t="str" s="6" r="BR692">
        <f>HYPERLINK("http://www.d20pfsrd.com/magic/all-spells/b/blessing-of-the-salamander","Blessing of the Salamander")</f>
        <v>Blessing of the Salamander</v>
      </c>
      <c s="6" r="BS692">
        <v>702</v>
      </c>
      <c t="s" s="6" r="BT692">
        <v>92</v>
      </c>
      <c s="6" r="BY692">
        <v>0</v>
      </c>
    </row>
    <row customHeight="1" r="693" ht="14.25">
      <c t="s" s="6" r="A693">
        <v>5359</v>
      </c>
      <c t="s" s="6" r="B693">
        <v>174</v>
      </c>
      <c t="s" s="6" r="E693">
        <v>5360</v>
      </c>
      <c t="s" s="6" r="F693">
        <v>197</v>
      </c>
      <c t="s" s="6" r="G693">
        <v>5361</v>
      </c>
      <c s="6" r="H693">
        <v>0</v>
      </c>
      <c t="s" s="6" r="I693">
        <v>120</v>
      </c>
      <c t="s" s="6" r="L693">
        <v>5362</v>
      </c>
      <c t="s" s="6" r="M693">
        <v>109</v>
      </c>
      <c s="6" r="N693">
        <v>0</v>
      </c>
      <c s="6" r="O693">
        <v>0</v>
      </c>
      <c t="s" s="6" r="P693">
        <v>2206</v>
      </c>
      <c t="s" s="6" r="Q693">
        <v>87</v>
      </c>
      <c t="s" s="6" r="R693">
        <v>5363</v>
      </c>
      <c t="s" s="6" r="S693">
        <v>5364</v>
      </c>
      <c t="s" s="6" r="T693">
        <v>5200</v>
      </c>
      <c t="s" s="6" r="U693">
        <v>5365</v>
      </c>
      <c s="6" r="V693">
        <v>1</v>
      </c>
      <c s="6" r="W693">
        <v>1</v>
      </c>
      <c s="6" r="X693">
        <v>1</v>
      </c>
      <c s="6" r="Y693">
        <v>0</v>
      </c>
      <c s="6" r="Z693">
        <v>1</v>
      </c>
      <c s="6" r="AA693">
        <v>3</v>
      </c>
      <c s="6" r="AB693">
        <v>3</v>
      </c>
      <c s="6" r="AC693">
        <v>3</v>
      </c>
      <c t="s" s="6" r="AD693">
        <v>92</v>
      </c>
      <c t="s" s="6" r="AE693">
        <v>92</v>
      </c>
      <c s="6" r="AF693">
        <v>2</v>
      </c>
      <c t="s" s="6" r="AG693">
        <v>92</v>
      </c>
      <c t="s" s="6" r="AH693">
        <v>92</v>
      </c>
      <c t="s" s="6" r="AI693">
        <v>92</v>
      </c>
      <c t="s" s="6" r="AJ693">
        <v>92</v>
      </c>
      <c s="6" r="AK693">
        <v>3</v>
      </c>
      <c s="6" r="AL693">
        <v>3</v>
      </c>
      <c t="s" s="6" r="AM693">
        <v>92</v>
      </c>
      <c t="s" s="6" r="AN693">
        <v>92</v>
      </c>
      <c s="6" r="AP693">
        <v>3</v>
      </c>
      <c t="s" s="6" r="AR693">
        <v>5366</v>
      </c>
      <c s="6" r="AS693">
        <v>0</v>
      </c>
      <c s="6" r="AT693">
        <v>0</v>
      </c>
      <c s="6" r="AU693">
        <v>0</v>
      </c>
      <c s="6" r="AV693">
        <v>0</v>
      </c>
      <c s="6" r="AW693">
        <v>0</v>
      </c>
      <c s="6" r="AX693">
        <v>0</v>
      </c>
      <c s="6" r="AY693">
        <v>0</v>
      </c>
      <c s="6" r="AZ693">
        <v>0</v>
      </c>
      <c s="6" r="BA693">
        <v>0</v>
      </c>
      <c s="6" r="BB693">
        <v>0</v>
      </c>
      <c s="6" r="BC693">
        <v>0</v>
      </c>
      <c s="6" r="BD693">
        <v>0</v>
      </c>
      <c s="6" r="BE693">
        <v>0</v>
      </c>
      <c s="6" r="BF693">
        <v>0</v>
      </c>
      <c s="6" r="BG693">
        <v>0</v>
      </c>
      <c s="6" r="BH693">
        <v>0</v>
      </c>
      <c s="6" r="BI693">
        <v>0</v>
      </c>
      <c s="6" r="BJ693">
        <v>0</v>
      </c>
      <c s="6" r="BK693">
        <v>0</v>
      </c>
      <c s="6" r="BL693">
        <v>0</v>
      </c>
      <c s="6" r="BM693">
        <v>0</v>
      </c>
      <c s="6" r="BN693">
        <v>0</v>
      </c>
      <c s="6" r="BO693">
        <v>0</v>
      </c>
      <c s="6" r="BP693">
        <v>0</v>
      </c>
      <c s="6" r="BQ693">
        <v>0</v>
      </c>
      <c t="str" s="6" r="BR693">
        <f>HYPERLINK("http://www.d20pfsrd.com/magic/all-spells/b/blood-biography","Blood Biography")</f>
        <v>Blood Biography</v>
      </c>
      <c s="6" r="BS693">
        <v>703</v>
      </c>
      <c t="s" s="6" r="BT693">
        <v>92</v>
      </c>
      <c t="s" s="6" r="BV693">
        <v>848</v>
      </c>
      <c s="6" r="BY693">
        <v>0</v>
      </c>
    </row>
    <row customHeight="1" r="694" ht="14.25">
      <c t="s" s="6" r="A694">
        <v>5367</v>
      </c>
      <c t="s" s="6" r="B694">
        <v>131</v>
      </c>
      <c t="s" s="6" r="E694">
        <v>5368</v>
      </c>
      <c t="s" s="6" r="F694">
        <v>81</v>
      </c>
      <c t="s" s="6" r="G694">
        <v>5369</v>
      </c>
      <c s="6" r="H694">
        <v>0</v>
      </c>
      <c t="s" s="6" r="I694">
        <v>155</v>
      </c>
      <c t="s" s="6" r="L694">
        <v>156</v>
      </c>
      <c t="s" s="6" r="M694">
        <v>209</v>
      </c>
      <c s="6" r="N694">
        <v>0</v>
      </c>
      <c s="6" r="O694">
        <v>0</v>
      </c>
      <c t="s" s="6" r="R694">
        <v>5370</v>
      </c>
      <c t="s" s="6" r="S694">
        <v>5371</v>
      </c>
      <c t="s" s="6" r="T694">
        <v>5200</v>
      </c>
      <c t="s" s="6" r="U694">
        <v>5372</v>
      </c>
      <c s="6" r="V694">
        <v>1</v>
      </c>
      <c s="6" r="W694">
        <v>1</v>
      </c>
      <c s="6" r="X694">
        <v>1</v>
      </c>
      <c s="6" r="Y694">
        <v>0</v>
      </c>
      <c s="6" r="Z694">
        <v>0</v>
      </c>
      <c t="s" s="6" r="AA694">
        <v>92</v>
      </c>
      <c t="s" s="6" r="AB694">
        <v>92</v>
      </c>
      <c t="s" s="6" r="AC694">
        <v>92</v>
      </c>
      <c t="s" s="6" r="AD694">
        <v>92</v>
      </c>
      <c s="6" r="AE694">
        <v>2</v>
      </c>
      <c t="s" s="6" r="AF694">
        <v>92</v>
      </c>
      <c t="s" s="6" r="AG694">
        <v>92</v>
      </c>
      <c s="6" r="AH694">
        <v>3</v>
      </c>
      <c t="s" s="6" r="AI694">
        <v>92</v>
      </c>
      <c t="s" s="6" r="AJ694">
        <v>92</v>
      </c>
      <c s="6" r="AK694">
        <v>2</v>
      </c>
      <c t="s" s="6" r="AL694">
        <v>92</v>
      </c>
      <c t="s" s="6" r="AM694">
        <v>92</v>
      </c>
      <c t="s" s="6" r="AN694">
        <v>92</v>
      </c>
      <c s="6" r="AP694">
        <v>2</v>
      </c>
      <c t="s" s="6" r="AR694">
        <v>5373</v>
      </c>
      <c s="6" r="AS694">
        <v>0</v>
      </c>
      <c s="6" r="AT694">
        <v>0</v>
      </c>
      <c s="6" r="AU694">
        <v>0</v>
      </c>
      <c s="6" r="AV694">
        <v>0</v>
      </c>
      <c s="6" r="AW694">
        <v>0</v>
      </c>
      <c s="6" r="AX694">
        <v>0</v>
      </c>
      <c s="6" r="AY694">
        <v>0</v>
      </c>
      <c s="6" r="AZ694">
        <v>0</v>
      </c>
      <c s="6" r="BA694">
        <v>0</v>
      </c>
      <c s="6" r="BB694">
        <v>0</v>
      </c>
      <c s="6" r="BC694">
        <v>0</v>
      </c>
      <c s="6" r="BD694">
        <v>0</v>
      </c>
      <c s="6" r="BE694">
        <v>0</v>
      </c>
      <c s="6" r="BF694">
        <v>0</v>
      </c>
      <c s="6" r="BG694">
        <v>0</v>
      </c>
      <c s="6" r="BH694">
        <v>0</v>
      </c>
      <c s="6" r="BI694">
        <v>0</v>
      </c>
      <c s="6" r="BJ694">
        <v>0</v>
      </c>
      <c s="6" r="BK694">
        <v>0</v>
      </c>
      <c s="6" r="BL694">
        <v>0</v>
      </c>
      <c s="6" r="BM694">
        <v>0</v>
      </c>
      <c s="6" r="BN694">
        <v>0</v>
      </c>
      <c s="6" r="BO694">
        <v>0</v>
      </c>
      <c s="6" r="BP694">
        <v>0</v>
      </c>
      <c s="6" r="BQ694">
        <v>0</v>
      </c>
      <c t="str" s="6" r="BR694">
        <f>HYPERLINK("http://www.d20pfsrd.com/magic/all-spells/b/bloodhound","Bloodhound")</f>
        <v>Bloodhound</v>
      </c>
      <c s="6" r="BS694">
        <v>704</v>
      </c>
      <c t="s" s="6" r="BT694">
        <v>92</v>
      </c>
      <c s="6" r="BY694">
        <v>0</v>
      </c>
    </row>
    <row customHeight="1" r="695" ht="14.25">
      <c t="s" s="6" r="A695">
        <v>5374</v>
      </c>
      <c t="s" s="6" r="B695">
        <v>227</v>
      </c>
      <c t="s" s="6" r="E695">
        <v>859</v>
      </c>
      <c t="s" s="6" r="F695">
        <v>81</v>
      </c>
      <c t="s" s="6" r="G695">
        <v>119</v>
      </c>
      <c s="6" r="H695">
        <v>0</v>
      </c>
      <c t="s" s="6" r="I695">
        <v>120</v>
      </c>
      <c t="s" s="6" r="L695">
        <v>121</v>
      </c>
      <c t="s" s="6" r="M695">
        <v>2718</v>
      </c>
      <c s="6" r="N695">
        <v>0</v>
      </c>
      <c s="6" r="O695">
        <v>0</v>
      </c>
      <c t="s" s="6" r="P695">
        <v>1227</v>
      </c>
      <c t="s" s="6" r="Q695">
        <v>123</v>
      </c>
      <c t="s" s="6" r="R695">
        <v>5375</v>
      </c>
      <c t="s" s="6" r="S695">
        <v>5376</v>
      </c>
      <c t="s" s="6" r="T695">
        <v>5200</v>
      </c>
      <c t="s" s="6" r="U695">
        <v>5377</v>
      </c>
      <c s="6" r="V695">
        <v>1</v>
      </c>
      <c s="6" r="W695">
        <v>1</v>
      </c>
      <c s="6" r="X695">
        <v>0</v>
      </c>
      <c s="6" r="Y695">
        <v>0</v>
      </c>
      <c s="6" r="Z695">
        <v>1</v>
      </c>
      <c t="s" s="6" r="AA695">
        <v>92</v>
      </c>
      <c t="s" s="6" r="AB695">
        <v>92</v>
      </c>
      <c t="s" s="6" r="AC695">
        <v>92</v>
      </c>
      <c s="6" r="AD695">
        <v>4</v>
      </c>
      <c s="6" r="AE695">
        <v>3</v>
      </c>
      <c t="s" s="6" r="AF695">
        <v>92</v>
      </c>
      <c t="s" s="6" r="AG695">
        <v>92</v>
      </c>
      <c t="s" s="6" r="AH695">
        <v>92</v>
      </c>
      <c t="s" s="6" r="AI695">
        <v>92</v>
      </c>
      <c t="s" s="6" r="AJ695">
        <v>92</v>
      </c>
      <c t="s" s="6" r="AK695">
        <v>92</v>
      </c>
      <c t="s" s="6" r="AL695">
        <v>92</v>
      </c>
      <c t="s" s="6" r="AM695">
        <v>92</v>
      </c>
      <c t="s" s="6" r="AN695">
        <v>92</v>
      </c>
      <c s="6" r="AP695">
        <v>4</v>
      </c>
      <c t="s" s="6" r="AR695">
        <v>5378</v>
      </c>
      <c s="6" r="AS695">
        <v>0</v>
      </c>
      <c s="6" r="AT695">
        <v>0</v>
      </c>
      <c s="6" r="AU695">
        <v>0</v>
      </c>
      <c s="6" r="AV695">
        <v>0</v>
      </c>
      <c s="6" r="AW695">
        <v>0</v>
      </c>
      <c s="6" r="AX695">
        <v>0</v>
      </c>
      <c s="6" r="AY695">
        <v>0</v>
      </c>
      <c s="6" r="AZ695">
        <v>0</v>
      </c>
      <c s="6" r="BA695">
        <v>0</v>
      </c>
      <c s="6" r="BB695">
        <v>0</v>
      </c>
      <c s="6" r="BC695">
        <v>0</v>
      </c>
      <c s="6" r="BD695">
        <v>0</v>
      </c>
      <c s="6" r="BE695">
        <v>0</v>
      </c>
      <c s="6" r="BF695">
        <v>0</v>
      </c>
      <c s="6" r="BG695">
        <v>0</v>
      </c>
      <c s="6" r="BH695">
        <v>0</v>
      </c>
      <c s="6" r="BI695">
        <v>0</v>
      </c>
      <c s="6" r="BJ695">
        <v>0</v>
      </c>
      <c s="6" r="BK695">
        <v>0</v>
      </c>
      <c s="6" r="BL695">
        <v>0</v>
      </c>
      <c s="6" r="BM695">
        <v>0</v>
      </c>
      <c s="6" r="BN695">
        <v>0</v>
      </c>
      <c s="6" r="BO695">
        <v>0</v>
      </c>
      <c s="6" r="BP695">
        <v>0</v>
      </c>
      <c s="6" r="BQ695">
        <v>0</v>
      </c>
      <c t="str" s="6" r="BR695">
        <f>HYPERLINK("http://www.d20pfsrd.com/magic/all-spells/b/bloody-claws","Bloody Claws")</f>
        <v>Bloody Claws</v>
      </c>
      <c s="6" r="BS695">
        <v>705</v>
      </c>
      <c t="s" s="6" r="BT695">
        <v>92</v>
      </c>
      <c s="6" r="BY695">
        <v>0</v>
      </c>
    </row>
    <row customHeight="1" r="696" ht="14.25">
      <c t="s" s="6" r="A696">
        <v>5379</v>
      </c>
      <c t="s" s="6" r="B696">
        <v>131</v>
      </c>
      <c t="s" s="6" r="E696">
        <v>5380</v>
      </c>
      <c t="s" s="6" r="F696">
        <v>81</v>
      </c>
      <c t="s" s="6" r="G696">
        <v>2086</v>
      </c>
      <c s="6" r="H696">
        <v>0</v>
      </c>
      <c t="s" s="6" r="I696">
        <v>155</v>
      </c>
      <c t="s" s="6" r="L696">
        <v>156</v>
      </c>
      <c t="s" s="6" r="M696">
        <v>99</v>
      </c>
      <c s="6" r="N696">
        <v>0</v>
      </c>
      <c s="6" r="O696">
        <v>0</v>
      </c>
      <c t="s" s="6" r="R696">
        <v>5381</v>
      </c>
      <c t="s" s="6" r="S696">
        <v>5382</v>
      </c>
      <c t="s" s="6" r="T696">
        <v>5200</v>
      </c>
      <c t="s" s="6" r="U696">
        <v>5383</v>
      </c>
      <c s="6" r="V696">
        <v>0</v>
      </c>
      <c s="6" r="W696">
        <v>1</v>
      </c>
      <c s="6" r="X696">
        <v>0</v>
      </c>
      <c s="6" r="Y696">
        <v>0</v>
      </c>
      <c s="6" r="Z696">
        <v>0</v>
      </c>
      <c t="s" s="6" r="AA696">
        <v>92</v>
      </c>
      <c t="s" s="6" r="AB696">
        <v>92</v>
      </c>
      <c t="s" s="6" r="AC696">
        <v>92</v>
      </c>
      <c t="s" s="6" r="AD696">
        <v>92</v>
      </c>
      <c t="s" s="6" r="AE696">
        <v>92</v>
      </c>
      <c t="s" s="6" r="AF696">
        <v>92</v>
      </c>
      <c t="s" s="6" r="AG696">
        <v>92</v>
      </c>
      <c s="6" r="AH696">
        <v>1</v>
      </c>
      <c t="s" s="6" r="AI696">
        <v>92</v>
      </c>
      <c t="s" s="6" r="AJ696">
        <v>92</v>
      </c>
      <c t="s" s="6" r="AK696">
        <v>92</v>
      </c>
      <c t="s" s="6" r="AL696">
        <v>92</v>
      </c>
      <c t="s" s="6" r="AM696">
        <v>92</v>
      </c>
      <c t="s" s="6" r="AN696">
        <v>92</v>
      </c>
      <c s="6" r="AP696">
        <v>1</v>
      </c>
      <c t="s" s="6" r="AR696">
        <v>5384</v>
      </c>
      <c s="6" r="AS696">
        <v>0</v>
      </c>
      <c s="6" r="AT696">
        <v>0</v>
      </c>
      <c s="6" r="AU696">
        <v>0</v>
      </c>
      <c s="6" r="AV696">
        <v>0</v>
      </c>
      <c s="6" r="AW696">
        <v>0</v>
      </c>
      <c s="6" r="AX696">
        <v>0</v>
      </c>
      <c s="6" r="AY696">
        <v>0</v>
      </c>
      <c s="6" r="AZ696">
        <v>0</v>
      </c>
      <c s="6" r="BA696">
        <v>0</v>
      </c>
      <c s="6" r="BB696">
        <v>0</v>
      </c>
      <c s="6" r="BC696">
        <v>0</v>
      </c>
      <c s="6" r="BD696">
        <v>0</v>
      </c>
      <c s="6" r="BE696">
        <v>0</v>
      </c>
      <c s="6" r="BF696">
        <v>0</v>
      </c>
      <c s="6" r="BG696">
        <v>0</v>
      </c>
      <c s="6" r="BH696">
        <v>0</v>
      </c>
      <c s="6" r="BI696">
        <v>0</v>
      </c>
      <c s="6" r="BJ696">
        <v>0</v>
      </c>
      <c s="6" r="BK696">
        <v>0</v>
      </c>
      <c s="6" r="BL696">
        <v>0</v>
      </c>
      <c s="6" r="BM696">
        <v>0</v>
      </c>
      <c s="6" r="BN696">
        <v>0</v>
      </c>
      <c s="6" r="BO696">
        <v>0</v>
      </c>
      <c s="6" r="BP696">
        <v>0</v>
      </c>
      <c s="6" r="BQ696">
        <v>0</v>
      </c>
      <c t="str" s="6" r="BR696">
        <f>HYPERLINK("http://www.d20pfsrd.com/magic/all-spells/b/bomber-s-eye","Bomber's Eye")</f>
        <v>Bomber's Eye</v>
      </c>
      <c s="6" r="BS696">
        <v>706</v>
      </c>
      <c t="s" s="6" r="BT696">
        <v>92</v>
      </c>
      <c s="6" r="BY696">
        <v>0</v>
      </c>
    </row>
    <row customHeight="1" r="697" ht="14.25">
      <c t="s" s="6" r="A697">
        <v>5385</v>
      </c>
      <c t="s" s="6" r="B697">
        <v>493</v>
      </c>
      <c t="s" s="6" r="E697">
        <v>5386</v>
      </c>
      <c t="s" s="6" r="F697">
        <v>1743</v>
      </c>
      <c t="s" s="6" r="G697">
        <v>251</v>
      </c>
      <c s="6" r="H697">
        <v>0</v>
      </c>
      <c t="s" s="6" r="I697">
        <v>155</v>
      </c>
      <c t="s" s="6" r="L697">
        <v>156</v>
      </c>
      <c t="s" s="6" r="M697">
        <v>834</v>
      </c>
      <c s="6" r="N697">
        <v>0</v>
      </c>
      <c s="6" r="O697">
        <v>0</v>
      </c>
      <c t="s" s="6" r="R697">
        <v>5387</v>
      </c>
      <c t="s" s="6" r="S697">
        <v>5388</v>
      </c>
      <c t="s" s="6" r="T697">
        <v>5200</v>
      </c>
      <c t="s" s="6" r="U697">
        <v>5389</v>
      </c>
      <c s="6" r="V697">
        <v>1</v>
      </c>
      <c s="6" r="W697">
        <v>0</v>
      </c>
      <c s="6" r="X697">
        <v>0</v>
      </c>
      <c s="6" r="Y697">
        <v>0</v>
      </c>
      <c s="6" r="Z697">
        <v>0</v>
      </c>
      <c t="s" s="6" r="AA697">
        <v>92</v>
      </c>
      <c t="s" s="6" r="AB697">
        <v>92</v>
      </c>
      <c t="s" s="6" r="AC697">
        <v>92</v>
      </c>
      <c t="s" s="6" r="AD697">
        <v>92</v>
      </c>
      <c t="s" s="6" r="AE697">
        <v>92</v>
      </c>
      <c t="s" s="6" r="AF697">
        <v>92</v>
      </c>
      <c t="s" s="6" r="AG697">
        <v>92</v>
      </c>
      <c t="s" s="6" r="AH697">
        <v>92</v>
      </c>
      <c t="s" s="6" r="AI697">
        <v>92</v>
      </c>
      <c t="s" s="6" r="AJ697">
        <v>92</v>
      </c>
      <c t="s" s="6" r="AK697">
        <v>92</v>
      </c>
      <c s="6" r="AL697">
        <v>3</v>
      </c>
      <c t="s" s="6" r="AM697">
        <v>92</v>
      </c>
      <c t="s" s="6" r="AN697">
        <v>92</v>
      </c>
      <c s="6" r="AP697">
        <v>3</v>
      </c>
      <c t="s" s="6" r="AQ697">
        <v>375</v>
      </c>
      <c t="s" s="6" r="AR697">
        <v>5390</v>
      </c>
      <c s="6" r="AS697">
        <v>0</v>
      </c>
      <c s="6" r="AT697">
        <v>0</v>
      </c>
      <c s="6" r="AU697">
        <v>0</v>
      </c>
      <c s="6" r="AV697">
        <v>0</v>
      </c>
      <c s="6" r="AW697">
        <v>0</v>
      </c>
      <c s="6" r="AX697">
        <v>0</v>
      </c>
      <c s="6" r="AY697">
        <v>0</v>
      </c>
      <c s="6" r="AZ697">
        <v>0</v>
      </c>
      <c s="6" r="BA697">
        <v>0</v>
      </c>
      <c s="6" r="BB697">
        <v>0</v>
      </c>
      <c s="6" r="BC697">
        <v>0</v>
      </c>
      <c s="6" r="BD697">
        <v>0</v>
      </c>
      <c s="6" r="BE697">
        <v>0</v>
      </c>
      <c s="6" r="BF697">
        <v>0</v>
      </c>
      <c s="6" r="BG697">
        <v>0</v>
      </c>
      <c s="6" r="BH697">
        <v>0</v>
      </c>
      <c s="6" r="BI697">
        <v>0</v>
      </c>
      <c s="6" r="BJ697">
        <v>0</v>
      </c>
      <c s="6" r="BK697">
        <v>0</v>
      </c>
      <c s="6" r="BL697">
        <v>0</v>
      </c>
      <c s="6" r="BM697">
        <v>0</v>
      </c>
      <c s="6" r="BN697">
        <v>0</v>
      </c>
      <c s="6" r="BO697">
        <v>0</v>
      </c>
      <c s="6" r="BP697">
        <v>0</v>
      </c>
      <c s="6" r="BQ697">
        <v>0</v>
      </c>
      <c t="str" s="6" r="BR697">
        <f>HYPERLINK("http://www.d20pfsrd.com/magic/all-spells/b/borrow-fortune","Borrow Fortune")</f>
        <v>Borrow Fortune</v>
      </c>
      <c s="6" r="BS697">
        <v>707</v>
      </c>
      <c t="s" s="6" r="BT697">
        <v>92</v>
      </c>
      <c s="6" r="BY697">
        <v>0</v>
      </c>
    </row>
    <row customHeight="1" r="698" ht="14.25">
      <c t="s" s="6" r="A698">
        <v>5391</v>
      </c>
      <c t="s" s="6" r="B698">
        <v>131</v>
      </c>
      <c t="s" s="6" r="E698">
        <v>915</v>
      </c>
      <c t="s" s="6" r="F698">
        <v>81</v>
      </c>
      <c t="s" s="6" r="G698">
        <v>2086</v>
      </c>
      <c s="6" r="H698">
        <v>0</v>
      </c>
      <c t="s" s="6" r="I698">
        <v>120</v>
      </c>
      <c t="s" s="6" r="L698">
        <v>420</v>
      </c>
      <c t="s" s="6" r="M698">
        <v>5392</v>
      </c>
      <c s="6" r="N698">
        <v>0</v>
      </c>
      <c s="6" r="O698">
        <v>0</v>
      </c>
      <c t="s" s="6" r="P698">
        <v>421</v>
      </c>
      <c t="s" s="6" r="Q698">
        <v>123</v>
      </c>
      <c t="s" s="6" r="R698">
        <v>5393</v>
      </c>
      <c t="s" s="6" r="S698">
        <v>5394</v>
      </c>
      <c t="s" s="6" r="T698">
        <v>5200</v>
      </c>
      <c t="s" s="6" r="U698">
        <v>5395</v>
      </c>
      <c s="6" r="V698">
        <v>0</v>
      </c>
      <c s="6" r="W698">
        <v>1</v>
      </c>
      <c s="6" r="X698">
        <v>0</v>
      </c>
      <c s="6" r="Y698">
        <v>0</v>
      </c>
      <c s="6" r="Z698">
        <v>0</v>
      </c>
      <c t="s" s="6" r="AA698">
        <v>92</v>
      </c>
      <c t="s" s="6" r="AB698">
        <v>92</v>
      </c>
      <c t="s" s="6" r="AC698">
        <v>92</v>
      </c>
      <c t="s" s="6" r="AD698">
        <v>92</v>
      </c>
      <c t="s" s="6" r="AE698">
        <v>92</v>
      </c>
      <c s="6" r="AF698">
        <v>1</v>
      </c>
      <c t="s" s="6" r="AG698">
        <v>92</v>
      </c>
      <c t="s" s="6" r="AH698">
        <v>92</v>
      </c>
      <c t="s" s="6" r="AI698">
        <v>92</v>
      </c>
      <c t="s" s="6" r="AJ698">
        <v>92</v>
      </c>
      <c t="s" s="6" r="AK698">
        <v>92</v>
      </c>
      <c t="s" s="6" r="AL698">
        <v>92</v>
      </c>
      <c t="s" s="6" r="AM698">
        <v>92</v>
      </c>
      <c t="s" s="6" r="AN698">
        <v>92</v>
      </c>
      <c s="6" r="AP698">
        <v>1</v>
      </c>
      <c t="s" s="6" r="AR698">
        <v>5396</v>
      </c>
      <c s="6" r="AS698">
        <v>0</v>
      </c>
      <c s="6" r="AT698">
        <v>0</v>
      </c>
      <c s="6" r="AU698">
        <v>0</v>
      </c>
      <c s="6" r="AV698">
        <v>0</v>
      </c>
      <c s="6" r="AW698">
        <v>0</v>
      </c>
      <c s="6" r="AX698">
        <v>0</v>
      </c>
      <c s="6" r="AY698">
        <v>0</v>
      </c>
      <c s="6" r="AZ698">
        <v>0</v>
      </c>
      <c s="6" r="BA698">
        <v>0</v>
      </c>
      <c s="6" r="BB698">
        <v>0</v>
      </c>
      <c s="6" r="BC698">
        <v>0</v>
      </c>
      <c s="6" r="BD698">
        <v>0</v>
      </c>
      <c s="6" r="BE698">
        <v>0</v>
      </c>
      <c s="6" r="BF698">
        <v>0</v>
      </c>
      <c s="6" r="BG698">
        <v>0</v>
      </c>
      <c s="6" r="BH698">
        <v>0</v>
      </c>
      <c s="6" r="BI698">
        <v>0</v>
      </c>
      <c s="6" r="BJ698">
        <v>0</v>
      </c>
      <c s="6" r="BK698">
        <v>0</v>
      </c>
      <c s="6" r="BL698">
        <v>0</v>
      </c>
      <c s="6" r="BM698">
        <v>0</v>
      </c>
      <c s="6" r="BN698">
        <v>0</v>
      </c>
      <c s="6" r="BO698">
        <v>0</v>
      </c>
      <c s="6" r="BP698">
        <v>0</v>
      </c>
      <c s="6" r="BQ698">
        <v>0</v>
      </c>
      <c t="str" s="6" r="BR698">
        <f>HYPERLINK("http://www.d20pfsrd.com/magic/all-spells/b/borrow-skill","Borrow Skill")</f>
        <v>Borrow Skill</v>
      </c>
      <c s="6" r="BS698">
        <v>708</v>
      </c>
      <c t="s" s="6" r="BT698">
        <v>92</v>
      </c>
      <c s="6" r="BY698">
        <v>0</v>
      </c>
    </row>
    <row customHeight="1" r="699" ht="14.25">
      <c t="s" s="6" r="A699">
        <v>5397</v>
      </c>
      <c t="s" s="6" r="B699">
        <v>78</v>
      </c>
      <c t="s" s="6" r="C699">
        <v>79</v>
      </c>
      <c t="s" s="6" r="E699">
        <v>5398</v>
      </c>
      <c t="s" s="6" r="F699">
        <v>81</v>
      </c>
      <c t="s" s="6" r="G699">
        <v>119</v>
      </c>
      <c s="6" r="H699">
        <v>0</v>
      </c>
      <c t="s" s="6" r="I699">
        <v>155</v>
      </c>
      <c t="s" s="6" r="L699">
        <v>156</v>
      </c>
      <c t="s" s="6" r="M699">
        <v>99</v>
      </c>
      <c s="6" r="N699">
        <v>0</v>
      </c>
      <c s="6" r="O699">
        <v>0</v>
      </c>
      <c t="s" s="6" r="R699">
        <v>5399</v>
      </c>
      <c t="s" s="6" r="S699">
        <v>5400</v>
      </c>
      <c t="s" s="6" r="T699">
        <v>5200</v>
      </c>
      <c t="s" s="6" r="U699">
        <v>5401</v>
      </c>
      <c s="6" r="V699">
        <v>1</v>
      </c>
      <c s="6" r="W699">
        <v>1</v>
      </c>
      <c s="6" r="X699">
        <v>0</v>
      </c>
      <c s="6" r="Y699">
        <v>0</v>
      </c>
      <c s="6" r="Z699">
        <v>1</v>
      </c>
      <c t="s" s="6" r="AA699">
        <v>92</v>
      </c>
      <c t="s" s="6" r="AB699">
        <v>92</v>
      </c>
      <c t="s" s="6" r="AC699">
        <v>92</v>
      </c>
      <c t="s" s="6" r="AD699">
        <v>92</v>
      </c>
      <c s="6" r="AE699">
        <v>4</v>
      </c>
      <c t="s" s="6" r="AF699">
        <v>92</v>
      </c>
      <c t="s" s="6" r="AG699">
        <v>92</v>
      </c>
      <c t="s" s="6" r="AH699">
        <v>92</v>
      </c>
      <c t="s" s="6" r="AI699">
        <v>92</v>
      </c>
      <c t="s" s="6" r="AJ699">
        <v>92</v>
      </c>
      <c t="s" s="6" r="AK699">
        <v>92</v>
      </c>
      <c t="s" s="6" r="AL699">
        <v>92</v>
      </c>
      <c t="s" s="6" r="AM699">
        <v>92</v>
      </c>
      <c t="s" s="6" r="AN699">
        <v>92</v>
      </c>
      <c s="6" r="AP699">
        <v>4</v>
      </c>
      <c t="s" s="6" r="AR699">
        <v>5402</v>
      </c>
      <c s="6" r="AS699">
        <v>0</v>
      </c>
      <c s="6" r="AT699">
        <v>0</v>
      </c>
      <c s="6" r="AU699">
        <v>0</v>
      </c>
      <c s="6" r="AV699">
        <v>0</v>
      </c>
      <c s="6" r="AW699">
        <v>0</v>
      </c>
      <c s="6" r="AX699">
        <v>0</v>
      </c>
      <c s="6" r="AY699">
        <v>0</v>
      </c>
      <c s="6" r="AZ699">
        <v>0</v>
      </c>
      <c s="6" r="BA699">
        <v>0</v>
      </c>
      <c s="6" r="BB699">
        <v>0</v>
      </c>
      <c s="6" r="BC699">
        <v>0</v>
      </c>
      <c s="6" r="BD699">
        <v>0</v>
      </c>
      <c s="6" r="BE699">
        <v>0</v>
      </c>
      <c s="6" r="BF699">
        <v>0</v>
      </c>
      <c s="6" r="BG699">
        <v>0</v>
      </c>
      <c s="6" r="BH699">
        <v>0</v>
      </c>
      <c s="6" r="BI699">
        <v>0</v>
      </c>
      <c s="6" r="BJ699">
        <v>0</v>
      </c>
      <c s="6" r="BK699">
        <v>0</v>
      </c>
      <c s="6" r="BL699">
        <v>0</v>
      </c>
      <c s="6" r="BM699">
        <v>0</v>
      </c>
      <c s="6" r="BN699">
        <v>0</v>
      </c>
      <c s="6" r="BO699">
        <v>0</v>
      </c>
      <c s="6" r="BP699">
        <v>0</v>
      </c>
      <c s="6" r="BQ699">
        <v>0</v>
      </c>
      <c t="str" s="6" r="BR699">
        <f>HYPERLINK("http://www.d20pfsrd.com/magic/all-spells/b/bow-spirit","Bow Spirit")</f>
        <v>Bow Spirit</v>
      </c>
      <c s="6" r="BS699">
        <v>709</v>
      </c>
      <c t="s" s="6" r="BT699">
        <v>92</v>
      </c>
      <c s="6" r="BY699">
        <v>0</v>
      </c>
    </row>
    <row customHeight="1" r="700" ht="14.25">
      <c t="s" s="6" r="A700">
        <v>5403</v>
      </c>
      <c t="s" s="6" r="B700">
        <v>131</v>
      </c>
      <c t="s" s="6" r="D700">
        <v>48</v>
      </c>
      <c t="s" s="6" r="E700">
        <v>5404</v>
      </c>
      <c t="s" s="6" r="F700">
        <v>81</v>
      </c>
      <c t="s" s="6" r="G700">
        <v>119</v>
      </c>
      <c s="6" r="H700">
        <v>0</v>
      </c>
      <c t="s" s="6" r="I700">
        <v>120</v>
      </c>
      <c t="s" s="6" r="L700">
        <v>420</v>
      </c>
      <c t="s" s="6" r="M700">
        <v>200</v>
      </c>
      <c s="6" r="N700">
        <v>0</v>
      </c>
      <c s="6" r="O700">
        <v>0</v>
      </c>
      <c t="s" s="6" r="P700">
        <v>187</v>
      </c>
      <c t="s" s="6" r="Q700">
        <v>188</v>
      </c>
      <c t="s" s="6" r="R700">
        <v>5405</v>
      </c>
      <c t="s" s="6" r="S700">
        <v>5406</v>
      </c>
      <c t="s" s="6" r="T700">
        <v>5200</v>
      </c>
      <c t="s" s="6" r="U700">
        <v>5407</v>
      </c>
      <c s="6" r="V700">
        <v>1</v>
      </c>
      <c s="6" r="W700">
        <v>1</v>
      </c>
      <c s="6" r="X700">
        <v>0</v>
      </c>
      <c s="6" r="Y700">
        <v>0</v>
      </c>
      <c s="6" r="Z700">
        <v>1</v>
      </c>
      <c t="s" s="6" r="AA700">
        <v>92</v>
      </c>
      <c t="s" s="6" r="AB700">
        <v>92</v>
      </c>
      <c t="s" s="6" r="AC700">
        <v>92</v>
      </c>
      <c t="s" s="6" r="AD700">
        <v>92</v>
      </c>
      <c t="s" s="6" r="AE700">
        <v>92</v>
      </c>
      <c t="s" s="6" r="AF700">
        <v>92</v>
      </c>
      <c t="s" s="6" r="AG700">
        <v>92</v>
      </c>
      <c t="s" s="6" r="AH700">
        <v>92</v>
      </c>
      <c t="s" s="6" r="AI700">
        <v>92</v>
      </c>
      <c t="s" s="6" r="AJ700">
        <v>92</v>
      </c>
      <c s="6" r="AK700">
        <v>0</v>
      </c>
      <c t="s" s="6" r="AL700">
        <v>92</v>
      </c>
      <c t="s" s="6" r="AM700">
        <v>92</v>
      </c>
      <c t="s" s="6" r="AN700">
        <v>92</v>
      </c>
      <c s="6" r="AP700">
        <v>0</v>
      </c>
      <c t="s" s="6" r="AR700">
        <v>5408</v>
      </c>
      <c s="6" r="AS700">
        <v>0</v>
      </c>
      <c s="6" r="AT700">
        <v>0</v>
      </c>
      <c s="6" r="AU700">
        <v>0</v>
      </c>
      <c s="6" r="AV700">
        <v>0</v>
      </c>
      <c s="6" r="AW700">
        <v>1</v>
      </c>
      <c s="6" r="AX700">
        <v>0</v>
      </c>
      <c s="6" r="AY700">
        <v>0</v>
      </c>
      <c s="6" r="AZ700">
        <v>0</v>
      </c>
      <c s="6" r="BA700">
        <v>0</v>
      </c>
      <c s="6" r="BB700">
        <v>0</v>
      </c>
      <c s="6" r="BC700">
        <v>0</v>
      </c>
      <c s="6" r="BD700">
        <v>0</v>
      </c>
      <c s="6" r="BE700">
        <v>0</v>
      </c>
      <c s="6" r="BF700">
        <v>0</v>
      </c>
      <c s="6" r="BG700">
        <v>0</v>
      </c>
      <c s="6" r="BH700">
        <v>0</v>
      </c>
      <c s="6" r="BI700">
        <v>0</v>
      </c>
      <c s="6" r="BJ700">
        <v>0</v>
      </c>
      <c s="6" r="BK700">
        <v>0</v>
      </c>
      <c s="6" r="BL700">
        <v>0</v>
      </c>
      <c s="6" r="BM700">
        <v>0</v>
      </c>
      <c s="6" r="BN700">
        <v>0</v>
      </c>
      <c s="6" r="BO700">
        <v>0</v>
      </c>
      <c s="6" r="BP700">
        <v>0</v>
      </c>
      <c s="6" r="BQ700">
        <v>0</v>
      </c>
      <c t="str" s="6" r="BR700">
        <f>HYPERLINK("http://www.d20pfsrd.com/magic/all-spells/b/brand","Brand")</f>
        <v>Brand</v>
      </c>
      <c s="6" r="BS700">
        <v>710</v>
      </c>
      <c t="s" s="6" r="BT700">
        <v>92</v>
      </c>
      <c s="6" r="BY700">
        <v>0</v>
      </c>
    </row>
    <row customHeight="1" r="701" ht="14.25">
      <c t="s" s="6" r="A701">
        <v>5409</v>
      </c>
      <c t="s" s="6" r="B701">
        <v>131</v>
      </c>
      <c t="s" s="6" r="D701">
        <v>48</v>
      </c>
      <c t="s" s="6" r="E701">
        <v>5410</v>
      </c>
      <c t="s" s="6" r="F701">
        <v>272</v>
      </c>
      <c t="s" s="6" r="G701">
        <v>119</v>
      </c>
      <c s="6" r="H701">
        <v>0</v>
      </c>
      <c t="s" s="6" r="I701">
        <v>120</v>
      </c>
      <c t="s" s="6" r="L701">
        <v>420</v>
      </c>
      <c t="s" s="6" r="M701">
        <v>323</v>
      </c>
      <c s="6" r="N701">
        <v>0</v>
      </c>
      <c s="6" r="O701">
        <v>0</v>
      </c>
      <c t="s" s="6" r="P701">
        <v>187</v>
      </c>
      <c t="s" s="6" r="Q701">
        <v>188</v>
      </c>
      <c t="s" s="6" r="R701">
        <v>5411</v>
      </c>
      <c t="s" s="6" r="S701">
        <v>5412</v>
      </c>
      <c t="s" s="6" r="T701">
        <v>5200</v>
      </c>
      <c t="s" s="6" r="U701">
        <v>5413</v>
      </c>
      <c s="6" r="V701">
        <v>1</v>
      </c>
      <c s="6" r="W701">
        <v>1</v>
      </c>
      <c s="6" r="X701">
        <v>0</v>
      </c>
      <c s="6" r="Y701">
        <v>0</v>
      </c>
      <c s="6" r="Z701">
        <v>1</v>
      </c>
      <c t="s" s="6" r="AA701">
        <v>92</v>
      </c>
      <c t="s" s="6" r="AB701">
        <v>92</v>
      </c>
      <c t="s" s="6" r="AC701">
        <v>92</v>
      </c>
      <c t="s" s="6" r="AD701">
        <v>92</v>
      </c>
      <c t="s" s="6" r="AE701">
        <v>92</v>
      </c>
      <c t="s" s="6" r="AF701">
        <v>92</v>
      </c>
      <c t="s" s="6" r="AG701">
        <v>92</v>
      </c>
      <c t="s" s="6" r="AH701">
        <v>92</v>
      </c>
      <c t="s" s="6" r="AI701">
        <v>92</v>
      </c>
      <c t="s" s="6" r="AJ701">
        <v>92</v>
      </c>
      <c s="6" r="AK701">
        <v>4</v>
      </c>
      <c t="s" s="6" r="AL701">
        <v>92</v>
      </c>
      <c t="s" s="6" r="AM701">
        <v>92</v>
      </c>
      <c t="s" s="6" r="AN701">
        <v>92</v>
      </c>
      <c s="6" r="AP701">
        <v>4</v>
      </c>
      <c t="s" s="6" r="AR701">
        <v>5414</v>
      </c>
      <c s="6" r="AS701">
        <v>0</v>
      </c>
      <c s="6" r="AT701">
        <v>0</v>
      </c>
      <c s="6" r="AU701">
        <v>0</v>
      </c>
      <c s="6" r="AV701">
        <v>0</v>
      </c>
      <c s="6" r="AW701">
        <v>1</v>
      </c>
      <c s="6" r="AX701">
        <v>0</v>
      </c>
      <c s="6" r="AY701">
        <v>0</v>
      </c>
      <c s="6" r="AZ701">
        <v>0</v>
      </c>
      <c s="6" r="BA701">
        <v>0</v>
      </c>
      <c s="6" r="BB701">
        <v>0</v>
      </c>
      <c s="6" r="BC701">
        <v>0</v>
      </c>
      <c s="6" r="BD701">
        <v>0</v>
      </c>
      <c s="6" r="BE701">
        <v>0</v>
      </c>
      <c s="6" r="BF701">
        <v>0</v>
      </c>
      <c s="6" r="BG701">
        <v>0</v>
      </c>
      <c s="6" r="BH701">
        <v>0</v>
      </c>
      <c s="6" r="BI701">
        <v>0</v>
      </c>
      <c s="6" r="BJ701">
        <v>0</v>
      </c>
      <c s="6" r="BK701">
        <v>0</v>
      </c>
      <c s="6" r="BL701">
        <v>0</v>
      </c>
      <c s="6" r="BM701">
        <v>0</v>
      </c>
      <c s="6" r="BN701">
        <v>0</v>
      </c>
      <c s="6" r="BO701">
        <v>0</v>
      </c>
      <c s="6" r="BP701">
        <v>0</v>
      </c>
      <c s="6" r="BQ701">
        <v>0</v>
      </c>
      <c t="str" s="6" r="BR701">
        <f>HYPERLINK("http://www.d20pfsrd.com/magic/all-spells/b/brand","Brand, Greater")</f>
        <v>Brand, Greater</v>
      </c>
      <c s="6" r="BS701">
        <v>711</v>
      </c>
      <c t="s" s="6" r="BT701">
        <v>92</v>
      </c>
      <c s="6" r="BY701">
        <v>0</v>
      </c>
    </row>
    <row customHeight="1" r="702" ht="14.25">
      <c t="s" s="6" r="A702">
        <v>5415</v>
      </c>
      <c t="s" s="6" r="B702">
        <v>131</v>
      </c>
      <c t="s" s="6" r="E702">
        <v>2346</v>
      </c>
      <c t="s" s="6" r="F702">
        <v>81</v>
      </c>
      <c t="s" s="6" r="G702">
        <v>5416</v>
      </c>
      <c s="6" r="H702">
        <v>0</v>
      </c>
      <c t="s" s="6" r="I702">
        <v>107</v>
      </c>
      <c t="s" s="6" r="L702">
        <v>5417</v>
      </c>
      <c t="s" s="6" r="M702">
        <v>109</v>
      </c>
      <c s="6" r="N702">
        <v>0</v>
      </c>
      <c s="6" r="O702">
        <v>0</v>
      </c>
      <c t="s" s="6" r="P702">
        <v>5197</v>
      </c>
      <c t="s" s="6" r="Q702">
        <v>536</v>
      </c>
      <c t="s" s="6" r="R702">
        <v>5418</v>
      </c>
      <c t="s" s="6" r="S702">
        <v>5419</v>
      </c>
      <c t="s" s="6" r="T702">
        <v>5200</v>
      </c>
      <c t="s" s="6" r="U702">
        <v>5420</v>
      </c>
      <c s="6" r="V702">
        <v>1</v>
      </c>
      <c s="6" r="W702">
        <v>1</v>
      </c>
      <c s="6" r="X702">
        <v>1</v>
      </c>
      <c s="6" r="Y702">
        <v>0</v>
      </c>
      <c s="6" r="Z702">
        <v>0</v>
      </c>
      <c s="6" r="AA702">
        <v>1</v>
      </c>
      <c s="6" r="AB702">
        <v>1</v>
      </c>
      <c t="s" s="6" r="AC702">
        <v>92</v>
      </c>
      <c t="s" s="6" r="AD702">
        <v>92</v>
      </c>
      <c t="s" s="6" r="AE702">
        <v>92</v>
      </c>
      <c t="s" s="6" r="AF702">
        <v>92</v>
      </c>
      <c t="s" s="6" r="AG702">
        <v>92</v>
      </c>
      <c t="s" s="6" r="AH702">
        <v>92</v>
      </c>
      <c t="s" s="6" r="AI702">
        <v>92</v>
      </c>
      <c t="s" s="6" r="AJ702">
        <v>92</v>
      </c>
      <c t="s" s="6" r="AK702">
        <v>92</v>
      </c>
      <c t="s" s="6" r="AL702">
        <v>92</v>
      </c>
      <c t="s" s="6" r="AM702">
        <v>92</v>
      </c>
      <c t="s" s="6" r="AN702">
        <v>92</v>
      </c>
      <c s="6" r="AP702">
        <v>1</v>
      </c>
      <c t="s" s="6" r="AR702">
        <v>5421</v>
      </c>
      <c s="6" r="AS702">
        <v>0</v>
      </c>
      <c s="6" r="AT702">
        <v>0</v>
      </c>
      <c s="6" r="AU702">
        <v>0</v>
      </c>
      <c s="6" r="AV702">
        <v>0</v>
      </c>
      <c s="6" r="AW702">
        <v>0</v>
      </c>
      <c s="6" r="AX702">
        <v>0</v>
      </c>
      <c s="6" r="AY702">
        <v>0</v>
      </c>
      <c s="6" r="AZ702">
        <v>0</v>
      </c>
      <c s="6" r="BA702">
        <v>0</v>
      </c>
      <c s="6" r="BB702">
        <v>0</v>
      </c>
      <c s="6" r="BC702">
        <v>0</v>
      </c>
      <c s="6" r="BD702">
        <v>0</v>
      </c>
      <c s="6" r="BE702">
        <v>0</v>
      </c>
      <c s="6" r="BF702">
        <v>0</v>
      </c>
      <c s="6" r="BG702">
        <v>0</v>
      </c>
      <c s="6" r="BH702">
        <v>0</v>
      </c>
      <c s="6" r="BI702">
        <v>0</v>
      </c>
      <c s="6" r="BJ702">
        <v>0</v>
      </c>
      <c s="6" r="BK702">
        <v>0</v>
      </c>
      <c s="6" r="BL702">
        <v>0</v>
      </c>
      <c s="6" r="BM702">
        <v>0</v>
      </c>
      <c s="6" r="BN702">
        <v>0</v>
      </c>
      <c s="6" r="BO702">
        <v>0</v>
      </c>
      <c s="6" r="BP702">
        <v>0</v>
      </c>
      <c s="6" r="BQ702">
        <v>0</v>
      </c>
      <c t="str" s="6" r="BR702">
        <f>HYPERLINK("http://www.d20pfsrd.com/magic/all-spells/b/break","Break")</f>
        <v>Break</v>
      </c>
      <c s="6" r="BS702">
        <v>712</v>
      </c>
      <c t="s" s="6" r="BT702">
        <v>92</v>
      </c>
      <c t="s" s="6" r="BW702">
        <v>5422</v>
      </c>
      <c t="s" s="6" r="BX702">
        <v>5423</v>
      </c>
      <c s="6" r="BY702">
        <v>1</v>
      </c>
    </row>
    <row customHeight="1" r="703" ht="14.25">
      <c t="s" s="6" r="A703">
        <v>5424</v>
      </c>
      <c t="s" s="6" r="B703">
        <v>493</v>
      </c>
      <c t="s" s="6" r="D703">
        <v>2922</v>
      </c>
      <c t="s" s="6" r="E703">
        <v>4408</v>
      </c>
      <c t="s" s="6" r="F703">
        <v>81</v>
      </c>
      <c t="s" s="6" r="G703">
        <v>251</v>
      </c>
      <c s="6" r="H703">
        <v>0</v>
      </c>
      <c t="s" s="6" r="I703">
        <v>107</v>
      </c>
      <c t="s" s="6" r="L703">
        <v>473</v>
      </c>
      <c t="s" s="6" r="M703">
        <v>5425</v>
      </c>
      <c s="6" r="N703">
        <v>0</v>
      </c>
      <c s="6" r="O703">
        <v>0</v>
      </c>
      <c t="s" s="6" r="P703">
        <v>421</v>
      </c>
      <c t="s" s="6" r="Q703">
        <v>123</v>
      </c>
      <c t="s" s="6" r="R703">
        <v>5426</v>
      </c>
      <c t="s" s="6" r="S703">
        <v>5427</v>
      </c>
      <c t="s" s="6" r="T703">
        <v>5200</v>
      </c>
      <c t="s" s="6" r="U703">
        <v>5428</v>
      </c>
      <c s="6" r="V703">
        <v>1</v>
      </c>
      <c s="6" r="W703">
        <v>0</v>
      </c>
      <c s="6" r="X703">
        <v>0</v>
      </c>
      <c s="6" r="Y703">
        <v>0</v>
      </c>
      <c s="6" r="Z703">
        <v>0</v>
      </c>
      <c t="s" s="6" r="AA703">
        <v>92</v>
      </c>
      <c t="s" s="6" r="AB703">
        <v>92</v>
      </c>
      <c t="s" s="6" r="AC703">
        <v>92</v>
      </c>
      <c t="s" s="6" r="AD703">
        <v>92</v>
      </c>
      <c t="s" s="6" r="AE703">
        <v>92</v>
      </c>
      <c s="6" r="AF703">
        <v>6</v>
      </c>
      <c t="s" s="6" r="AG703">
        <v>92</v>
      </c>
      <c t="s" s="6" r="AH703">
        <v>92</v>
      </c>
      <c t="s" s="6" r="AI703">
        <v>92</v>
      </c>
      <c t="s" s="6" r="AJ703">
        <v>92</v>
      </c>
      <c t="s" s="6" r="AK703">
        <v>92</v>
      </c>
      <c t="s" s="6" r="AL703">
        <v>92</v>
      </c>
      <c t="s" s="6" r="AM703">
        <v>92</v>
      </c>
      <c t="s" s="6" r="AN703">
        <v>92</v>
      </c>
      <c s="6" r="AP703">
        <v>6</v>
      </c>
      <c t="s" s="6" r="AQ703">
        <v>5429</v>
      </c>
      <c t="s" s="6" r="AR703">
        <v>5430</v>
      </c>
      <c s="6" r="AS703">
        <v>0</v>
      </c>
      <c s="6" r="AT703">
        <v>0</v>
      </c>
      <c s="6" r="AU703">
        <v>0</v>
      </c>
      <c s="6" r="AV703">
        <v>0</v>
      </c>
      <c s="6" r="AW703">
        <v>0</v>
      </c>
      <c s="6" r="AX703">
        <v>0</v>
      </c>
      <c s="6" r="AY703">
        <v>0</v>
      </c>
      <c s="6" r="AZ703">
        <v>0</v>
      </c>
      <c s="6" r="BA703">
        <v>0</v>
      </c>
      <c s="6" r="BB703">
        <v>0</v>
      </c>
      <c s="6" r="BC703">
        <v>0</v>
      </c>
      <c s="6" r="BD703">
        <v>0</v>
      </c>
      <c s="6" r="BE703">
        <v>0</v>
      </c>
      <c s="6" r="BF703">
        <v>0</v>
      </c>
      <c s="6" r="BG703">
        <v>0</v>
      </c>
      <c s="6" r="BH703">
        <v>0</v>
      </c>
      <c s="6" r="BI703">
        <v>1</v>
      </c>
      <c s="6" r="BJ703">
        <v>0</v>
      </c>
      <c s="6" r="BK703">
        <v>0</v>
      </c>
      <c s="6" r="BL703">
        <v>0</v>
      </c>
      <c s="6" r="BM703">
        <v>0</v>
      </c>
      <c s="6" r="BN703">
        <v>0</v>
      </c>
      <c s="6" r="BO703">
        <v>0</v>
      </c>
      <c s="6" r="BP703">
        <v>0</v>
      </c>
      <c s="6" r="BQ703">
        <v>0</v>
      </c>
      <c t="str" s="6" r="BR703">
        <f>HYPERLINK("http://www.d20pfsrd.com/magic/all-spells/b/brilliant-inspiration","Brilliant Inspiration")</f>
        <v>Brilliant Inspiration</v>
      </c>
      <c s="6" r="BS703">
        <v>713</v>
      </c>
      <c t="s" s="6" r="BT703">
        <v>92</v>
      </c>
      <c s="6" r="BY703">
        <v>0</v>
      </c>
    </row>
    <row customHeight="1" r="704" ht="14.25">
      <c t="s" s="6" r="A704">
        <v>5431</v>
      </c>
      <c t="s" s="6" r="B704">
        <v>131</v>
      </c>
      <c t="s" s="6" r="E704">
        <v>1717</v>
      </c>
      <c t="s" s="6" r="F704">
        <v>81</v>
      </c>
      <c t="s" s="6" r="G704">
        <v>119</v>
      </c>
      <c s="6" r="H704">
        <v>0</v>
      </c>
      <c t="s" s="6" r="I704">
        <v>120</v>
      </c>
      <c t="s" s="6" r="L704">
        <v>1235</v>
      </c>
      <c t="s" s="6" r="M704">
        <v>2718</v>
      </c>
      <c s="6" r="N704">
        <v>0</v>
      </c>
      <c s="6" r="O704">
        <v>0</v>
      </c>
      <c t="s" s="6" r="P704">
        <v>1227</v>
      </c>
      <c t="s" s="6" r="Q704">
        <v>188</v>
      </c>
      <c t="s" s="6" r="R704">
        <v>5432</v>
      </c>
      <c t="s" s="6" r="S704">
        <v>5433</v>
      </c>
      <c t="s" s="6" r="T704">
        <v>5200</v>
      </c>
      <c t="s" s="6" r="U704">
        <v>5434</v>
      </c>
      <c s="6" r="V704">
        <v>1</v>
      </c>
      <c s="6" r="W704">
        <v>1</v>
      </c>
      <c s="6" r="X704">
        <v>0</v>
      </c>
      <c s="6" r="Y704">
        <v>0</v>
      </c>
      <c s="6" r="Z704">
        <v>1</v>
      </c>
      <c t="s" s="6" r="AA704">
        <v>92</v>
      </c>
      <c t="s" s="6" r="AB704">
        <v>92</v>
      </c>
      <c t="s" s="6" r="AC704">
        <v>92</v>
      </c>
      <c s="6" r="AD704">
        <v>1</v>
      </c>
      <c t="s" s="6" r="AE704">
        <v>92</v>
      </c>
      <c t="s" s="6" r="AF704">
        <v>92</v>
      </c>
      <c t="s" s="6" r="AG704">
        <v>92</v>
      </c>
      <c t="s" s="6" r="AH704">
        <v>92</v>
      </c>
      <c t="s" s="6" r="AI704">
        <v>92</v>
      </c>
      <c t="s" s="6" r="AJ704">
        <v>92</v>
      </c>
      <c t="s" s="6" r="AK704">
        <v>92</v>
      </c>
      <c t="s" s="6" r="AL704">
        <v>92</v>
      </c>
      <c t="s" s="6" r="AM704">
        <v>92</v>
      </c>
      <c t="s" s="6" r="AN704">
        <v>92</v>
      </c>
      <c s="6" r="AP704">
        <v>1</v>
      </c>
      <c t="s" s="6" r="AR704">
        <v>5435</v>
      </c>
      <c s="6" r="AS704">
        <v>0</v>
      </c>
      <c s="6" r="AT704">
        <v>0</v>
      </c>
      <c s="6" r="AU704">
        <v>0</v>
      </c>
      <c s="6" r="AV704">
        <v>0</v>
      </c>
      <c s="6" r="AW704">
        <v>0</v>
      </c>
      <c s="6" r="AX704">
        <v>0</v>
      </c>
      <c s="6" r="AY704">
        <v>0</v>
      </c>
      <c s="6" r="AZ704">
        <v>0</v>
      </c>
      <c s="6" r="BA704">
        <v>0</v>
      </c>
      <c s="6" r="BB704">
        <v>0</v>
      </c>
      <c s="6" r="BC704">
        <v>0</v>
      </c>
      <c s="6" r="BD704">
        <v>0</v>
      </c>
      <c s="6" r="BE704">
        <v>0</v>
      </c>
      <c s="6" r="BF704">
        <v>0</v>
      </c>
      <c s="6" r="BG704">
        <v>0</v>
      </c>
      <c s="6" r="BH704">
        <v>0</v>
      </c>
      <c s="6" r="BI704">
        <v>0</v>
      </c>
      <c s="6" r="BJ704">
        <v>0</v>
      </c>
      <c s="6" r="BK704">
        <v>0</v>
      </c>
      <c s="6" r="BL704">
        <v>0</v>
      </c>
      <c s="6" r="BM704">
        <v>0</v>
      </c>
      <c s="6" r="BN704">
        <v>0</v>
      </c>
      <c s="6" r="BO704">
        <v>0</v>
      </c>
      <c s="6" r="BP704">
        <v>0</v>
      </c>
      <c s="6" r="BQ704">
        <v>0</v>
      </c>
      <c t="str" s="6" r="BR704">
        <f>HYPERLINK("http://www.d20pfsrd.com/magic/all-spells/b/bristle","Bristle")</f>
        <v>Bristle</v>
      </c>
      <c s="6" r="BS704">
        <v>714</v>
      </c>
      <c t="s" s="6" r="BT704">
        <v>92</v>
      </c>
      <c s="6" r="BY704">
        <v>0</v>
      </c>
    </row>
    <row customHeight="1" r="705" ht="14.25">
      <c t="s" s="6" r="A705">
        <v>5436</v>
      </c>
      <c t="s" s="6" r="B705">
        <v>493</v>
      </c>
      <c t="s" s="6" r="D705">
        <v>57</v>
      </c>
      <c t="s" s="6" r="E705">
        <v>5437</v>
      </c>
      <c t="s" s="6" r="F705">
        <v>81</v>
      </c>
      <c t="s" s="6" r="G705">
        <v>5438</v>
      </c>
      <c s="6" r="H705">
        <v>0</v>
      </c>
      <c t="s" s="6" r="I705">
        <v>155</v>
      </c>
      <c t="s" s="6" r="L705">
        <v>156</v>
      </c>
      <c t="s" s="6" r="M705">
        <v>99</v>
      </c>
      <c s="6" r="N705">
        <v>0</v>
      </c>
      <c s="6" r="O705">
        <v>0</v>
      </c>
      <c t="s" s="6" r="P705">
        <v>5439</v>
      </c>
      <c t="s" s="6" r="Q705">
        <v>188</v>
      </c>
      <c t="s" s="6" r="R705">
        <v>5440</v>
      </c>
      <c t="s" s="6" r="S705">
        <v>5441</v>
      </c>
      <c t="s" s="6" r="T705">
        <v>5200</v>
      </c>
      <c t="s" s="6" r="U705">
        <v>5442</v>
      </c>
      <c s="6" r="V705">
        <v>1</v>
      </c>
      <c s="6" r="W705">
        <v>1</v>
      </c>
      <c s="6" r="X705">
        <v>1</v>
      </c>
      <c s="6" r="Y705">
        <v>0</v>
      </c>
      <c s="6" r="Z705">
        <v>1</v>
      </c>
      <c s="6" r="AA705">
        <v>2</v>
      </c>
      <c s="6" r="AB705">
        <v>2</v>
      </c>
      <c t="s" s="6" r="AC705">
        <v>92</v>
      </c>
      <c s="6" r="AD705">
        <v>2</v>
      </c>
      <c t="s" s="6" r="AE705">
        <v>92</v>
      </c>
      <c t="s" s="6" r="AF705">
        <v>92</v>
      </c>
      <c t="s" s="6" r="AG705">
        <v>92</v>
      </c>
      <c t="s" s="6" r="AH705">
        <v>92</v>
      </c>
      <c t="s" s="6" r="AI705">
        <v>92</v>
      </c>
      <c s="6" r="AJ705">
        <v>2</v>
      </c>
      <c t="s" s="6" r="AK705">
        <v>92</v>
      </c>
      <c t="s" s="6" r="AL705">
        <v>92</v>
      </c>
      <c t="s" s="6" r="AM705">
        <v>92</v>
      </c>
      <c s="6" r="AN705">
        <v>2</v>
      </c>
      <c s="6" r="AP705">
        <v>2</v>
      </c>
      <c t="s" s="6" r="AR705">
        <v>5443</v>
      </c>
      <c s="6" r="AS705">
        <v>0</v>
      </c>
      <c s="6" r="AT705">
        <v>0</v>
      </c>
      <c s="6" r="AU705">
        <v>0</v>
      </c>
      <c s="6" r="AV705">
        <v>0</v>
      </c>
      <c s="6" r="AW705">
        <v>0</v>
      </c>
      <c s="6" r="AX705">
        <v>0</v>
      </c>
      <c s="6" r="AY705">
        <v>0</v>
      </c>
      <c s="6" r="AZ705">
        <v>0</v>
      </c>
      <c s="6" r="BA705">
        <v>0</v>
      </c>
      <c s="6" r="BB705">
        <v>0</v>
      </c>
      <c s="6" r="BC705">
        <v>0</v>
      </c>
      <c s="6" r="BD705">
        <v>0</v>
      </c>
      <c s="6" r="BE705">
        <v>0</v>
      </c>
      <c s="6" r="BF705">
        <v>1</v>
      </c>
      <c s="6" r="BG705">
        <v>0</v>
      </c>
      <c s="6" r="BH705">
        <v>0</v>
      </c>
      <c s="6" r="BI705">
        <v>0</v>
      </c>
      <c s="6" r="BJ705">
        <v>0</v>
      </c>
      <c s="6" r="BK705">
        <v>0</v>
      </c>
      <c s="6" r="BL705">
        <v>0</v>
      </c>
      <c s="6" r="BM705">
        <v>0</v>
      </c>
      <c s="6" r="BN705">
        <v>0</v>
      </c>
      <c s="6" r="BO705">
        <v>0</v>
      </c>
      <c s="6" r="BP705">
        <v>0</v>
      </c>
      <c s="6" r="BQ705">
        <v>0</v>
      </c>
      <c t="str" s="6" r="BR705">
        <f>HYPERLINK("http://www.d20pfsrd.com/magic/all-spells/b/burning-gaze","Burning Gaze")</f>
        <v>Burning Gaze</v>
      </c>
      <c s="6" r="BS705">
        <v>715</v>
      </c>
      <c t="s" s="6" r="BT705">
        <v>92</v>
      </c>
      <c t="s" s="6" r="BV705">
        <v>638</v>
      </c>
      <c t="s" s="6" r="BW705">
        <v>5444</v>
      </c>
      <c t="s" s="6" r="BX705">
        <v>5445</v>
      </c>
      <c s="6" r="BY705">
        <v>1</v>
      </c>
    </row>
    <row customHeight="1" r="706" ht="14.25">
      <c t="s" s="6" r="A706">
        <v>5446</v>
      </c>
      <c t="s" s="6" r="B706">
        <v>493</v>
      </c>
      <c t="s" s="6" r="E706">
        <v>5447</v>
      </c>
      <c t="s" s="6" r="F706">
        <v>81</v>
      </c>
      <c t="s" s="6" r="G706">
        <v>251</v>
      </c>
      <c s="6" r="H706">
        <v>0</v>
      </c>
      <c t="s" s="6" r="I706">
        <v>120</v>
      </c>
      <c t="s" s="6" r="L706">
        <v>5448</v>
      </c>
      <c t="s" s="6" r="M706">
        <v>109</v>
      </c>
      <c s="6" r="N706">
        <v>0</v>
      </c>
      <c s="6" r="O706">
        <v>0</v>
      </c>
      <c t="s" s="6" r="P706">
        <v>5449</v>
      </c>
      <c t="s" s="6" r="Q706">
        <v>188</v>
      </c>
      <c t="s" s="6" r="R706">
        <v>5450</v>
      </c>
      <c t="s" s="6" r="S706">
        <v>5451</v>
      </c>
      <c t="s" s="6" r="T706">
        <v>5200</v>
      </c>
      <c t="s" s="6" r="U706">
        <v>5452</v>
      </c>
      <c s="6" r="V706">
        <v>1</v>
      </c>
      <c s="6" r="W706">
        <v>0</v>
      </c>
      <c s="6" r="X706">
        <v>0</v>
      </c>
      <c s="6" r="Y706">
        <v>0</v>
      </c>
      <c s="6" r="Z706">
        <v>0</v>
      </c>
      <c t="s" s="6" r="AA706">
        <v>92</v>
      </c>
      <c t="s" s="6" r="AB706">
        <v>92</v>
      </c>
      <c t="s" s="6" r="AC706">
        <v>92</v>
      </c>
      <c t="s" s="6" r="AD706">
        <v>92</v>
      </c>
      <c t="s" s="6" r="AE706">
        <v>92</v>
      </c>
      <c t="s" s="6" r="AF706">
        <v>92</v>
      </c>
      <c t="s" s="6" r="AG706">
        <v>92</v>
      </c>
      <c t="s" s="6" r="AH706">
        <v>92</v>
      </c>
      <c t="s" s="6" r="AI706">
        <v>92</v>
      </c>
      <c t="s" s="6" r="AJ706">
        <v>92</v>
      </c>
      <c s="6" r="AK706">
        <v>1</v>
      </c>
      <c t="s" s="6" r="AL706">
        <v>92</v>
      </c>
      <c t="s" s="6" r="AM706">
        <v>92</v>
      </c>
      <c t="s" s="6" r="AN706">
        <v>92</v>
      </c>
      <c s="6" r="AP706">
        <v>1</v>
      </c>
      <c t="s" s="6" r="AR706">
        <v>5453</v>
      </c>
      <c s="6" r="AS706">
        <v>0</v>
      </c>
      <c s="6" r="AT706">
        <v>0</v>
      </c>
      <c s="6" r="AU706">
        <v>0</v>
      </c>
      <c s="6" r="AV706">
        <v>0</v>
      </c>
      <c s="6" r="AW706">
        <v>0</v>
      </c>
      <c s="6" r="AX706">
        <v>0</v>
      </c>
      <c s="6" r="AY706">
        <v>0</v>
      </c>
      <c s="6" r="AZ706">
        <v>0</v>
      </c>
      <c s="6" r="BA706">
        <v>0</v>
      </c>
      <c s="6" r="BB706">
        <v>0</v>
      </c>
      <c s="6" r="BC706">
        <v>0</v>
      </c>
      <c s="6" r="BD706">
        <v>0</v>
      </c>
      <c s="6" r="BE706">
        <v>0</v>
      </c>
      <c s="6" r="BF706">
        <v>0</v>
      </c>
      <c s="6" r="BG706">
        <v>0</v>
      </c>
      <c s="6" r="BH706">
        <v>0</v>
      </c>
      <c s="6" r="BI706">
        <v>0</v>
      </c>
      <c s="6" r="BJ706">
        <v>0</v>
      </c>
      <c s="6" r="BK706">
        <v>0</v>
      </c>
      <c s="6" r="BL706">
        <v>0</v>
      </c>
      <c s="6" r="BM706">
        <v>0</v>
      </c>
      <c s="6" r="BN706">
        <v>0</v>
      </c>
      <c s="6" r="BO706">
        <v>0</v>
      </c>
      <c s="6" r="BP706">
        <v>0</v>
      </c>
      <c s="6" r="BQ706">
        <v>0</v>
      </c>
      <c t="str" s="6" r="BR706">
        <f>HYPERLINK("http://www.d20pfsrd.com/magic/all-spells/b/burst-bonds","Burst Bonds")</f>
        <v>Burst Bonds</v>
      </c>
      <c s="6" r="BS706">
        <v>716</v>
      </c>
      <c t="s" s="6" r="BT706">
        <v>92</v>
      </c>
      <c s="6" r="BY706">
        <v>0</v>
      </c>
    </row>
    <row customHeight="1" r="707" ht="14.25">
      <c t="s" s="6" r="A707">
        <v>5454</v>
      </c>
      <c t="s" s="6" r="B707">
        <v>115</v>
      </c>
      <c t="s" s="6" r="C707">
        <v>116</v>
      </c>
      <c t="s" s="6" r="D707">
        <v>117</v>
      </c>
      <c t="s" s="6" r="E707">
        <v>5455</v>
      </c>
      <c t="s" s="6" r="F707">
        <v>81</v>
      </c>
      <c t="s" s="6" r="G707">
        <v>5456</v>
      </c>
      <c s="6" r="H707">
        <v>0</v>
      </c>
      <c t="s" s="6" r="I707">
        <v>107</v>
      </c>
      <c t="s" s="6" r="L707">
        <v>1235</v>
      </c>
      <c t="s" s="6" r="M707">
        <v>99</v>
      </c>
      <c s="6" r="N707">
        <v>0</v>
      </c>
      <c s="6" r="O707">
        <v>0</v>
      </c>
      <c t="s" s="6" r="P707">
        <v>221</v>
      </c>
      <c t="s" s="6" r="Q707">
        <v>188</v>
      </c>
      <c t="s" s="6" r="R707">
        <v>5457</v>
      </c>
      <c t="s" s="6" r="S707">
        <v>5458</v>
      </c>
      <c t="s" s="6" r="T707">
        <v>5200</v>
      </c>
      <c t="s" s="6" r="U707">
        <v>5459</v>
      </c>
      <c s="6" r="V707">
        <v>1</v>
      </c>
      <c s="6" r="W707">
        <v>1</v>
      </c>
      <c s="6" r="X707">
        <v>1</v>
      </c>
      <c s="6" r="Y707">
        <v>0</v>
      </c>
      <c s="6" r="Z707">
        <v>0</v>
      </c>
      <c t="s" s="6" r="AA707">
        <v>92</v>
      </c>
      <c t="s" s="6" r="AB707">
        <v>92</v>
      </c>
      <c t="s" s="6" r="AC707">
        <v>92</v>
      </c>
      <c t="s" s="6" r="AD707">
        <v>92</v>
      </c>
      <c t="s" s="6" r="AE707">
        <v>92</v>
      </c>
      <c s="6" r="AF707">
        <v>2</v>
      </c>
      <c t="s" s="6" r="AG707">
        <v>92</v>
      </c>
      <c t="s" s="6" r="AH707">
        <v>92</v>
      </c>
      <c t="s" s="6" r="AI707">
        <v>92</v>
      </c>
      <c t="s" s="6" r="AJ707">
        <v>92</v>
      </c>
      <c t="s" s="6" r="AK707">
        <v>92</v>
      </c>
      <c t="s" s="6" r="AL707">
        <v>92</v>
      </c>
      <c t="s" s="6" r="AM707">
        <v>92</v>
      </c>
      <c t="s" s="6" r="AN707">
        <v>92</v>
      </c>
      <c s="6" r="AP707">
        <v>2</v>
      </c>
      <c t="s" s="6" r="AR707">
        <v>5460</v>
      </c>
      <c s="6" r="AS707">
        <v>0</v>
      </c>
      <c s="6" r="AT707">
        <v>0</v>
      </c>
      <c s="6" r="AU707">
        <v>0</v>
      </c>
      <c s="6" r="AV707">
        <v>0</v>
      </c>
      <c s="6" r="AW707">
        <v>0</v>
      </c>
      <c s="6" r="AX707">
        <v>0</v>
      </c>
      <c s="6" r="AY707">
        <v>0</v>
      </c>
      <c s="6" r="AZ707">
        <v>0</v>
      </c>
      <c s="6" r="BA707">
        <v>0</v>
      </c>
      <c s="6" r="BB707">
        <v>0</v>
      </c>
      <c s="6" r="BC707">
        <v>0</v>
      </c>
      <c s="6" r="BD707">
        <v>0</v>
      </c>
      <c s="6" r="BE707">
        <v>0</v>
      </c>
      <c s="6" r="BF707">
        <v>0</v>
      </c>
      <c s="6" r="BG707">
        <v>0</v>
      </c>
      <c s="6" r="BH707">
        <v>0</v>
      </c>
      <c s="6" r="BI707">
        <v>0</v>
      </c>
      <c s="6" r="BJ707">
        <v>0</v>
      </c>
      <c s="6" r="BK707">
        <v>0</v>
      </c>
      <c s="6" r="BL707">
        <v>1</v>
      </c>
      <c s="6" r="BM707">
        <v>0</v>
      </c>
      <c s="6" r="BN707">
        <v>0</v>
      </c>
      <c s="6" r="BO707">
        <v>0</v>
      </c>
      <c s="6" r="BP707">
        <v>0</v>
      </c>
      <c s="6" r="BQ707">
        <v>0</v>
      </c>
      <c t="str" s="6" r="BR707">
        <f>HYPERLINK("http://www.d20pfsrd.com/magic/all-spells/c/cacophonous-call","Cacophonous Call")</f>
        <v>Cacophonous Call</v>
      </c>
      <c s="6" r="BS707">
        <v>717</v>
      </c>
      <c t="s" s="6" r="BT707">
        <v>92</v>
      </c>
      <c s="6" r="BY707">
        <v>0</v>
      </c>
    </row>
    <row customHeight="1" r="708" ht="14.25">
      <c t="s" s="6" r="A708">
        <v>5461</v>
      </c>
      <c t="s" s="6" r="B708">
        <v>115</v>
      </c>
      <c t="s" s="6" r="C708">
        <v>116</v>
      </c>
      <c t="s" s="6" r="D708">
        <v>117</v>
      </c>
      <c t="s" s="6" r="E708">
        <v>4038</v>
      </c>
      <c t="s" s="6" r="F708">
        <v>81</v>
      </c>
      <c t="s" s="6" r="G708">
        <v>5456</v>
      </c>
      <c s="6" r="H708">
        <v>0</v>
      </c>
      <c t="s" s="6" r="I708">
        <v>107</v>
      </c>
      <c t="s" s="6" r="L708">
        <v>5462</v>
      </c>
      <c t="s" s="6" r="M708">
        <v>99</v>
      </c>
      <c s="6" r="N708">
        <v>0</v>
      </c>
      <c s="6" r="O708">
        <v>0</v>
      </c>
      <c t="s" s="6" r="P708">
        <v>221</v>
      </c>
      <c t="s" s="6" r="Q708">
        <v>188</v>
      </c>
      <c t="s" s="6" r="R708">
        <v>5463</v>
      </c>
      <c t="s" s="6" r="S708">
        <v>5464</v>
      </c>
      <c t="s" s="6" r="T708">
        <v>5200</v>
      </c>
      <c t="s" s="6" r="U708">
        <v>5465</v>
      </c>
      <c s="6" r="V708">
        <v>1</v>
      </c>
      <c s="6" r="W708">
        <v>1</v>
      </c>
      <c s="6" r="X708">
        <v>1</v>
      </c>
      <c s="6" r="Y708">
        <v>0</v>
      </c>
      <c s="6" r="Z708">
        <v>0</v>
      </c>
      <c t="s" s="6" r="AA708">
        <v>92</v>
      </c>
      <c t="s" s="6" r="AB708">
        <v>92</v>
      </c>
      <c t="s" s="6" r="AC708">
        <v>92</v>
      </c>
      <c t="s" s="6" r="AD708">
        <v>92</v>
      </c>
      <c t="s" s="6" r="AE708">
        <v>92</v>
      </c>
      <c s="6" r="AF708">
        <v>5</v>
      </c>
      <c t="s" s="6" r="AG708">
        <v>92</v>
      </c>
      <c t="s" s="6" r="AH708">
        <v>92</v>
      </c>
      <c t="s" s="6" r="AI708">
        <v>92</v>
      </c>
      <c t="s" s="6" r="AJ708">
        <v>92</v>
      </c>
      <c t="s" s="6" r="AK708">
        <v>92</v>
      </c>
      <c t="s" s="6" r="AL708">
        <v>92</v>
      </c>
      <c t="s" s="6" r="AM708">
        <v>92</v>
      </c>
      <c t="s" s="6" r="AN708">
        <v>92</v>
      </c>
      <c s="6" r="AP708">
        <v>5</v>
      </c>
      <c t="s" s="6" r="AR708">
        <v>5466</v>
      </c>
      <c s="6" r="AS708">
        <v>0</v>
      </c>
      <c s="6" r="AT708">
        <v>0</v>
      </c>
      <c s="6" r="AU708">
        <v>0</v>
      </c>
      <c s="6" r="AV708">
        <v>0</v>
      </c>
      <c s="6" r="AW708">
        <v>0</v>
      </c>
      <c s="6" r="AX708">
        <v>0</v>
      </c>
      <c s="6" r="AY708">
        <v>0</v>
      </c>
      <c s="6" r="AZ708">
        <v>0</v>
      </c>
      <c s="6" r="BA708">
        <v>0</v>
      </c>
      <c s="6" r="BB708">
        <v>0</v>
      </c>
      <c s="6" r="BC708">
        <v>0</v>
      </c>
      <c s="6" r="BD708">
        <v>0</v>
      </c>
      <c s="6" r="BE708">
        <v>0</v>
      </c>
      <c s="6" r="BF708">
        <v>0</v>
      </c>
      <c s="6" r="BG708">
        <v>0</v>
      </c>
      <c s="6" r="BH708">
        <v>0</v>
      </c>
      <c s="6" r="BI708">
        <v>0</v>
      </c>
      <c s="6" r="BJ708">
        <v>0</v>
      </c>
      <c s="6" r="BK708">
        <v>0</v>
      </c>
      <c s="6" r="BL708">
        <v>1</v>
      </c>
      <c s="6" r="BM708">
        <v>0</v>
      </c>
      <c s="6" r="BN708">
        <v>0</v>
      </c>
      <c s="6" r="BO708">
        <v>0</v>
      </c>
      <c s="6" r="BP708">
        <v>0</v>
      </c>
      <c s="6" r="BQ708">
        <v>0</v>
      </c>
      <c t="str" s="6" r="BR708">
        <f>HYPERLINK("http://www.d20pfsrd.com/magic/all-spells/c/cacophonous-call","Cacophonous Call, Mass")</f>
        <v>Cacophonous Call, Mass</v>
      </c>
      <c s="6" r="BS708">
        <v>718</v>
      </c>
      <c t="s" s="6" r="BT708">
        <v>92</v>
      </c>
      <c s="6" r="BY708">
        <v>0</v>
      </c>
    </row>
    <row customHeight="1" r="709" ht="14.25">
      <c t="s" s="6" r="A709">
        <v>5467</v>
      </c>
      <c t="s" s="6" r="B709">
        <v>131</v>
      </c>
      <c t="s" s="6" r="D709">
        <v>52</v>
      </c>
      <c t="s" s="6" r="E709">
        <v>2102</v>
      </c>
      <c t="s" s="6" r="F709">
        <v>81</v>
      </c>
      <c t="s" s="6" r="G709">
        <v>106</v>
      </c>
      <c s="6" r="H709">
        <v>0</v>
      </c>
      <c t="s" s="6" r="I709">
        <v>120</v>
      </c>
      <c t="s" s="6" r="L709">
        <v>5468</v>
      </c>
      <c t="s" s="6" r="M709">
        <v>99</v>
      </c>
      <c s="6" r="N709">
        <v>0</v>
      </c>
      <c s="6" r="O709">
        <v>0</v>
      </c>
      <c t="s" s="6" r="P709">
        <v>1254</v>
      </c>
      <c t="s" s="6" r="Q709">
        <v>188</v>
      </c>
      <c t="s" s="6" r="R709">
        <v>5469</v>
      </c>
      <c t="s" s="6" r="S709">
        <v>5470</v>
      </c>
      <c t="s" s="6" r="T709">
        <v>5200</v>
      </c>
      <c t="s" s="6" r="U709">
        <v>5471</v>
      </c>
      <c s="6" r="V709">
        <v>1</v>
      </c>
      <c s="6" r="W709">
        <v>1</v>
      </c>
      <c s="6" r="X709">
        <v>0</v>
      </c>
      <c s="6" r="Y709">
        <v>0</v>
      </c>
      <c s="6" r="Z709">
        <v>0</v>
      </c>
      <c s="6" r="AA709">
        <v>4</v>
      </c>
      <c s="6" r="AB709">
        <v>4</v>
      </c>
      <c t="s" s="6" r="AC709">
        <v>92</v>
      </c>
      <c t="s" s="6" r="AD709">
        <v>92</v>
      </c>
      <c t="s" s="6" r="AE709">
        <v>92</v>
      </c>
      <c t="s" s="6" r="AF709">
        <v>92</v>
      </c>
      <c t="s" s="6" r="AG709">
        <v>92</v>
      </c>
      <c t="s" s="6" r="AH709">
        <v>92</v>
      </c>
      <c t="s" s="6" r="AI709">
        <v>92</v>
      </c>
      <c t="s" s="6" r="AJ709">
        <v>92</v>
      </c>
      <c t="s" s="6" r="AK709">
        <v>92</v>
      </c>
      <c t="s" s="6" r="AL709">
        <v>92</v>
      </c>
      <c t="s" s="6" r="AM709">
        <v>92</v>
      </c>
      <c t="s" s="6" r="AN709">
        <v>92</v>
      </c>
      <c s="6" r="AP709">
        <v>4</v>
      </c>
      <c t="s" s="6" r="AR709">
        <v>5472</v>
      </c>
      <c s="6" r="AS709">
        <v>0</v>
      </c>
      <c s="6" r="AT709">
        <v>0</v>
      </c>
      <c s="6" r="AU709">
        <v>0</v>
      </c>
      <c s="6" r="AV709">
        <v>0</v>
      </c>
      <c s="6" r="AW709">
        <v>0</v>
      </c>
      <c s="6" r="AX709">
        <v>0</v>
      </c>
      <c s="6" r="AY709">
        <v>0</v>
      </c>
      <c s="6" r="AZ709">
        <v>0</v>
      </c>
      <c s="6" r="BA709">
        <v>1</v>
      </c>
      <c s="6" r="BB709">
        <v>0</v>
      </c>
      <c s="6" r="BC709">
        <v>0</v>
      </c>
      <c s="6" r="BD709">
        <v>0</v>
      </c>
      <c s="6" r="BE709">
        <v>0</v>
      </c>
      <c s="6" r="BF709">
        <v>0</v>
      </c>
      <c s="6" r="BG709">
        <v>0</v>
      </c>
      <c s="6" r="BH709">
        <v>0</v>
      </c>
      <c s="6" r="BI709">
        <v>0</v>
      </c>
      <c s="6" r="BJ709">
        <v>0</v>
      </c>
      <c s="6" r="BK709">
        <v>0</v>
      </c>
      <c s="6" r="BL709">
        <v>0</v>
      </c>
      <c s="6" r="BM709">
        <v>0</v>
      </c>
      <c s="6" r="BN709">
        <v>0</v>
      </c>
      <c s="6" r="BO709">
        <v>0</v>
      </c>
      <c s="6" r="BP709">
        <v>0</v>
      </c>
      <c s="6" r="BQ709">
        <v>0</v>
      </c>
      <c t="str" s="6" r="BR709">
        <f>HYPERLINK("http://www.d20pfsrd.com/magic/all-spells/c/calcific-touch","Calcific Touch")</f>
        <v>Calcific Touch</v>
      </c>
      <c s="6" r="BS709">
        <v>719</v>
      </c>
      <c t="s" s="6" r="BT709">
        <v>92</v>
      </c>
      <c s="6" r="BY709">
        <v>0</v>
      </c>
    </row>
    <row customHeight="1" r="710" ht="14.25">
      <c t="s" s="6" r="A710">
        <v>5473</v>
      </c>
      <c t="s" s="6" r="B710">
        <v>115</v>
      </c>
      <c t="s" s="6" r="C710">
        <v>116</v>
      </c>
      <c t="s" s="6" r="D710">
        <v>117</v>
      </c>
      <c t="s" s="6" r="E710">
        <v>656</v>
      </c>
      <c t="s" s="6" r="F710">
        <v>81</v>
      </c>
      <c t="s" s="6" r="G710">
        <v>119</v>
      </c>
      <c s="6" r="H710">
        <v>0</v>
      </c>
      <c t="s" s="6" r="I710">
        <v>5474</v>
      </c>
      <c t="s" s="6" r="K710">
        <v>5475</v>
      </c>
      <c t="s" s="6" r="M710">
        <v>711</v>
      </c>
      <c s="6" r="N710">
        <v>1</v>
      </c>
      <c s="6" r="O710">
        <v>0</v>
      </c>
      <c t="s" s="6" r="P710">
        <v>86</v>
      </c>
      <c t="s" s="6" r="Q710">
        <v>86</v>
      </c>
      <c t="s" s="6" r="R710">
        <v>5476</v>
      </c>
      <c t="s" s="6" r="S710">
        <v>5477</v>
      </c>
      <c t="s" s="6" r="T710">
        <v>5200</v>
      </c>
      <c t="s" s="6" r="U710">
        <v>5478</v>
      </c>
      <c s="6" r="V710">
        <v>1</v>
      </c>
      <c s="6" r="W710">
        <v>1</v>
      </c>
      <c s="6" r="X710">
        <v>0</v>
      </c>
      <c s="6" r="Y710">
        <v>0</v>
      </c>
      <c s="6" r="Z710">
        <v>1</v>
      </c>
      <c t="s" s="6" r="AA710">
        <v>92</v>
      </c>
      <c t="s" s="6" r="AB710">
        <v>92</v>
      </c>
      <c t="s" s="6" r="AC710">
        <v>92</v>
      </c>
      <c s="6" r="AD710">
        <v>1</v>
      </c>
      <c s="6" r="AE710">
        <v>1</v>
      </c>
      <c t="s" s="6" r="AF710">
        <v>92</v>
      </c>
      <c t="s" s="6" r="AG710">
        <v>92</v>
      </c>
      <c t="s" s="6" r="AH710">
        <v>92</v>
      </c>
      <c t="s" s="6" r="AI710">
        <v>92</v>
      </c>
      <c t="s" s="6" r="AJ710">
        <v>92</v>
      </c>
      <c t="s" s="6" r="AK710">
        <v>92</v>
      </c>
      <c t="s" s="6" r="AL710">
        <v>92</v>
      </c>
      <c t="s" s="6" r="AM710">
        <v>92</v>
      </c>
      <c t="s" s="6" r="AN710">
        <v>92</v>
      </c>
      <c s="6" r="AP710">
        <v>1</v>
      </c>
      <c t="s" s="6" r="AR710">
        <v>5479</v>
      </c>
      <c s="6" r="AS710">
        <v>0</v>
      </c>
      <c s="6" r="AT710">
        <v>0</v>
      </c>
      <c s="6" r="AU710">
        <v>0</v>
      </c>
      <c s="6" r="AV710">
        <v>0</v>
      </c>
      <c s="6" r="AW710">
        <v>0</v>
      </c>
      <c s="6" r="AX710">
        <v>0</v>
      </c>
      <c s="6" r="AY710">
        <v>0</v>
      </c>
      <c s="6" r="AZ710">
        <v>0</v>
      </c>
      <c s="6" r="BA710">
        <v>0</v>
      </c>
      <c s="6" r="BB710">
        <v>0</v>
      </c>
      <c s="6" r="BC710">
        <v>0</v>
      </c>
      <c s="6" r="BD710">
        <v>0</v>
      </c>
      <c s="6" r="BE710">
        <v>0</v>
      </c>
      <c s="6" r="BF710">
        <v>0</v>
      </c>
      <c s="6" r="BG710">
        <v>0</v>
      </c>
      <c s="6" r="BH710">
        <v>0</v>
      </c>
      <c s="6" r="BI710">
        <v>0</v>
      </c>
      <c s="6" r="BJ710">
        <v>0</v>
      </c>
      <c s="6" r="BK710">
        <v>0</v>
      </c>
      <c s="6" r="BL710">
        <v>1</v>
      </c>
      <c s="6" r="BM710">
        <v>0</v>
      </c>
      <c s="6" r="BN710">
        <v>0</v>
      </c>
      <c s="6" r="BO710">
        <v>0</v>
      </c>
      <c s="6" r="BP710">
        <v>0</v>
      </c>
      <c s="6" r="BQ710">
        <v>0</v>
      </c>
      <c t="str" s="6" r="BR710">
        <f>HYPERLINK("http://www.d20pfsrd.com/magic/all-spells/c/call-animal","Call Animal")</f>
        <v>Call Animal</v>
      </c>
      <c s="6" r="BS710">
        <v>720</v>
      </c>
      <c t="s" s="6" r="BT710">
        <v>92</v>
      </c>
      <c t="s" s="6" r="BW710">
        <v>5480</v>
      </c>
      <c s="6" r="BY710">
        <v>1</v>
      </c>
    </row>
    <row customHeight="1" r="711" ht="14.25">
      <c t="s" s="6" r="A711">
        <v>5481</v>
      </c>
      <c t="s" s="6" r="B711">
        <v>493</v>
      </c>
      <c t="s" s="6" r="D711">
        <v>5482</v>
      </c>
      <c t="s" s="6" r="E711">
        <v>5483</v>
      </c>
      <c t="s" s="6" r="F711">
        <v>81</v>
      </c>
      <c t="s" s="6" r="G711">
        <v>5484</v>
      </c>
      <c s="6" r="H711">
        <v>0</v>
      </c>
      <c t="s" s="6" r="I711">
        <v>107</v>
      </c>
      <c t="s" s="6" r="K711">
        <v>5485</v>
      </c>
      <c t="s" s="6" r="M711">
        <v>5486</v>
      </c>
      <c s="6" r="N711">
        <v>1</v>
      </c>
      <c s="6" r="O711">
        <v>0</v>
      </c>
      <c t="s" s="6" r="P711">
        <v>86</v>
      </c>
      <c t="s" s="6" r="Q711">
        <v>188</v>
      </c>
      <c t="s" s="6" r="R711">
        <v>5487</v>
      </c>
      <c t="s" s="6" r="S711">
        <v>5488</v>
      </c>
      <c t="s" s="6" r="T711">
        <v>5200</v>
      </c>
      <c t="s" s="6" r="U711">
        <v>5489</v>
      </c>
      <c s="6" r="V711">
        <v>1</v>
      </c>
      <c s="6" r="W711">
        <v>1</v>
      </c>
      <c s="6" r="X711">
        <v>1</v>
      </c>
      <c s="6" r="Y711">
        <v>0</v>
      </c>
      <c s="6" r="Z711">
        <v>1</v>
      </c>
      <c s="6" r="AA711">
        <v>3</v>
      </c>
      <c s="6" r="AB711">
        <v>3</v>
      </c>
      <c t="s" s="6" r="AC711">
        <v>92</v>
      </c>
      <c s="6" r="AD711">
        <v>2</v>
      </c>
      <c s="6" r="AE711">
        <v>2</v>
      </c>
      <c s="6" r="AF711">
        <v>3</v>
      </c>
      <c t="s" s="6" r="AG711">
        <v>92</v>
      </c>
      <c t="s" s="6" r="AH711">
        <v>92</v>
      </c>
      <c t="s" s="6" r="AI711">
        <v>92</v>
      </c>
      <c t="s" s="6" r="AJ711">
        <v>92</v>
      </c>
      <c t="s" s="6" r="AK711">
        <v>92</v>
      </c>
      <c t="s" s="6" r="AL711">
        <v>92</v>
      </c>
      <c t="s" s="6" r="AM711">
        <v>92</v>
      </c>
      <c t="s" s="6" r="AN711">
        <v>92</v>
      </c>
      <c s="6" r="AP711">
        <v>3</v>
      </c>
      <c t="s" s="6" r="AR711">
        <v>5490</v>
      </c>
      <c s="6" r="AS711">
        <v>0</v>
      </c>
      <c s="6" r="AT711">
        <v>0</v>
      </c>
      <c s="6" r="AU711">
        <v>0</v>
      </c>
      <c s="6" r="AV711">
        <v>0</v>
      </c>
      <c s="6" r="AW711">
        <v>0</v>
      </c>
      <c s="6" r="AX711">
        <v>0</v>
      </c>
      <c s="6" r="AY711">
        <v>0</v>
      </c>
      <c s="6" r="AZ711">
        <v>0</v>
      </c>
      <c s="6" r="BA711">
        <v>0</v>
      </c>
      <c s="6" r="BB711">
        <v>0</v>
      </c>
      <c s="6" r="BC711">
        <v>0</v>
      </c>
      <c s="6" r="BD711">
        <v>0</v>
      </c>
      <c s="6" r="BE711">
        <v>0</v>
      </c>
      <c s="6" r="BF711">
        <v>1</v>
      </c>
      <c s="6" r="BG711">
        <v>0</v>
      </c>
      <c s="6" r="BH711">
        <v>0</v>
      </c>
      <c s="6" r="BI711">
        <v>0</v>
      </c>
      <c s="6" r="BJ711">
        <v>0</v>
      </c>
      <c s="6" r="BK711">
        <v>1</v>
      </c>
      <c s="6" r="BL711">
        <v>0</v>
      </c>
      <c s="6" r="BM711">
        <v>0</v>
      </c>
      <c s="6" r="BN711">
        <v>0</v>
      </c>
      <c s="6" r="BO711">
        <v>0</v>
      </c>
      <c s="6" r="BP711">
        <v>0</v>
      </c>
      <c s="6" r="BQ711">
        <v>0</v>
      </c>
      <c t="str" s="6" r="BR711">
        <f>HYPERLINK("http://www.d20pfsrd.com/magic/all-spells/c/campfire-wall","Campfire Wall")</f>
        <v>Campfire Wall</v>
      </c>
      <c s="6" r="BS711">
        <v>721</v>
      </c>
      <c t="s" s="6" r="BT711">
        <v>92</v>
      </c>
      <c s="6" r="BY711">
        <v>0</v>
      </c>
    </row>
    <row customHeight="1" r="712" ht="14.25">
      <c t="s" s="6" r="A712">
        <v>5491</v>
      </c>
      <c t="s" s="6" r="B712">
        <v>162</v>
      </c>
      <c t="s" s="6" r="E712">
        <v>5492</v>
      </c>
      <c t="s" s="6" r="F712">
        <v>81</v>
      </c>
      <c t="s" s="6" r="G712">
        <v>119</v>
      </c>
      <c s="6" r="H712">
        <v>0</v>
      </c>
      <c t="s" s="6" r="I712">
        <v>120</v>
      </c>
      <c t="s" s="6" r="L712">
        <v>420</v>
      </c>
      <c t="s" s="6" r="M712">
        <v>109</v>
      </c>
      <c s="6" r="N712">
        <v>0</v>
      </c>
      <c s="6" r="O712">
        <v>0</v>
      </c>
      <c t="s" s="6" r="P712">
        <v>296</v>
      </c>
      <c t="s" s="6" r="Q712">
        <v>188</v>
      </c>
      <c t="s" s="6" r="R712">
        <v>5493</v>
      </c>
      <c t="s" s="6" r="S712">
        <v>5494</v>
      </c>
      <c t="s" s="6" r="T712">
        <v>5200</v>
      </c>
      <c t="s" s="6" r="U712">
        <v>5495</v>
      </c>
      <c s="6" r="V712">
        <v>1</v>
      </c>
      <c s="6" r="W712">
        <v>1</v>
      </c>
      <c s="6" r="X712">
        <v>0</v>
      </c>
      <c s="6" r="Y712">
        <v>0</v>
      </c>
      <c s="6" r="Z712">
        <v>1</v>
      </c>
      <c t="s" s="6" r="AA712">
        <v>92</v>
      </c>
      <c t="s" s="6" r="AB712">
        <v>92</v>
      </c>
      <c t="s" s="6" r="AC712">
        <v>92</v>
      </c>
      <c t="s" s="6" r="AD712">
        <v>92</v>
      </c>
      <c t="s" s="6" r="AE712">
        <v>92</v>
      </c>
      <c t="s" s="6" r="AF712">
        <v>92</v>
      </c>
      <c t="s" s="6" r="AG712">
        <v>92</v>
      </c>
      <c t="s" s="6" r="AH712">
        <v>92</v>
      </c>
      <c t="s" s="6" r="AI712">
        <v>92</v>
      </c>
      <c t="s" s="6" r="AJ712">
        <v>92</v>
      </c>
      <c s="6" r="AK712">
        <v>3</v>
      </c>
      <c t="s" s="6" r="AL712">
        <v>92</v>
      </c>
      <c t="s" s="6" r="AM712">
        <v>92</v>
      </c>
      <c t="s" s="6" r="AN712">
        <v>92</v>
      </c>
      <c s="6" r="AP712">
        <v>3</v>
      </c>
      <c t="s" s="6" r="AR712">
        <v>5496</v>
      </c>
      <c s="6" r="AS712">
        <v>0</v>
      </c>
      <c s="6" r="AT712">
        <v>0</v>
      </c>
      <c s="6" r="AU712">
        <v>0</v>
      </c>
      <c s="6" r="AV712">
        <v>0</v>
      </c>
      <c s="6" r="AW712">
        <v>0</v>
      </c>
      <c s="6" r="AX712">
        <v>0</v>
      </c>
      <c s="6" r="AY712">
        <v>0</v>
      </c>
      <c s="6" r="AZ712">
        <v>0</v>
      </c>
      <c s="6" r="BA712">
        <v>0</v>
      </c>
      <c s="6" r="BB712">
        <v>0</v>
      </c>
      <c s="6" r="BC712">
        <v>0</v>
      </c>
      <c s="6" r="BD712">
        <v>0</v>
      </c>
      <c s="6" r="BE712">
        <v>0</v>
      </c>
      <c s="6" r="BF712">
        <v>0</v>
      </c>
      <c s="6" r="BG712">
        <v>0</v>
      </c>
      <c s="6" r="BH712">
        <v>0</v>
      </c>
      <c s="6" r="BI712">
        <v>0</v>
      </c>
      <c s="6" r="BJ712">
        <v>0</v>
      </c>
      <c s="6" r="BK712">
        <v>0</v>
      </c>
      <c s="6" r="BL712">
        <v>0</v>
      </c>
      <c s="6" r="BM712">
        <v>0</v>
      </c>
      <c s="6" r="BN712">
        <v>0</v>
      </c>
      <c s="6" r="BO712">
        <v>0</v>
      </c>
      <c s="6" r="BP712">
        <v>0</v>
      </c>
      <c s="6" r="BQ712">
        <v>0</v>
      </c>
      <c t="str" s="6" r="BR712">
        <f>HYPERLINK("http://www.d20pfsrd.com/magic/all-spells/c/cast-out","Cast Out")</f>
        <v>Cast Out</v>
      </c>
      <c s="6" r="BS712">
        <v>722</v>
      </c>
      <c t="s" s="6" r="BT712">
        <v>92</v>
      </c>
      <c s="6" r="BY712">
        <v>0</v>
      </c>
    </row>
    <row customHeight="1" r="713" ht="14.25">
      <c t="s" s="6" r="A713">
        <v>5497</v>
      </c>
      <c t="s" s="6" r="B713">
        <v>115</v>
      </c>
      <c t="s" s="6" r="C713">
        <v>116</v>
      </c>
      <c t="s" s="6" r="D713">
        <v>5498</v>
      </c>
      <c t="s" s="6" r="E713">
        <v>5499</v>
      </c>
      <c t="s" s="6" r="F713">
        <v>81</v>
      </c>
      <c t="s" s="6" r="G713">
        <v>119</v>
      </c>
      <c s="6" r="H713">
        <v>0</v>
      </c>
      <c t="s" s="6" r="I713">
        <v>107</v>
      </c>
      <c t="s" s="6" r="L713">
        <v>473</v>
      </c>
      <c t="s" s="6" r="M713">
        <v>4942</v>
      </c>
      <c s="6" r="N713">
        <v>0</v>
      </c>
      <c s="6" r="O713">
        <v>0</v>
      </c>
      <c t="s" s="6" r="P713">
        <v>296</v>
      </c>
      <c t="s" s="6" r="Q713">
        <v>188</v>
      </c>
      <c t="s" s="6" r="R713">
        <v>5500</v>
      </c>
      <c t="s" s="6" r="S713">
        <v>5501</v>
      </c>
      <c t="s" s="6" r="T713">
        <v>5200</v>
      </c>
      <c t="s" s="6" r="U713">
        <v>5502</v>
      </c>
      <c s="6" r="V713">
        <v>1</v>
      </c>
      <c s="6" r="W713">
        <v>1</v>
      </c>
      <c s="6" r="X713">
        <v>0</v>
      </c>
      <c s="6" r="Y713">
        <v>0</v>
      </c>
      <c s="6" r="Z713">
        <v>1</v>
      </c>
      <c t="s" s="6" r="AA713">
        <v>92</v>
      </c>
      <c t="s" s="6" r="AB713">
        <v>92</v>
      </c>
      <c t="s" s="6" r="AC713">
        <v>92</v>
      </c>
      <c t="s" s="6" r="AD713">
        <v>92</v>
      </c>
      <c t="s" s="6" r="AE713">
        <v>92</v>
      </c>
      <c t="s" s="6" r="AF713">
        <v>92</v>
      </c>
      <c t="s" s="6" r="AG713">
        <v>92</v>
      </c>
      <c t="s" s="6" r="AH713">
        <v>92</v>
      </c>
      <c t="s" s="6" r="AI713">
        <v>92</v>
      </c>
      <c t="s" s="6" r="AJ713">
        <v>92</v>
      </c>
      <c s="6" r="AK713">
        <v>2</v>
      </c>
      <c t="s" s="6" r="AL713">
        <v>92</v>
      </c>
      <c t="s" s="6" r="AM713">
        <v>92</v>
      </c>
      <c t="s" s="6" r="AN713">
        <v>92</v>
      </c>
      <c s="6" r="AP713">
        <v>2</v>
      </c>
      <c t="s" s="6" r="AR713">
        <v>5503</v>
      </c>
      <c s="6" r="AS713">
        <v>0</v>
      </c>
      <c s="6" r="AT713">
        <v>0</v>
      </c>
      <c s="6" r="AU713">
        <v>0</v>
      </c>
      <c s="6" r="AV713">
        <v>0</v>
      </c>
      <c s="6" r="AW713">
        <v>0</v>
      </c>
      <c s="6" r="AX713">
        <v>0</v>
      </c>
      <c s="6" r="AY713">
        <v>0</v>
      </c>
      <c s="6" r="AZ713">
        <v>0</v>
      </c>
      <c s="6" r="BA713">
        <v>0</v>
      </c>
      <c s="6" r="BB713">
        <v>0</v>
      </c>
      <c s="6" r="BC713">
        <v>1</v>
      </c>
      <c s="6" r="BD713">
        <v>0</v>
      </c>
      <c s="6" r="BE713">
        <v>1</v>
      </c>
      <c s="6" r="BF713">
        <v>0</v>
      </c>
      <c s="6" r="BG713">
        <v>0</v>
      </c>
      <c s="6" r="BH713">
        <v>0</v>
      </c>
      <c s="6" r="BI713">
        <v>1</v>
      </c>
      <c s="6" r="BJ713">
        <v>0</v>
      </c>
      <c s="6" r="BK713">
        <v>0</v>
      </c>
      <c s="6" r="BL713">
        <v>1</v>
      </c>
      <c s="6" r="BM713">
        <v>0</v>
      </c>
      <c s="6" r="BN713">
        <v>0</v>
      </c>
      <c s="6" r="BO713">
        <v>0</v>
      </c>
      <c s="6" r="BP713">
        <v>0</v>
      </c>
      <c s="6" r="BQ713">
        <v>0</v>
      </c>
      <c t="str" s="6" r="BR713">
        <f>HYPERLINK("http://www.d20pfsrd.com/magic/all-spells/c/castigate","Castigate")</f>
        <v>Castigate</v>
      </c>
      <c s="6" r="BS713">
        <v>723</v>
      </c>
      <c t="s" s="6" r="BT713">
        <v>92</v>
      </c>
      <c s="6" r="BY713">
        <v>0</v>
      </c>
    </row>
    <row customHeight="1" r="714" ht="14.25">
      <c t="s" s="6" r="A714">
        <v>5504</v>
      </c>
      <c t="s" s="6" r="B714">
        <v>115</v>
      </c>
      <c t="s" s="6" r="C714">
        <v>116</v>
      </c>
      <c t="s" s="6" r="D714">
        <v>5498</v>
      </c>
      <c t="s" s="6" r="E714">
        <v>5505</v>
      </c>
      <c t="s" s="6" r="F714">
        <v>81</v>
      </c>
      <c t="s" s="6" r="G714">
        <v>119</v>
      </c>
      <c s="6" r="H714">
        <v>0</v>
      </c>
      <c t="s" s="6" r="I714">
        <v>97</v>
      </c>
      <c t="s" s="6" r="L714">
        <v>620</v>
      </c>
      <c t="s" s="6" r="M714">
        <v>4942</v>
      </c>
      <c s="6" r="N714">
        <v>0</v>
      </c>
      <c s="6" r="O714">
        <v>0</v>
      </c>
      <c t="s" s="6" r="P714">
        <v>296</v>
      </c>
      <c t="s" s="6" r="Q714">
        <v>188</v>
      </c>
      <c t="s" s="6" r="R714">
        <v>5506</v>
      </c>
      <c t="s" s="6" r="S714">
        <v>5507</v>
      </c>
      <c t="s" s="6" r="T714">
        <v>5200</v>
      </c>
      <c t="s" s="6" r="U714">
        <v>5508</v>
      </c>
      <c s="6" r="V714">
        <v>1</v>
      </c>
      <c s="6" r="W714">
        <v>1</v>
      </c>
      <c s="6" r="X714">
        <v>0</v>
      </c>
      <c s="6" r="Y714">
        <v>0</v>
      </c>
      <c s="6" r="Z714">
        <v>1</v>
      </c>
      <c t="s" s="6" r="AA714">
        <v>92</v>
      </c>
      <c t="s" s="6" r="AB714">
        <v>92</v>
      </c>
      <c t="s" s="6" r="AC714">
        <v>92</v>
      </c>
      <c t="s" s="6" r="AD714">
        <v>92</v>
      </c>
      <c t="s" s="6" r="AE714">
        <v>92</v>
      </c>
      <c t="s" s="6" r="AF714">
        <v>92</v>
      </c>
      <c t="s" s="6" r="AG714">
        <v>92</v>
      </c>
      <c t="s" s="6" r="AH714">
        <v>92</v>
      </c>
      <c t="s" s="6" r="AI714">
        <v>92</v>
      </c>
      <c t="s" s="6" r="AJ714">
        <v>92</v>
      </c>
      <c s="6" r="AK714">
        <v>5</v>
      </c>
      <c t="s" s="6" r="AL714">
        <v>92</v>
      </c>
      <c t="s" s="6" r="AM714">
        <v>92</v>
      </c>
      <c t="s" s="6" r="AN714">
        <v>92</v>
      </c>
      <c s="6" r="AP714">
        <v>5</v>
      </c>
      <c t="s" s="6" r="AR714">
        <v>5509</v>
      </c>
      <c s="6" r="AS714">
        <v>0</v>
      </c>
      <c s="6" r="AT714">
        <v>0</v>
      </c>
      <c s="6" r="AU714">
        <v>0</v>
      </c>
      <c s="6" r="AV714">
        <v>0</v>
      </c>
      <c s="6" r="AW714">
        <v>0</v>
      </c>
      <c s="6" r="AX714">
        <v>0</v>
      </c>
      <c s="6" r="AY714">
        <v>0</v>
      </c>
      <c s="6" r="AZ714">
        <v>0</v>
      </c>
      <c s="6" r="BA714">
        <v>0</v>
      </c>
      <c s="6" r="BB714">
        <v>0</v>
      </c>
      <c s="6" r="BC714">
        <v>1</v>
      </c>
      <c s="6" r="BD714">
        <v>0</v>
      </c>
      <c s="6" r="BE714">
        <v>1</v>
      </c>
      <c s="6" r="BF714">
        <v>0</v>
      </c>
      <c s="6" r="BG714">
        <v>0</v>
      </c>
      <c s="6" r="BH714">
        <v>0</v>
      </c>
      <c s="6" r="BI714">
        <v>1</v>
      </c>
      <c s="6" r="BJ714">
        <v>0</v>
      </c>
      <c s="6" r="BK714">
        <v>0</v>
      </c>
      <c s="6" r="BL714">
        <v>1</v>
      </c>
      <c s="6" r="BM714">
        <v>0</v>
      </c>
      <c s="6" r="BN714">
        <v>0</v>
      </c>
      <c s="6" r="BO714">
        <v>0</v>
      </c>
      <c s="6" r="BP714">
        <v>0</v>
      </c>
      <c s="6" r="BQ714">
        <v>0</v>
      </c>
      <c t="str" s="6" r="BR714">
        <f>HYPERLINK("http://www.d20pfsrd.com/magic/all-spells/c/castigate","Castigate, Mass")</f>
        <v>Castigate, Mass</v>
      </c>
      <c s="6" r="BS714">
        <v>724</v>
      </c>
      <c t="s" s="6" r="BT714">
        <v>92</v>
      </c>
      <c s="6" r="BY714">
        <v>0</v>
      </c>
    </row>
    <row customHeight="1" r="715" ht="14.25">
      <c t="s" s="6" r="A715">
        <v>5510</v>
      </c>
      <c t="s" s="6" r="B715">
        <v>115</v>
      </c>
      <c t="s" s="6" r="C715">
        <v>116</v>
      </c>
      <c t="s" s="6" r="D715">
        <v>117</v>
      </c>
      <c t="s" s="6" r="E715">
        <v>544</v>
      </c>
      <c t="s" s="6" r="F715">
        <v>81</v>
      </c>
      <c t="s" s="6" r="G715">
        <v>5511</v>
      </c>
      <c s="6" r="H715">
        <v>0</v>
      </c>
      <c t="s" s="6" r="I715">
        <v>107</v>
      </c>
      <c t="s" s="6" r="L715">
        <v>5512</v>
      </c>
      <c t="s" s="6" r="M715">
        <v>5513</v>
      </c>
      <c s="6" r="N715">
        <v>1</v>
      </c>
      <c s="6" r="O715">
        <v>0</v>
      </c>
      <c t="s" s="6" r="P715">
        <v>221</v>
      </c>
      <c t="s" s="6" r="Q715">
        <v>188</v>
      </c>
      <c t="s" s="6" r="R715">
        <v>5514</v>
      </c>
      <c t="s" s="6" r="S715">
        <v>5515</v>
      </c>
      <c t="s" s="6" r="T715">
        <v>5200</v>
      </c>
      <c t="s" s="6" r="U715">
        <v>5516</v>
      </c>
      <c s="6" r="V715">
        <v>1</v>
      </c>
      <c s="6" r="W715">
        <v>0</v>
      </c>
      <c s="6" r="X715">
        <v>0</v>
      </c>
      <c s="6" r="Y715">
        <v>0</v>
      </c>
      <c s="6" r="Z715">
        <v>1</v>
      </c>
      <c t="s" s="6" r="AA715">
        <v>92</v>
      </c>
      <c t="s" s="6" r="AB715">
        <v>92</v>
      </c>
      <c t="s" s="6" r="AC715">
        <v>92</v>
      </c>
      <c t="s" s="6" r="AD715">
        <v>92</v>
      </c>
      <c t="s" s="6" r="AE715">
        <v>92</v>
      </c>
      <c t="s" s="6" r="AF715">
        <v>92</v>
      </c>
      <c s="6" r="AG715">
        <v>1</v>
      </c>
      <c t="s" s="6" r="AH715">
        <v>92</v>
      </c>
      <c t="s" s="6" r="AI715">
        <v>92</v>
      </c>
      <c t="s" s="6" r="AJ715">
        <v>92</v>
      </c>
      <c t="s" s="6" r="AK715">
        <v>92</v>
      </c>
      <c t="s" s="6" r="AL715">
        <v>92</v>
      </c>
      <c t="s" s="6" r="AM715">
        <v>92</v>
      </c>
      <c t="s" s="6" r="AN715">
        <v>92</v>
      </c>
      <c s="6" r="AP715">
        <v>1</v>
      </c>
      <c t="s" s="6" r="AR715">
        <v>5517</v>
      </c>
      <c s="6" r="AS715">
        <v>0</v>
      </c>
      <c s="6" r="AT715">
        <v>0</v>
      </c>
      <c s="6" r="AU715">
        <v>0</v>
      </c>
      <c s="6" r="AV715">
        <v>0</v>
      </c>
      <c s="6" r="AW715">
        <v>0</v>
      </c>
      <c s="6" r="AX715">
        <v>0</v>
      </c>
      <c s="6" r="AY715">
        <v>0</v>
      </c>
      <c s="6" r="AZ715">
        <v>0</v>
      </c>
      <c s="6" r="BA715">
        <v>0</v>
      </c>
      <c s="6" r="BB715">
        <v>0</v>
      </c>
      <c s="6" r="BC715">
        <v>0</v>
      </c>
      <c s="6" r="BD715">
        <v>0</v>
      </c>
      <c s="6" r="BE715">
        <v>0</v>
      </c>
      <c s="6" r="BF715">
        <v>0</v>
      </c>
      <c s="6" r="BG715">
        <v>0</v>
      </c>
      <c s="6" r="BH715">
        <v>0</v>
      </c>
      <c s="6" r="BI715">
        <v>0</v>
      </c>
      <c s="6" r="BJ715">
        <v>0</v>
      </c>
      <c s="6" r="BK715">
        <v>0</v>
      </c>
      <c s="6" r="BL715">
        <v>1</v>
      </c>
      <c s="6" r="BM715">
        <v>0</v>
      </c>
      <c s="6" r="BN715">
        <v>0</v>
      </c>
      <c s="6" r="BO715">
        <v>0</v>
      </c>
      <c s="6" r="BP715">
        <v>0</v>
      </c>
      <c s="6" r="BQ715">
        <v>0</v>
      </c>
      <c t="str" s="6" r="BR715">
        <f>HYPERLINK("http://www.d20pfsrd.com/magic/all-spells/c/challenge-evil","Challenge Evil")</f>
        <v>Challenge Evil</v>
      </c>
      <c s="6" r="BS715">
        <v>725</v>
      </c>
      <c t="s" s="6" r="BT715">
        <v>92</v>
      </c>
      <c s="6" r="BY715">
        <v>0</v>
      </c>
    </row>
    <row customHeight="1" r="716" ht="14.25">
      <c t="s" s="6" r="A716">
        <v>5518</v>
      </c>
      <c t="s" s="6" r="B716">
        <v>579</v>
      </c>
      <c t="s" s="6" r="C716">
        <v>580</v>
      </c>
      <c t="s" s="6" r="E716">
        <v>5226</v>
      </c>
      <c t="s" s="6" r="F716">
        <v>81</v>
      </c>
      <c t="s" s="6" r="G716">
        <v>119</v>
      </c>
      <c s="6" r="H716">
        <v>0</v>
      </c>
      <c t="s" s="6" r="I716">
        <v>155</v>
      </c>
      <c t="s" s="6" r="L716">
        <v>156</v>
      </c>
      <c t="s" s="6" r="M716">
        <v>2718</v>
      </c>
      <c s="6" r="N716">
        <v>0</v>
      </c>
      <c s="6" r="O716">
        <v>0</v>
      </c>
      <c t="s" s="6" r="R716">
        <v>5519</v>
      </c>
      <c t="s" s="6" r="S716">
        <v>5520</v>
      </c>
      <c t="s" s="6" r="T716">
        <v>5200</v>
      </c>
      <c t="s" s="6" r="U716">
        <v>5521</v>
      </c>
      <c s="6" r="V716">
        <v>1</v>
      </c>
      <c s="6" r="W716">
        <v>1</v>
      </c>
      <c s="6" r="X716">
        <v>0</v>
      </c>
      <c s="6" r="Y716">
        <v>0</v>
      </c>
      <c s="6" r="Z716">
        <v>1</v>
      </c>
      <c t="s" s="6" r="AA716">
        <v>92</v>
      </c>
      <c t="s" s="6" r="AB716">
        <v>92</v>
      </c>
      <c t="s" s="6" r="AC716">
        <v>92</v>
      </c>
      <c t="s" s="6" r="AD716">
        <v>92</v>
      </c>
      <c s="6" r="AE716">
        <v>2</v>
      </c>
      <c t="s" s="6" r="AF716">
        <v>92</v>
      </c>
      <c t="s" s="6" r="AG716">
        <v>92</v>
      </c>
      <c t="s" s="6" r="AH716">
        <v>92</v>
      </c>
      <c t="s" s="6" r="AI716">
        <v>92</v>
      </c>
      <c t="s" s="6" r="AJ716">
        <v>92</v>
      </c>
      <c t="s" s="6" r="AK716">
        <v>92</v>
      </c>
      <c t="s" s="6" r="AL716">
        <v>92</v>
      </c>
      <c t="s" s="6" r="AM716">
        <v>92</v>
      </c>
      <c t="s" s="6" r="AN716">
        <v>92</v>
      </c>
      <c s="6" r="AP716">
        <v>2</v>
      </c>
      <c t="s" s="6" r="AR716">
        <v>5522</v>
      </c>
      <c s="6" r="AS716">
        <v>0</v>
      </c>
      <c s="6" r="AT716">
        <v>0</v>
      </c>
      <c s="6" r="AU716">
        <v>0</v>
      </c>
      <c s="6" r="AV716">
        <v>0</v>
      </c>
      <c s="6" r="AW716">
        <v>0</v>
      </c>
      <c s="6" r="AX716">
        <v>0</v>
      </c>
      <c s="6" r="AY716">
        <v>0</v>
      </c>
      <c s="6" r="AZ716">
        <v>0</v>
      </c>
      <c s="6" r="BA716">
        <v>0</v>
      </c>
      <c s="6" r="BB716">
        <v>0</v>
      </c>
      <c s="6" r="BC716">
        <v>0</v>
      </c>
      <c s="6" r="BD716">
        <v>0</v>
      </c>
      <c s="6" r="BE716">
        <v>0</v>
      </c>
      <c s="6" r="BF716">
        <v>0</v>
      </c>
      <c s="6" r="BG716">
        <v>0</v>
      </c>
      <c s="6" r="BH716">
        <v>0</v>
      </c>
      <c s="6" r="BI716">
        <v>0</v>
      </c>
      <c s="6" r="BJ716">
        <v>0</v>
      </c>
      <c s="6" r="BK716">
        <v>0</v>
      </c>
      <c s="6" r="BL716">
        <v>0</v>
      </c>
      <c s="6" r="BM716">
        <v>0</v>
      </c>
      <c s="6" r="BN716">
        <v>0</v>
      </c>
      <c s="6" r="BO716">
        <v>0</v>
      </c>
      <c s="6" r="BP716">
        <v>0</v>
      </c>
      <c s="6" r="BQ716">
        <v>0</v>
      </c>
      <c t="str" s="6" r="BR716">
        <f>HYPERLINK("http://www.d20pfsrd.com/magic/all-spells/c/chameleon-stride","Chameleon Stride")</f>
        <v>Chameleon Stride</v>
      </c>
      <c s="6" r="BS716">
        <v>726</v>
      </c>
      <c t="s" s="6" r="BT716">
        <v>92</v>
      </c>
      <c s="6" r="BY716">
        <v>0</v>
      </c>
    </row>
    <row customHeight="1" r="717" ht="14.25">
      <c t="s" s="6" r="A717">
        <v>5523</v>
      </c>
      <c t="s" s="6" r="B717">
        <v>78</v>
      </c>
      <c t="s" s="6" r="C717">
        <v>79</v>
      </c>
      <c t="s" s="6" r="D717">
        <v>52</v>
      </c>
      <c t="s" s="6" r="E717">
        <v>3874</v>
      </c>
      <c t="s" s="6" r="F717">
        <v>81</v>
      </c>
      <c t="s" s="6" r="G717">
        <v>106</v>
      </c>
      <c s="6" r="H717">
        <v>0</v>
      </c>
      <c t="s" s="6" r="I717">
        <v>83</v>
      </c>
      <c t="s" s="6" r="K717">
        <v>141</v>
      </c>
      <c t="s" s="6" r="M717">
        <v>109</v>
      </c>
      <c s="6" r="N717">
        <v>0</v>
      </c>
      <c s="6" r="O717">
        <v>0</v>
      </c>
      <c t="s" s="6" r="P717">
        <v>5524</v>
      </c>
      <c t="s" s="6" r="Q717">
        <v>87</v>
      </c>
      <c t="s" s="6" r="R717">
        <v>5525</v>
      </c>
      <c t="s" s="6" r="S717">
        <v>5526</v>
      </c>
      <c t="s" s="6" r="T717">
        <v>5200</v>
      </c>
      <c t="s" s="6" r="U717">
        <v>5527</v>
      </c>
      <c s="6" r="V717">
        <v>1</v>
      </c>
      <c s="6" r="W717">
        <v>1</v>
      </c>
      <c s="6" r="X717">
        <v>0</v>
      </c>
      <c s="6" r="Y717">
        <v>0</v>
      </c>
      <c s="6" r="Z717">
        <v>0</v>
      </c>
      <c s="6" r="AA717">
        <v>9</v>
      </c>
      <c s="6" r="AB717">
        <v>9</v>
      </c>
      <c t="s" s="6" r="AC717">
        <v>92</v>
      </c>
      <c s="6" r="AD717">
        <v>9</v>
      </c>
      <c t="s" s="6" r="AE717">
        <v>92</v>
      </c>
      <c t="s" s="6" r="AF717">
        <v>92</v>
      </c>
      <c t="s" s="6" r="AG717">
        <v>92</v>
      </c>
      <c t="s" s="6" r="AH717">
        <v>92</v>
      </c>
      <c t="s" s="6" r="AI717">
        <v>92</v>
      </c>
      <c t="s" s="6" r="AJ717">
        <v>92</v>
      </c>
      <c t="s" s="6" r="AK717">
        <v>92</v>
      </c>
      <c t="s" s="6" r="AL717">
        <v>92</v>
      </c>
      <c t="s" s="6" r="AM717">
        <v>92</v>
      </c>
      <c t="s" s="6" r="AN717">
        <v>92</v>
      </c>
      <c s="6" r="AP717">
        <v>9</v>
      </c>
      <c t="s" s="6" r="AR717">
        <v>5528</v>
      </c>
      <c s="6" r="AS717">
        <v>0</v>
      </c>
      <c s="6" r="AT717">
        <v>0</v>
      </c>
      <c s="6" r="AU717">
        <v>0</v>
      </c>
      <c s="6" r="AV717">
        <v>0</v>
      </c>
      <c s="6" r="AW717">
        <v>0</v>
      </c>
      <c s="6" r="AX717">
        <v>0</v>
      </c>
      <c s="6" r="AY717">
        <v>0</v>
      </c>
      <c s="6" r="AZ717">
        <v>0</v>
      </c>
      <c s="6" r="BA717">
        <v>1</v>
      </c>
      <c s="6" r="BB717">
        <v>0</v>
      </c>
      <c s="6" r="BC717">
        <v>0</v>
      </c>
      <c s="6" r="BD717">
        <v>0</v>
      </c>
      <c s="6" r="BE717">
        <v>0</v>
      </c>
      <c s="6" r="BF717">
        <v>0</v>
      </c>
      <c s="6" r="BG717">
        <v>0</v>
      </c>
      <c s="6" r="BH717">
        <v>0</v>
      </c>
      <c s="6" r="BI717">
        <v>0</v>
      </c>
      <c s="6" r="BJ717">
        <v>0</v>
      </c>
      <c s="6" r="BK717">
        <v>0</v>
      </c>
      <c s="6" r="BL717">
        <v>0</v>
      </c>
      <c s="6" r="BM717">
        <v>0</v>
      </c>
      <c s="6" r="BN717">
        <v>0</v>
      </c>
      <c s="6" r="BO717">
        <v>0</v>
      </c>
      <c s="6" r="BP717">
        <v>0</v>
      </c>
      <c s="6" r="BQ717">
        <v>0</v>
      </c>
      <c t="str" s="6" r="BR717">
        <f>HYPERLINK("http://www.d20pfsrd.com/magic/all-spells/c/clashing-rocks","Clashing Rocks")</f>
        <v>Clashing Rocks</v>
      </c>
      <c s="6" r="BS717">
        <v>727</v>
      </c>
      <c t="s" s="6" r="BT717">
        <v>92</v>
      </c>
      <c t="s" s="6" r="BU717">
        <v>1554</v>
      </c>
      <c s="6" r="BY717">
        <v>0</v>
      </c>
    </row>
    <row customHeight="1" r="718" ht="14.25">
      <c t="s" s="6" r="A718">
        <v>5529</v>
      </c>
      <c t="s" s="6" r="B718">
        <v>493</v>
      </c>
      <c t="s" s="6" r="E718">
        <v>5530</v>
      </c>
      <c t="s" s="6" r="F718">
        <v>81</v>
      </c>
      <c t="s" s="6" r="G718">
        <v>2295</v>
      </c>
      <c s="6" r="H718">
        <v>0</v>
      </c>
      <c t="s" s="6" r="I718">
        <v>155</v>
      </c>
      <c t="s" s="6" r="L718">
        <v>156</v>
      </c>
      <c t="s" s="6" r="M718">
        <v>109</v>
      </c>
      <c s="6" r="N718">
        <v>0</v>
      </c>
      <c s="6" r="O718">
        <v>0</v>
      </c>
      <c t="s" s="6" r="R718">
        <v>5531</v>
      </c>
      <c t="s" s="6" r="S718">
        <v>5532</v>
      </c>
      <c t="s" s="6" r="T718">
        <v>5200</v>
      </c>
      <c t="s" s="6" r="U718">
        <v>5533</v>
      </c>
      <c s="6" r="V718">
        <v>0</v>
      </c>
      <c s="6" r="W718">
        <v>1</v>
      </c>
      <c s="6" r="X718">
        <v>0</v>
      </c>
      <c s="6" r="Y718">
        <v>0</v>
      </c>
      <c s="6" r="Z718">
        <v>1</v>
      </c>
      <c t="s" s="6" r="AA718">
        <v>92</v>
      </c>
      <c t="s" s="6" r="AB718">
        <v>92</v>
      </c>
      <c s="6" r="AC718">
        <v>5</v>
      </c>
      <c t="s" s="6" r="AD718">
        <v>92</v>
      </c>
      <c t="s" s="6" r="AE718">
        <v>92</v>
      </c>
      <c t="s" s="6" r="AF718">
        <v>92</v>
      </c>
      <c t="s" s="6" r="AG718">
        <v>92</v>
      </c>
      <c t="s" s="6" r="AH718">
        <v>92</v>
      </c>
      <c t="s" s="6" r="AI718">
        <v>92</v>
      </c>
      <c t="s" s="6" r="AJ718">
        <v>92</v>
      </c>
      <c s="6" r="AK718">
        <v>6</v>
      </c>
      <c s="6" r="AL718">
        <v>5</v>
      </c>
      <c t="s" s="6" r="AM718">
        <v>92</v>
      </c>
      <c t="s" s="6" r="AN718">
        <v>92</v>
      </c>
      <c s="6" r="AP718">
        <v>5</v>
      </c>
      <c t="s" s="6" r="AQ718">
        <v>540</v>
      </c>
      <c t="s" s="6" r="AR718">
        <v>5534</v>
      </c>
      <c s="6" r="AS718">
        <v>0</v>
      </c>
      <c s="6" r="AT718">
        <v>0</v>
      </c>
      <c s="6" r="AU718">
        <v>0</v>
      </c>
      <c s="6" r="AV718">
        <v>0</v>
      </c>
      <c s="6" r="AW718">
        <v>0</v>
      </c>
      <c s="6" r="AX718">
        <v>0</v>
      </c>
      <c s="6" r="AY718">
        <v>0</v>
      </c>
      <c s="6" r="AZ718">
        <v>0</v>
      </c>
      <c s="6" r="BA718">
        <v>0</v>
      </c>
      <c s="6" r="BB718">
        <v>0</v>
      </c>
      <c s="6" r="BC718">
        <v>0</v>
      </c>
      <c s="6" r="BD718">
        <v>0</v>
      </c>
      <c s="6" r="BE718">
        <v>0</v>
      </c>
      <c s="6" r="BF718">
        <v>0</v>
      </c>
      <c s="6" r="BG718">
        <v>0</v>
      </c>
      <c s="6" r="BH718">
        <v>0</v>
      </c>
      <c s="6" r="BI718">
        <v>0</v>
      </c>
      <c s="6" r="BJ718">
        <v>0</v>
      </c>
      <c s="6" r="BK718">
        <v>0</v>
      </c>
      <c s="6" r="BL718">
        <v>0</v>
      </c>
      <c s="6" r="BM718">
        <v>0</v>
      </c>
      <c s="6" r="BN718">
        <v>0</v>
      </c>
      <c s="6" r="BO718">
        <v>0</v>
      </c>
      <c s="6" r="BP718">
        <v>0</v>
      </c>
      <c s="6" r="BQ718">
        <v>0</v>
      </c>
      <c t="str" s="6" r="BR718">
        <f>HYPERLINK("http://www.d20pfsrd.com/magic/all-spells/c/cleanse","Cleanse")</f>
        <v>Cleanse</v>
      </c>
      <c s="6" r="BS718">
        <v>728</v>
      </c>
      <c t="s" s="6" r="BT718">
        <v>92</v>
      </c>
      <c t="s" s="6" r="BV718">
        <v>605</v>
      </c>
      <c s="6" r="BY718">
        <v>0</v>
      </c>
    </row>
    <row customHeight="1" r="719" ht="14.25">
      <c t="s" s="6" r="A719">
        <v>5535</v>
      </c>
      <c t="s" s="6" r="B719">
        <v>115</v>
      </c>
      <c t="s" s="6" r="C719">
        <v>116</v>
      </c>
      <c t="s" s="6" r="D719">
        <v>117</v>
      </c>
      <c t="s" s="6" r="E719">
        <v>4229</v>
      </c>
      <c t="s" s="6" r="F719">
        <v>272</v>
      </c>
      <c t="s" s="6" r="G719">
        <v>5536</v>
      </c>
      <c s="6" r="H719">
        <v>0</v>
      </c>
      <c t="s" s="6" r="I719">
        <v>4920</v>
      </c>
      <c t="s" s="6" r="J719">
        <v>4840</v>
      </c>
      <c t="s" s="6" r="M719">
        <v>483</v>
      </c>
      <c s="6" r="N719">
        <v>1</v>
      </c>
      <c s="6" r="O719">
        <v>0</v>
      </c>
      <c t="s" s="6" r="P719">
        <v>221</v>
      </c>
      <c t="s" s="6" r="Q719">
        <v>188</v>
      </c>
      <c t="s" s="6" r="R719">
        <v>5537</v>
      </c>
      <c t="s" s="6" r="S719">
        <v>5538</v>
      </c>
      <c t="s" s="6" r="T719">
        <v>5200</v>
      </c>
      <c t="s" s="6" r="U719">
        <v>5539</v>
      </c>
      <c s="6" r="V719">
        <v>1</v>
      </c>
      <c s="6" r="W719">
        <v>1</v>
      </c>
      <c s="6" r="X719">
        <v>1</v>
      </c>
      <c s="6" r="Y719">
        <v>0</v>
      </c>
      <c s="6" r="Z719">
        <v>0</v>
      </c>
      <c s="6" r="AA719">
        <v>6</v>
      </c>
      <c s="6" r="AB719">
        <v>6</v>
      </c>
      <c t="s" s="6" r="AC719">
        <v>92</v>
      </c>
      <c t="s" s="6" r="AD719">
        <v>92</v>
      </c>
      <c t="s" s="6" r="AE719">
        <v>92</v>
      </c>
      <c s="6" r="AF719">
        <v>5</v>
      </c>
      <c t="s" s="6" r="AG719">
        <v>92</v>
      </c>
      <c t="s" s="6" r="AH719">
        <v>92</v>
      </c>
      <c t="s" s="6" r="AI719">
        <v>92</v>
      </c>
      <c s="6" r="AJ719">
        <v>6</v>
      </c>
      <c t="s" s="6" r="AK719">
        <v>92</v>
      </c>
      <c t="s" s="6" r="AL719">
        <v>92</v>
      </c>
      <c t="s" s="6" r="AM719">
        <v>92</v>
      </c>
      <c t="s" s="6" r="AN719">
        <v>92</v>
      </c>
      <c s="6" r="AP719">
        <v>6</v>
      </c>
      <c t="s" s="6" r="AQ719">
        <v>3052</v>
      </c>
      <c t="s" s="6" r="AR719">
        <v>5540</v>
      </c>
      <c s="6" r="AS719">
        <v>0</v>
      </c>
      <c s="6" r="AT719">
        <v>0</v>
      </c>
      <c s="6" r="AU719">
        <v>0</v>
      </c>
      <c s="6" r="AV719">
        <v>0</v>
      </c>
      <c s="6" r="AW719">
        <v>0</v>
      </c>
      <c s="6" r="AX719">
        <v>0</v>
      </c>
      <c s="6" r="AY719">
        <v>0</v>
      </c>
      <c s="6" r="AZ719">
        <v>0</v>
      </c>
      <c s="6" r="BA719">
        <v>0</v>
      </c>
      <c s="6" r="BB719">
        <v>0</v>
      </c>
      <c s="6" r="BC719">
        <v>0</v>
      </c>
      <c s="6" r="BD719">
        <v>0</v>
      </c>
      <c s="6" r="BE719">
        <v>0</v>
      </c>
      <c s="6" r="BF719">
        <v>0</v>
      </c>
      <c s="6" r="BG719">
        <v>0</v>
      </c>
      <c s="6" r="BH719">
        <v>0</v>
      </c>
      <c s="6" r="BI719">
        <v>0</v>
      </c>
      <c s="6" r="BJ719">
        <v>0</v>
      </c>
      <c s="6" r="BK719">
        <v>0</v>
      </c>
      <c s="6" r="BL719">
        <v>1</v>
      </c>
      <c s="6" r="BM719">
        <v>0</v>
      </c>
      <c s="6" r="BN719">
        <v>0</v>
      </c>
      <c s="6" r="BO719">
        <v>0</v>
      </c>
      <c s="6" r="BP719">
        <v>0</v>
      </c>
      <c s="6" r="BQ719">
        <v>0</v>
      </c>
      <c t="str" s="6" r="BR719">
        <f>HYPERLINK("http://www.d20pfsrd.com/magic/all-spells/c/cloak-of-dreams","Cloak of Dreams")</f>
        <v>Cloak of Dreams</v>
      </c>
      <c s="6" r="BS719">
        <v>729</v>
      </c>
      <c t="s" s="6" r="BT719">
        <v>92</v>
      </c>
      <c t="s" s="6" r="BV719">
        <v>360</v>
      </c>
      <c s="6" r="BY719">
        <v>0</v>
      </c>
    </row>
    <row customHeight="1" r="720" ht="14.25">
      <c t="s" s="6" r="A720">
        <v>5541</v>
      </c>
      <c t="s" s="6" r="B720">
        <v>162</v>
      </c>
      <c t="s" s="6" r="E720">
        <v>656</v>
      </c>
      <c t="s" s="6" r="F720">
        <v>81</v>
      </c>
      <c t="s" s="6" r="G720">
        <v>5542</v>
      </c>
      <c s="6" r="H720">
        <v>0</v>
      </c>
      <c t="s" s="6" r="I720">
        <v>120</v>
      </c>
      <c t="s" s="6" r="L720">
        <v>5543</v>
      </c>
      <c t="s" s="6" r="M720">
        <v>711</v>
      </c>
      <c s="6" r="N720">
        <v>1</v>
      </c>
      <c s="6" r="O720">
        <v>0</v>
      </c>
      <c t="s" s="6" r="P720">
        <v>421</v>
      </c>
      <c t="s" s="6" r="Q720">
        <v>188</v>
      </c>
      <c t="s" s="6" r="R720">
        <v>5544</v>
      </c>
      <c t="s" s="6" r="S720">
        <v>5545</v>
      </c>
      <c t="s" s="6" r="T720">
        <v>5200</v>
      </c>
      <c t="s" s="6" r="U720">
        <v>5546</v>
      </c>
      <c s="6" r="V720">
        <v>1</v>
      </c>
      <c s="6" r="W720">
        <v>1</v>
      </c>
      <c s="6" r="X720">
        <v>1</v>
      </c>
      <c s="6" r="Y720">
        <v>0</v>
      </c>
      <c s="6" r="Z720">
        <v>0</v>
      </c>
      <c t="s" s="6" r="AA720">
        <v>92</v>
      </c>
      <c t="s" s="6" r="AB720">
        <v>92</v>
      </c>
      <c t="s" s="6" r="AC720">
        <v>92</v>
      </c>
      <c s="6" r="AD720">
        <v>1</v>
      </c>
      <c s="6" r="AE720">
        <v>1</v>
      </c>
      <c t="s" s="6" r="AF720">
        <v>92</v>
      </c>
      <c t="s" s="6" r="AG720">
        <v>92</v>
      </c>
      <c t="s" s="6" r="AH720">
        <v>92</v>
      </c>
      <c t="s" s="6" r="AI720">
        <v>92</v>
      </c>
      <c t="s" s="6" r="AJ720">
        <v>92</v>
      </c>
      <c t="s" s="6" r="AK720">
        <v>92</v>
      </c>
      <c t="s" s="6" r="AL720">
        <v>92</v>
      </c>
      <c t="s" s="6" r="AM720">
        <v>92</v>
      </c>
      <c t="s" s="6" r="AN720">
        <v>92</v>
      </c>
      <c s="6" r="AP720">
        <v>1</v>
      </c>
      <c t="s" s="6" r="AR720">
        <v>5547</v>
      </c>
      <c s="6" r="AS720">
        <v>0</v>
      </c>
      <c s="6" r="AT720">
        <v>0</v>
      </c>
      <c s="6" r="AU720">
        <v>0</v>
      </c>
      <c s="6" r="AV720">
        <v>0</v>
      </c>
      <c s="6" r="AW720">
        <v>0</v>
      </c>
      <c s="6" r="AX720">
        <v>0</v>
      </c>
      <c s="6" r="AY720">
        <v>0</v>
      </c>
      <c s="6" r="AZ720">
        <v>0</v>
      </c>
      <c s="6" r="BA720">
        <v>0</v>
      </c>
      <c s="6" r="BB720">
        <v>0</v>
      </c>
      <c s="6" r="BC720">
        <v>0</v>
      </c>
      <c s="6" r="BD720">
        <v>0</v>
      </c>
      <c s="6" r="BE720">
        <v>0</v>
      </c>
      <c s="6" r="BF720">
        <v>0</v>
      </c>
      <c s="6" r="BG720">
        <v>0</v>
      </c>
      <c s="6" r="BH720">
        <v>0</v>
      </c>
      <c s="6" r="BI720">
        <v>0</v>
      </c>
      <c s="6" r="BJ720">
        <v>0</v>
      </c>
      <c s="6" r="BK720">
        <v>0</v>
      </c>
      <c s="6" r="BL720">
        <v>0</v>
      </c>
      <c s="6" r="BM720">
        <v>0</v>
      </c>
      <c s="6" r="BN720">
        <v>0</v>
      </c>
      <c s="6" r="BO720">
        <v>0</v>
      </c>
      <c s="6" r="BP720">
        <v>0</v>
      </c>
      <c s="6" r="BQ720">
        <v>0</v>
      </c>
      <c t="str" s="6" r="BR720">
        <f>HYPERLINK("http://www.d20pfsrd.com/magic/all-spells/c/cloak-of-shade","Cloak of Shade")</f>
        <v>Cloak of Shade</v>
      </c>
      <c s="6" r="BS720">
        <v>730</v>
      </c>
      <c t="s" s="6" r="BT720">
        <v>92</v>
      </c>
      <c s="6" r="BY720">
        <v>0</v>
      </c>
    </row>
    <row customHeight="1" r="721" ht="14.25">
      <c t="s" s="6" r="A721">
        <v>5548</v>
      </c>
      <c t="s" s="6" r="B721">
        <v>162</v>
      </c>
      <c t="s" s="6" r="D721">
        <v>45</v>
      </c>
      <c t="s" s="6" r="E721">
        <v>5549</v>
      </c>
      <c t="s" s="6" r="F721">
        <v>81</v>
      </c>
      <c t="s" s="6" r="G721">
        <v>106</v>
      </c>
      <c s="6" r="H721">
        <v>0</v>
      </c>
      <c t="s" s="6" r="I721">
        <v>107</v>
      </c>
      <c t="s" s="6" r="L721">
        <v>473</v>
      </c>
      <c t="s" s="6" r="M721">
        <v>2718</v>
      </c>
      <c s="6" r="N721">
        <v>0</v>
      </c>
      <c s="6" r="O721">
        <v>0</v>
      </c>
      <c t="s" s="6" r="P721">
        <v>1227</v>
      </c>
      <c t="s" s="6" r="Q721">
        <v>123</v>
      </c>
      <c t="s" s="6" r="R721">
        <v>5550</v>
      </c>
      <c t="s" s="6" r="S721">
        <v>5551</v>
      </c>
      <c t="s" s="6" r="T721">
        <v>5200</v>
      </c>
      <c t="s" s="6" r="U721">
        <v>5552</v>
      </c>
      <c s="6" r="V721">
        <v>1</v>
      </c>
      <c s="6" r="W721">
        <v>1</v>
      </c>
      <c s="6" r="X721">
        <v>0</v>
      </c>
      <c s="6" r="Y721">
        <v>0</v>
      </c>
      <c s="6" r="Z721">
        <v>0</v>
      </c>
      <c s="6" r="AA721">
        <v>3</v>
      </c>
      <c s="6" r="AB721">
        <v>3</v>
      </c>
      <c t="s" s="6" r="AC721">
        <v>92</v>
      </c>
      <c s="6" r="AD721">
        <v>3</v>
      </c>
      <c s="6" r="AE721">
        <v>3</v>
      </c>
      <c t="s" s="6" r="AF721">
        <v>92</v>
      </c>
      <c t="s" s="6" r="AG721">
        <v>92</v>
      </c>
      <c t="s" s="6" r="AH721">
        <v>92</v>
      </c>
      <c t="s" s="6" r="AI721">
        <v>92</v>
      </c>
      <c t="s" s="6" r="AJ721">
        <v>92</v>
      </c>
      <c t="s" s="6" r="AK721">
        <v>92</v>
      </c>
      <c t="s" s="6" r="AL721">
        <v>92</v>
      </c>
      <c t="s" s="6" r="AM721">
        <v>92</v>
      </c>
      <c s="6" r="AN721">
        <v>3</v>
      </c>
      <c s="6" r="AP721">
        <v>3</v>
      </c>
      <c t="s" s="6" r="AR721">
        <v>5553</v>
      </c>
      <c s="6" r="AS721">
        <v>0</v>
      </c>
      <c s="6" r="AT721">
        <v>1</v>
      </c>
      <c s="6" r="AU721">
        <v>0</v>
      </c>
      <c s="6" r="AV721">
        <v>0</v>
      </c>
      <c s="6" r="AW721">
        <v>0</v>
      </c>
      <c s="6" r="AX721">
        <v>0</v>
      </c>
      <c s="6" r="AY721">
        <v>0</v>
      </c>
      <c s="6" r="AZ721">
        <v>0</v>
      </c>
      <c s="6" r="BA721">
        <v>0</v>
      </c>
      <c s="6" r="BB721">
        <v>0</v>
      </c>
      <c s="6" r="BC721">
        <v>0</v>
      </c>
      <c s="6" r="BD721">
        <v>0</v>
      </c>
      <c s="6" r="BE721">
        <v>0</v>
      </c>
      <c s="6" r="BF721">
        <v>0</v>
      </c>
      <c s="6" r="BG721">
        <v>0</v>
      </c>
      <c s="6" r="BH721">
        <v>0</v>
      </c>
      <c s="6" r="BI721">
        <v>0</v>
      </c>
      <c s="6" r="BJ721">
        <v>0</v>
      </c>
      <c s="6" r="BK721">
        <v>0</v>
      </c>
      <c s="6" r="BL721">
        <v>0</v>
      </c>
      <c s="6" r="BM721">
        <v>0</v>
      </c>
      <c s="6" r="BN721">
        <v>0</v>
      </c>
      <c s="6" r="BO721">
        <v>0</v>
      </c>
      <c s="6" r="BP721">
        <v>0</v>
      </c>
      <c s="6" r="BQ721">
        <v>0</v>
      </c>
      <c t="str" s="6" r="BR721">
        <f>HYPERLINK("http://www.d20pfsrd.com/magic/all-spells/c/cloak-of-winds","Cloak of Winds")</f>
        <v>Cloak of Winds</v>
      </c>
      <c s="6" r="BS721">
        <v>731</v>
      </c>
      <c t="s" s="6" r="BT721">
        <v>92</v>
      </c>
      <c s="6" r="BY721">
        <v>0</v>
      </c>
    </row>
    <row customHeight="1" r="722" ht="14.25">
      <c t="s" s="6" r="A722">
        <v>5554</v>
      </c>
      <c t="s" s="6" r="B722">
        <v>115</v>
      </c>
      <c t="s" s="6" r="C722">
        <v>116</v>
      </c>
      <c t="s" s="6" r="D722">
        <v>841</v>
      </c>
      <c t="s" s="6" r="E722">
        <v>5499</v>
      </c>
      <c t="s" s="6" r="F722">
        <v>81</v>
      </c>
      <c t="s" s="6" r="G722">
        <v>119</v>
      </c>
      <c s="6" r="H722">
        <v>0</v>
      </c>
      <c t="s" s="6" r="I722">
        <v>107</v>
      </c>
      <c t="s" s="6" r="L722">
        <v>1235</v>
      </c>
      <c t="s" s="6" r="M722">
        <v>272</v>
      </c>
      <c s="6" r="N722">
        <v>0</v>
      </c>
      <c s="6" r="O722">
        <v>0</v>
      </c>
      <c t="s" s="6" r="P722">
        <v>722</v>
      </c>
      <c t="s" s="6" r="Q722">
        <v>188</v>
      </c>
      <c t="s" s="6" r="R722">
        <v>5555</v>
      </c>
      <c t="s" s="6" r="S722">
        <v>5556</v>
      </c>
      <c t="s" s="6" r="T722">
        <v>5200</v>
      </c>
      <c t="s" s="6" r="U722">
        <v>5557</v>
      </c>
      <c s="6" r="V722">
        <v>1</v>
      </c>
      <c s="6" r="W722">
        <v>1</v>
      </c>
      <c s="6" r="X722">
        <v>0</v>
      </c>
      <c s="6" r="Y722">
        <v>0</v>
      </c>
      <c s="6" r="Z722">
        <v>1</v>
      </c>
      <c t="s" s="6" r="AA722">
        <v>92</v>
      </c>
      <c t="s" s="6" r="AB722">
        <v>92</v>
      </c>
      <c t="s" s="6" r="AC722">
        <v>92</v>
      </c>
      <c t="s" s="6" r="AD722">
        <v>92</v>
      </c>
      <c t="s" s="6" r="AE722">
        <v>92</v>
      </c>
      <c t="s" s="6" r="AF722">
        <v>92</v>
      </c>
      <c t="s" s="6" r="AG722">
        <v>92</v>
      </c>
      <c t="s" s="6" r="AH722">
        <v>92</v>
      </c>
      <c t="s" s="6" r="AI722">
        <v>92</v>
      </c>
      <c t="s" s="6" r="AJ722">
        <v>92</v>
      </c>
      <c s="6" r="AK722">
        <v>2</v>
      </c>
      <c t="s" s="6" r="AL722">
        <v>92</v>
      </c>
      <c t="s" s="6" r="AM722">
        <v>92</v>
      </c>
      <c t="s" s="6" r="AN722">
        <v>92</v>
      </c>
      <c s="6" r="AP722">
        <v>2</v>
      </c>
      <c t="s" s="6" r="AR722">
        <v>5558</v>
      </c>
      <c s="6" r="AS722">
        <v>0</v>
      </c>
      <c s="6" r="AT722">
        <v>0</v>
      </c>
      <c s="6" r="AU722">
        <v>0</v>
      </c>
      <c s="6" r="AV722">
        <v>0</v>
      </c>
      <c s="6" r="AW722">
        <v>0</v>
      </c>
      <c s="6" r="AX722">
        <v>0</v>
      </c>
      <c s="6" r="AY722">
        <v>0</v>
      </c>
      <c s="6" r="AZ722">
        <v>0</v>
      </c>
      <c s="6" r="BA722">
        <v>0</v>
      </c>
      <c s="6" r="BB722">
        <v>0</v>
      </c>
      <c s="6" r="BC722">
        <v>0</v>
      </c>
      <c s="6" r="BD722">
        <v>0</v>
      </c>
      <c s="6" r="BE722">
        <v>0</v>
      </c>
      <c s="6" r="BF722">
        <v>0</v>
      </c>
      <c s="6" r="BG722">
        <v>0</v>
      </c>
      <c s="6" r="BH722">
        <v>0</v>
      </c>
      <c s="6" r="BI722">
        <v>1</v>
      </c>
      <c s="6" r="BJ722">
        <v>0</v>
      </c>
      <c s="6" r="BK722">
        <v>0</v>
      </c>
      <c s="6" r="BL722">
        <v>1</v>
      </c>
      <c s="6" r="BM722">
        <v>0</v>
      </c>
      <c s="6" r="BN722">
        <v>0</v>
      </c>
      <c s="6" r="BO722">
        <v>0</v>
      </c>
      <c s="6" r="BP722">
        <v>0</v>
      </c>
      <c s="6" r="BQ722">
        <v>0</v>
      </c>
      <c t="str" s="6" r="BR722">
        <f>HYPERLINK("http://www.d20pfsrd.com/magic/all-spells/c/confess","Confess")</f>
        <v>Confess</v>
      </c>
      <c s="6" r="BS722">
        <v>732</v>
      </c>
      <c t="s" s="6" r="BT722">
        <v>92</v>
      </c>
      <c s="6" r="BY722">
        <v>0</v>
      </c>
    </row>
    <row customHeight="1" r="723" ht="14.25">
      <c t="s" s="6" r="A723">
        <v>5559</v>
      </c>
      <c t="s" s="6" r="B723">
        <v>493</v>
      </c>
      <c t="s" s="6" r="D723">
        <v>57</v>
      </c>
      <c t="s" s="6" r="E723">
        <v>95</v>
      </c>
      <c t="s" s="6" r="F723">
        <v>81</v>
      </c>
      <c t="s" s="6" r="G723">
        <v>106</v>
      </c>
      <c s="6" r="H723">
        <v>0</v>
      </c>
      <c t="s" s="6" r="I723">
        <v>107</v>
      </c>
      <c t="s" s="6" r="L723">
        <v>5560</v>
      </c>
      <c t="s" s="6" r="M723">
        <v>1764</v>
      </c>
      <c s="6" r="N723">
        <v>0</v>
      </c>
      <c s="6" r="O723">
        <v>0</v>
      </c>
      <c t="s" s="6" r="P723">
        <v>86</v>
      </c>
      <c t="s" s="6" r="Q723">
        <v>188</v>
      </c>
      <c t="s" s="6" r="R723">
        <v>5561</v>
      </c>
      <c t="s" s="6" r="S723">
        <v>5562</v>
      </c>
      <c t="s" s="6" r="T723">
        <v>5200</v>
      </c>
      <c t="s" s="6" r="U723">
        <v>5563</v>
      </c>
      <c s="6" r="V723">
        <v>1</v>
      </c>
      <c s="6" r="W723">
        <v>1</v>
      </c>
      <c s="6" r="X723">
        <v>0</v>
      </c>
      <c s="6" r="Y723">
        <v>0</v>
      </c>
      <c s="6" r="Z723">
        <v>0</v>
      </c>
      <c s="6" r="AA723">
        <v>6</v>
      </c>
      <c s="6" r="AB723">
        <v>6</v>
      </c>
      <c t="s" s="6" r="AC723">
        <v>92</v>
      </c>
      <c t="s" s="6" r="AD723">
        <v>92</v>
      </c>
      <c t="s" s="6" r="AE723">
        <v>92</v>
      </c>
      <c t="s" s="6" r="AF723">
        <v>92</v>
      </c>
      <c t="s" s="6" r="AG723">
        <v>92</v>
      </c>
      <c t="s" s="6" r="AH723">
        <v>92</v>
      </c>
      <c t="s" s="6" r="AI723">
        <v>92</v>
      </c>
      <c t="s" s="6" r="AJ723">
        <v>92</v>
      </c>
      <c t="s" s="6" r="AK723">
        <v>92</v>
      </c>
      <c t="s" s="6" r="AL723">
        <v>92</v>
      </c>
      <c t="s" s="6" r="AM723">
        <v>92</v>
      </c>
      <c s="6" r="AN723">
        <v>6</v>
      </c>
      <c s="6" r="AP723">
        <v>6</v>
      </c>
      <c t="s" s="6" r="AR723">
        <v>5564</v>
      </c>
      <c s="6" r="AS723">
        <v>0</v>
      </c>
      <c s="6" r="AT723">
        <v>0</v>
      </c>
      <c s="6" r="AU723">
        <v>0</v>
      </c>
      <c s="6" r="AV723">
        <v>0</v>
      </c>
      <c s="6" r="AW723">
        <v>0</v>
      </c>
      <c s="6" r="AX723">
        <v>0</v>
      </c>
      <c s="6" r="AY723">
        <v>0</v>
      </c>
      <c s="6" r="AZ723">
        <v>0</v>
      </c>
      <c s="6" r="BA723">
        <v>0</v>
      </c>
      <c s="6" r="BB723">
        <v>0</v>
      </c>
      <c s="6" r="BC723">
        <v>0</v>
      </c>
      <c s="6" r="BD723">
        <v>0</v>
      </c>
      <c s="6" r="BE723">
        <v>0</v>
      </c>
      <c s="6" r="BF723">
        <v>1</v>
      </c>
      <c s="6" r="BG723">
        <v>0</v>
      </c>
      <c s="6" r="BH723">
        <v>0</v>
      </c>
      <c s="6" r="BI723">
        <v>0</v>
      </c>
      <c s="6" r="BJ723">
        <v>0</v>
      </c>
      <c s="6" r="BK723">
        <v>0</v>
      </c>
      <c s="6" r="BL723">
        <v>0</v>
      </c>
      <c s="6" r="BM723">
        <v>0</v>
      </c>
      <c s="6" r="BN723">
        <v>0</v>
      </c>
      <c s="6" r="BO723">
        <v>0</v>
      </c>
      <c s="6" r="BP723">
        <v>0</v>
      </c>
      <c s="6" r="BQ723">
        <v>0</v>
      </c>
      <c t="str" s="6" r="BR723">
        <f>HYPERLINK("http://www.d20pfsrd.com/magic/all-spells/c/contagious-flame","Contagious Flame")</f>
        <v>Contagious Flame</v>
      </c>
      <c s="6" r="BS723">
        <v>733</v>
      </c>
      <c t="s" s="6" r="BT723">
        <v>92</v>
      </c>
      <c s="6" r="BY723">
        <v>0</v>
      </c>
    </row>
    <row customHeight="1" r="724" ht="14.25">
      <c t="s" s="6" r="A724">
        <v>5565</v>
      </c>
      <c t="s" s="6" r="B724">
        <v>174</v>
      </c>
      <c t="s" s="6" r="E724">
        <v>5566</v>
      </c>
      <c t="s" s="6" r="F724">
        <v>81</v>
      </c>
      <c t="s" s="6" r="G724">
        <v>106</v>
      </c>
      <c s="6" r="H724">
        <v>0</v>
      </c>
      <c t="s" s="6" r="I724">
        <v>107</v>
      </c>
      <c t="s" s="6" r="L724">
        <v>5567</v>
      </c>
      <c t="s" s="6" r="M724">
        <v>2718</v>
      </c>
      <c s="6" r="N724">
        <v>0</v>
      </c>
      <c s="6" r="O724">
        <v>0</v>
      </c>
      <c t="s" s="6" r="P724">
        <v>86</v>
      </c>
      <c t="s" s="6" r="Q724">
        <v>87</v>
      </c>
      <c t="s" s="6" r="R724">
        <v>5568</v>
      </c>
      <c t="s" s="6" r="S724">
        <v>5569</v>
      </c>
      <c t="s" s="6" r="T724">
        <v>5200</v>
      </c>
      <c t="s" s="6" r="U724">
        <v>5570</v>
      </c>
      <c s="6" r="V724">
        <v>1</v>
      </c>
      <c s="6" r="W724">
        <v>1</v>
      </c>
      <c s="6" r="X724">
        <v>0</v>
      </c>
      <c s="6" r="Y724">
        <v>0</v>
      </c>
      <c s="6" r="Z724">
        <v>0</v>
      </c>
      <c t="s" s="6" r="AA724">
        <v>92</v>
      </c>
      <c t="s" s="6" r="AB724">
        <v>92</v>
      </c>
      <c t="s" s="6" r="AC724">
        <v>92</v>
      </c>
      <c t="s" s="6" r="AD724">
        <v>92</v>
      </c>
      <c t="s" s="6" r="AE724">
        <v>92</v>
      </c>
      <c s="6" r="AF724">
        <v>3</v>
      </c>
      <c t="s" s="6" r="AG724">
        <v>92</v>
      </c>
      <c t="s" s="6" r="AH724">
        <v>92</v>
      </c>
      <c t="s" s="6" r="AI724">
        <v>92</v>
      </c>
      <c t="s" s="6" r="AJ724">
        <v>92</v>
      </c>
      <c s="6" r="AK724">
        <v>3</v>
      </c>
      <c t="s" s="6" r="AL724">
        <v>92</v>
      </c>
      <c t="s" s="6" r="AM724">
        <v>92</v>
      </c>
      <c t="s" s="6" r="AN724">
        <v>92</v>
      </c>
      <c s="6" r="AP724">
        <v>3</v>
      </c>
      <c t="s" s="6" r="AR724">
        <v>5571</v>
      </c>
      <c s="6" r="AS724">
        <v>0</v>
      </c>
      <c s="6" r="AT724">
        <v>0</v>
      </c>
      <c s="6" r="AU724">
        <v>0</v>
      </c>
      <c s="6" r="AV724">
        <v>0</v>
      </c>
      <c s="6" r="AW724">
        <v>0</v>
      </c>
      <c s="6" r="AX724">
        <v>0</v>
      </c>
      <c s="6" r="AY724">
        <v>0</v>
      </c>
      <c s="6" r="AZ724">
        <v>0</v>
      </c>
      <c s="6" r="BA724">
        <v>0</v>
      </c>
      <c s="6" r="BB724">
        <v>0</v>
      </c>
      <c s="6" r="BC724">
        <v>0</v>
      </c>
      <c s="6" r="BD724">
        <v>0</v>
      </c>
      <c s="6" r="BE724">
        <v>0</v>
      </c>
      <c s="6" r="BF724">
        <v>0</v>
      </c>
      <c s="6" r="BG724">
        <v>0</v>
      </c>
      <c s="6" r="BH724">
        <v>0</v>
      </c>
      <c s="6" r="BI724">
        <v>0</v>
      </c>
      <c s="6" r="BJ724">
        <v>0</v>
      </c>
      <c s="6" r="BK724">
        <v>0</v>
      </c>
      <c s="6" r="BL724">
        <v>0</v>
      </c>
      <c s="6" r="BM724">
        <v>0</v>
      </c>
      <c s="6" r="BN724">
        <v>0</v>
      </c>
      <c s="6" r="BO724">
        <v>0</v>
      </c>
      <c s="6" r="BP724">
        <v>0</v>
      </c>
      <c s="6" r="BQ724">
        <v>0</v>
      </c>
      <c t="str" s="6" r="BR724">
        <f>HYPERLINK("http://www.d20pfsrd.com/magic/all-spells/c/coordinated-effort","Coordinated Effort")</f>
        <v>Coordinated Effort</v>
      </c>
      <c s="6" r="BS724">
        <v>734</v>
      </c>
      <c t="s" s="6" r="BT724">
        <v>92</v>
      </c>
      <c s="6" r="BY724">
        <v>0</v>
      </c>
    </row>
    <row customHeight="1" r="725" ht="14.25">
      <c t="s" s="6" r="A725">
        <v>5572</v>
      </c>
      <c t="s" s="6" r="B725">
        <v>162</v>
      </c>
      <c t="s" s="6" r="D725">
        <v>5573</v>
      </c>
      <c t="s" s="6" r="E725">
        <v>5574</v>
      </c>
      <c t="s" s="6" r="F725">
        <v>81</v>
      </c>
      <c t="s" s="6" r="G725">
        <v>119</v>
      </c>
      <c s="6" r="H725">
        <v>0</v>
      </c>
      <c t="s" s="6" r="I725">
        <v>120</v>
      </c>
      <c t="s" s="6" r="L725">
        <v>420</v>
      </c>
      <c t="s" s="6" r="M725">
        <v>5005</v>
      </c>
      <c s="6" r="N725">
        <v>0</v>
      </c>
      <c s="6" r="O725">
        <v>0</v>
      </c>
      <c t="s" s="6" r="P725">
        <v>1227</v>
      </c>
      <c t="s" s="6" r="Q725">
        <v>123</v>
      </c>
      <c t="s" s="6" r="R725">
        <v>5575</v>
      </c>
      <c t="s" s="6" r="S725">
        <v>5576</v>
      </c>
      <c t="s" s="6" r="T725">
        <v>5200</v>
      </c>
      <c t="s" s="6" r="U725">
        <v>5577</v>
      </c>
      <c s="6" r="V725">
        <v>1</v>
      </c>
      <c s="6" r="W725">
        <v>1</v>
      </c>
      <c s="6" r="X725">
        <v>0</v>
      </c>
      <c s="6" r="Y725">
        <v>0</v>
      </c>
      <c s="6" r="Z725">
        <v>1</v>
      </c>
      <c t="s" s="6" r="AA725">
        <v>92</v>
      </c>
      <c t="s" s="6" r="AB725">
        <v>92</v>
      </c>
      <c t="s" s="6" r="AC725">
        <v>92</v>
      </c>
      <c t="s" s="6" r="AD725">
        <v>92</v>
      </c>
      <c t="s" s="6" r="AE725">
        <v>92</v>
      </c>
      <c t="s" s="6" r="AF725">
        <v>92</v>
      </c>
      <c s="6" r="AG725">
        <v>2</v>
      </c>
      <c t="s" s="6" r="AH725">
        <v>92</v>
      </c>
      <c t="s" s="6" r="AI725">
        <v>92</v>
      </c>
      <c t="s" s="6" r="AJ725">
        <v>92</v>
      </c>
      <c s="6" r="AK725">
        <v>2</v>
      </c>
      <c t="s" s="6" r="AL725">
        <v>92</v>
      </c>
      <c s="6" r="AM725">
        <v>2</v>
      </c>
      <c t="s" s="6" r="AN725">
        <v>92</v>
      </c>
      <c s="6" r="AP725">
        <v>2</v>
      </c>
      <c t="s" s="6" r="AR725">
        <v>5578</v>
      </c>
      <c s="6" r="AS725">
        <v>0</v>
      </c>
      <c s="6" r="AT725">
        <v>0</v>
      </c>
      <c s="6" r="AU725">
        <v>1</v>
      </c>
      <c s="6" r="AV725">
        <v>0</v>
      </c>
      <c s="6" r="AW725">
        <v>0</v>
      </c>
      <c s="6" r="AX725">
        <v>0</v>
      </c>
      <c s="6" r="AY725">
        <v>0</v>
      </c>
      <c s="6" r="AZ725">
        <v>0</v>
      </c>
      <c s="6" r="BA725">
        <v>0</v>
      </c>
      <c s="6" r="BB725">
        <v>0</v>
      </c>
      <c s="6" r="BC725">
        <v>0</v>
      </c>
      <c s="6" r="BD725">
        <v>1</v>
      </c>
      <c s="6" r="BE725">
        <v>0</v>
      </c>
      <c s="6" r="BF725">
        <v>0</v>
      </c>
      <c s="6" r="BG725">
        <v>0</v>
      </c>
      <c s="6" r="BH725">
        <v>1</v>
      </c>
      <c s="6" r="BI725">
        <v>0</v>
      </c>
      <c s="6" r="BJ725">
        <v>1</v>
      </c>
      <c s="6" r="BK725">
        <v>0</v>
      </c>
      <c s="6" r="BL725">
        <v>0</v>
      </c>
      <c s="6" r="BM725">
        <v>0</v>
      </c>
      <c s="6" r="BN725">
        <v>0</v>
      </c>
      <c s="6" r="BO725">
        <v>0</v>
      </c>
      <c s="6" r="BP725">
        <v>0</v>
      </c>
      <c s="6" r="BQ725">
        <v>0</v>
      </c>
      <c t="str" s="6" r="BR725">
        <f>HYPERLINK("http://www.d20pfsrd.com/magic/all-spells/c/corruption-resistance","Corruption Resistance")</f>
        <v>Corruption Resistance</v>
      </c>
      <c s="6" r="BS725">
        <v>735</v>
      </c>
      <c t="s" s="6" r="BT725">
        <v>92</v>
      </c>
      <c s="6" r="BY725">
        <v>0</v>
      </c>
    </row>
    <row customHeight="1" r="726" ht="14.25">
      <c t="s" s="6" r="A726">
        <v>5579</v>
      </c>
      <c t="s" s="6" r="B726">
        <v>115</v>
      </c>
      <c t="s" s="6" r="C726">
        <v>116</v>
      </c>
      <c t="s" s="6" r="D726">
        <v>117</v>
      </c>
      <c t="s" s="6" r="E726">
        <v>5410</v>
      </c>
      <c t="s" s="6" r="F726">
        <v>81</v>
      </c>
      <c t="s" s="6" r="G726">
        <v>119</v>
      </c>
      <c s="6" r="H726">
        <v>0</v>
      </c>
      <c t="s" s="6" r="I726">
        <v>107</v>
      </c>
      <c t="s" s="6" r="L726">
        <v>473</v>
      </c>
      <c t="s" s="6" r="M726">
        <v>483</v>
      </c>
      <c s="6" r="N726">
        <v>1</v>
      </c>
      <c s="6" r="O726">
        <v>0</v>
      </c>
      <c t="s" s="6" r="P726">
        <v>296</v>
      </c>
      <c t="s" s="6" r="Q726">
        <v>188</v>
      </c>
      <c t="s" s="6" r="R726">
        <v>5580</v>
      </c>
      <c t="s" s="6" r="S726">
        <v>5581</v>
      </c>
      <c t="s" s="6" r="T726">
        <v>5200</v>
      </c>
      <c t="s" s="6" r="U726">
        <v>5582</v>
      </c>
      <c s="6" r="V726">
        <v>1</v>
      </c>
      <c s="6" r="W726">
        <v>1</v>
      </c>
      <c s="6" r="X726">
        <v>0</v>
      </c>
      <c s="6" r="Y726">
        <v>0</v>
      </c>
      <c s="6" r="Z726">
        <v>1</v>
      </c>
      <c t="s" s="6" r="AA726">
        <v>92</v>
      </c>
      <c t="s" s="6" r="AB726">
        <v>92</v>
      </c>
      <c t="s" s="6" r="AC726">
        <v>92</v>
      </c>
      <c t="s" s="6" r="AD726">
        <v>92</v>
      </c>
      <c t="s" s="6" r="AE726">
        <v>92</v>
      </c>
      <c t="s" s="6" r="AF726">
        <v>92</v>
      </c>
      <c t="s" s="6" r="AG726">
        <v>92</v>
      </c>
      <c t="s" s="6" r="AH726">
        <v>92</v>
      </c>
      <c t="s" s="6" r="AI726">
        <v>92</v>
      </c>
      <c t="s" s="6" r="AJ726">
        <v>92</v>
      </c>
      <c s="6" r="AK726">
        <v>4</v>
      </c>
      <c t="s" s="6" r="AL726">
        <v>92</v>
      </c>
      <c t="s" s="6" r="AM726">
        <v>92</v>
      </c>
      <c t="s" s="6" r="AN726">
        <v>92</v>
      </c>
      <c s="6" r="AP726">
        <v>4</v>
      </c>
      <c t="s" s="6" r="AR726">
        <v>5583</v>
      </c>
      <c s="6" r="AS726">
        <v>0</v>
      </c>
      <c s="6" r="AT726">
        <v>0</v>
      </c>
      <c s="6" r="AU726">
        <v>0</v>
      </c>
      <c s="6" r="AV726">
        <v>0</v>
      </c>
      <c s="6" r="AW726">
        <v>0</v>
      </c>
      <c s="6" r="AX726">
        <v>0</v>
      </c>
      <c s="6" r="AY726">
        <v>0</v>
      </c>
      <c s="6" r="AZ726">
        <v>0</v>
      </c>
      <c s="6" r="BA726">
        <v>0</v>
      </c>
      <c s="6" r="BB726">
        <v>0</v>
      </c>
      <c s="6" r="BC726">
        <v>0</v>
      </c>
      <c s="6" r="BD726">
        <v>0</v>
      </c>
      <c s="6" r="BE726">
        <v>0</v>
      </c>
      <c s="6" r="BF726">
        <v>0</v>
      </c>
      <c s="6" r="BG726">
        <v>0</v>
      </c>
      <c s="6" r="BH726">
        <v>0</v>
      </c>
      <c s="6" r="BI726">
        <v>0</v>
      </c>
      <c s="6" r="BJ726">
        <v>0</v>
      </c>
      <c s="6" r="BK726">
        <v>0</v>
      </c>
      <c s="6" r="BL726">
        <v>1</v>
      </c>
      <c s="6" r="BM726">
        <v>0</v>
      </c>
      <c s="6" r="BN726">
        <v>0</v>
      </c>
      <c s="6" r="BO726">
        <v>0</v>
      </c>
      <c s="6" r="BP726">
        <v>0</v>
      </c>
      <c s="6" r="BQ726">
        <v>0</v>
      </c>
      <c t="str" s="6" r="BR726">
        <f>HYPERLINK("http://www.d20pfsrd.com/magic/all-spells/c/coward-s-lament","Coward's Lament")</f>
        <v>Coward's Lament</v>
      </c>
      <c s="6" r="BS726">
        <v>736</v>
      </c>
      <c t="s" s="6" r="BT726">
        <v>92</v>
      </c>
      <c s="6" r="BY726">
        <v>0</v>
      </c>
    </row>
    <row customHeight="1" r="727" ht="14.25">
      <c t="s" s="6" r="A727">
        <v>5584</v>
      </c>
      <c t="s" s="6" r="B727">
        <v>131</v>
      </c>
      <c t="s" s="6" r="D727">
        <v>48</v>
      </c>
      <c t="s" s="6" r="E727">
        <v>2346</v>
      </c>
      <c t="s" s="6" r="F727">
        <v>81</v>
      </c>
      <c t="s" s="6" r="G727">
        <v>5585</v>
      </c>
      <c s="6" r="H727">
        <v>0</v>
      </c>
      <c t="s" s="6" r="I727">
        <v>107</v>
      </c>
      <c t="s" s="6" r="L727">
        <v>1235</v>
      </c>
      <c t="s" s="6" r="M727">
        <v>5196</v>
      </c>
      <c s="6" r="N727">
        <v>1</v>
      </c>
      <c s="6" r="O727">
        <v>0</v>
      </c>
      <c t="s" s="6" r="P727">
        <v>221</v>
      </c>
      <c t="s" s="6" r="Q727">
        <v>188</v>
      </c>
      <c t="s" s="6" r="R727">
        <v>5586</v>
      </c>
      <c t="s" s="6" r="S727">
        <v>5587</v>
      </c>
      <c t="s" s="6" r="T727">
        <v>5200</v>
      </c>
      <c t="s" s="6" r="U727">
        <v>5588</v>
      </c>
      <c s="6" r="V727">
        <v>1</v>
      </c>
      <c s="6" r="W727">
        <v>1</v>
      </c>
      <c s="6" r="X727">
        <v>1</v>
      </c>
      <c s="6" r="Y727">
        <v>0</v>
      </c>
      <c s="6" r="Z727">
        <v>0</v>
      </c>
      <c s="6" r="AA727">
        <v>1</v>
      </c>
      <c s="6" r="AB727">
        <v>1</v>
      </c>
      <c t="s" s="6" r="AC727">
        <v>92</v>
      </c>
      <c t="s" s="6" r="AD727">
        <v>92</v>
      </c>
      <c t="s" s="6" r="AE727">
        <v>92</v>
      </c>
      <c t="s" s="6" r="AF727">
        <v>92</v>
      </c>
      <c t="s" s="6" r="AG727">
        <v>92</v>
      </c>
      <c t="s" s="6" r="AH727">
        <v>92</v>
      </c>
      <c t="s" s="6" r="AI727">
        <v>92</v>
      </c>
      <c t="s" s="6" r="AJ727">
        <v>92</v>
      </c>
      <c t="s" s="6" r="AK727">
        <v>92</v>
      </c>
      <c t="s" s="6" r="AL727">
        <v>92</v>
      </c>
      <c t="s" s="6" r="AM727">
        <v>92</v>
      </c>
      <c t="s" s="6" r="AN727">
        <v>92</v>
      </c>
      <c s="6" r="AP727">
        <v>1</v>
      </c>
      <c t="s" s="6" r="AR727">
        <v>5589</v>
      </c>
      <c s="6" r="AS727">
        <v>0</v>
      </c>
      <c s="6" r="AT727">
        <v>0</v>
      </c>
      <c s="6" r="AU727">
        <v>0</v>
      </c>
      <c s="6" r="AV727">
        <v>0</v>
      </c>
      <c s="6" r="AW727">
        <v>1</v>
      </c>
      <c s="6" r="AX727">
        <v>0</v>
      </c>
      <c s="6" r="AY727">
        <v>0</v>
      </c>
      <c s="6" r="AZ727">
        <v>0</v>
      </c>
      <c s="6" r="BA727">
        <v>0</v>
      </c>
      <c s="6" r="BB727">
        <v>0</v>
      </c>
      <c s="6" r="BC727">
        <v>0</v>
      </c>
      <c s="6" r="BD727">
        <v>0</v>
      </c>
      <c s="6" r="BE727">
        <v>0</v>
      </c>
      <c s="6" r="BF727">
        <v>0</v>
      </c>
      <c s="6" r="BG727">
        <v>0</v>
      </c>
      <c s="6" r="BH727">
        <v>0</v>
      </c>
      <c s="6" r="BI727">
        <v>0</v>
      </c>
      <c s="6" r="BJ727">
        <v>0</v>
      </c>
      <c s="6" r="BK727">
        <v>0</v>
      </c>
      <c s="6" r="BL727">
        <v>0</v>
      </c>
      <c s="6" r="BM727">
        <v>0</v>
      </c>
      <c s="6" r="BN727">
        <v>0</v>
      </c>
      <c s="6" r="BO727">
        <v>0</v>
      </c>
      <c s="6" r="BP727">
        <v>0</v>
      </c>
      <c s="6" r="BQ727">
        <v>0</v>
      </c>
      <c t="str" s="6" r="BR727">
        <f>HYPERLINK("http://www.d20pfsrd.com/magic/all-spells/c/crafter-s-curse","Crafter's Curse")</f>
        <v>Crafter's Curse</v>
      </c>
      <c s="6" r="BS727">
        <v>737</v>
      </c>
      <c t="s" s="6" r="BT727">
        <v>92</v>
      </c>
      <c s="6" r="BY727">
        <v>0</v>
      </c>
    </row>
    <row customHeight="1" r="728" ht="14.25">
      <c t="s" s="6" r="A728">
        <v>5590</v>
      </c>
      <c t="s" s="6" r="B728">
        <v>131</v>
      </c>
      <c t="s" s="6" r="E728">
        <v>5591</v>
      </c>
      <c t="s" s="6" r="F728">
        <v>81</v>
      </c>
      <c t="s" s="6" r="G728">
        <v>5592</v>
      </c>
      <c s="6" r="H728">
        <v>0</v>
      </c>
      <c t="s" s="6" r="I728">
        <v>107</v>
      </c>
      <c t="s" s="6" r="L728">
        <v>1235</v>
      </c>
      <c t="s" s="6" r="M728">
        <v>5593</v>
      </c>
      <c s="6" r="N728">
        <v>1</v>
      </c>
      <c s="6" r="O728">
        <v>0</v>
      </c>
      <c t="s" s="6" r="P728">
        <v>421</v>
      </c>
      <c t="s" s="6" r="Q728">
        <v>123</v>
      </c>
      <c t="s" s="6" r="R728">
        <v>5594</v>
      </c>
      <c t="s" s="6" r="S728">
        <v>5595</v>
      </c>
      <c t="s" s="6" r="T728">
        <v>5200</v>
      </c>
      <c t="s" s="6" r="U728">
        <v>5596</v>
      </c>
      <c s="6" r="V728">
        <v>1</v>
      </c>
      <c s="6" r="W728">
        <v>1</v>
      </c>
      <c s="6" r="X728">
        <v>0</v>
      </c>
      <c s="6" r="Y728">
        <v>0</v>
      </c>
      <c s="6" r="Z728">
        <v>0</v>
      </c>
      <c s="6" r="AA728">
        <v>1</v>
      </c>
      <c s="6" r="AB728">
        <v>1</v>
      </c>
      <c t="s" s="6" r="AC728">
        <v>92</v>
      </c>
      <c t="s" s="6" r="AD728">
        <v>92</v>
      </c>
      <c t="s" s="6" r="AE728">
        <v>92</v>
      </c>
      <c t="s" s="6" r="AF728">
        <v>92</v>
      </c>
      <c t="s" s="6" r="AG728">
        <v>92</v>
      </c>
      <c s="6" r="AH728">
        <v>1</v>
      </c>
      <c t="s" s="6" r="AI728">
        <v>92</v>
      </c>
      <c t="s" s="6" r="AJ728">
        <v>92</v>
      </c>
      <c t="s" s="6" r="AK728">
        <v>92</v>
      </c>
      <c t="s" s="6" r="AL728">
        <v>92</v>
      </c>
      <c t="s" s="6" r="AM728">
        <v>92</v>
      </c>
      <c t="s" s="6" r="AN728">
        <v>92</v>
      </c>
      <c s="6" r="AP728">
        <v>1</v>
      </c>
      <c t="s" s="6" r="AR728">
        <v>5597</v>
      </c>
      <c s="6" r="AS728">
        <v>0</v>
      </c>
      <c s="6" r="AT728">
        <v>0</v>
      </c>
      <c s="6" r="AU728">
        <v>0</v>
      </c>
      <c s="6" r="AV728">
        <v>0</v>
      </c>
      <c s="6" r="AW728">
        <v>0</v>
      </c>
      <c s="6" r="AX728">
        <v>0</v>
      </c>
      <c s="6" r="AY728">
        <v>0</v>
      </c>
      <c s="6" r="AZ728">
        <v>0</v>
      </c>
      <c s="6" r="BA728">
        <v>0</v>
      </c>
      <c s="6" r="BB728">
        <v>0</v>
      </c>
      <c s="6" r="BC728">
        <v>0</v>
      </c>
      <c s="6" r="BD728">
        <v>0</v>
      </c>
      <c s="6" r="BE728">
        <v>0</v>
      </c>
      <c s="6" r="BF728">
        <v>0</v>
      </c>
      <c s="6" r="BG728">
        <v>0</v>
      </c>
      <c s="6" r="BH728">
        <v>0</v>
      </c>
      <c s="6" r="BI728">
        <v>0</v>
      </c>
      <c s="6" r="BJ728">
        <v>0</v>
      </c>
      <c s="6" r="BK728">
        <v>0</v>
      </c>
      <c s="6" r="BL728">
        <v>0</v>
      </c>
      <c s="6" r="BM728">
        <v>0</v>
      </c>
      <c s="6" r="BN728">
        <v>0</v>
      </c>
      <c s="6" r="BO728">
        <v>0</v>
      </c>
      <c s="6" r="BP728">
        <v>0</v>
      </c>
      <c s="6" r="BQ728">
        <v>0</v>
      </c>
      <c t="str" s="6" r="BR728">
        <f>HYPERLINK("http://www.d20pfsrd.com/magic/all-spells/c/crafter-s-fortune","Crafter's Fortune")</f>
        <v>Crafter's Fortune</v>
      </c>
      <c s="6" r="BS728">
        <v>738</v>
      </c>
      <c t="s" s="6" r="BT728">
        <v>92</v>
      </c>
      <c s="6" r="BY728">
        <v>0</v>
      </c>
    </row>
    <row customHeight="1" r="729" ht="14.25">
      <c t="s" s="6" r="A729">
        <v>5598</v>
      </c>
      <c t="s" s="6" r="B729">
        <v>78</v>
      </c>
      <c t="s" s="6" r="C729">
        <v>79</v>
      </c>
      <c t="s" s="6" r="E729">
        <v>5599</v>
      </c>
      <c t="s" s="6" r="F729">
        <v>81</v>
      </c>
      <c t="s" s="6" r="G729">
        <v>5600</v>
      </c>
      <c s="6" r="H729">
        <v>1</v>
      </c>
      <c t="s" s="6" r="I729">
        <v>97</v>
      </c>
      <c t="s" s="6" r="K729">
        <v>5213</v>
      </c>
      <c t="s" s="6" r="M729">
        <v>5214</v>
      </c>
      <c s="6" r="N729">
        <v>0</v>
      </c>
      <c s="6" r="O729">
        <v>0</v>
      </c>
      <c t="s" s="6" r="P729">
        <v>1865</v>
      </c>
      <c t="s" s="6" r="Q729">
        <v>87</v>
      </c>
      <c t="s" s="6" r="R729">
        <v>5601</v>
      </c>
      <c t="s" s="6" r="S729">
        <v>5602</v>
      </c>
      <c t="s" s="6" r="T729">
        <v>5200</v>
      </c>
      <c t="s" s="6" r="U729">
        <v>5603</v>
      </c>
      <c s="6" r="V729">
        <v>1</v>
      </c>
      <c s="6" r="W729">
        <v>1</v>
      </c>
      <c s="6" r="X729">
        <v>0</v>
      </c>
      <c s="6" r="Y729">
        <v>0</v>
      </c>
      <c s="6" r="Z729">
        <v>0</v>
      </c>
      <c s="6" r="AA729">
        <v>2</v>
      </c>
      <c s="6" r="AB729">
        <v>2</v>
      </c>
      <c t="s" s="6" r="AC729">
        <v>92</v>
      </c>
      <c t="s" s="6" r="AD729">
        <v>92</v>
      </c>
      <c t="s" s="6" r="AE729">
        <v>92</v>
      </c>
      <c t="s" s="6" r="AF729">
        <v>92</v>
      </c>
      <c t="s" s="6" r="AG729">
        <v>92</v>
      </c>
      <c t="s" s="6" r="AH729">
        <v>92</v>
      </c>
      <c s="6" r="AI729">
        <v>2</v>
      </c>
      <c t="s" s="6" r="AJ729">
        <v>92</v>
      </c>
      <c t="s" s="6" r="AK729">
        <v>92</v>
      </c>
      <c t="s" s="6" r="AL729">
        <v>92</v>
      </c>
      <c t="s" s="6" r="AM729">
        <v>92</v>
      </c>
      <c t="s" s="6" r="AN729">
        <v>92</v>
      </c>
      <c s="6" r="AP729">
        <v>2</v>
      </c>
      <c t="s" s="6" r="AQ729">
        <v>5604</v>
      </c>
      <c t="s" s="6" r="AR729">
        <v>5605</v>
      </c>
      <c s="6" r="AS729">
        <v>0</v>
      </c>
      <c s="6" r="AT729">
        <v>0</v>
      </c>
      <c s="6" r="AU729">
        <v>0</v>
      </c>
      <c s="6" r="AV729">
        <v>0</v>
      </c>
      <c s="6" r="AW729">
        <v>0</v>
      </c>
      <c s="6" r="AX729">
        <v>0</v>
      </c>
      <c s="6" r="AY729">
        <v>0</v>
      </c>
      <c s="6" r="AZ729">
        <v>0</v>
      </c>
      <c s="6" r="BA729">
        <v>0</v>
      </c>
      <c s="6" r="BB729">
        <v>0</v>
      </c>
      <c s="6" r="BC729">
        <v>0</v>
      </c>
      <c s="6" r="BD729">
        <v>0</v>
      </c>
      <c s="6" r="BE729">
        <v>0</v>
      </c>
      <c s="6" r="BF729">
        <v>0</v>
      </c>
      <c s="6" r="BG729">
        <v>0</v>
      </c>
      <c s="6" r="BH729">
        <v>0</v>
      </c>
      <c s="6" r="BI729">
        <v>0</v>
      </c>
      <c s="6" r="BJ729">
        <v>0</v>
      </c>
      <c s="6" r="BK729">
        <v>0</v>
      </c>
      <c s="6" r="BL729">
        <v>0</v>
      </c>
      <c s="6" r="BM729">
        <v>0</v>
      </c>
      <c s="6" r="BN729">
        <v>0</v>
      </c>
      <c s="6" r="BO729">
        <v>0</v>
      </c>
      <c s="6" r="BP729">
        <v>0</v>
      </c>
      <c s="6" r="BQ729">
        <v>0</v>
      </c>
      <c t="str" s="6" r="BR729">
        <f>HYPERLINK("http://www.d20pfsrd.com/magic/all-spells/c/create-pit","Create Pit")</f>
        <v>Create Pit</v>
      </c>
      <c s="6" r="BS729">
        <v>739</v>
      </c>
      <c s="6" r="BT729">
        <v>10</v>
      </c>
      <c t="s" s="6" r="BU729">
        <v>1698</v>
      </c>
      <c s="6" r="BY729">
        <v>0</v>
      </c>
    </row>
    <row customHeight="1" r="730" ht="14.25">
      <c t="s" s="6" r="A730">
        <v>5606</v>
      </c>
      <c t="s" s="6" r="B730">
        <v>174</v>
      </c>
      <c t="s" s="6" r="E730">
        <v>5607</v>
      </c>
      <c t="s" s="6" r="F730">
        <v>293</v>
      </c>
      <c t="s" s="6" r="G730">
        <v>5608</v>
      </c>
      <c s="6" r="H730">
        <v>1</v>
      </c>
      <c t="s" s="6" r="I730">
        <v>120</v>
      </c>
      <c t="s" s="6" r="L730">
        <v>4066</v>
      </c>
      <c t="s" s="6" r="M730">
        <v>109</v>
      </c>
      <c s="6" r="N730">
        <v>0</v>
      </c>
      <c s="6" r="O730">
        <v>0</v>
      </c>
      <c t="s" s="6" r="P730">
        <v>86</v>
      </c>
      <c t="s" s="6" r="Q730">
        <v>87</v>
      </c>
      <c t="s" s="6" r="R730">
        <v>5609</v>
      </c>
      <c t="s" s="6" r="S730">
        <v>5610</v>
      </c>
      <c t="s" s="6" r="T730">
        <v>5200</v>
      </c>
      <c t="s" s="6" r="U730">
        <v>5611</v>
      </c>
      <c s="6" r="V730">
        <v>1</v>
      </c>
      <c s="6" r="W730">
        <v>1</v>
      </c>
      <c s="6" r="X730">
        <v>1</v>
      </c>
      <c s="6" r="Y730">
        <v>0</v>
      </c>
      <c s="6" r="Z730">
        <v>0</v>
      </c>
      <c s="6" r="AA730">
        <v>2</v>
      </c>
      <c s="6" r="AB730">
        <v>2</v>
      </c>
      <c t="s" s="6" r="AC730">
        <v>92</v>
      </c>
      <c s="6" r="AD730">
        <v>3</v>
      </c>
      <c s="6" r="AE730">
        <v>2</v>
      </c>
      <c s="6" r="AF730">
        <v>2</v>
      </c>
      <c t="s" s="6" r="AG730">
        <v>92</v>
      </c>
      <c t="s" s="6" r="AH730">
        <v>92</v>
      </c>
      <c t="s" s="6" r="AI730">
        <v>92</v>
      </c>
      <c t="s" s="6" r="AJ730">
        <v>92</v>
      </c>
      <c t="s" s="6" r="AK730">
        <v>92</v>
      </c>
      <c t="s" s="6" r="AL730">
        <v>92</v>
      </c>
      <c t="s" s="6" r="AM730">
        <v>92</v>
      </c>
      <c t="s" s="6" r="AN730">
        <v>92</v>
      </c>
      <c s="6" r="AP730">
        <v>2</v>
      </c>
      <c t="s" s="6" r="AR730">
        <v>5612</v>
      </c>
      <c s="6" r="AS730">
        <v>0</v>
      </c>
      <c s="6" r="AT730">
        <v>0</v>
      </c>
      <c s="6" r="AU730">
        <v>0</v>
      </c>
      <c s="6" r="AV730">
        <v>0</v>
      </c>
      <c s="6" r="AW730">
        <v>0</v>
      </c>
      <c s="6" r="AX730">
        <v>0</v>
      </c>
      <c s="6" r="AY730">
        <v>0</v>
      </c>
      <c s="6" r="AZ730">
        <v>0</v>
      </c>
      <c s="6" r="BA730">
        <v>0</v>
      </c>
      <c s="6" r="BB730">
        <v>0</v>
      </c>
      <c s="6" r="BC730">
        <v>0</v>
      </c>
      <c s="6" r="BD730">
        <v>0</v>
      </c>
      <c s="6" r="BE730">
        <v>0</v>
      </c>
      <c s="6" r="BF730">
        <v>0</v>
      </c>
      <c s="6" r="BG730">
        <v>0</v>
      </c>
      <c s="6" r="BH730">
        <v>0</v>
      </c>
      <c s="6" r="BI730">
        <v>0</v>
      </c>
      <c s="6" r="BJ730">
        <v>0</v>
      </c>
      <c s="6" r="BK730">
        <v>0</v>
      </c>
      <c s="6" r="BL730">
        <v>0</v>
      </c>
      <c s="6" r="BM730">
        <v>0</v>
      </c>
      <c s="6" r="BN730">
        <v>0</v>
      </c>
      <c s="6" r="BO730">
        <v>0</v>
      </c>
      <c s="6" r="BP730">
        <v>0</v>
      </c>
      <c s="6" r="BQ730">
        <v>0</v>
      </c>
      <c t="str" s="6" r="BR730">
        <f>HYPERLINK("http://www.d20pfsrd.com/magic/all-spells/c/create-treasure-map","Create Treasure Map")</f>
        <v>Create Treasure Map</v>
      </c>
      <c s="6" r="BS730">
        <v>740</v>
      </c>
      <c s="6" r="BT730">
        <v>100</v>
      </c>
      <c s="6" r="BY730">
        <v>0</v>
      </c>
    </row>
    <row customHeight="1" r="731" ht="14.25">
      <c t="s" s="6" r="A731">
        <v>5613</v>
      </c>
      <c t="s" s="6" r="B731">
        <v>131</v>
      </c>
      <c t="s" s="6" r="E731">
        <v>5614</v>
      </c>
      <c t="s" s="6" r="F731">
        <v>81</v>
      </c>
      <c t="s" s="6" r="G731">
        <v>5615</v>
      </c>
      <c s="6" r="H731">
        <v>0</v>
      </c>
      <c t="s" s="6" r="I731">
        <v>107</v>
      </c>
      <c t="s" s="6" r="L731">
        <v>1235</v>
      </c>
      <c t="s" s="6" r="M731">
        <v>5196</v>
      </c>
      <c s="6" r="N731">
        <v>1</v>
      </c>
      <c s="6" r="O731">
        <v>0</v>
      </c>
      <c t="s" s="6" r="P731">
        <v>187</v>
      </c>
      <c t="s" s="6" r="Q731">
        <v>188</v>
      </c>
      <c t="s" s="6" r="R731">
        <v>5616</v>
      </c>
      <c t="s" s="6" r="S731">
        <v>5617</v>
      </c>
      <c t="s" s="6" r="T731">
        <v>5200</v>
      </c>
      <c t="s" s="6" r="U731">
        <v>5618</v>
      </c>
      <c s="6" r="V731">
        <v>1</v>
      </c>
      <c s="6" r="W731">
        <v>1</v>
      </c>
      <c s="6" r="X731">
        <v>1</v>
      </c>
      <c s="6" r="Y731">
        <v>0</v>
      </c>
      <c s="6" r="Z731">
        <v>0</v>
      </c>
      <c t="s" s="6" r="AA731">
        <v>92</v>
      </c>
      <c t="s" s="6" r="AB731">
        <v>92</v>
      </c>
      <c t="s" s="6" r="AC731">
        <v>92</v>
      </c>
      <c s="6" r="AD731">
        <v>3</v>
      </c>
      <c t="s" s="6" r="AE731">
        <v>92</v>
      </c>
      <c t="s" s="6" r="AF731">
        <v>92</v>
      </c>
      <c t="s" s="6" r="AG731">
        <v>92</v>
      </c>
      <c t="s" s="6" r="AH731">
        <v>92</v>
      </c>
      <c t="s" s="6" r="AI731">
        <v>92</v>
      </c>
      <c s="6" r="AJ731">
        <v>3</v>
      </c>
      <c t="s" s="6" r="AK731">
        <v>92</v>
      </c>
      <c t="s" s="6" r="AL731">
        <v>92</v>
      </c>
      <c t="s" s="6" r="AM731">
        <v>92</v>
      </c>
      <c t="s" s="6" r="AN731">
        <v>92</v>
      </c>
      <c s="6" r="AP731">
        <v>3</v>
      </c>
      <c t="s" s="6" r="AR731">
        <v>5619</v>
      </c>
      <c s="6" r="AS731">
        <v>0</v>
      </c>
      <c s="6" r="AT731">
        <v>0</v>
      </c>
      <c s="6" r="AU731">
        <v>0</v>
      </c>
      <c s="6" r="AV731">
        <v>0</v>
      </c>
      <c s="6" r="AW731">
        <v>0</v>
      </c>
      <c s="6" r="AX731">
        <v>0</v>
      </c>
      <c s="6" r="AY731">
        <v>0</v>
      </c>
      <c s="6" r="AZ731">
        <v>0</v>
      </c>
      <c s="6" r="BA731">
        <v>0</v>
      </c>
      <c s="6" r="BB731">
        <v>0</v>
      </c>
      <c s="6" r="BC731">
        <v>0</v>
      </c>
      <c s="6" r="BD731">
        <v>0</v>
      </c>
      <c s="6" r="BE731">
        <v>0</v>
      </c>
      <c s="6" r="BF731">
        <v>0</v>
      </c>
      <c s="6" r="BG731">
        <v>0</v>
      </c>
      <c s="6" r="BH731">
        <v>0</v>
      </c>
      <c s="6" r="BI731">
        <v>0</v>
      </c>
      <c s="6" r="BJ731">
        <v>0</v>
      </c>
      <c s="6" r="BK731">
        <v>0</v>
      </c>
      <c s="6" r="BL731">
        <v>0</v>
      </c>
      <c s="6" r="BM731">
        <v>0</v>
      </c>
      <c s="6" r="BN731">
        <v>0</v>
      </c>
      <c s="6" r="BO731">
        <v>0</v>
      </c>
      <c s="6" r="BP731">
        <v>0</v>
      </c>
      <c s="6" r="BQ731">
        <v>0</v>
      </c>
      <c t="str" s="6" r="BR731">
        <f>HYPERLINK("http://www.d20pfsrd.com/magic/all-spells/c/cup-of-dust","Cup of Dust")</f>
        <v>Cup of Dust</v>
      </c>
      <c s="6" r="BS731">
        <v>741</v>
      </c>
      <c t="s" s="6" r="BT731">
        <v>92</v>
      </c>
      <c t="s" s="6" r="BW731">
        <v>5620</v>
      </c>
      <c s="6" r="BY731">
        <v>1</v>
      </c>
    </row>
    <row customHeight="1" r="732" ht="14.25">
      <c t="s" s="6" r="A732">
        <v>5621</v>
      </c>
      <c t="s" s="6" r="B732">
        <v>131</v>
      </c>
      <c t="s" s="6" r="D732">
        <v>5482</v>
      </c>
      <c t="s" s="6" r="E732">
        <v>5622</v>
      </c>
      <c t="s" s="6" r="F732">
        <v>81</v>
      </c>
      <c t="s" s="6" r="G732">
        <v>5623</v>
      </c>
      <c s="6" r="H732">
        <v>0</v>
      </c>
      <c t="s" s="6" r="I732">
        <v>120</v>
      </c>
      <c t="s" s="6" r="K732">
        <v>5624</v>
      </c>
      <c t="s" s="6" r="M732">
        <v>711</v>
      </c>
      <c s="6" r="N732">
        <v>1</v>
      </c>
      <c s="6" r="O732">
        <v>0</v>
      </c>
      <c t="s" s="6" r="P732">
        <v>86</v>
      </c>
      <c t="s" s="6" r="Q732">
        <v>87</v>
      </c>
      <c t="s" s="6" r="R732">
        <v>5625</v>
      </c>
      <c t="s" s="6" r="S732">
        <v>5626</v>
      </c>
      <c t="s" s="6" r="T732">
        <v>5200</v>
      </c>
      <c t="s" s="6" r="U732">
        <v>5627</v>
      </c>
      <c s="6" r="V732">
        <v>1</v>
      </c>
      <c s="6" r="W732">
        <v>1</v>
      </c>
      <c s="6" r="X732">
        <v>0</v>
      </c>
      <c s="6" r="Y732">
        <v>0</v>
      </c>
      <c s="6" r="Z732">
        <v>0</v>
      </c>
      <c s="6" r="AA732">
        <v>1</v>
      </c>
      <c s="6" r="AB732">
        <v>1</v>
      </c>
      <c s="6" r="AC732">
        <v>1</v>
      </c>
      <c t="s" s="6" r="AD732">
        <v>92</v>
      </c>
      <c s="6" r="AE732">
        <v>1</v>
      </c>
      <c s="6" r="AF732">
        <v>1</v>
      </c>
      <c t="s" s="6" r="AG732">
        <v>92</v>
      </c>
      <c t="s" s="6" r="AH732">
        <v>92</v>
      </c>
      <c t="s" s="6" r="AI732">
        <v>92</v>
      </c>
      <c s="6" r="AJ732">
        <v>1</v>
      </c>
      <c t="s" s="6" r="AK732">
        <v>92</v>
      </c>
      <c s="6" r="AL732">
        <v>1</v>
      </c>
      <c t="s" s="6" r="AM732">
        <v>92</v>
      </c>
      <c t="s" s="6" r="AN732">
        <v>92</v>
      </c>
      <c s="6" r="AP732">
        <v>1</v>
      </c>
      <c t="s" s="6" r="AR732">
        <v>5628</v>
      </c>
      <c s="6" r="AS732">
        <v>0</v>
      </c>
      <c s="6" r="AT732">
        <v>0</v>
      </c>
      <c s="6" r="AU732">
        <v>0</v>
      </c>
      <c s="6" r="AV732">
        <v>0</v>
      </c>
      <c s="6" r="AW732">
        <v>0</v>
      </c>
      <c s="6" r="AX732">
        <v>0</v>
      </c>
      <c s="6" r="AY732">
        <v>0</v>
      </c>
      <c s="6" r="AZ732">
        <v>0</v>
      </c>
      <c s="6" r="BA732">
        <v>0</v>
      </c>
      <c s="6" r="BB732">
        <v>0</v>
      </c>
      <c s="6" r="BC732">
        <v>0</v>
      </c>
      <c s="6" r="BD732">
        <v>0</v>
      </c>
      <c s="6" r="BE732">
        <v>0</v>
      </c>
      <c s="6" r="BF732">
        <v>1</v>
      </c>
      <c s="6" r="BG732">
        <v>0</v>
      </c>
      <c s="6" r="BH732">
        <v>0</v>
      </c>
      <c s="6" r="BI732">
        <v>0</v>
      </c>
      <c s="6" r="BJ732">
        <v>0</v>
      </c>
      <c s="6" r="BK732">
        <v>1</v>
      </c>
      <c s="6" r="BL732">
        <v>0</v>
      </c>
      <c s="6" r="BM732">
        <v>0</v>
      </c>
      <c s="6" r="BN732">
        <v>0</v>
      </c>
      <c s="6" r="BO732">
        <v>0</v>
      </c>
      <c s="6" r="BP732">
        <v>0</v>
      </c>
      <c s="6" r="BQ732">
        <v>0</v>
      </c>
      <c t="s" s="6" r="BR732">
        <v>92</v>
      </c>
      <c s="6" r="BS732">
        <v>742</v>
      </c>
      <c t="s" s="6" r="BT732">
        <v>92</v>
      </c>
      <c t="s" s="6" r="BV732">
        <v>966</v>
      </c>
      <c s="6" r="BY732">
        <v>0</v>
      </c>
    </row>
    <row customHeight="1" r="733" ht="14.25">
      <c t="s" s="6" r="A733">
        <v>5629</v>
      </c>
      <c t="s" s="6" r="B733">
        <v>493</v>
      </c>
      <c t="s" s="6" r="D733">
        <v>67</v>
      </c>
      <c t="s" s="6" r="E733">
        <v>4408</v>
      </c>
      <c t="s" s="6" r="F733">
        <v>81</v>
      </c>
      <c t="s" s="6" r="G733">
        <v>106</v>
      </c>
      <c s="6" r="H733">
        <v>0</v>
      </c>
      <c t="s" s="6" r="I733">
        <v>107</v>
      </c>
      <c t="s" s="6" r="L733">
        <v>5630</v>
      </c>
      <c t="s" s="6" r="M733">
        <v>109</v>
      </c>
      <c s="6" r="N733">
        <v>0</v>
      </c>
      <c s="6" r="O733">
        <v>0</v>
      </c>
      <c t="s" s="6" r="P733">
        <v>1254</v>
      </c>
      <c t="s" s="6" r="Q733">
        <v>188</v>
      </c>
      <c t="s" s="6" r="R733">
        <v>5631</v>
      </c>
      <c t="s" s="6" r="S733">
        <v>5632</v>
      </c>
      <c t="s" s="6" r="T733">
        <v>5200</v>
      </c>
      <c t="s" s="6" r="U733">
        <v>5633</v>
      </c>
      <c s="6" r="V733">
        <v>1</v>
      </c>
      <c s="6" r="W733">
        <v>1</v>
      </c>
      <c s="6" r="X733">
        <v>0</v>
      </c>
      <c s="6" r="Y733">
        <v>0</v>
      </c>
      <c s="6" r="Z733">
        <v>0</v>
      </c>
      <c t="s" s="6" r="AA733">
        <v>92</v>
      </c>
      <c t="s" s="6" r="AB733">
        <v>92</v>
      </c>
      <c t="s" s="6" r="AC733">
        <v>92</v>
      </c>
      <c t="s" s="6" r="AD733">
        <v>92</v>
      </c>
      <c t="s" s="6" r="AE733">
        <v>92</v>
      </c>
      <c s="6" r="AF733">
        <v>6</v>
      </c>
      <c t="s" s="6" r="AG733">
        <v>92</v>
      </c>
      <c t="s" s="6" r="AH733">
        <v>92</v>
      </c>
      <c t="s" s="6" r="AI733">
        <v>92</v>
      </c>
      <c t="s" s="6" r="AJ733">
        <v>92</v>
      </c>
      <c t="s" s="6" r="AK733">
        <v>92</v>
      </c>
      <c t="s" s="6" r="AL733">
        <v>92</v>
      </c>
      <c t="s" s="6" r="AM733">
        <v>92</v>
      </c>
      <c t="s" s="6" r="AN733">
        <v>92</v>
      </c>
      <c s="6" r="AP733">
        <v>6</v>
      </c>
      <c t="s" s="6" r="AR733">
        <v>5634</v>
      </c>
      <c s="6" r="AS733">
        <v>0</v>
      </c>
      <c s="6" r="AT733">
        <v>0</v>
      </c>
      <c s="6" r="AU733">
        <v>0</v>
      </c>
      <c s="6" r="AV733">
        <v>0</v>
      </c>
      <c s="6" r="AW733">
        <v>0</v>
      </c>
      <c s="6" r="AX733">
        <v>0</v>
      </c>
      <c s="6" r="AY733">
        <v>0</v>
      </c>
      <c s="6" r="AZ733">
        <v>0</v>
      </c>
      <c s="6" r="BA733">
        <v>0</v>
      </c>
      <c s="6" r="BB733">
        <v>0</v>
      </c>
      <c s="6" r="BC733">
        <v>0</v>
      </c>
      <c s="6" r="BD733">
        <v>0</v>
      </c>
      <c s="6" r="BE733">
        <v>0</v>
      </c>
      <c s="6" r="BF733">
        <v>0</v>
      </c>
      <c s="6" r="BG733">
        <v>0</v>
      </c>
      <c s="6" r="BH733">
        <v>0</v>
      </c>
      <c s="6" r="BI733">
        <v>0</v>
      </c>
      <c s="6" r="BJ733">
        <v>0</v>
      </c>
      <c s="6" r="BK733">
        <v>0</v>
      </c>
      <c s="6" r="BL733">
        <v>0</v>
      </c>
      <c s="6" r="BM733">
        <v>0</v>
      </c>
      <c s="6" r="BN733">
        <v>0</v>
      </c>
      <c s="6" r="BO733">
        <v>0</v>
      </c>
      <c s="6" r="BP733">
        <v>1</v>
      </c>
      <c s="6" r="BQ733">
        <v>0</v>
      </c>
      <c t="str" s="6" r="BR733">
        <f>HYPERLINK("http://www.d20pfsrd.com/magic/all-spells/d/deadly-finale","Deadly Finale")</f>
        <v>Deadly Finale</v>
      </c>
      <c s="6" r="BS733">
        <v>743</v>
      </c>
      <c t="s" s="6" r="BT733">
        <v>92</v>
      </c>
      <c s="6" r="BY733">
        <v>0</v>
      </c>
    </row>
    <row customHeight="1" r="734" ht="14.25">
      <c t="s" s="6" r="A734">
        <v>5635</v>
      </c>
      <c t="s" s="6" r="B734">
        <v>493</v>
      </c>
      <c t="s" s="6" r="D734">
        <v>67</v>
      </c>
      <c t="s" s="6" r="E734">
        <v>4038</v>
      </c>
      <c t="s" s="6" r="F734">
        <v>81</v>
      </c>
      <c t="s" s="6" r="G734">
        <v>106</v>
      </c>
      <c s="6" r="H734">
        <v>0</v>
      </c>
      <c t="s" s="6" r="I734">
        <v>107</v>
      </c>
      <c t="s" s="6" r="L734">
        <v>5636</v>
      </c>
      <c t="s" s="6" r="M734">
        <v>109</v>
      </c>
      <c s="6" r="N734">
        <v>0</v>
      </c>
      <c s="6" r="O734">
        <v>0</v>
      </c>
      <c t="s" s="6" r="P734">
        <v>86</v>
      </c>
      <c t="s" s="6" r="Q734">
        <v>87</v>
      </c>
      <c t="s" s="6" r="R734">
        <v>5637</v>
      </c>
      <c t="s" s="6" r="S734">
        <v>5638</v>
      </c>
      <c t="s" s="6" r="T734">
        <v>5200</v>
      </c>
      <c t="s" s="6" r="U734">
        <v>5639</v>
      </c>
      <c s="6" r="V734">
        <v>1</v>
      </c>
      <c s="6" r="W734">
        <v>1</v>
      </c>
      <c s="6" r="X734">
        <v>0</v>
      </c>
      <c s="6" r="Y734">
        <v>0</v>
      </c>
      <c s="6" r="Z734">
        <v>0</v>
      </c>
      <c t="s" s="6" r="AA734">
        <v>92</v>
      </c>
      <c t="s" s="6" r="AB734">
        <v>92</v>
      </c>
      <c t="s" s="6" r="AC734">
        <v>92</v>
      </c>
      <c t="s" s="6" r="AD734">
        <v>92</v>
      </c>
      <c t="s" s="6" r="AE734">
        <v>92</v>
      </c>
      <c s="6" r="AF734">
        <v>5</v>
      </c>
      <c t="s" s="6" r="AG734">
        <v>92</v>
      </c>
      <c t="s" s="6" r="AH734">
        <v>92</v>
      </c>
      <c t="s" s="6" r="AI734">
        <v>92</v>
      </c>
      <c t="s" s="6" r="AJ734">
        <v>92</v>
      </c>
      <c t="s" s="6" r="AK734">
        <v>92</v>
      </c>
      <c t="s" s="6" r="AL734">
        <v>92</v>
      </c>
      <c t="s" s="6" r="AM734">
        <v>92</v>
      </c>
      <c t="s" s="6" r="AN734">
        <v>92</v>
      </c>
      <c s="6" r="AP734">
        <v>5</v>
      </c>
      <c t="s" s="6" r="AR734">
        <v>5640</v>
      </c>
      <c s="6" r="AS734">
        <v>0</v>
      </c>
      <c s="6" r="AT734">
        <v>0</v>
      </c>
      <c s="6" r="AU734">
        <v>0</v>
      </c>
      <c s="6" r="AV734">
        <v>0</v>
      </c>
      <c s="6" r="AW734">
        <v>0</v>
      </c>
      <c s="6" r="AX734">
        <v>0</v>
      </c>
      <c s="6" r="AY734">
        <v>0</v>
      </c>
      <c s="6" r="AZ734">
        <v>0</v>
      </c>
      <c s="6" r="BA734">
        <v>0</v>
      </c>
      <c s="6" r="BB734">
        <v>0</v>
      </c>
      <c s="6" r="BC734">
        <v>0</v>
      </c>
      <c s="6" r="BD734">
        <v>0</v>
      </c>
      <c s="6" r="BE734">
        <v>0</v>
      </c>
      <c s="6" r="BF734">
        <v>0</v>
      </c>
      <c s="6" r="BG734">
        <v>0</v>
      </c>
      <c s="6" r="BH734">
        <v>0</v>
      </c>
      <c s="6" r="BI734">
        <v>0</v>
      </c>
      <c s="6" r="BJ734">
        <v>0</v>
      </c>
      <c s="6" r="BK734">
        <v>0</v>
      </c>
      <c s="6" r="BL734">
        <v>0</v>
      </c>
      <c s="6" r="BM734">
        <v>0</v>
      </c>
      <c s="6" r="BN734">
        <v>0</v>
      </c>
      <c s="6" r="BO734">
        <v>0</v>
      </c>
      <c s="6" r="BP734">
        <v>1</v>
      </c>
      <c s="6" r="BQ734">
        <v>0</v>
      </c>
      <c t="str" s="6" r="BR734">
        <f>HYPERLINK("http://www.d20pfsrd.com/magic/all-spells/d/deafening-song-bolt","Deafening Song Bolt")</f>
        <v>Deafening Song Bolt</v>
      </c>
      <c s="6" r="BS734">
        <v>744</v>
      </c>
      <c t="s" s="6" r="BT734">
        <v>92</v>
      </c>
      <c s="6" r="BY734">
        <v>0</v>
      </c>
    </row>
    <row customHeight="1" r="735" ht="14.25">
      <c t="s" s="6" r="A735">
        <v>5641</v>
      </c>
      <c t="s" s="6" r="B735">
        <v>162</v>
      </c>
      <c t="s" s="6" r="D735">
        <v>55</v>
      </c>
      <c t="s" s="6" r="E735">
        <v>5642</v>
      </c>
      <c t="s" s="6" r="F735">
        <v>81</v>
      </c>
      <c t="s" s="6" r="G735">
        <v>106</v>
      </c>
      <c s="6" r="H735">
        <v>0</v>
      </c>
      <c t="s" s="6" r="I735">
        <v>120</v>
      </c>
      <c t="s" s="6" r="L735">
        <v>5643</v>
      </c>
      <c t="s" s="6" r="M735">
        <v>2718</v>
      </c>
      <c s="6" r="N735">
        <v>0</v>
      </c>
      <c s="6" r="O735">
        <v>0</v>
      </c>
      <c t="s" s="6" r="P735">
        <v>144</v>
      </c>
      <c t="s" s="6" r="Q735">
        <v>145</v>
      </c>
      <c t="s" s="6" r="R735">
        <v>5644</v>
      </c>
      <c t="s" s="6" r="S735">
        <v>5645</v>
      </c>
      <c t="s" s="6" r="T735">
        <v>5200</v>
      </c>
      <c t="s" s="6" r="U735">
        <v>5646</v>
      </c>
      <c s="6" r="V735">
        <v>1</v>
      </c>
      <c s="6" r="W735">
        <v>1</v>
      </c>
      <c s="6" r="X735">
        <v>0</v>
      </c>
      <c s="6" r="Y735">
        <v>0</v>
      </c>
      <c s="6" r="Z735">
        <v>0</v>
      </c>
      <c t="s" s="6" r="AA735">
        <v>92</v>
      </c>
      <c t="s" s="6" r="AB735">
        <v>92</v>
      </c>
      <c t="s" s="6" r="AC735">
        <v>92</v>
      </c>
      <c t="s" s="6" r="AD735">
        <v>92</v>
      </c>
      <c t="s" s="6" r="AE735">
        <v>92</v>
      </c>
      <c t="s" s="6" r="AF735">
        <v>92</v>
      </c>
      <c t="s" s="6" r="AG735">
        <v>92</v>
      </c>
      <c t="s" s="6" r="AH735">
        <v>92</v>
      </c>
      <c t="s" s="6" r="AI735">
        <v>92</v>
      </c>
      <c t="s" s="6" r="AJ735">
        <v>92</v>
      </c>
      <c s="6" r="AK735">
        <v>4</v>
      </c>
      <c t="s" s="6" r="AL735">
        <v>92</v>
      </c>
      <c s="6" r="AM735">
        <v>3</v>
      </c>
      <c t="s" s="6" r="AN735">
        <v>92</v>
      </c>
      <c t="s" s="6" r="AP735">
        <v>92</v>
      </c>
      <c t="s" s="6" r="AR735">
        <v>5647</v>
      </c>
      <c s="6" r="AS735">
        <v>0</v>
      </c>
      <c s="6" r="AT735">
        <v>0</v>
      </c>
      <c s="6" r="AU735">
        <v>0</v>
      </c>
      <c s="6" r="AV735">
        <v>0</v>
      </c>
      <c s="6" r="AW735">
        <v>0</v>
      </c>
      <c s="6" r="AX735">
        <v>0</v>
      </c>
      <c s="6" r="AY735">
        <v>0</v>
      </c>
      <c s="6" r="AZ735">
        <v>0</v>
      </c>
      <c s="6" r="BA735">
        <v>0</v>
      </c>
      <c s="6" r="BB735">
        <v>0</v>
      </c>
      <c s="6" r="BC735">
        <v>0</v>
      </c>
      <c s="6" r="BD735">
        <v>1</v>
      </c>
      <c s="6" r="BE735">
        <v>0</v>
      </c>
      <c s="6" r="BF735">
        <v>0</v>
      </c>
      <c s="6" r="BG735">
        <v>0</v>
      </c>
      <c s="6" r="BH735">
        <v>0</v>
      </c>
      <c s="6" r="BI735">
        <v>0</v>
      </c>
      <c s="6" r="BJ735">
        <v>0</v>
      </c>
      <c s="6" r="BK735">
        <v>0</v>
      </c>
      <c s="6" r="BL735">
        <v>0</v>
      </c>
      <c s="6" r="BM735">
        <v>0</v>
      </c>
      <c s="6" r="BN735">
        <v>0</v>
      </c>
      <c s="6" r="BO735">
        <v>0</v>
      </c>
      <c s="6" r="BP735">
        <v>0</v>
      </c>
      <c s="6" r="BQ735">
        <v>0</v>
      </c>
      <c t="str" s="6" r="BR735">
        <f>HYPERLINK("http://www.d20pfsrd.com/magic/all-spells/d/defile-armor","Defile Armor")</f>
        <v>Defile Armor</v>
      </c>
      <c s="6" r="BS735">
        <v>745</v>
      </c>
      <c t="s" s="6" r="BT735">
        <v>92</v>
      </c>
      <c t="s" s="6" r="BW735">
        <v>5648</v>
      </c>
      <c t="s" s="6" r="BX735">
        <v>5649</v>
      </c>
      <c s="6" r="BY735">
        <v>1</v>
      </c>
    </row>
    <row customHeight="1" r="736" ht="14.25">
      <c t="s" s="6" r="A736">
        <v>5650</v>
      </c>
      <c t="s" s="6" r="B736">
        <v>162</v>
      </c>
      <c t="s" s="6" r="D736">
        <v>58</v>
      </c>
      <c t="s" s="6" r="E736">
        <v>973</v>
      </c>
      <c t="s" s="6" r="F736">
        <v>81</v>
      </c>
      <c t="s" s="6" r="G736">
        <v>5651</v>
      </c>
      <c s="6" r="H736">
        <v>0</v>
      </c>
      <c t="s" s="6" r="I736">
        <v>155</v>
      </c>
      <c t="s" s="6" r="L736">
        <v>156</v>
      </c>
      <c t="s" s="6" r="M736">
        <v>99</v>
      </c>
      <c s="6" r="N736">
        <v>0</v>
      </c>
      <c s="6" r="O736">
        <v>0</v>
      </c>
      <c t="s" s="6" r="R736">
        <v>5652</v>
      </c>
      <c t="s" s="6" r="S736">
        <v>5653</v>
      </c>
      <c t="s" s="6" r="T736">
        <v>5200</v>
      </c>
      <c t="s" s="6" r="U736">
        <v>5654</v>
      </c>
      <c s="6" r="V736">
        <v>1</v>
      </c>
      <c s="6" r="W736">
        <v>1</v>
      </c>
      <c s="6" r="X736">
        <v>1</v>
      </c>
      <c s="6" r="Y736">
        <v>0</v>
      </c>
      <c s="6" r="Z736">
        <v>0</v>
      </c>
      <c s="6" r="AA736">
        <v>7</v>
      </c>
      <c s="6" r="AB736">
        <v>7</v>
      </c>
      <c t="s" s="6" r="AC736">
        <v>92</v>
      </c>
      <c t="s" s="6" r="AD736">
        <v>92</v>
      </c>
      <c t="s" s="6" r="AE736">
        <v>92</v>
      </c>
      <c t="s" s="6" r="AF736">
        <v>92</v>
      </c>
      <c t="s" s="6" r="AG736">
        <v>92</v>
      </c>
      <c t="s" s="6" r="AH736">
        <v>92</v>
      </c>
      <c t="s" s="6" r="AI736">
        <v>92</v>
      </c>
      <c t="s" s="6" r="AJ736">
        <v>92</v>
      </c>
      <c t="s" s="6" r="AK736">
        <v>92</v>
      </c>
      <c t="s" s="6" r="AL736">
        <v>92</v>
      </c>
      <c t="s" s="6" r="AM736">
        <v>92</v>
      </c>
      <c t="s" s="6" r="AN736">
        <v>92</v>
      </c>
      <c s="6" r="AP736">
        <v>7</v>
      </c>
      <c t="s" s="6" r="AQ736">
        <v>3897</v>
      </c>
      <c t="s" s="6" r="AR736">
        <v>5655</v>
      </c>
      <c s="6" r="AS736">
        <v>0</v>
      </c>
      <c s="6" r="AT736">
        <v>0</v>
      </c>
      <c s="6" r="AU736">
        <v>0</v>
      </c>
      <c s="6" r="AV736">
        <v>0</v>
      </c>
      <c s="6" r="AW736">
        <v>0</v>
      </c>
      <c s="6" r="AX736">
        <v>0</v>
      </c>
      <c s="6" r="AY736">
        <v>0</v>
      </c>
      <c s="6" r="AZ736">
        <v>0</v>
      </c>
      <c s="6" r="BA736">
        <v>0</v>
      </c>
      <c s="6" r="BB736">
        <v>0</v>
      </c>
      <c s="6" r="BC736">
        <v>0</v>
      </c>
      <c s="6" r="BD736">
        <v>0</v>
      </c>
      <c s="6" r="BE736">
        <v>0</v>
      </c>
      <c s="6" r="BF736">
        <v>0</v>
      </c>
      <c s="6" r="BG736">
        <v>1</v>
      </c>
      <c s="6" r="BH736">
        <v>0</v>
      </c>
      <c s="6" r="BI736">
        <v>0</v>
      </c>
      <c s="6" r="BJ736">
        <v>0</v>
      </c>
      <c s="6" r="BK736">
        <v>0</v>
      </c>
      <c s="6" r="BL736">
        <v>0</v>
      </c>
      <c s="6" r="BM736">
        <v>0</v>
      </c>
      <c s="6" r="BN736">
        <v>0</v>
      </c>
      <c s="6" r="BO736">
        <v>0</v>
      </c>
      <c s="6" r="BP736">
        <v>0</v>
      </c>
      <c s="6" r="BQ736">
        <v>0</v>
      </c>
      <c t="str" s="6" r="BR736">
        <f>HYPERLINK("http://www.d20pfsrd.com/magic/all-spells/d/deflection","Deflection")</f>
        <v>Deflection</v>
      </c>
      <c s="6" r="BS736">
        <v>746</v>
      </c>
      <c t="s" s="6" r="BT736">
        <v>92</v>
      </c>
      <c s="6" r="BY736">
        <v>0</v>
      </c>
    </row>
    <row customHeight="1" r="737" ht="14.25">
      <c t="s" s="6" r="A737">
        <v>5656</v>
      </c>
      <c t="s" s="6" r="B737">
        <v>131</v>
      </c>
      <c t="s" s="6" r="E737">
        <v>5657</v>
      </c>
      <c t="s" s="6" r="F737">
        <v>81</v>
      </c>
      <c t="s" s="6" r="G737">
        <v>2086</v>
      </c>
      <c s="6" r="H737">
        <v>0</v>
      </c>
      <c t="s" s="6" r="I737">
        <v>155</v>
      </c>
      <c t="s" s="6" r="L737">
        <v>156</v>
      </c>
      <c t="s" s="6" r="M737">
        <v>950</v>
      </c>
      <c s="6" r="N737">
        <v>1</v>
      </c>
      <c s="6" r="O737">
        <v>0</v>
      </c>
      <c t="s" s="6" r="R737">
        <v>5658</v>
      </c>
      <c t="s" s="6" r="S737">
        <v>5659</v>
      </c>
      <c t="s" s="6" r="T737">
        <v>5200</v>
      </c>
      <c t="s" s="6" r="U737">
        <v>5660</v>
      </c>
      <c s="6" r="V737">
        <v>0</v>
      </c>
      <c s="6" r="W737">
        <v>1</v>
      </c>
      <c s="6" r="X737">
        <v>0</v>
      </c>
      <c s="6" r="Y737">
        <v>0</v>
      </c>
      <c s="6" r="Z737">
        <v>0</v>
      </c>
      <c t="s" s="6" r="AA737">
        <v>92</v>
      </c>
      <c t="s" s="6" r="AB737">
        <v>92</v>
      </c>
      <c t="s" s="6" r="AC737">
        <v>92</v>
      </c>
      <c t="s" s="6" r="AD737">
        <v>92</v>
      </c>
      <c t="s" s="6" r="AE737">
        <v>92</v>
      </c>
      <c t="s" s="6" r="AF737">
        <v>92</v>
      </c>
      <c t="s" s="6" r="AG737">
        <v>92</v>
      </c>
      <c s="6" r="AH737">
        <v>5</v>
      </c>
      <c t="s" s="6" r="AI737">
        <v>92</v>
      </c>
      <c t="s" s="6" r="AJ737">
        <v>92</v>
      </c>
      <c t="s" s="6" r="AK737">
        <v>92</v>
      </c>
      <c t="s" s="6" r="AL737">
        <v>92</v>
      </c>
      <c t="s" s="6" r="AM737">
        <v>92</v>
      </c>
      <c t="s" s="6" r="AN737">
        <v>92</v>
      </c>
      <c s="6" r="AP737">
        <v>5</v>
      </c>
      <c t="s" s="6" r="AR737">
        <v>5661</v>
      </c>
      <c s="6" r="AS737">
        <v>0</v>
      </c>
      <c s="6" r="AT737">
        <v>0</v>
      </c>
      <c s="6" r="AU737">
        <v>0</v>
      </c>
      <c s="6" r="AV737">
        <v>0</v>
      </c>
      <c s="6" r="AW737">
        <v>0</v>
      </c>
      <c s="6" r="AX737">
        <v>0</v>
      </c>
      <c s="6" r="AY737">
        <v>0</v>
      </c>
      <c s="6" r="AZ737">
        <v>0</v>
      </c>
      <c s="6" r="BA737">
        <v>0</v>
      </c>
      <c s="6" r="BB737">
        <v>0</v>
      </c>
      <c s="6" r="BC737">
        <v>0</v>
      </c>
      <c s="6" r="BD737">
        <v>0</v>
      </c>
      <c s="6" r="BE737">
        <v>0</v>
      </c>
      <c s="6" r="BF737">
        <v>0</v>
      </c>
      <c s="6" r="BG737">
        <v>0</v>
      </c>
      <c s="6" r="BH737">
        <v>0</v>
      </c>
      <c s="6" r="BI737">
        <v>0</v>
      </c>
      <c s="6" r="BJ737">
        <v>0</v>
      </c>
      <c s="6" r="BK737">
        <v>0</v>
      </c>
      <c s="6" r="BL737">
        <v>0</v>
      </c>
      <c s="6" r="BM737">
        <v>0</v>
      </c>
      <c s="6" r="BN737">
        <v>0</v>
      </c>
      <c s="6" r="BO737">
        <v>0</v>
      </c>
      <c s="6" r="BP737">
        <v>0</v>
      </c>
      <c s="6" r="BQ737">
        <v>0</v>
      </c>
      <c t="str" s="6" r="BR737">
        <f>HYPERLINK("http://www.d20pfsrd.com/magic/all-spells/d/delayed-consumption","Delayed Consumption")</f>
        <v>Delayed Consumption</v>
      </c>
      <c s="6" r="BS737">
        <v>747</v>
      </c>
      <c t="s" s="6" r="BT737">
        <v>92</v>
      </c>
      <c s="6" r="BY737">
        <v>0</v>
      </c>
    </row>
    <row customHeight="1" r="738" ht="14.25">
      <c t="s" s="6" r="A738">
        <v>5662</v>
      </c>
      <c t="s" s="6" r="B738">
        <v>115</v>
      </c>
      <c t="s" s="6" r="C738">
        <v>116</v>
      </c>
      <c t="s" s="6" r="D738">
        <v>841</v>
      </c>
      <c t="s" s="6" r="E738">
        <v>5663</v>
      </c>
      <c t="s" s="6" r="F738">
        <v>81</v>
      </c>
      <c t="s" s="6" r="G738">
        <v>251</v>
      </c>
      <c s="6" r="H738">
        <v>0</v>
      </c>
      <c t="s" s="6" r="I738">
        <v>107</v>
      </c>
      <c t="s" s="6" r="J738">
        <v>5269</v>
      </c>
      <c t="s" s="6" r="M738">
        <v>209</v>
      </c>
      <c s="6" r="N738">
        <v>0</v>
      </c>
      <c s="6" r="O738">
        <v>0</v>
      </c>
      <c t="s" s="6" r="P738">
        <v>221</v>
      </c>
      <c t="s" s="6" r="Q738">
        <v>188</v>
      </c>
      <c t="s" s="6" r="R738">
        <v>5664</v>
      </c>
      <c t="s" s="6" r="S738">
        <v>5665</v>
      </c>
      <c t="s" s="6" r="T738">
        <v>5200</v>
      </c>
      <c t="s" s="6" r="U738">
        <v>5666</v>
      </c>
      <c s="6" r="V738">
        <v>1</v>
      </c>
      <c s="6" r="W738">
        <v>0</v>
      </c>
      <c s="6" r="X738">
        <v>0</v>
      </c>
      <c s="6" r="Y738">
        <v>0</v>
      </c>
      <c s="6" r="Z738">
        <v>0</v>
      </c>
      <c t="s" s="6" r="AA738">
        <v>92</v>
      </c>
      <c t="s" s="6" r="AB738">
        <v>92</v>
      </c>
      <c t="s" s="6" r="AC738">
        <v>92</v>
      </c>
      <c t="s" s="6" r="AD738">
        <v>92</v>
      </c>
      <c t="s" s="6" r="AE738">
        <v>92</v>
      </c>
      <c s="6" r="AF738">
        <v>4</v>
      </c>
      <c t="s" s="6" r="AG738">
        <v>92</v>
      </c>
      <c t="s" s="6" r="AH738">
        <v>92</v>
      </c>
      <c t="s" s="6" r="AI738">
        <v>92</v>
      </c>
      <c t="s" s="6" r="AJ738">
        <v>92</v>
      </c>
      <c s="6" r="AK738">
        <v>4</v>
      </c>
      <c t="s" s="6" r="AL738">
        <v>92</v>
      </c>
      <c t="s" s="6" r="AM738">
        <v>92</v>
      </c>
      <c t="s" s="6" r="AN738">
        <v>92</v>
      </c>
      <c s="6" r="AP738">
        <v>4</v>
      </c>
      <c t="s" s="6" r="AR738">
        <v>5667</v>
      </c>
      <c s="6" r="AS738">
        <v>0</v>
      </c>
      <c s="6" r="AT738">
        <v>0</v>
      </c>
      <c s="6" r="AU738">
        <v>0</v>
      </c>
      <c s="6" r="AV738">
        <v>0</v>
      </c>
      <c s="6" r="AW738">
        <v>0</v>
      </c>
      <c s="6" r="AX738">
        <v>0</v>
      </c>
      <c s="6" r="AY738">
        <v>0</v>
      </c>
      <c s="6" r="AZ738">
        <v>0</v>
      </c>
      <c s="6" r="BA738">
        <v>0</v>
      </c>
      <c s="6" r="BB738">
        <v>0</v>
      </c>
      <c s="6" r="BC738">
        <v>0</v>
      </c>
      <c s="6" r="BD738">
        <v>0</v>
      </c>
      <c s="6" r="BE738">
        <v>0</v>
      </c>
      <c s="6" r="BF738">
        <v>0</v>
      </c>
      <c s="6" r="BG738">
        <v>0</v>
      </c>
      <c s="6" r="BH738">
        <v>0</v>
      </c>
      <c s="6" r="BI738">
        <v>1</v>
      </c>
      <c s="6" r="BJ738">
        <v>0</v>
      </c>
      <c s="6" r="BK738">
        <v>0</v>
      </c>
      <c s="6" r="BL738">
        <v>1</v>
      </c>
      <c s="6" r="BM738">
        <v>0</v>
      </c>
      <c s="6" r="BN738">
        <v>0</v>
      </c>
      <c s="6" r="BO738">
        <v>0</v>
      </c>
      <c s="6" r="BP738">
        <v>0</v>
      </c>
      <c s="6" r="BQ738">
        <v>0</v>
      </c>
      <c t="str" s="6" r="BR738">
        <f>HYPERLINK("http://www.d20pfsrd.com/magic/all-spells/d/denounce","Denounce")</f>
        <v>Denounce</v>
      </c>
      <c s="6" r="BS738">
        <v>748</v>
      </c>
      <c t="s" s="6" r="BT738">
        <v>92</v>
      </c>
      <c s="6" r="BY738">
        <v>0</v>
      </c>
    </row>
    <row customHeight="1" r="739" ht="14.25">
      <c t="s" s="6" r="A739">
        <v>5668</v>
      </c>
      <c t="s" s="6" r="B739">
        <v>174</v>
      </c>
      <c t="s" s="6" r="E739">
        <v>656</v>
      </c>
      <c t="s" s="6" r="F739">
        <v>81</v>
      </c>
      <c t="s" s="6" r="G739">
        <v>106</v>
      </c>
      <c s="6" r="H739">
        <v>0</v>
      </c>
      <c t="s" s="6" r="I739">
        <v>83</v>
      </c>
      <c t="s" s="6" r="J739">
        <v>1195</v>
      </c>
      <c t="s" s="6" r="M739">
        <v>5669</v>
      </c>
      <c s="6" r="N739">
        <v>1</v>
      </c>
      <c s="6" r="O739">
        <v>0</v>
      </c>
      <c t="s" s="6" r="P739">
        <v>86</v>
      </c>
      <c t="s" s="6" r="Q739">
        <v>87</v>
      </c>
      <c t="s" s="6" r="R739">
        <v>5670</v>
      </c>
      <c t="s" s="6" r="S739">
        <v>5671</v>
      </c>
      <c t="s" s="6" r="T739">
        <v>5200</v>
      </c>
      <c t="s" s="6" r="U739">
        <v>5672</v>
      </c>
      <c s="6" r="V739">
        <v>1</v>
      </c>
      <c s="6" r="W739">
        <v>1</v>
      </c>
      <c s="6" r="X739">
        <v>0</v>
      </c>
      <c s="6" r="Y739">
        <v>0</v>
      </c>
      <c s="6" r="Z739">
        <v>0</v>
      </c>
      <c t="s" s="6" r="AA739">
        <v>92</v>
      </c>
      <c t="s" s="6" r="AB739">
        <v>92</v>
      </c>
      <c t="s" s="6" r="AC739">
        <v>92</v>
      </c>
      <c s="6" r="AD739">
        <v>1</v>
      </c>
      <c s="6" r="AE739">
        <v>1</v>
      </c>
      <c t="s" s="6" r="AF739">
        <v>92</v>
      </c>
      <c t="s" s="6" r="AG739">
        <v>92</v>
      </c>
      <c t="s" s="6" r="AH739">
        <v>92</v>
      </c>
      <c t="s" s="6" r="AI739">
        <v>92</v>
      </c>
      <c t="s" s="6" r="AJ739">
        <v>92</v>
      </c>
      <c t="s" s="6" r="AK739">
        <v>92</v>
      </c>
      <c t="s" s="6" r="AL739">
        <v>92</v>
      </c>
      <c t="s" s="6" r="AM739">
        <v>92</v>
      </c>
      <c t="s" s="6" r="AN739">
        <v>92</v>
      </c>
      <c s="6" r="AP739">
        <v>1</v>
      </c>
      <c t="s" s="6" r="AR739">
        <v>5673</v>
      </c>
      <c s="6" r="AS739">
        <v>0</v>
      </c>
      <c s="6" r="AT739">
        <v>0</v>
      </c>
      <c s="6" r="AU739">
        <v>0</v>
      </c>
      <c s="6" r="AV739">
        <v>0</v>
      </c>
      <c s="6" r="AW739">
        <v>0</v>
      </c>
      <c s="6" r="AX739">
        <v>0</v>
      </c>
      <c s="6" r="AY739">
        <v>0</v>
      </c>
      <c s="6" r="AZ739">
        <v>0</v>
      </c>
      <c s="6" r="BA739">
        <v>0</v>
      </c>
      <c s="6" r="BB739">
        <v>0</v>
      </c>
      <c s="6" r="BC739">
        <v>0</v>
      </c>
      <c s="6" r="BD739">
        <v>0</v>
      </c>
      <c s="6" r="BE739">
        <v>0</v>
      </c>
      <c s="6" r="BF739">
        <v>0</v>
      </c>
      <c s="6" r="BG739">
        <v>0</v>
      </c>
      <c s="6" r="BH739">
        <v>0</v>
      </c>
      <c s="6" r="BI739">
        <v>0</v>
      </c>
      <c s="6" r="BJ739">
        <v>0</v>
      </c>
      <c s="6" r="BK739">
        <v>0</v>
      </c>
      <c s="6" r="BL739">
        <v>0</v>
      </c>
      <c s="6" r="BM739">
        <v>0</v>
      </c>
      <c s="6" r="BN739">
        <v>0</v>
      </c>
      <c s="6" r="BO739">
        <v>0</v>
      </c>
      <c s="6" r="BP739">
        <v>0</v>
      </c>
      <c s="6" r="BQ739">
        <v>0</v>
      </c>
      <c t="str" s="6" r="BR739">
        <f>HYPERLINK("http://www.d20pfsrd.com/magic/all-spells/d/detect-aberration","Detect Aberration")</f>
        <v>Detect Aberration</v>
      </c>
      <c s="6" r="BS739">
        <v>749</v>
      </c>
      <c t="s" s="6" r="BT739">
        <v>92</v>
      </c>
      <c s="6" r="BY739">
        <v>0</v>
      </c>
    </row>
    <row customHeight="1" r="740" ht="14.25">
      <c t="s" s="6" r="A740">
        <v>5674</v>
      </c>
      <c t="s" s="6" r="B740">
        <v>493</v>
      </c>
      <c t="s" s="6" r="D740">
        <v>5675</v>
      </c>
      <c t="s" s="6" r="E740">
        <v>5676</v>
      </c>
      <c t="s" s="6" r="F740">
        <v>81</v>
      </c>
      <c t="s" s="6" r="G740">
        <v>5677</v>
      </c>
      <c s="6" r="H740">
        <v>1</v>
      </c>
      <c t="s" s="6" r="I740">
        <v>1052</v>
      </c>
      <c t="s" s="6" r="J740">
        <v>5678</v>
      </c>
      <c t="s" s="6" r="M740">
        <v>5679</v>
      </c>
      <c s="6" r="N740">
        <v>0</v>
      </c>
      <c s="6" r="O740">
        <v>0</v>
      </c>
      <c t="s" s="6" r="P740">
        <v>631</v>
      </c>
      <c t="s" s="6" r="Q740">
        <v>188</v>
      </c>
      <c t="s" s="6" r="R740">
        <v>5680</v>
      </c>
      <c t="s" s="6" r="S740">
        <v>5681</v>
      </c>
      <c t="s" s="6" r="T740">
        <v>5200</v>
      </c>
      <c t="s" s="6" r="U740">
        <v>5682</v>
      </c>
      <c s="6" r="V740">
        <v>1</v>
      </c>
      <c s="6" r="W740">
        <v>1</v>
      </c>
      <c s="6" r="X740">
        <v>1</v>
      </c>
      <c s="6" r="Y740">
        <v>0</v>
      </c>
      <c s="6" r="Z740">
        <v>0</v>
      </c>
      <c s="6" r="AA740">
        <v>4</v>
      </c>
      <c s="6" r="AB740">
        <v>4</v>
      </c>
      <c t="s" s="6" r="AC740">
        <v>92</v>
      </c>
      <c t="s" s="6" r="AD740">
        <v>92</v>
      </c>
      <c t="s" s="6" r="AE740">
        <v>92</v>
      </c>
      <c t="s" s="6" r="AF740">
        <v>92</v>
      </c>
      <c t="s" s="6" r="AG740">
        <v>92</v>
      </c>
      <c s="6" r="AH740">
        <v>4</v>
      </c>
      <c t="s" s="6" r="AI740">
        <v>92</v>
      </c>
      <c t="s" s="6" r="AJ740">
        <v>92</v>
      </c>
      <c t="s" s="6" r="AK740">
        <v>92</v>
      </c>
      <c t="s" s="6" r="AL740">
        <v>92</v>
      </c>
      <c t="s" s="6" r="AM740">
        <v>92</v>
      </c>
      <c s="6" r="AN740">
        <v>4</v>
      </c>
      <c s="6" r="AP740">
        <v>4</v>
      </c>
      <c t="s" s="6" r="AR740">
        <v>5683</v>
      </c>
      <c s="6" r="AS740">
        <v>1</v>
      </c>
      <c s="6" r="AT740">
        <v>0</v>
      </c>
      <c s="6" r="AU740">
        <v>0</v>
      </c>
      <c s="6" r="AV740">
        <v>1</v>
      </c>
      <c s="6" r="AW740">
        <v>0</v>
      </c>
      <c s="6" r="AX740">
        <v>0</v>
      </c>
      <c s="6" r="AY740">
        <v>0</v>
      </c>
      <c s="6" r="AZ740">
        <v>0</v>
      </c>
      <c s="6" r="BA740">
        <v>0</v>
      </c>
      <c s="6" r="BB740">
        <v>1</v>
      </c>
      <c s="6" r="BC740">
        <v>0</v>
      </c>
      <c s="6" r="BD740">
        <v>0</v>
      </c>
      <c s="6" r="BE740">
        <v>0</v>
      </c>
      <c s="6" r="BF740">
        <v>1</v>
      </c>
      <c s="6" r="BG740">
        <v>0</v>
      </c>
      <c s="6" r="BH740">
        <v>0</v>
      </c>
      <c s="6" r="BI740">
        <v>0</v>
      </c>
      <c s="6" r="BJ740">
        <v>0</v>
      </c>
      <c s="6" r="BK740">
        <v>0</v>
      </c>
      <c s="6" r="BL740">
        <v>0</v>
      </c>
      <c s="6" r="BM740">
        <v>0</v>
      </c>
      <c s="6" r="BN740">
        <v>0</v>
      </c>
      <c s="6" r="BO740">
        <v>0</v>
      </c>
      <c s="6" r="BP740">
        <v>0</v>
      </c>
      <c s="6" r="BQ740">
        <v>0</v>
      </c>
      <c t="str" s="6" r="BR740">
        <f>HYPERLINK("http://www.d20pfsrd.com/magic/all-spells/d/detonate","Detonate")</f>
        <v>Detonate</v>
      </c>
      <c s="6" r="BS740">
        <v>750</v>
      </c>
      <c s="6" r="BT740">
        <v>50</v>
      </c>
      <c s="6" r="BY740">
        <v>0</v>
      </c>
    </row>
    <row customHeight="1" r="741" ht="14.25">
      <c t="s" s="6" r="A741">
        <v>5684</v>
      </c>
      <c t="s" s="6" r="B741">
        <v>131</v>
      </c>
      <c t="s" s="6" r="E741">
        <v>5685</v>
      </c>
      <c t="s" s="6" r="F741">
        <v>81</v>
      </c>
      <c t="s" s="6" r="G741">
        <v>5686</v>
      </c>
      <c s="6" r="H741">
        <v>0</v>
      </c>
      <c t="s" s="6" r="I741">
        <v>107</v>
      </c>
      <c t="s" s="6" r="L741">
        <v>5687</v>
      </c>
      <c t="s" s="6" r="M741">
        <v>99</v>
      </c>
      <c s="6" r="N741">
        <v>0</v>
      </c>
      <c s="6" r="O741">
        <v>0</v>
      </c>
      <c t="s" s="6" r="P741">
        <v>221</v>
      </c>
      <c t="s" s="6" r="Q741">
        <v>188</v>
      </c>
      <c t="s" s="6" r="R741">
        <v>5688</v>
      </c>
      <c t="s" s="6" r="S741">
        <v>5689</v>
      </c>
      <c t="s" s="6" r="T741">
        <v>5200</v>
      </c>
      <c t="s" s="6" r="U741">
        <v>5690</v>
      </c>
      <c s="6" r="V741">
        <v>1</v>
      </c>
      <c s="6" r="W741">
        <v>1</v>
      </c>
      <c s="6" r="X741">
        <v>1</v>
      </c>
      <c s="6" r="Y741">
        <v>0</v>
      </c>
      <c s="6" r="Z741">
        <v>0</v>
      </c>
      <c s="6" r="AA741">
        <v>3</v>
      </c>
      <c s="6" r="AB741">
        <v>3</v>
      </c>
      <c t="s" s="6" r="AC741">
        <v>92</v>
      </c>
      <c t="s" s="6" r="AD741">
        <v>92</v>
      </c>
      <c t="s" s="6" r="AE741">
        <v>92</v>
      </c>
      <c t="s" s="6" r="AF741">
        <v>92</v>
      </c>
      <c t="s" s="6" r="AG741">
        <v>92</v>
      </c>
      <c t="s" s="6" r="AH741">
        <v>92</v>
      </c>
      <c s="6" r="AI741">
        <v>3</v>
      </c>
      <c t="s" s="6" r="AJ741">
        <v>92</v>
      </c>
      <c t="s" s="6" r="AK741">
        <v>92</v>
      </c>
      <c t="s" s="6" r="AL741">
        <v>92</v>
      </c>
      <c t="s" s="6" r="AM741">
        <v>92</v>
      </c>
      <c t="s" s="6" r="AN741">
        <v>92</v>
      </c>
      <c s="6" r="AP741">
        <v>3</v>
      </c>
      <c t="s" s="6" r="AR741">
        <v>5691</v>
      </c>
      <c s="6" r="AS741">
        <v>0</v>
      </c>
      <c s="6" r="AT741">
        <v>0</v>
      </c>
      <c s="6" r="AU741">
        <v>0</v>
      </c>
      <c s="6" r="AV741">
        <v>0</v>
      </c>
      <c s="6" r="AW741">
        <v>0</v>
      </c>
      <c s="6" r="AX741">
        <v>0</v>
      </c>
      <c s="6" r="AY741">
        <v>0</v>
      </c>
      <c s="6" r="AZ741">
        <v>0</v>
      </c>
      <c s="6" r="BA741">
        <v>0</v>
      </c>
      <c s="6" r="BB741">
        <v>0</v>
      </c>
      <c s="6" r="BC741">
        <v>0</v>
      </c>
      <c s="6" r="BD741">
        <v>0</v>
      </c>
      <c s="6" r="BE741">
        <v>0</v>
      </c>
      <c s="6" r="BF741">
        <v>0</v>
      </c>
      <c s="6" r="BG741">
        <v>0</v>
      </c>
      <c s="6" r="BH741">
        <v>0</v>
      </c>
      <c s="6" r="BI741">
        <v>0</v>
      </c>
      <c s="6" r="BJ741">
        <v>0</v>
      </c>
      <c s="6" r="BK741">
        <v>0</v>
      </c>
      <c s="6" r="BL741">
        <v>0</v>
      </c>
      <c s="6" r="BM741">
        <v>0</v>
      </c>
      <c s="6" r="BN741">
        <v>0</v>
      </c>
      <c s="6" r="BO741">
        <v>0</v>
      </c>
      <c s="6" r="BP741">
        <v>0</v>
      </c>
      <c s="6" r="BQ741">
        <v>0</v>
      </c>
      <c t="str" s="6" r="BR741">
        <f>HYPERLINK("http://www.d20pfsrd.com/magic/all-spells/d/devolution","Devolution")</f>
        <v>Devolution</v>
      </c>
      <c s="6" r="BS741">
        <v>751</v>
      </c>
      <c t="s" s="6" r="BT741">
        <v>92</v>
      </c>
      <c t="s" s="6" r="BW741">
        <v>5692</v>
      </c>
      <c s="6" r="BY741">
        <v>1</v>
      </c>
    </row>
    <row customHeight="1" r="742" ht="14.25">
      <c t="s" s="6" r="A742">
        <v>5693</v>
      </c>
      <c t="s" s="6" r="B742">
        <v>493</v>
      </c>
      <c t="s" s="6" r="D742">
        <v>67</v>
      </c>
      <c t="s" s="6" r="E742">
        <v>3011</v>
      </c>
      <c t="s" s="6" r="F742">
        <v>81</v>
      </c>
      <c t="s" s="6" r="G742">
        <v>106</v>
      </c>
      <c s="6" r="H742">
        <v>0</v>
      </c>
      <c t="s" s="6" r="I742">
        <v>5694</v>
      </c>
      <c t="s" s="6" r="J742">
        <v>141</v>
      </c>
      <c t="s" s="6" r="M742">
        <v>109</v>
      </c>
      <c s="6" r="N742">
        <v>0</v>
      </c>
      <c s="6" r="O742">
        <v>0</v>
      </c>
      <c t="s" s="6" r="P742">
        <v>86</v>
      </c>
      <c t="s" s="6" r="Q742">
        <v>188</v>
      </c>
      <c t="s" s="6" r="R742">
        <v>5695</v>
      </c>
      <c t="s" s="6" r="S742">
        <v>5696</v>
      </c>
      <c t="s" s="6" r="T742">
        <v>5200</v>
      </c>
      <c t="s" s="6" r="U742">
        <v>5697</v>
      </c>
      <c s="6" r="V742">
        <v>1</v>
      </c>
      <c s="6" r="W742">
        <v>1</v>
      </c>
      <c s="6" r="X742">
        <v>0</v>
      </c>
      <c s="6" r="Y742">
        <v>0</v>
      </c>
      <c s="6" r="Z742">
        <v>0</v>
      </c>
      <c t="s" s="6" r="AA742">
        <v>92</v>
      </c>
      <c t="s" s="6" r="AB742">
        <v>92</v>
      </c>
      <c t="s" s="6" r="AC742">
        <v>92</v>
      </c>
      <c t="s" s="6" r="AD742">
        <v>92</v>
      </c>
      <c t="s" s="6" r="AE742">
        <v>92</v>
      </c>
      <c s="6" r="AF742">
        <v>4</v>
      </c>
      <c t="s" s="6" r="AG742">
        <v>92</v>
      </c>
      <c t="s" s="6" r="AH742">
        <v>92</v>
      </c>
      <c t="s" s="6" r="AI742">
        <v>92</v>
      </c>
      <c t="s" s="6" r="AJ742">
        <v>92</v>
      </c>
      <c t="s" s="6" r="AK742">
        <v>92</v>
      </c>
      <c t="s" s="6" r="AL742">
        <v>92</v>
      </c>
      <c t="s" s="6" r="AM742">
        <v>92</v>
      </c>
      <c t="s" s="6" r="AN742">
        <v>92</v>
      </c>
      <c s="6" r="AP742">
        <v>4</v>
      </c>
      <c t="s" s="6" r="AR742">
        <v>5698</v>
      </c>
      <c s="6" r="AS742">
        <v>0</v>
      </c>
      <c s="6" r="AT742">
        <v>0</v>
      </c>
      <c s="6" r="AU742">
        <v>0</v>
      </c>
      <c s="6" r="AV742">
        <v>0</v>
      </c>
      <c s="6" r="AW742">
        <v>0</v>
      </c>
      <c s="6" r="AX742">
        <v>0</v>
      </c>
      <c s="6" r="AY742">
        <v>0</v>
      </c>
      <c s="6" r="AZ742">
        <v>0</v>
      </c>
      <c s="6" r="BA742">
        <v>0</v>
      </c>
      <c s="6" r="BB742">
        <v>0</v>
      </c>
      <c s="6" r="BC742">
        <v>0</v>
      </c>
      <c s="6" r="BD742">
        <v>0</v>
      </c>
      <c s="6" r="BE742">
        <v>0</v>
      </c>
      <c s="6" r="BF742">
        <v>0</v>
      </c>
      <c s="6" r="BG742">
        <v>0</v>
      </c>
      <c s="6" r="BH742">
        <v>0</v>
      </c>
      <c s="6" r="BI742">
        <v>0</v>
      </c>
      <c s="6" r="BJ742">
        <v>0</v>
      </c>
      <c s="6" r="BK742">
        <v>0</v>
      </c>
      <c s="6" r="BL742">
        <v>0</v>
      </c>
      <c s="6" r="BM742">
        <v>0</v>
      </c>
      <c s="6" r="BN742">
        <v>0</v>
      </c>
      <c s="6" r="BO742">
        <v>0</v>
      </c>
      <c s="6" r="BP742">
        <v>1</v>
      </c>
      <c s="6" r="BQ742">
        <v>0</v>
      </c>
      <c t="str" s="6" r="BR742">
        <f>HYPERLINK("http://www.d20pfsrd.com/magic/all-spells/d/discordant-blast","Discordant Blast")</f>
        <v>Discordant Blast</v>
      </c>
      <c s="6" r="BS742">
        <v>752</v>
      </c>
      <c t="s" s="6" r="BT742">
        <v>92</v>
      </c>
      <c t="s" s="6" r="BW742">
        <v>5699</v>
      </c>
      <c s="6" r="BY742">
        <v>1</v>
      </c>
    </row>
    <row customHeight="1" r="743" ht="14.25">
      <c t="s" s="6" r="A743">
        <v>5700</v>
      </c>
      <c t="s" s="6" r="B743">
        <v>227</v>
      </c>
      <c t="s" s="6" r="E743">
        <v>2248</v>
      </c>
      <c t="s" s="6" r="F743">
        <v>81</v>
      </c>
      <c t="s" s="6" r="G743">
        <v>106</v>
      </c>
      <c s="6" r="H743">
        <v>0</v>
      </c>
      <c t="s" s="6" r="I743">
        <v>120</v>
      </c>
      <c t="s" s="6" r="L743">
        <v>121</v>
      </c>
      <c t="s" s="6" r="M743">
        <v>99</v>
      </c>
      <c s="6" r="N743">
        <v>0</v>
      </c>
      <c s="6" r="O743">
        <v>0</v>
      </c>
      <c t="s" s="6" r="P743">
        <v>1227</v>
      </c>
      <c t="s" s="6" r="Q743">
        <v>123</v>
      </c>
      <c t="s" s="6" r="R743">
        <v>5701</v>
      </c>
      <c t="s" s="6" r="S743">
        <v>5702</v>
      </c>
      <c t="s" s="6" r="T743">
        <v>5200</v>
      </c>
      <c t="s" s="6" r="U743">
        <v>5703</v>
      </c>
      <c s="6" r="V743">
        <v>1</v>
      </c>
      <c s="6" r="W743">
        <v>1</v>
      </c>
      <c s="6" r="X743">
        <v>0</v>
      </c>
      <c s="6" r="Y743">
        <v>0</v>
      </c>
      <c s="6" r="Z743">
        <v>0</v>
      </c>
      <c t="s" s="6" r="AA743">
        <v>92</v>
      </c>
      <c t="s" s="6" r="AB743">
        <v>92</v>
      </c>
      <c t="s" s="6" r="AC743">
        <v>92</v>
      </c>
      <c t="s" s="6" r="AD743">
        <v>92</v>
      </c>
      <c t="s" s="6" r="AE743">
        <v>92</v>
      </c>
      <c t="s" s="6" r="AF743">
        <v>92</v>
      </c>
      <c s="6" r="AG743">
        <v>3</v>
      </c>
      <c t="s" s="6" r="AH743">
        <v>92</v>
      </c>
      <c t="s" s="6" r="AI743">
        <v>92</v>
      </c>
      <c t="s" s="6" r="AJ743">
        <v>92</v>
      </c>
      <c t="s" s="6" r="AK743">
        <v>92</v>
      </c>
      <c t="s" s="6" r="AL743">
        <v>92</v>
      </c>
      <c t="s" s="6" r="AM743">
        <v>92</v>
      </c>
      <c t="s" s="6" r="AN743">
        <v>92</v>
      </c>
      <c s="6" r="AP743">
        <v>3</v>
      </c>
      <c t="s" s="6" r="AR743">
        <v>5704</v>
      </c>
      <c s="6" r="AS743">
        <v>0</v>
      </c>
      <c s="6" r="AT743">
        <v>0</v>
      </c>
      <c s="6" r="AU743">
        <v>0</v>
      </c>
      <c s="6" r="AV743">
        <v>0</v>
      </c>
      <c s="6" r="AW743">
        <v>0</v>
      </c>
      <c s="6" r="AX743">
        <v>0</v>
      </c>
      <c s="6" r="AY743">
        <v>0</v>
      </c>
      <c s="6" r="AZ743">
        <v>0</v>
      </c>
      <c s="6" r="BA743">
        <v>0</v>
      </c>
      <c s="6" r="BB743">
        <v>0</v>
      </c>
      <c s="6" r="BC743">
        <v>0</v>
      </c>
      <c s="6" r="BD743">
        <v>0</v>
      </c>
      <c s="6" r="BE743">
        <v>0</v>
      </c>
      <c s="6" r="BF743">
        <v>0</v>
      </c>
      <c s="6" r="BG743">
        <v>0</v>
      </c>
      <c s="6" r="BH743">
        <v>0</v>
      </c>
      <c s="6" r="BI743">
        <v>0</v>
      </c>
      <c s="6" r="BJ743">
        <v>0</v>
      </c>
      <c s="6" r="BK743">
        <v>0</v>
      </c>
      <c s="6" r="BL743">
        <v>0</v>
      </c>
      <c s="6" r="BM743">
        <v>0</v>
      </c>
      <c s="6" r="BN743">
        <v>0</v>
      </c>
      <c s="6" r="BO743">
        <v>0</v>
      </c>
      <c s="6" r="BP743">
        <v>0</v>
      </c>
      <c s="6" r="BQ743">
        <v>0</v>
      </c>
      <c t="str" s="6" r="BR743">
        <f>HYPERLINK("http://www.d20pfsrd.com/magic/all-spells/d/divine-transfer","Divine Transfer")</f>
        <v>Divine Transfer</v>
      </c>
      <c s="6" r="BS743">
        <v>753</v>
      </c>
      <c t="s" s="6" r="BT743">
        <v>92</v>
      </c>
      <c s="6" r="BY743">
        <v>0</v>
      </c>
    </row>
    <row customHeight="1" r="744" ht="14.25">
      <c t="s" s="6" r="A744">
        <v>5705</v>
      </c>
      <c t="s" s="6" r="B744">
        <v>131</v>
      </c>
      <c t="s" s="6" r="D744">
        <v>5573</v>
      </c>
      <c t="s" s="6" r="E744">
        <v>5706</v>
      </c>
      <c t="s" s="6" r="F744">
        <v>81</v>
      </c>
      <c t="s" s="6" r="G744">
        <v>106</v>
      </c>
      <c s="6" r="H744">
        <v>0</v>
      </c>
      <c t="s" s="6" r="I744">
        <v>155</v>
      </c>
      <c t="s" s="6" r="L744">
        <v>156</v>
      </c>
      <c t="s" s="6" r="M744">
        <v>483</v>
      </c>
      <c s="6" r="N744">
        <v>1</v>
      </c>
      <c s="6" r="O744">
        <v>0</v>
      </c>
      <c t="s" s="6" r="R744">
        <v>5707</v>
      </c>
      <c t="s" s="6" r="S744">
        <v>5708</v>
      </c>
      <c t="s" s="6" r="T744">
        <v>5200</v>
      </c>
      <c t="s" s="6" r="U744">
        <v>5709</v>
      </c>
      <c s="6" r="V744">
        <v>1</v>
      </c>
      <c s="6" r="W744">
        <v>1</v>
      </c>
      <c s="6" r="X744">
        <v>0</v>
      </c>
      <c s="6" r="Y744">
        <v>0</v>
      </c>
      <c s="6" r="Z744">
        <v>0</v>
      </c>
      <c t="s" s="6" r="AA744">
        <v>92</v>
      </c>
      <c t="s" s="6" r="AB744">
        <v>92</v>
      </c>
      <c t="s" s="6" r="AC744">
        <v>92</v>
      </c>
      <c t="s" s="6" r="AD744">
        <v>92</v>
      </c>
      <c t="s" s="6" r="AE744">
        <v>92</v>
      </c>
      <c t="s" s="6" r="AF744">
        <v>92</v>
      </c>
      <c t="s" s="6" r="AG744">
        <v>92</v>
      </c>
      <c t="s" s="6" r="AH744">
        <v>92</v>
      </c>
      <c t="s" s="6" r="AI744">
        <v>92</v>
      </c>
      <c t="s" s="6" r="AJ744">
        <v>92</v>
      </c>
      <c t="s" s="6" r="AK744">
        <v>92</v>
      </c>
      <c s="6" r="AL744">
        <v>8</v>
      </c>
      <c t="s" s="6" r="AM744">
        <v>92</v>
      </c>
      <c t="s" s="6" r="AN744">
        <v>92</v>
      </c>
      <c s="6" r="AP744">
        <v>8</v>
      </c>
      <c t="s" s="6" r="AR744">
        <v>5710</v>
      </c>
      <c s="6" r="AS744">
        <v>0</v>
      </c>
      <c s="6" r="AT744">
        <v>0</v>
      </c>
      <c s="6" r="AU744">
        <v>1</v>
      </c>
      <c s="6" r="AV744">
        <v>0</v>
      </c>
      <c s="6" r="AW744">
        <v>0</v>
      </c>
      <c s="6" r="AX744">
        <v>0</v>
      </c>
      <c s="6" r="AY744">
        <v>0</v>
      </c>
      <c s="6" r="AZ744">
        <v>0</v>
      </c>
      <c s="6" r="BA744">
        <v>0</v>
      </c>
      <c s="6" r="BB744">
        <v>0</v>
      </c>
      <c s="6" r="BC744">
        <v>0</v>
      </c>
      <c s="6" r="BD744">
        <v>1</v>
      </c>
      <c s="6" r="BE744">
        <v>0</v>
      </c>
      <c s="6" r="BF744">
        <v>0</v>
      </c>
      <c s="6" r="BG744">
        <v>0</v>
      </c>
      <c s="6" r="BH744">
        <v>1</v>
      </c>
      <c s="6" r="BI744">
        <v>0</v>
      </c>
      <c s="6" r="BJ744">
        <v>1</v>
      </c>
      <c s="6" r="BK744">
        <v>0</v>
      </c>
      <c s="6" r="BL744">
        <v>0</v>
      </c>
      <c s="6" r="BM744">
        <v>0</v>
      </c>
      <c s="6" r="BN744">
        <v>0</v>
      </c>
      <c s="6" r="BO744">
        <v>0</v>
      </c>
      <c s="6" r="BP744">
        <v>0</v>
      </c>
      <c s="6" r="BQ744">
        <v>0</v>
      </c>
      <c t="s" s="6" r="BR744">
        <v>92</v>
      </c>
      <c s="6" r="BS744">
        <v>754</v>
      </c>
      <c t="s" s="6" r="BT744">
        <v>92</v>
      </c>
      <c s="6" r="BY744">
        <v>0</v>
      </c>
    </row>
    <row customHeight="1" r="745" ht="14.25">
      <c t="s" s="6" r="A745">
        <v>5711</v>
      </c>
      <c t="s" s="6" r="B745">
        <v>493</v>
      </c>
      <c t="s" s="6" r="D745">
        <v>5675</v>
      </c>
      <c t="s" s="6" r="E745">
        <v>5712</v>
      </c>
      <c t="s" s="6" r="F745">
        <v>81</v>
      </c>
      <c t="s" s="6" r="G745">
        <v>5713</v>
      </c>
      <c s="6" r="H745">
        <v>0</v>
      </c>
      <c t="s" s="6" r="I745">
        <v>120</v>
      </c>
      <c t="s" s="6" r="L745">
        <v>420</v>
      </c>
      <c t="s" s="6" r="M745">
        <v>5714</v>
      </c>
      <c s="6" r="N745">
        <v>0</v>
      </c>
      <c s="6" r="O745">
        <v>0</v>
      </c>
      <c t="s" s="6" r="P745">
        <v>1227</v>
      </c>
      <c t="s" s="6" r="Q745">
        <v>123</v>
      </c>
      <c t="s" s="6" r="R745">
        <v>5715</v>
      </c>
      <c t="s" s="6" r="S745">
        <v>5716</v>
      </c>
      <c t="s" s="6" r="T745">
        <v>5200</v>
      </c>
      <c t="s" s="6" r="U745">
        <v>5717</v>
      </c>
      <c s="6" r="V745">
        <v>1</v>
      </c>
      <c s="6" r="W745">
        <v>1</v>
      </c>
      <c s="6" r="X745">
        <v>1</v>
      </c>
      <c s="6" r="Y745">
        <v>0</v>
      </c>
      <c s="6" r="Z745">
        <v>0</v>
      </c>
      <c s="6" r="AA745">
        <v>3</v>
      </c>
      <c s="6" r="AB745">
        <v>3</v>
      </c>
      <c t="s" s="6" r="AC745">
        <v>92</v>
      </c>
      <c t="s" s="6" r="AD745">
        <v>92</v>
      </c>
      <c t="s" s="6" r="AE745">
        <v>92</v>
      </c>
      <c t="s" s="6" r="AF745">
        <v>92</v>
      </c>
      <c t="s" s="6" r="AG745">
        <v>92</v>
      </c>
      <c s="6" r="AH745">
        <v>3</v>
      </c>
      <c t="s" s="6" r="AI745">
        <v>92</v>
      </c>
      <c t="s" s="6" r="AJ745">
        <v>92</v>
      </c>
      <c t="s" s="6" r="AK745">
        <v>92</v>
      </c>
      <c t="s" s="6" r="AL745">
        <v>92</v>
      </c>
      <c t="s" s="6" r="AM745">
        <v>92</v>
      </c>
      <c t="s" s="6" r="AN745">
        <v>92</v>
      </c>
      <c s="6" r="AP745">
        <v>3</v>
      </c>
      <c t="s" s="6" r="AQ745">
        <v>1949</v>
      </c>
      <c t="s" s="6" r="AR745">
        <v>5718</v>
      </c>
      <c s="6" r="AS745">
        <v>1</v>
      </c>
      <c s="6" r="AT745">
        <v>0</v>
      </c>
      <c s="6" r="AU745">
        <v>0</v>
      </c>
      <c s="6" r="AV745">
        <v>1</v>
      </c>
      <c s="6" r="AW745">
        <v>0</v>
      </c>
      <c s="6" r="AX745">
        <v>0</v>
      </c>
      <c s="6" r="AY745">
        <v>0</v>
      </c>
      <c s="6" r="AZ745">
        <v>0</v>
      </c>
      <c s="6" r="BA745">
        <v>0</v>
      </c>
      <c s="6" r="BB745">
        <v>1</v>
      </c>
      <c s="6" r="BC745">
        <v>0</v>
      </c>
      <c s="6" r="BD745">
        <v>0</v>
      </c>
      <c s="6" r="BE745">
        <v>0</v>
      </c>
      <c s="6" r="BF745">
        <v>1</v>
      </c>
      <c s="6" r="BG745">
        <v>0</v>
      </c>
      <c s="6" r="BH745">
        <v>0</v>
      </c>
      <c s="6" r="BI745">
        <v>0</v>
      </c>
      <c s="6" r="BJ745">
        <v>0</v>
      </c>
      <c s="6" r="BK745">
        <v>0</v>
      </c>
      <c s="6" r="BL745">
        <v>0</v>
      </c>
      <c s="6" r="BM745">
        <v>0</v>
      </c>
      <c s="6" r="BN745">
        <v>0</v>
      </c>
      <c s="6" r="BO745">
        <v>0</v>
      </c>
      <c s="6" r="BP745">
        <v>0</v>
      </c>
      <c s="6" r="BQ745">
        <v>0</v>
      </c>
      <c t="str" s="6" r="BR745">
        <f>HYPERLINK("http://www.d20pfsrd.com/magic/all-spells/d/draconic-reservoir","Draconic Reservoir")</f>
        <v>Draconic Reservoir</v>
      </c>
      <c s="6" r="BS745">
        <v>755</v>
      </c>
      <c t="s" s="6" r="BT745">
        <v>92</v>
      </c>
      <c t="s" s="6" r="BW745">
        <v>5719</v>
      </c>
      <c t="s" s="6" r="BX745">
        <v>5720</v>
      </c>
      <c s="6" r="BY745">
        <v>1</v>
      </c>
    </row>
    <row customHeight="1" r="746" ht="14.25">
      <c t="s" s="6" r="A746">
        <v>5721</v>
      </c>
      <c t="s" s="6" r="B746">
        <v>493</v>
      </c>
      <c t="s" s="6" r="D746">
        <v>5675</v>
      </c>
      <c t="s" s="6" r="E746">
        <v>5722</v>
      </c>
      <c t="s" s="6" r="F746">
        <v>81</v>
      </c>
      <c t="s" s="6" r="G746">
        <v>5723</v>
      </c>
      <c s="6" r="H746">
        <v>0</v>
      </c>
      <c t="s" s="6" r="I746">
        <v>5724</v>
      </c>
      <c t="s" s="6" r="J746">
        <v>5725</v>
      </c>
      <c t="s" s="6" r="M746">
        <v>109</v>
      </c>
      <c s="6" r="N746">
        <v>0</v>
      </c>
      <c s="6" r="O746">
        <v>0</v>
      </c>
      <c t="s" s="6" r="P746">
        <v>631</v>
      </c>
      <c t="s" s="6" r="Q746">
        <v>188</v>
      </c>
      <c t="s" s="6" r="R746">
        <v>5726</v>
      </c>
      <c t="s" s="6" r="S746">
        <v>5727</v>
      </c>
      <c t="s" s="6" r="T746">
        <v>5200</v>
      </c>
      <c t="s" s="6" r="U746">
        <v>5728</v>
      </c>
      <c s="6" r="V746">
        <v>1</v>
      </c>
      <c s="6" r="W746">
        <v>1</v>
      </c>
      <c s="6" r="X746">
        <v>1</v>
      </c>
      <c s="6" r="Y746">
        <v>0</v>
      </c>
      <c s="6" r="Z746">
        <v>0</v>
      </c>
      <c s="6" r="AA746">
        <v>4</v>
      </c>
      <c s="6" r="AB746">
        <v>4</v>
      </c>
      <c t="s" s="6" r="AC746">
        <v>92</v>
      </c>
      <c t="s" s="6" r="AD746">
        <v>92</v>
      </c>
      <c t="s" s="6" r="AE746">
        <v>92</v>
      </c>
      <c t="s" s="6" r="AF746">
        <v>92</v>
      </c>
      <c t="s" s="6" r="AG746">
        <v>92</v>
      </c>
      <c s="6" r="AH746">
        <v>4</v>
      </c>
      <c t="s" s="6" r="AI746">
        <v>92</v>
      </c>
      <c t="s" s="6" r="AJ746">
        <v>92</v>
      </c>
      <c t="s" s="6" r="AK746">
        <v>92</v>
      </c>
      <c t="s" s="6" r="AL746">
        <v>92</v>
      </c>
      <c t="s" s="6" r="AM746">
        <v>92</v>
      </c>
      <c t="s" s="6" r="AN746">
        <v>92</v>
      </c>
      <c s="6" r="AP746">
        <v>4</v>
      </c>
      <c t="s" s="6" r="AQ746">
        <v>1949</v>
      </c>
      <c t="s" s="6" r="AR746">
        <v>5729</v>
      </c>
      <c s="6" r="AS746">
        <v>1</v>
      </c>
      <c s="6" r="AT746">
        <v>0</v>
      </c>
      <c s="6" r="AU746">
        <v>0</v>
      </c>
      <c s="6" r="AV746">
        <v>1</v>
      </c>
      <c s="6" r="AW746">
        <v>0</v>
      </c>
      <c s="6" r="AX746">
        <v>0</v>
      </c>
      <c s="6" r="AY746">
        <v>0</v>
      </c>
      <c s="6" r="AZ746">
        <v>0</v>
      </c>
      <c s="6" r="BA746">
        <v>0</v>
      </c>
      <c s="6" r="BB746">
        <v>1</v>
      </c>
      <c s="6" r="BC746">
        <v>0</v>
      </c>
      <c s="6" r="BD746">
        <v>0</v>
      </c>
      <c s="6" r="BE746">
        <v>0</v>
      </c>
      <c s="6" r="BF746">
        <v>1</v>
      </c>
      <c s="6" r="BG746">
        <v>0</v>
      </c>
      <c s="6" r="BH746">
        <v>0</v>
      </c>
      <c s="6" r="BI746">
        <v>0</v>
      </c>
      <c s="6" r="BJ746">
        <v>0</v>
      </c>
      <c s="6" r="BK746">
        <v>0</v>
      </c>
      <c s="6" r="BL746">
        <v>0</v>
      </c>
      <c s="6" r="BM746">
        <v>0</v>
      </c>
      <c s="6" r="BN746">
        <v>0</v>
      </c>
      <c s="6" r="BO746">
        <v>0</v>
      </c>
      <c s="6" r="BP746">
        <v>0</v>
      </c>
      <c s="6" r="BQ746">
        <v>0</v>
      </c>
      <c t="str" s="6" r="BR746">
        <f>HYPERLINK("http://www.d20pfsrd.com/magic/all-spells/d/dragon-s-breath","Dragon's Breath")</f>
        <v>Dragon's Breath</v>
      </c>
      <c s="6" r="BS746">
        <v>756</v>
      </c>
      <c t="s" s="6" r="BT746">
        <v>92</v>
      </c>
      <c t="s" s="6" r="BU746">
        <v>1698</v>
      </c>
      <c t="s" s="6" r="BW746">
        <v>5730</v>
      </c>
      <c s="6" r="BY746">
        <v>1</v>
      </c>
    </row>
    <row customHeight="1" r="747" ht="14.25">
      <c t="s" s="6" r="A747">
        <v>5731</v>
      </c>
      <c t="s" s="6" r="B747">
        <v>78</v>
      </c>
      <c t="s" s="6" r="D747">
        <v>49</v>
      </c>
      <c t="s" s="6" r="E747">
        <v>2392</v>
      </c>
      <c t="s" s="6" r="F747">
        <v>81</v>
      </c>
      <c t="s" s="6" r="G747">
        <v>5732</v>
      </c>
      <c s="6" r="H747">
        <v>0</v>
      </c>
      <c t="s" s="6" r="I747">
        <v>97</v>
      </c>
      <c t="s" s="6" r="L747">
        <v>5733</v>
      </c>
      <c t="s" s="6" r="M747">
        <v>109</v>
      </c>
      <c s="6" r="N747">
        <v>0</v>
      </c>
      <c s="6" r="O747">
        <v>0</v>
      </c>
      <c t="s" s="6" r="P747">
        <v>5734</v>
      </c>
      <c t="s" s="6" r="Q747">
        <v>87</v>
      </c>
      <c t="s" s="6" r="R747">
        <v>5735</v>
      </c>
      <c t="s" s="6" r="S747">
        <v>5736</v>
      </c>
      <c t="s" s="6" r="T747">
        <v>5200</v>
      </c>
      <c t="s" s="6" r="U747">
        <v>5737</v>
      </c>
      <c s="6" r="V747">
        <v>1</v>
      </c>
      <c s="6" r="W747">
        <v>1</v>
      </c>
      <c s="6" r="X747">
        <v>1</v>
      </c>
      <c s="6" r="Y747">
        <v>0</v>
      </c>
      <c s="6" r="Z747">
        <v>0</v>
      </c>
      <c s="6" r="AA747">
        <v>2</v>
      </c>
      <c s="6" r="AB747">
        <v>2</v>
      </c>
      <c t="s" s="6" r="AC747">
        <v>92</v>
      </c>
      <c t="s" s="6" r="AD747">
        <v>92</v>
      </c>
      <c t="s" s="6" r="AE747">
        <v>92</v>
      </c>
      <c s="6" r="AF747">
        <v>2</v>
      </c>
      <c t="s" s="6" r="AG747">
        <v>92</v>
      </c>
      <c t="s" s="6" r="AH747">
        <v>92</v>
      </c>
      <c t="s" s="6" r="AI747">
        <v>92</v>
      </c>
      <c t="s" s="6" r="AJ747">
        <v>92</v>
      </c>
      <c t="s" s="6" r="AK747">
        <v>92</v>
      </c>
      <c t="s" s="6" r="AL747">
        <v>92</v>
      </c>
      <c t="s" s="6" r="AM747">
        <v>92</v>
      </c>
      <c t="s" s="6" r="AN747">
        <v>92</v>
      </c>
      <c s="6" r="AP747">
        <v>2</v>
      </c>
      <c t="s" s="6" r="AR747">
        <v>5738</v>
      </c>
      <c s="6" r="AS747">
        <v>0</v>
      </c>
      <c s="6" r="AT747">
        <v>0</v>
      </c>
      <c s="6" r="AU747">
        <v>0</v>
      </c>
      <c s="6" r="AV747">
        <v>0</v>
      </c>
      <c s="6" r="AW747">
        <v>0</v>
      </c>
      <c s="6" r="AX747">
        <v>1</v>
      </c>
      <c s="6" r="AY747">
        <v>0</v>
      </c>
      <c s="6" r="AZ747">
        <v>0</v>
      </c>
      <c s="6" r="BA747">
        <v>0</v>
      </c>
      <c s="6" r="BB747">
        <v>0</v>
      </c>
      <c s="6" r="BC747">
        <v>0</v>
      </c>
      <c s="6" r="BD747">
        <v>0</v>
      </c>
      <c s="6" r="BE747">
        <v>0</v>
      </c>
      <c s="6" r="BF747">
        <v>0</v>
      </c>
      <c s="6" r="BG747">
        <v>0</v>
      </c>
      <c s="6" r="BH747">
        <v>0</v>
      </c>
      <c s="6" r="BI747">
        <v>0</v>
      </c>
      <c s="6" r="BJ747">
        <v>0</v>
      </c>
      <c s="6" r="BK747">
        <v>0</v>
      </c>
      <c s="6" r="BL747">
        <v>0</v>
      </c>
      <c s="6" r="BM747">
        <v>0</v>
      </c>
      <c s="6" r="BN747">
        <v>0</v>
      </c>
      <c s="6" r="BO747">
        <v>0</v>
      </c>
      <c s="6" r="BP747">
        <v>0</v>
      </c>
      <c s="6" r="BQ747">
        <v>0</v>
      </c>
      <c t="str" s="6" r="BR747">
        <f>HYPERLINK("http://www.d20pfsrd.com/magic/all-spells/d/dust-of-twilight","Dust of Twilight")</f>
        <v>Dust of Twilight</v>
      </c>
      <c s="6" r="BS747">
        <v>757</v>
      </c>
      <c t="s" s="6" r="BT747">
        <v>92</v>
      </c>
      <c t="s" s="6" r="BV747">
        <v>360</v>
      </c>
      <c t="s" s="6" r="BW747">
        <v>5739</v>
      </c>
      <c t="s" s="6" r="BX747">
        <v>5740</v>
      </c>
      <c s="6" r="BY747">
        <v>1</v>
      </c>
    </row>
    <row customHeight="1" r="748" ht="14.25">
      <c t="s" s="6" r="A748">
        <v>5741</v>
      </c>
      <c t="s" s="6" r="B748">
        <v>174</v>
      </c>
      <c t="s" s="6" r="E748">
        <v>4295</v>
      </c>
      <c t="s" s="6" r="F748">
        <v>197</v>
      </c>
      <c t="s" s="6" r="G748">
        <v>119</v>
      </c>
      <c s="6" r="H748">
        <v>0</v>
      </c>
      <c t="s" s="6" r="I748">
        <v>83</v>
      </c>
      <c t="s" s="6" r="K748">
        <v>314</v>
      </c>
      <c t="s" s="6" r="M748">
        <v>5513</v>
      </c>
      <c s="6" r="N748">
        <v>1</v>
      </c>
      <c s="6" r="O748">
        <v>0</v>
      </c>
      <c t="s" s="6" r="P748">
        <v>86</v>
      </c>
      <c t="s" s="6" r="Q748">
        <v>87</v>
      </c>
      <c t="s" s="6" r="R748">
        <v>5742</v>
      </c>
      <c t="s" s="6" r="S748">
        <v>5743</v>
      </c>
      <c t="s" s="6" r="T748">
        <v>5200</v>
      </c>
      <c t="s" s="6" r="U748">
        <v>5744</v>
      </c>
      <c s="6" r="V748">
        <v>1</v>
      </c>
      <c s="6" r="W748">
        <v>1</v>
      </c>
      <c s="6" r="X748">
        <v>0</v>
      </c>
      <c s="6" r="Y748">
        <v>0</v>
      </c>
      <c s="6" r="Z748">
        <v>1</v>
      </c>
      <c t="s" s="6" r="AA748">
        <v>92</v>
      </c>
      <c t="s" s="6" r="AB748">
        <v>92</v>
      </c>
      <c t="s" s="6" r="AC748">
        <v>92</v>
      </c>
      <c s="6" r="AD748">
        <v>2</v>
      </c>
      <c s="6" r="AE748">
        <v>2</v>
      </c>
      <c t="s" s="6" r="AF748">
        <v>92</v>
      </c>
      <c t="s" s="6" r="AG748">
        <v>92</v>
      </c>
      <c t="s" s="6" r="AH748">
        <v>92</v>
      </c>
      <c t="s" s="6" r="AI748">
        <v>92</v>
      </c>
      <c t="s" s="6" r="AJ748">
        <v>92</v>
      </c>
      <c t="s" s="6" r="AK748">
        <v>92</v>
      </c>
      <c t="s" s="6" r="AL748">
        <v>92</v>
      </c>
      <c t="s" s="6" r="AM748">
        <v>92</v>
      </c>
      <c t="s" s="6" r="AN748">
        <v>92</v>
      </c>
      <c s="6" r="AP748">
        <v>2</v>
      </c>
      <c t="s" s="6" r="AR748">
        <v>5745</v>
      </c>
      <c s="6" r="AS748">
        <v>0</v>
      </c>
      <c s="6" r="AT748">
        <v>0</v>
      </c>
      <c s="6" r="AU748">
        <v>0</v>
      </c>
      <c s="6" r="AV748">
        <v>0</v>
      </c>
      <c s="6" r="AW748">
        <v>0</v>
      </c>
      <c s="6" r="AX748">
        <v>0</v>
      </c>
      <c s="6" r="AY748">
        <v>0</v>
      </c>
      <c s="6" r="AZ748">
        <v>0</v>
      </c>
      <c s="6" r="BA748">
        <v>0</v>
      </c>
      <c s="6" r="BB748">
        <v>0</v>
      </c>
      <c s="6" r="BC748">
        <v>0</v>
      </c>
      <c s="6" r="BD748">
        <v>0</v>
      </c>
      <c s="6" r="BE748">
        <v>0</v>
      </c>
      <c s="6" r="BF748">
        <v>0</v>
      </c>
      <c s="6" r="BG748">
        <v>0</v>
      </c>
      <c s="6" r="BH748">
        <v>0</v>
      </c>
      <c s="6" r="BI748">
        <v>0</v>
      </c>
      <c s="6" r="BJ748">
        <v>0</v>
      </c>
      <c s="6" r="BK748">
        <v>0</v>
      </c>
      <c s="6" r="BL748">
        <v>0</v>
      </c>
      <c s="6" r="BM748">
        <v>0</v>
      </c>
      <c s="6" r="BN748">
        <v>0</v>
      </c>
      <c s="6" r="BO748">
        <v>0</v>
      </c>
      <c s="6" r="BP748">
        <v>0</v>
      </c>
      <c s="6" r="BQ748">
        <v>0</v>
      </c>
      <c t="str" s="6" r="BR748">
        <f>HYPERLINK("http://www.d20pfsrd.com/magic/all-spells/e/eagle-eye","Eagle Eye")</f>
        <v>Eagle Eye</v>
      </c>
      <c s="6" r="BS748">
        <v>758</v>
      </c>
      <c t="s" s="6" r="BT748">
        <v>92</v>
      </c>
      <c s="6" r="BY748">
        <v>0</v>
      </c>
    </row>
    <row customHeight="1" r="749" ht="14.25">
      <c t="s" s="6" r="A749">
        <v>5746</v>
      </c>
      <c t="s" s="6" r="B749">
        <v>493</v>
      </c>
      <c t="s" s="6" r="D749">
        <v>5675</v>
      </c>
      <c t="s" s="6" r="E749">
        <v>5747</v>
      </c>
      <c t="s" s="6" r="F749">
        <v>81</v>
      </c>
      <c t="s" s="6" r="G749">
        <v>106</v>
      </c>
      <c s="6" r="H749">
        <v>0</v>
      </c>
      <c t="s" s="6" r="I749">
        <v>155</v>
      </c>
      <c t="s" s="6" r="L749">
        <v>156</v>
      </c>
      <c t="s" s="6" r="M749">
        <v>483</v>
      </c>
      <c s="6" r="N749">
        <v>1</v>
      </c>
      <c s="6" r="O749">
        <v>0</v>
      </c>
      <c t="s" s="6" r="P749">
        <v>1822</v>
      </c>
      <c t="s" s="6" r="Q749">
        <v>188</v>
      </c>
      <c t="s" s="6" r="R749">
        <v>5748</v>
      </c>
      <c t="s" s="6" r="S749">
        <v>5749</v>
      </c>
      <c t="s" s="6" r="T749">
        <v>5200</v>
      </c>
      <c t="s" s="6" r="U749">
        <v>5750</v>
      </c>
      <c s="6" r="V749">
        <v>1</v>
      </c>
      <c s="6" r="W749">
        <v>1</v>
      </c>
      <c s="6" r="X749">
        <v>0</v>
      </c>
      <c s="6" r="Y749">
        <v>0</v>
      </c>
      <c s="6" r="Z749">
        <v>0</v>
      </c>
      <c s="6" r="AA749">
        <v>3</v>
      </c>
      <c s="6" r="AB749">
        <v>3</v>
      </c>
      <c t="s" s="6" r="AC749">
        <v>92</v>
      </c>
      <c t="s" s="6" r="AD749">
        <v>92</v>
      </c>
      <c t="s" s="6" r="AE749">
        <v>92</v>
      </c>
      <c t="s" s="6" r="AF749">
        <v>92</v>
      </c>
      <c t="s" s="6" r="AG749">
        <v>92</v>
      </c>
      <c s="6" r="AH749">
        <v>3</v>
      </c>
      <c t="s" s="6" r="AI749">
        <v>92</v>
      </c>
      <c t="s" s="6" r="AJ749">
        <v>92</v>
      </c>
      <c t="s" s="6" r="AK749">
        <v>92</v>
      </c>
      <c t="s" s="6" r="AL749">
        <v>92</v>
      </c>
      <c t="s" s="6" r="AM749">
        <v>92</v>
      </c>
      <c s="6" r="AN749">
        <v>3</v>
      </c>
      <c s="6" r="AP749">
        <v>3</v>
      </c>
      <c t="s" s="6" r="AR749">
        <v>5751</v>
      </c>
      <c s="6" r="AS749">
        <v>1</v>
      </c>
      <c s="6" r="AT749">
        <v>0</v>
      </c>
      <c s="6" r="AU749">
        <v>0</v>
      </c>
      <c s="6" r="AV749">
        <v>1</v>
      </c>
      <c s="6" r="AW749">
        <v>0</v>
      </c>
      <c s="6" r="AX749">
        <v>0</v>
      </c>
      <c s="6" r="AY749">
        <v>0</v>
      </c>
      <c s="6" r="AZ749">
        <v>0</v>
      </c>
      <c s="6" r="BA749">
        <v>0</v>
      </c>
      <c s="6" r="BB749">
        <v>1</v>
      </c>
      <c s="6" r="BC749">
        <v>0</v>
      </c>
      <c s="6" r="BD749">
        <v>0</v>
      </c>
      <c s="6" r="BE749">
        <v>0</v>
      </c>
      <c s="6" r="BF749">
        <v>1</v>
      </c>
      <c s="6" r="BG749">
        <v>0</v>
      </c>
      <c s="6" r="BH749">
        <v>0</v>
      </c>
      <c s="6" r="BI749">
        <v>0</v>
      </c>
      <c s="6" r="BJ749">
        <v>0</v>
      </c>
      <c s="6" r="BK749">
        <v>0</v>
      </c>
      <c s="6" r="BL749">
        <v>0</v>
      </c>
      <c s="6" r="BM749">
        <v>0</v>
      </c>
      <c s="6" r="BN749">
        <v>0</v>
      </c>
      <c s="6" r="BO749">
        <v>0</v>
      </c>
      <c s="6" r="BP749">
        <v>0</v>
      </c>
      <c s="6" r="BQ749">
        <v>0</v>
      </c>
      <c t="str" s="6" r="BR749">
        <f>HYPERLINK("http://www.d20pfsrd.com/magic/all-spells/e/elemental-aura","Elemental Aura")</f>
        <v>Elemental Aura</v>
      </c>
      <c s="6" r="BS749">
        <v>759</v>
      </c>
      <c t="s" s="6" r="BT749">
        <v>92</v>
      </c>
      <c t="s" s="6" r="BU749">
        <v>2070</v>
      </c>
      <c s="6" r="BY749">
        <v>0</v>
      </c>
    </row>
    <row customHeight="1" r="750" ht="14.25">
      <c t="s" s="6" r="A750">
        <v>5752</v>
      </c>
      <c t="s" s="6" r="B750">
        <v>174</v>
      </c>
      <c t="s" s="6" r="D750">
        <v>5753</v>
      </c>
      <c t="s" s="6" r="E750">
        <v>5754</v>
      </c>
      <c t="s" s="6" r="F750">
        <v>81</v>
      </c>
      <c t="s" s="6" r="G750">
        <v>5020</v>
      </c>
      <c s="6" r="H750">
        <v>0</v>
      </c>
      <c t="s" s="6" r="I750">
        <v>155</v>
      </c>
      <c t="s" s="6" r="L750">
        <v>156</v>
      </c>
      <c t="s" s="6" r="M750">
        <v>2718</v>
      </c>
      <c s="6" r="N750">
        <v>0</v>
      </c>
      <c s="6" r="O750">
        <v>0</v>
      </c>
      <c t="s" s="6" r="R750">
        <v>5755</v>
      </c>
      <c t="s" s="6" r="S750">
        <v>5756</v>
      </c>
      <c t="s" s="6" r="T750">
        <v>5200</v>
      </c>
      <c t="s" s="6" r="U750">
        <v>5757</v>
      </c>
      <c s="6" r="V750">
        <v>1</v>
      </c>
      <c s="6" r="W750">
        <v>1</v>
      </c>
      <c s="6" r="X750">
        <v>1</v>
      </c>
      <c s="6" r="Y750">
        <v>0</v>
      </c>
      <c s="6" r="Z750">
        <v>0</v>
      </c>
      <c s="6" r="AA750">
        <v>2</v>
      </c>
      <c s="6" r="AB750">
        <v>2</v>
      </c>
      <c s="6" r="AC750">
        <v>3</v>
      </c>
      <c s="6" r="AD750">
        <v>2</v>
      </c>
      <c t="s" s="6" r="AE750">
        <v>92</v>
      </c>
      <c s="6" r="AF750">
        <v>3</v>
      </c>
      <c t="s" s="6" r="AG750">
        <v>92</v>
      </c>
      <c t="s" s="6" r="AH750">
        <v>92</v>
      </c>
      <c t="s" s="6" r="AI750">
        <v>92</v>
      </c>
      <c t="s" s="6" r="AJ750">
        <v>92</v>
      </c>
      <c t="s" s="6" r="AK750">
        <v>92</v>
      </c>
      <c s="6" r="AL750">
        <v>3</v>
      </c>
      <c t="s" s="6" r="AM750">
        <v>92</v>
      </c>
      <c t="s" s="6" r="AN750">
        <v>92</v>
      </c>
      <c s="6" r="AP750">
        <v>2</v>
      </c>
      <c t="s" s="6" r="AR750">
        <v>5758</v>
      </c>
      <c s="6" r="AS750">
        <v>0</v>
      </c>
      <c s="6" r="AT750">
        <v>1</v>
      </c>
      <c s="6" r="AU750">
        <v>0</v>
      </c>
      <c s="6" r="AV750">
        <v>0</v>
      </c>
      <c s="6" r="AW750">
        <v>0</v>
      </c>
      <c s="6" r="AX750">
        <v>0</v>
      </c>
      <c s="6" r="AY750">
        <v>0</v>
      </c>
      <c s="6" r="AZ750">
        <v>0</v>
      </c>
      <c s="6" r="BA750">
        <v>1</v>
      </c>
      <c s="6" r="BB750">
        <v>0</v>
      </c>
      <c s="6" r="BC750">
        <v>0</v>
      </c>
      <c s="6" r="BD750">
        <v>0</v>
      </c>
      <c s="6" r="BE750">
        <v>0</v>
      </c>
      <c s="6" r="BF750">
        <v>1</v>
      </c>
      <c s="6" r="BG750">
        <v>0</v>
      </c>
      <c s="6" r="BH750">
        <v>0</v>
      </c>
      <c s="6" r="BI750">
        <v>0</v>
      </c>
      <c s="6" r="BJ750">
        <v>0</v>
      </c>
      <c s="6" r="BK750">
        <v>0</v>
      </c>
      <c s="6" r="BL750">
        <v>0</v>
      </c>
      <c s="6" r="BM750">
        <v>0</v>
      </c>
      <c s="6" r="BN750">
        <v>0</v>
      </c>
      <c s="6" r="BO750">
        <v>0</v>
      </c>
      <c s="6" r="BP750">
        <v>0</v>
      </c>
      <c s="6" r="BQ750">
        <v>1</v>
      </c>
      <c t="str" s="6" r="BR750">
        <f>HYPERLINK("http://www.d20pfsrd.com/magic/all-spells/e/elemental-speech","Elemental Speech")</f>
        <v>Elemental Speech</v>
      </c>
      <c s="6" r="BS750">
        <v>760</v>
      </c>
      <c t="s" s="6" r="BT750">
        <v>92</v>
      </c>
      <c s="6" r="BY750">
        <v>0</v>
      </c>
    </row>
    <row customHeight="1" r="751" ht="14.25">
      <c t="s" s="6" r="A751">
        <v>5759</v>
      </c>
      <c t="s" s="6" r="B751">
        <v>493</v>
      </c>
      <c t="s" s="6" r="D751">
        <v>5675</v>
      </c>
      <c t="s" s="6" r="E751">
        <v>5760</v>
      </c>
      <c t="s" s="6" r="F751">
        <v>81</v>
      </c>
      <c t="s" s="6" r="G751">
        <v>5761</v>
      </c>
      <c s="6" r="H751">
        <v>0</v>
      </c>
      <c t="s" s="6" r="I751">
        <v>155</v>
      </c>
      <c t="s" s="6" r="L751">
        <v>156</v>
      </c>
      <c t="s" s="6" r="M751">
        <v>483</v>
      </c>
      <c s="6" r="N751">
        <v>1</v>
      </c>
      <c s="6" r="O751">
        <v>0</v>
      </c>
      <c t="s" s="6" r="P751">
        <v>141</v>
      </c>
      <c t="s" s="6" r="Q751">
        <v>87</v>
      </c>
      <c t="s" s="6" r="R751">
        <v>5762</v>
      </c>
      <c t="s" s="6" r="S751">
        <v>5763</v>
      </c>
      <c t="s" s="6" r="T751">
        <v>5200</v>
      </c>
      <c t="s" s="6" r="U751">
        <v>5764</v>
      </c>
      <c s="6" r="V751">
        <v>1</v>
      </c>
      <c s="6" r="W751">
        <v>1</v>
      </c>
      <c s="6" r="X751">
        <v>1</v>
      </c>
      <c s="6" r="Y751">
        <v>0</v>
      </c>
      <c s="6" r="Z751">
        <v>0</v>
      </c>
      <c s="6" r="AA751">
        <v>2</v>
      </c>
      <c s="6" r="AB751">
        <v>2</v>
      </c>
      <c t="s" s="6" r="AC751">
        <v>92</v>
      </c>
      <c t="s" s="6" r="AD751">
        <v>92</v>
      </c>
      <c t="s" s="6" r="AE751">
        <v>92</v>
      </c>
      <c t="s" s="6" r="AF751">
        <v>92</v>
      </c>
      <c t="s" s="6" r="AG751">
        <v>92</v>
      </c>
      <c s="6" r="AH751">
        <v>2</v>
      </c>
      <c t="s" s="6" r="AI751">
        <v>92</v>
      </c>
      <c t="s" s="6" r="AJ751">
        <v>92</v>
      </c>
      <c t="s" s="6" r="AK751">
        <v>92</v>
      </c>
      <c t="s" s="6" r="AL751">
        <v>92</v>
      </c>
      <c t="s" s="6" r="AM751">
        <v>92</v>
      </c>
      <c s="6" r="AN751">
        <v>2</v>
      </c>
      <c s="6" r="AP751">
        <v>2</v>
      </c>
      <c t="s" s="6" r="AR751">
        <v>5765</v>
      </c>
      <c s="6" r="AS751">
        <v>1</v>
      </c>
      <c s="6" r="AT751">
        <v>0</v>
      </c>
      <c s="6" r="AU751">
        <v>0</v>
      </c>
      <c s="6" r="AV751">
        <v>1</v>
      </c>
      <c s="6" r="AW751">
        <v>0</v>
      </c>
      <c s="6" r="AX751">
        <v>0</v>
      </c>
      <c s="6" r="AY751">
        <v>0</v>
      </c>
      <c s="6" r="AZ751">
        <v>0</v>
      </c>
      <c s="6" r="BA751">
        <v>0</v>
      </c>
      <c s="6" r="BB751">
        <v>1</v>
      </c>
      <c s="6" r="BC751">
        <v>0</v>
      </c>
      <c s="6" r="BD751">
        <v>0</v>
      </c>
      <c s="6" r="BE751">
        <v>0</v>
      </c>
      <c s="6" r="BF751">
        <v>1</v>
      </c>
      <c s="6" r="BG751">
        <v>0</v>
      </c>
      <c s="6" r="BH751">
        <v>0</v>
      </c>
      <c s="6" r="BI751">
        <v>0</v>
      </c>
      <c s="6" r="BJ751">
        <v>0</v>
      </c>
      <c s="6" r="BK751">
        <v>0</v>
      </c>
      <c s="6" r="BL751">
        <v>0</v>
      </c>
      <c s="6" r="BM751">
        <v>0</v>
      </c>
      <c s="6" r="BN751">
        <v>0</v>
      </c>
      <c s="6" r="BO751">
        <v>0</v>
      </c>
      <c s="6" r="BP751">
        <v>0</v>
      </c>
      <c s="6" r="BQ751">
        <v>0</v>
      </c>
      <c t="str" s="6" r="BR751">
        <f>HYPERLINK("http://www.d20pfsrd.com/magic/all-spells/e/elemental-touch","Elemental Touch")</f>
        <v>Elemental Touch</v>
      </c>
      <c s="6" r="BS751">
        <v>761</v>
      </c>
      <c t="s" s="6" r="BT751">
        <v>92</v>
      </c>
      <c s="6" r="BY751">
        <v>0</v>
      </c>
    </row>
    <row customHeight="1" r="752" ht="14.25">
      <c t="s" s="6" r="A752">
        <v>5766</v>
      </c>
      <c t="s" s="6" r="B752">
        <v>131</v>
      </c>
      <c t="s" s="6" r="E752">
        <v>5657</v>
      </c>
      <c t="s" s="6" r="F752">
        <v>81</v>
      </c>
      <c t="s" s="6" r="G752">
        <v>5767</v>
      </c>
      <c s="6" r="H752">
        <v>1</v>
      </c>
      <c t="s" s="6" r="I752">
        <v>155</v>
      </c>
      <c t="s" s="6" r="L752">
        <v>156</v>
      </c>
      <c t="s" s="6" r="M752">
        <v>5768</v>
      </c>
      <c s="6" r="N752">
        <v>0</v>
      </c>
      <c s="6" r="O752">
        <v>0</v>
      </c>
      <c t="s" s="6" r="R752">
        <v>5769</v>
      </c>
      <c t="s" s="6" r="S752">
        <v>5770</v>
      </c>
      <c t="s" s="6" r="T752">
        <v>5200</v>
      </c>
      <c t="s" s="6" r="U752">
        <v>5771</v>
      </c>
      <c s="6" r="V752">
        <v>1</v>
      </c>
      <c s="6" r="W752">
        <v>1</v>
      </c>
      <c s="6" r="X752">
        <v>1</v>
      </c>
      <c s="6" r="Y752">
        <v>0</v>
      </c>
      <c s="6" r="Z752">
        <v>0</v>
      </c>
      <c t="s" s="6" r="AA752">
        <v>92</v>
      </c>
      <c t="s" s="6" r="AB752">
        <v>92</v>
      </c>
      <c t="s" s="6" r="AC752">
        <v>92</v>
      </c>
      <c t="s" s="6" r="AD752">
        <v>92</v>
      </c>
      <c t="s" s="6" r="AE752">
        <v>92</v>
      </c>
      <c t="s" s="6" r="AF752">
        <v>92</v>
      </c>
      <c t="s" s="6" r="AG752">
        <v>92</v>
      </c>
      <c s="6" r="AH752">
        <v>5</v>
      </c>
      <c t="s" s="6" r="AI752">
        <v>92</v>
      </c>
      <c t="s" s="6" r="AJ752">
        <v>92</v>
      </c>
      <c t="s" s="6" r="AK752">
        <v>92</v>
      </c>
      <c t="s" s="6" r="AL752">
        <v>92</v>
      </c>
      <c t="s" s="6" r="AM752">
        <v>92</v>
      </c>
      <c t="s" s="6" r="AN752">
        <v>92</v>
      </c>
      <c s="6" r="AP752">
        <v>5</v>
      </c>
      <c t="s" s="6" r="AR752">
        <v>5772</v>
      </c>
      <c s="6" r="AS752">
        <v>0</v>
      </c>
      <c s="6" r="AT752">
        <v>0</v>
      </c>
      <c s="6" r="AU752">
        <v>0</v>
      </c>
      <c s="6" r="AV752">
        <v>0</v>
      </c>
      <c s="6" r="AW752">
        <v>0</v>
      </c>
      <c s="6" r="AX752">
        <v>0</v>
      </c>
      <c s="6" r="AY752">
        <v>0</v>
      </c>
      <c s="6" r="AZ752">
        <v>0</v>
      </c>
      <c s="6" r="BA752">
        <v>0</v>
      </c>
      <c s="6" r="BB752">
        <v>0</v>
      </c>
      <c s="6" r="BC752">
        <v>0</v>
      </c>
      <c s="6" r="BD752">
        <v>0</v>
      </c>
      <c s="6" r="BE752">
        <v>0</v>
      </c>
      <c s="6" r="BF752">
        <v>0</v>
      </c>
      <c s="6" r="BG752">
        <v>0</v>
      </c>
      <c s="6" r="BH752">
        <v>0</v>
      </c>
      <c s="6" r="BI752">
        <v>0</v>
      </c>
      <c s="6" r="BJ752">
        <v>0</v>
      </c>
      <c s="6" r="BK752">
        <v>0</v>
      </c>
      <c s="6" r="BL752">
        <v>0</v>
      </c>
      <c s="6" r="BM752">
        <v>0</v>
      </c>
      <c s="6" r="BN752">
        <v>0</v>
      </c>
      <c s="6" r="BO752">
        <v>0</v>
      </c>
      <c s="6" r="BP752">
        <v>0</v>
      </c>
      <c s="6" r="BQ752">
        <v>0</v>
      </c>
      <c t="str" s="6" r="BR752">
        <f>HYPERLINK("http://www.d20pfsrd.com/magic/all-spells/e/elude-time","Elude Time")</f>
        <v>Elude Time</v>
      </c>
      <c s="6" r="BS752">
        <v>762</v>
      </c>
      <c s="6" r="BT752">
        <v>500</v>
      </c>
      <c s="6" r="BY752">
        <v>0</v>
      </c>
    </row>
    <row customHeight="1" r="753" ht="14.25">
      <c t="s" s="6" r="A753">
        <v>5773</v>
      </c>
      <c t="s" s="6" r="B753">
        <v>131</v>
      </c>
      <c t="s" s="6" r="E753">
        <v>947</v>
      </c>
      <c t="s" s="6" r="F753">
        <v>81</v>
      </c>
      <c t="s" s="6" r="G753">
        <v>5774</v>
      </c>
      <c s="6" r="H753">
        <v>0</v>
      </c>
      <c t="s" s="6" r="I753">
        <v>83</v>
      </c>
      <c t="s" s="6" r="L753">
        <v>1235</v>
      </c>
      <c t="s" s="6" r="M753">
        <v>483</v>
      </c>
      <c s="6" r="N753">
        <v>1</v>
      </c>
      <c s="6" r="O753">
        <v>0</v>
      </c>
      <c t="s" s="6" r="P753">
        <v>1254</v>
      </c>
      <c t="s" s="6" r="Q753">
        <v>188</v>
      </c>
      <c t="s" s="6" r="R753">
        <v>5775</v>
      </c>
      <c t="s" s="6" r="S753">
        <v>5776</v>
      </c>
      <c t="s" s="6" r="T753">
        <v>5200</v>
      </c>
      <c t="s" s="6" r="U753">
        <v>5777</v>
      </c>
      <c s="6" r="V753">
        <v>1</v>
      </c>
      <c s="6" r="W753">
        <v>1</v>
      </c>
      <c s="6" r="X753">
        <v>1</v>
      </c>
      <c s="6" r="Y753">
        <v>0</v>
      </c>
      <c s="6" r="Z753">
        <v>0</v>
      </c>
      <c s="6" r="AA753">
        <v>6</v>
      </c>
      <c s="6" r="AB753">
        <v>6</v>
      </c>
      <c t="s" s="6" r="AC753">
        <v>92</v>
      </c>
      <c t="s" s="6" r="AD753">
        <v>92</v>
      </c>
      <c t="s" s="6" r="AE753">
        <v>92</v>
      </c>
      <c t="s" s="6" r="AF753">
        <v>92</v>
      </c>
      <c t="s" s="6" r="AG753">
        <v>92</v>
      </c>
      <c t="s" s="6" r="AH753">
        <v>92</v>
      </c>
      <c t="s" s="6" r="AI753">
        <v>92</v>
      </c>
      <c t="s" s="6" r="AJ753">
        <v>92</v>
      </c>
      <c t="s" s="6" r="AK753">
        <v>92</v>
      </c>
      <c t="s" s="6" r="AL753">
        <v>92</v>
      </c>
      <c t="s" s="6" r="AM753">
        <v>92</v>
      </c>
      <c t="s" s="6" r="AN753">
        <v>92</v>
      </c>
      <c s="6" r="AP753">
        <v>6</v>
      </c>
      <c t="s" s="6" r="AR753">
        <v>5778</v>
      </c>
      <c s="6" r="AS753">
        <v>0</v>
      </c>
      <c s="6" r="AT753">
        <v>0</v>
      </c>
      <c s="6" r="AU753">
        <v>0</v>
      </c>
      <c s="6" r="AV753">
        <v>0</v>
      </c>
      <c s="6" r="AW753">
        <v>0</v>
      </c>
      <c s="6" r="AX753">
        <v>0</v>
      </c>
      <c s="6" r="AY753">
        <v>0</v>
      </c>
      <c s="6" r="AZ753">
        <v>0</v>
      </c>
      <c s="6" r="BA753">
        <v>0</v>
      </c>
      <c s="6" r="BB753">
        <v>0</v>
      </c>
      <c s="6" r="BC753">
        <v>0</v>
      </c>
      <c s="6" r="BD753">
        <v>0</v>
      </c>
      <c s="6" r="BE753">
        <v>0</v>
      </c>
      <c s="6" r="BF753">
        <v>0</v>
      </c>
      <c s="6" r="BG753">
        <v>0</v>
      </c>
      <c s="6" r="BH753">
        <v>0</v>
      </c>
      <c s="6" r="BI753">
        <v>0</v>
      </c>
      <c s="6" r="BJ753">
        <v>0</v>
      </c>
      <c s="6" r="BK753">
        <v>0</v>
      </c>
      <c s="6" r="BL753">
        <v>0</v>
      </c>
      <c s="6" r="BM753">
        <v>0</v>
      </c>
      <c s="6" r="BN753">
        <v>0</v>
      </c>
      <c s="6" r="BO753">
        <v>0</v>
      </c>
      <c s="6" r="BP753">
        <v>0</v>
      </c>
      <c s="6" r="BQ753">
        <v>0</v>
      </c>
      <c t="str" s="6" r="BR753">
        <f>HYPERLINK("http://www.d20pfsrd.com/magic/all-spells/e/enemy-hammer","Enemy Hammer")</f>
        <v>Enemy Hammer</v>
      </c>
      <c s="6" r="BS753">
        <v>763</v>
      </c>
      <c t="s" s="6" r="BT753">
        <v>92</v>
      </c>
      <c t="s" s="6" r="BW753">
        <v>5779</v>
      </c>
      <c t="s" s="6" r="BX753">
        <v>5780</v>
      </c>
      <c s="6" r="BY753">
        <v>1</v>
      </c>
    </row>
    <row customHeight="1" r="754" ht="14.25">
      <c t="s" s="6" r="A754">
        <v>5781</v>
      </c>
      <c t="s" s="6" r="B754">
        <v>131</v>
      </c>
      <c t="s" s="6" r="E754">
        <v>5782</v>
      </c>
      <c t="s" s="6" r="F754">
        <v>81</v>
      </c>
      <c t="s" s="6" r="G754">
        <v>5783</v>
      </c>
      <c s="6" r="H754">
        <v>0</v>
      </c>
      <c t="s" s="6" r="I754">
        <v>5784</v>
      </c>
      <c t="s" s="6" r="K754">
        <v>5785</v>
      </c>
      <c t="s" s="6" r="M754">
        <v>220</v>
      </c>
      <c s="6" r="N754">
        <v>0</v>
      </c>
      <c s="6" r="O754">
        <v>0</v>
      </c>
      <c t="s" s="6" r="P754">
        <v>86</v>
      </c>
      <c t="s" s="6" r="Q754">
        <v>87</v>
      </c>
      <c t="s" s="6" r="R754">
        <v>5786</v>
      </c>
      <c t="s" s="6" r="S754">
        <v>5787</v>
      </c>
      <c t="s" s="6" r="T754">
        <v>5200</v>
      </c>
      <c t="s" s="6" r="U754">
        <v>5788</v>
      </c>
      <c s="6" r="V754">
        <v>1</v>
      </c>
      <c s="6" r="W754">
        <v>1</v>
      </c>
      <c s="6" r="X754">
        <v>1</v>
      </c>
      <c s="6" r="Y754">
        <v>0</v>
      </c>
      <c s="6" r="Z754">
        <v>1</v>
      </c>
      <c s="6" r="AA754">
        <v>3</v>
      </c>
      <c s="6" r="AB754">
        <v>3</v>
      </c>
      <c s="6" r="AC754">
        <v>3</v>
      </c>
      <c t="s" s="6" r="AD754">
        <v>92</v>
      </c>
      <c t="s" s="6" r="AE754">
        <v>92</v>
      </c>
      <c s="6" r="AF754">
        <v>2</v>
      </c>
      <c t="s" s="6" r="AG754">
        <v>92</v>
      </c>
      <c t="s" s="6" r="AH754">
        <v>92</v>
      </c>
      <c t="s" s="6" r="AI754">
        <v>92</v>
      </c>
      <c t="s" s="6" r="AJ754">
        <v>92</v>
      </c>
      <c t="s" s="6" r="AK754">
        <v>92</v>
      </c>
      <c s="6" r="AL754">
        <v>3</v>
      </c>
      <c t="s" s="6" r="AM754">
        <v>92</v>
      </c>
      <c t="s" s="6" r="AN754">
        <v>92</v>
      </c>
      <c s="6" r="AP754">
        <v>3</v>
      </c>
      <c t="s" s="6" r="AR754">
        <v>5789</v>
      </c>
      <c s="6" r="AS754">
        <v>0</v>
      </c>
      <c s="6" r="AT754">
        <v>0</v>
      </c>
      <c s="6" r="AU754">
        <v>0</v>
      </c>
      <c s="6" r="AV754">
        <v>0</v>
      </c>
      <c s="6" r="AW754">
        <v>0</v>
      </c>
      <c s="6" r="AX754">
        <v>0</v>
      </c>
      <c s="6" r="AY754">
        <v>0</v>
      </c>
      <c s="6" r="AZ754">
        <v>0</v>
      </c>
      <c s="6" r="BA754">
        <v>0</v>
      </c>
      <c s="6" r="BB754">
        <v>0</v>
      </c>
      <c s="6" r="BC754">
        <v>0</v>
      </c>
      <c s="6" r="BD754">
        <v>0</v>
      </c>
      <c s="6" r="BE754">
        <v>0</v>
      </c>
      <c s="6" r="BF754">
        <v>0</v>
      </c>
      <c s="6" r="BG754">
        <v>0</v>
      </c>
      <c s="6" r="BH754">
        <v>0</v>
      </c>
      <c s="6" r="BI754">
        <v>0</v>
      </c>
      <c s="6" r="BJ754">
        <v>0</v>
      </c>
      <c s="6" r="BK754">
        <v>0</v>
      </c>
      <c s="6" r="BL754">
        <v>0</v>
      </c>
      <c s="6" r="BM754">
        <v>0</v>
      </c>
      <c s="6" r="BN754">
        <v>0</v>
      </c>
      <c s="6" r="BO754">
        <v>0</v>
      </c>
      <c s="6" r="BP754">
        <v>0</v>
      </c>
      <c s="6" r="BQ754">
        <v>0</v>
      </c>
      <c t="str" s="6" r="BR754">
        <f>HYPERLINK("http://www.d20pfsrd.com/magic/all-spells/e/enter-image","Enter Image")</f>
        <v>Enter Image</v>
      </c>
      <c s="6" r="BS754">
        <v>764</v>
      </c>
      <c t="s" s="6" r="BT754">
        <v>92</v>
      </c>
      <c s="6" r="BY754">
        <v>0</v>
      </c>
    </row>
    <row customHeight="1" r="755" ht="14.25">
      <c t="s" s="6" r="A755">
        <v>5790</v>
      </c>
      <c t="s" s="6" r="B755">
        <v>115</v>
      </c>
      <c t="s" s="6" r="C755">
        <v>116</v>
      </c>
      <c t="s" s="6" r="D755">
        <v>291</v>
      </c>
      <c t="s" s="6" r="E755">
        <v>5791</v>
      </c>
      <c t="s" s="6" r="F755">
        <v>81</v>
      </c>
      <c t="s" s="6" r="G755">
        <v>5792</v>
      </c>
      <c s="6" r="H755">
        <v>0</v>
      </c>
      <c t="s" s="6" r="I755">
        <v>120</v>
      </c>
      <c t="s" s="6" r="L755">
        <v>420</v>
      </c>
      <c t="s" s="6" r="M755">
        <v>99</v>
      </c>
      <c s="6" r="N755">
        <v>0</v>
      </c>
      <c s="6" r="O755">
        <v>0</v>
      </c>
      <c t="s" s="6" r="P755">
        <v>5793</v>
      </c>
      <c t="s" s="6" r="Q755">
        <v>188</v>
      </c>
      <c t="s" s="6" r="R755">
        <v>5794</v>
      </c>
      <c t="s" s="6" r="S755">
        <v>5795</v>
      </c>
      <c t="s" s="6" r="T755">
        <v>5200</v>
      </c>
      <c t="s" s="6" r="U755">
        <v>5796</v>
      </c>
      <c s="6" r="V755">
        <v>1</v>
      </c>
      <c s="6" r="W755">
        <v>1</v>
      </c>
      <c s="6" r="X755">
        <v>1</v>
      </c>
      <c s="6" r="Y755">
        <v>0</v>
      </c>
      <c s="6" r="Z755">
        <v>1</v>
      </c>
      <c s="6" r="AA755">
        <v>8</v>
      </c>
      <c s="6" r="AB755">
        <v>8</v>
      </c>
      <c s="6" r="AC755">
        <v>8</v>
      </c>
      <c s="6" r="AD755">
        <v>8</v>
      </c>
      <c t="s" s="6" r="AE755">
        <v>92</v>
      </c>
      <c s="6" r="AF755">
        <v>6</v>
      </c>
      <c t="s" s="6" r="AG755">
        <v>92</v>
      </c>
      <c t="s" s="6" r="AH755">
        <v>92</v>
      </c>
      <c t="s" s="6" r="AI755">
        <v>92</v>
      </c>
      <c t="s" s="6" r="AJ755">
        <v>92</v>
      </c>
      <c t="s" s="6" r="AK755">
        <v>92</v>
      </c>
      <c s="6" r="AL755">
        <v>8</v>
      </c>
      <c t="s" s="6" r="AM755">
        <v>92</v>
      </c>
      <c t="s" s="6" r="AN755">
        <v>92</v>
      </c>
      <c s="6" r="AP755">
        <v>8</v>
      </c>
      <c t="s" s="6" r="AQ755">
        <v>5797</v>
      </c>
      <c t="s" s="6" r="AR755">
        <v>5798</v>
      </c>
      <c s="6" r="AS755">
        <v>0</v>
      </c>
      <c s="6" r="AT755">
        <v>0</v>
      </c>
      <c s="6" r="AU755">
        <v>0</v>
      </c>
      <c s="6" r="AV755">
        <v>0</v>
      </c>
      <c s="6" r="AW755">
        <v>0</v>
      </c>
      <c s="6" r="AX755">
        <v>0</v>
      </c>
      <c s="6" r="AY755">
        <v>0</v>
      </c>
      <c s="6" r="AZ755">
        <v>0</v>
      </c>
      <c s="6" r="BA755">
        <v>0</v>
      </c>
      <c s="6" r="BB755">
        <v>0</v>
      </c>
      <c s="6" r="BC755">
        <v>1</v>
      </c>
      <c s="6" r="BD755">
        <v>0</v>
      </c>
      <c s="6" r="BE755">
        <v>0</v>
      </c>
      <c s="6" r="BF755">
        <v>0</v>
      </c>
      <c s="6" r="BG755">
        <v>0</v>
      </c>
      <c s="6" r="BH755">
        <v>0</v>
      </c>
      <c s="6" r="BI755">
        <v>0</v>
      </c>
      <c s="6" r="BJ755">
        <v>0</v>
      </c>
      <c s="6" r="BK755">
        <v>0</v>
      </c>
      <c s="6" r="BL755">
        <v>1</v>
      </c>
      <c s="6" r="BM755">
        <v>0</v>
      </c>
      <c s="6" r="BN755">
        <v>0</v>
      </c>
      <c s="6" r="BO755">
        <v>0</v>
      </c>
      <c s="6" r="BP755">
        <v>0</v>
      </c>
      <c s="6" r="BQ755">
        <v>0</v>
      </c>
      <c t="str" s="6" r="BR755">
        <f>HYPERLINK("http://www.d20pfsrd.com/magic/all-spells/e/euphoric-tranquility","Euphoric Tranquility")</f>
        <v>Euphoric Tranquility</v>
      </c>
      <c s="6" r="BS755">
        <v>765</v>
      </c>
      <c t="s" s="6" r="BT755">
        <v>92</v>
      </c>
      <c t="s" s="6" r="BV755">
        <v>5799</v>
      </c>
      <c s="6" r="BY755">
        <v>0</v>
      </c>
    </row>
    <row customHeight="1" r="756" ht="14.25">
      <c t="s" s="6" r="A756">
        <v>5800</v>
      </c>
      <c t="s" s="6" r="B756">
        <v>131</v>
      </c>
      <c t="s" s="6" r="E756">
        <v>5801</v>
      </c>
      <c t="s" s="6" r="F756">
        <v>81</v>
      </c>
      <c t="s" s="6" r="G756">
        <v>5686</v>
      </c>
      <c s="6" r="H756">
        <v>0</v>
      </c>
      <c t="s" s="6" r="I756">
        <v>120</v>
      </c>
      <c t="s" s="6" r="L756">
        <v>5802</v>
      </c>
      <c t="s" s="6" r="M756">
        <v>2718</v>
      </c>
      <c s="6" r="N756">
        <v>0</v>
      </c>
      <c s="6" r="O756">
        <v>0</v>
      </c>
      <c t="s" s="6" r="P756">
        <v>421</v>
      </c>
      <c t="s" s="6" r="Q756">
        <v>87</v>
      </c>
      <c t="s" s="6" r="R756">
        <v>5803</v>
      </c>
      <c t="s" s="6" r="S756">
        <v>5804</v>
      </c>
      <c t="s" s="6" r="T756">
        <v>5200</v>
      </c>
      <c t="s" s="6" r="U756">
        <v>5805</v>
      </c>
      <c s="6" r="V756">
        <v>1</v>
      </c>
      <c s="6" r="W756">
        <v>1</v>
      </c>
      <c s="6" r="X756">
        <v>1</v>
      </c>
      <c s="6" r="Y756">
        <v>0</v>
      </c>
      <c s="6" r="Z756">
        <v>0</v>
      </c>
      <c t="s" s="6" r="AA756">
        <v>92</v>
      </c>
      <c t="s" s="6" r="AB756">
        <v>92</v>
      </c>
      <c t="s" s="6" r="AC756">
        <v>92</v>
      </c>
      <c t="s" s="6" r="AD756">
        <v>92</v>
      </c>
      <c t="s" s="6" r="AE756">
        <v>92</v>
      </c>
      <c t="s" s="6" r="AF756">
        <v>92</v>
      </c>
      <c t="s" s="6" r="AG756">
        <v>92</v>
      </c>
      <c t="s" s="6" r="AH756">
        <v>92</v>
      </c>
      <c s="6" r="AI756">
        <v>2</v>
      </c>
      <c t="s" s="6" r="AJ756">
        <v>92</v>
      </c>
      <c t="s" s="6" r="AK756">
        <v>92</v>
      </c>
      <c t="s" s="6" r="AL756">
        <v>92</v>
      </c>
      <c t="s" s="6" r="AM756">
        <v>92</v>
      </c>
      <c t="s" s="6" r="AN756">
        <v>92</v>
      </c>
      <c s="6" r="AP756">
        <v>2</v>
      </c>
      <c t="s" s="6" r="AR756">
        <v>5806</v>
      </c>
      <c s="6" r="AS756">
        <v>0</v>
      </c>
      <c s="6" r="AT756">
        <v>0</v>
      </c>
      <c s="6" r="AU756">
        <v>0</v>
      </c>
      <c s="6" r="AV756">
        <v>0</v>
      </c>
      <c s="6" r="AW756">
        <v>0</v>
      </c>
      <c s="6" r="AX756">
        <v>0</v>
      </c>
      <c s="6" r="AY756">
        <v>0</v>
      </c>
      <c s="6" r="AZ756">
        <v>0</v>
      </c>
      <c s="6" r="BA756">
        <v>0</v>
      </c>
      <c s="6" r="BB756">
        <v>0</v>
      </c>
      <c s="6" r="BC756">
        <v>0</v>
      </c>
      <c s="6" r="BD756">
        <v>0</v>
      </c>
      <c s="6" r="BE756">
        <v>0</v>
      </c>
      <c s="6" r="BF756">
        <v>0</v>
      </c>
      <c s="6" r="BG756">
        <v>0</v>
      </c>
      <c s="6" r="BH756">
        <v>0</v>
      </c>
      <c s="6" r="BI756">
        <v>0</v>
      </c>
      <c s="6" r="BJ756">
        <v>0</v>
      </c>
      <c s="6" r="BK756">
        <v>0</v>
      </c>
      <c s="6" r="BL756">
        <v>0</v>
      </c>
      <c s="6" r="BM756">
        <v>0</v>
      </c>
      <c s="6" r="BN756">
        <v>0</v>
      </c>
      <c s="6" r="BO756">
        <v>0</v>
      </c>
      <c s="6" r="BP756">
        <v>0</v>
      </c>
      <c s="6" r="BQ756">
        <v>0</v>
      </c>
      <c t="str" s="6" r="BR756">
        <f>HYPERLINK("http://www.d20pfsrd.com/magic/all-spells/e/evolution-surge,-leser","Evolution Surge, Leser")</f>
        <v>Evolution Surge, Leser</v>
      </c>
      <c s="6" r="BS756">
        <v>766</v>
      </c>
      <c t="s" s="6" r="BT756">
        <v>92</v>
      </c>
      <c s="6" r="BY756">
        <v>0</v>
      </c>
    </row>
    <row customHeight="1" r="757" ht="14.25">
      <c t="s" s="6" r="A757">
        <v>5807</v>
      </c>
      <c t="s" s="6" r="B757">
        <v>131</v>
      </c>
      <c t="s" s="6" r="E757">
        <v>5808</v>
      </c>
      <c t="s" s="6" r="F757">
        <v>81</v>
      </c>
      <c t="s" s="6" r="G757">
        <v>5686</v>
      </c>
      <c s="6" r="H757">
        <v>0</v>
      </c>
      <c t="s" s="6" r="I757">
        <v>120</v>
      </c>
      <c t="s" s="6" r="L757">
        <v>5802</v>
      </c>
      <c t="s" s="6" r="M757">
        <v>2718</v>
      </c>
      <c s="6" r="N757">
        <v>0</v>
      </c>
      <c s="6" r="O757">
        <v>0</v>
      </c>
      <c t="s" s="6" r="P757">
        <v>421</v>
      </c>
      <c t="s" s="6" r="Q757">
        <v>87</v>
      </c>
      <c t="s" s="6" r="R757">
        <v>5809</v>
      </c>
      <c t="s" s="6" r="S757">
        <v>5810</v>
      </c>
      <c t="s" s="6" r="T757">
        <v>5200</v>
      </c>
      <c t="s" s="6" r="U757">
        <v>5811</v>
      </c>
      <c s="6" r="V757">
        <v>1</v>
      </c>
      <c s="6" r="W757">
        <v>1</v>
      </c>
      <c s="6" r="X757">
        <v>1</v>
      </c>
      <c s="6" r="Y757">
        <v>0</v>
      </c>
      <c s="6" r="Z757">
        <v>0</v>
      </c>
      <c t="s" s="6" r="AA757">
        <v>92</v>
      </c>
      <c t="s" s="6" r="AB757">
        <v>92</v>
      </c>
      <c t="s" s="6" r="AC757">
        <v>92</v>
      </c>
      <c t="s" s="6" r="AD757">
        <v>92</v>
      </c>
      <c t="s" s="6" r="AE757">
        <v>92</v>
      </c>
      <c t="s" s="6" r="AF757">
        <v>92</v>
      </c>
      <c t="s" s="6" r="AG757">
        <v>92</v>
      </c>
      <c t="s" s="6" r="AH757">
        <v>92</v>
      </c>
      <c s="6" r="AI757">
        <v>3</v>
      </c>
      <c t="s" s="6" r="AJ757">
        <v>92</v>
      </c>
      <c t="s" s="6" r="AK757">
        <v>92</v>
      </c>
      <c t="s" s="6" r="AL757">
        <v>92</v>
      </c>
      <c t="s" s="6" r="AM757">
        <v>92</v>
      </c>
      <c t="s" s="6" r="AN757">
        <v>92</v>
      </c>
      <c s="6" r="AP757">
        <v>3</v>
      </c>
      <c t="s" s="6" r="AR757">
        <v>5812</v>
      </c>
      <c s="6" r="AS757">
        <v>0</v>
      </c>
      <c s="6" r="AT757">
        <v>0</v>
      </c>
      <c s="6" r="AU757">
        <v>0</v>
      </c>
      <c s="6" r="AV757">
        <v>0</v>
      </c>
      <c s="6" r="AW757">
        <v>0</v>
      </c>
      <c s="6" r="AX757">
        <v>0</v>
      </c>
      <c s="6" r="AY757">
        <v>0</v>
      </c>
      <c s="6" r="AZ757">
        <v>0</v>
      </c>
      <c s="6" r="BA757">
        <v>0</v>
      </c>
      <c s="6" r="BB757">
        <v>0</v>
      </c>
      <c s="6" r="BC757">
        <v>0</v>
      </c>
      <c s="6" r="BD757">
        <v>0</v>
      </c>
      <c s="6" r="BE757">
        <v>0</v>
      </c>
      <c s="6" r="BF757">
        <v>0</v>
      </c>
      <c s="6" r="BG757">
        <v>0</v>
      </c>
      <c s="6" r="BH757">
        <v>0</v>
      </c>
      <c s="6" r="BI757">
        <v>0</v>
      </c>
      <c s="6" r="BJ757">
        <v>0</v>
      </c>
      <c s="6" r="BK757">
        <v>0</v>
      </c>
      <c s="6" r="BL757">
        <v>0</v>
      </c>
      <c s="6" r="BM757">
        <v>0</v>
      </c>
      <c s="6" r="BN757">
        <v>0</v>
      </c>
      <c s="6" r="BO757">
        <v>0</v>
      </c>
      <c s="6" r="BP757">
        <v>0</v>
      </c>
      <c s="6" r="BQ757">
        <v>0</v>
      </c>
      <c t="str" s="6" r="BR757">
        <f>HYPERLINK("http://www.d20pfsrd.com/magic/all-spells/e/evolution-surge","Evolution Surge")</f>
        <v>Evolution Surge</v>
      </c>
      <c s="6" r="BS757">
        <v>767</v>
      </c>
      <c t="s" s="6" r="BT757">
        <v>92</v>
      </c>
      <c s="6" r="BY757">
        <v>0</v>
      </c>
    </row>
    <row customHeight="1" r="758" ht="14.25">
      <c t="s" s="6" r="A758">
        <v>5813</v>
      </c>
      <c t="s" s="6" r="B758">
        <v>131</v>
      </c>
      <c t="s" s="6" r="E758">
        <v>5814</v>
      </c>
      <c t="s" s="6" r="F758">
        <v>81</v>
      </c>
      <c t="s" s="6" r="G758">
        <v>5686</v>
      </c>
      <c s="6" r="H758">
        <v>0</v>
      </c>
      <c t="s" s="6" r="I758">
        <v>120</v>
      </c>
      <c t="s" s="6" r="L758">
        <v>5802</v>
      </c>
      <c t="s" s="6" r="M758">
        <v>2718</v>
      </c>
      <c s="6" r="N758">
        <v>0</v>
      </c>
      <c s="6" r="O758">
        <v>0</v>
      </c>
      <c t="s" s="6" r="P758">
        <v>421</v>
      </c>
      <c t="s" s="6" r="Q758">
        <v>87</v>
      </c>
      <c t="s" s="6" r="R758">
        <v>5815</v>
      </c>
      <c t="s" s="6" r="S758">
        <v>5816</v>
      </c>
      <c t="s" s="6" r="T758">
        <v>5200</v>
      </c>
      <c t="s" s="6" r="U758">
        <v>5817</v>
      </c>
      <c s="6" r="V758">
        <v>1</v>
      </c>
      <c s="6" r="W758">
        <v>1</v>
      </c>
      <c s="6" r="X758">
        <v>1</v>
      </c>
      <c s="6" r="Y758">
        <v>0</v>
      </c>
      <c s="6" r="Z758">
        <v>0</v>
      </c>
      <c t="s" s="6" r="AA758">
        <v>92</v>
      </c>
      <c t="s" s="6" r="AB758">
        <v>92</v>
      </c>
      <c t="s" s="6" r="AC758">
        <v>92</v>
      </c>
      <c t="s" s="6" r="AD758">
        <v>92</v>
      </c>
      <c t="s" s="6" r="AE758">
        <v>92</v>
      </c>
      <c t="s" s="6" r="AF758">
        <v>92</v>
      </c>
      <c t="s" s="6" r="AG758">
        <v>92</v>
      </c>
      <c t="s" s="6" r="AH758">
        <v>92</v>
      </c>
      <c s="6" r="AI758">
        <v>4</v>
      </c>
      <c t="s" s="6" r="AJ758">
        <v>92</v>
      </c>
      <c t="s" s="6" r="AK758">
        <v>92</v>
      </c>
      <c t="s" s="6" r="AL758">
        <v>92</v>
      </c>
      <c t="s" s="6" r="AM758">
        <v>92</v>
      </c>
      <c t="s" s="6" r="AN758">
        <v>92</v>
      </c>
      <c s="6" r="AP758">
        <v>4</v>
      </c>
      <c t="s" s="6" r="AR758">
        <v>5818</v>
      </c>
      <c s="6" r="AS758">
        <v>0</v>
      </c>
      <c s="6" r="AT758">
        <v>0</v>
      </c>
      <c s="6" r="AU758">
        <v>0</v>
      </c>
      <c s="6" r="AV758">
        <v>0</v>
      </c>
      <c s="6" r="AW758">
        <v>0</v>
      </c>
      <c s="6" r="AX758">
        <v>0</v>
      </c>
      <c s="6" r="AY758">
        <v>0</v>
      </c>
      <c s="6" r="AZ758">
        <v>0</v>
      </c>
      <c s="6" r="BA758">
        <v>0</v>
      </c>
      <c s="6" r="BB758">
        <v>0</v>
      </c>
      <c s="6" r="BC758">
        <v>0</v>
      </c>
      <c s="6" r="BD758">
        <v>0</v>
      </c>
      <c s="6" r="BE758">
        <v>0</v>
      </c>
      <c s="6" r="BF758">
        <v>0</v>
      </c>
      <c s="6" r="BG758">
        <v>0</v>
      </c>
      <c s="6" r="BH758">
        <v>0</v>
      </c>
      <c s="6" r="BI758">
        <v>0</v>
      </c>
      <c s="6" r="BJ758">
        <v>0</v>
      </c>
      <c s="6" r="BK758">
        <v>0</v>
      </c>
      <c s="6" r="BL758">
        <v>0</v>
      </c>
      <c s="6" r="BM758">
        <v>0</v>
      </c>
      <c s="6" r="BN758">
        <v>0</v>
      </c>
      <c s="6" r="BO758">
        <v>0</v>
      </c>
      <c s="6" r="BP758">
        <v>0</v>
      </c>
      <c s="6" r="BQ758">
        <v>0</v>
      </c>
      <c t="str" s="6" r="BR758">
        <f>HYPERLINK("http://www.d20pfsrd.com/magic/all-spells/e/evolution-surge,-greater","Evolution Surge, Greater")</f>
        <v>Evolution Surge, Greater</v>
      </c>
      <c s="6" r="BS758">
        <v>768</v>
      </c>
      <c t="s" s="6" r="BT758">
        <v>92</v>
      </c>
      <c s="6" r="BY758">
        <v>0</v>
      </c>
    </row>
    <row customHeight="1" r="759" ht="14.25">
      <c t="s" s="6" r="A759">
        <v>5819</v>
      </c>
      <c t="s" s="6" r="B759">
        <v>131</v>
      </c>
      <c t="s" s="6" r="D759">
        <v>52</v>
      </c>
      <c t="s" s="6" r="E759">
        <v>5234</v>
      </c>
      <c t="s" s="6" r="F759">
        <v>81</v>
      </c>
      <c t="s" s="6" r="G759">
        <v>5820</v>
      </c>
      <c s="6" r="H759">
        <v>0</v>
      </c>
      <c t="s" s="6" r="I759">
        <v>107</v>
      </c>
      <c t="s" s="6" r="J759">
        <v>5821</v>
      </c>
      <c t="s" s="6" r="M759">
        <v>109</v>
      </c>
      <c s="6" r="N759">
        <v>0</v>
      </c>
      <c s="6" r="O759">
        <v>0</v>
      </c>
      <c t="s" s="6" r="P759">
        <v>141</v>
      </c>
      <c t="s" s="6" r="Q759">
        <v>87</v>
      </c>
      <c t="s" s="6" r="R759">
        <v>5822</v>
      </c>
      <c t="s" s="6" r="S759">
        <v>5823</v>
      </c>
      <c t="s" s="6" r="T759">
        <v>5200</v>
      </c>
      <c t="s" s="6" r="U759">
        <v>5824</v>
      </c>
      <c s="6" r="V759">
        <v>1</v>
      </c>
      <c s="6" r="W759">
        <v>1</v>
      </c>
      <c s="6" r="X759">
        <v>1</v>
      </c>
      <c s="6" r="Y759">
        <v>0</v>
      </c>
      <c s="6" r="Z759">
        <v>0</v>
      </c>
      <c s="6" r="AA759">
        <v>1</v>
      </c>
      <c s="6" r="AB759">
        <v>1</v>
      </c>
      <c t="s" s="6" r="AC759">
        <v>92</v>
      </c>
      <c s="6" r="AD759">
        <v>1</v>
      </c>
      <c t="s" s="6" r="AE759">
        <v>92</v>
      </c>
      <c t="s" s="6" r="AF759">
        <v>92</v>
      </c>
      <c t="s" s="6" r="AG759">
        <v>92</v>
      </c>
      <c t="s" s="6" r="AH759">
        <v>92</v>
      </c>
      <c t="s" s="6" r="AI759">
        <v>92</v>
      </c>
      <c t="s" s="6" r="AJ759">
        <v>92</v>
      </c>
      <c t="s" s="6" r="AK759">
        <v>92</v>
      </c>
      <c t="s" s="6" r="AL759">
        <v>92</v>
      </c>
      <c t="s" s="6" r="AM759">
        <v>92</v>
      </c>
      <c t="s" s="6" r="AN759">
        <v>92</v>
      </c>
      <c s="6" r="AP759">
        <v>1</v>
      </c>
      <c t="s" s="6" r="AR759">
        <v>5825</v>
      </c>
      <c s="6" r="AS759">
        <v>0</v>
      </c>
      <c s="6" r="AT759">
        <v>0</v>
      </c>
      <c s="6" r="AU759">
        <v>0</v>
      </c>
      <c s="6" r="AV759">
        <v>0</v>
      </c>
      <c s="6" r="AW759">
        <v>0</v>
      </c>
      <c s="6" r="AX759">
        <v>0</v>
      </c>
      <c s="6" r="AY759">
        <v>0</v>
      </c>
      <c s="6" r="AZ759">
        <v>0</v>
      </c>
      <c s="6" r="BA759">
        <v>1</v>
      </c>
      <c s="6" r="BB759">
        <v>0</v>
      </c>
      <c s="6" r="BC759">
        <v>0</v>
      </c>
      <c s="6" r="BD759">
        <v>0</v>
      </c>
      <c s="6" r="BE759">
        <v>0</v>
      </c>
      <c s="6" r="BF759">
        <v>0</v>
      </c>
      <c s="6" r="BG759">
        <v>0</v>
      </c>
      <c s="6" r="BH759">
        <v>0</v>
      </c>
      <c s="6" r="BI759">
        <v>0</v>
      </c>
      <c s="6" r="BJ759">
        <v>0</v>
      </c>
      <c s="6" r="BK759">
        <v>0</v>
      </c>
      <c s="6" r="BL759">
        <v>0</v>
      </c>
      <c s="6" r="BM759">
        <v>0</v>
      </c>
      <c s="6" r="BN759">
        <v>0</v>
      </c>
      <c s="6" r="BO759">
        <v>0</v>
      </c>
      <c s="6" r="BP759">
        <v>0</v>
      </c>
      <c s="6" r="BQ759">
        <v>0</v>
      </c>
      <c t="str" s="6" r="BR759">
        <f>HYPERLINK("http://www.d20pfsrd.com/magic/all-spells/e/expeditious-excavation","Expeditious Excavation")</f>
        <v>Expeditious Excavation</v>
      </c>
      <c s="6" r="BS759">
        <v>769</v>
      </c>
      <c t="s" s="6" r="BT759">
        <v>92</v>
      </c>
      <c t="s" s="6" r="BU759">
        <v>1554</v>
      </c>
      <c s="6" r="BY759">
        <v>0</v>
      </c>
    </row>
    <row customHeight="1" r="760" ht="14.25">
      <c t="s" s="6" r="A760">
        <v>5826</v>
      </c>
      <c t="s" s="6" r="B760">
        <v>162</v>
      </c>
      <c t="s" s="6" r="E760">
        <v>973</v>
      </c>
      <c t="s" s="6" r="F760">
        <v>81</v>
      </c>
      <c t="s" s="6" r="G760">
        <v>5827</v>
      </c>
      <c s="6" r="H760">
        <v>0</v>
      </c>
      <c t="s" s="6" r="I760">
        <v>97</v>
      </c>
      <c t="s" s="6" r="J760">
        <v>720</v>
      </c>
      <c t="s" s="6" r="M760">
        <v>109</v>
      </c>
      <c s="6" r="N760">
        <v>0</v>
      </c>
      <c s="6" r="O760">
        <v>0</v>
      </c>
      <c t="s" s="6" r="P760">
        <v>221</v>
      </c>
      <c t="s" s="6" r="Q760">
        <v>188</v>
      </c>
      <c t="s" s="6" r="R760">
        <v>5828</v>
      </c>
      <c t="s" s="6" r="S760">
        <v>5829</v>
      </c>
      <c t="s" s="6" r="T760">
        <v>5200</v>
      </c>
      <c t="s" s="6" r="U760">
        <v>5830</v>
      </c>
      <c s="6" r="V760">
        <v>1</v>
      </c>
      <c s="6" r="W760">
        <v>1</v>
      </c>
      <c s="6" r="X760">
        <v>1</v>
      </c>
      <c s="6" r="Y760">
        <v>0</v>
      </c>
      <c s="6" r="Z760">
        <v>0</v>
      </c>
      <c s="6" r="AA760">
        <v>7</v>
      </c>
      <c s="6" r="AB760">
        <v>7</v>
      </c>
      <c t="s" s="6" r="AC760">
        <v>92</v>
      </c>
      <c t="s" s="6" r="AD760">
        <v>92</v>
      </c>
      <c t="s" s="6" r="AE760">
        <v>92</v>
      </c>
      <c t="s" s="6" r="AF760">
        <v>92</v>
      </c>
      <c t="s" s="6" r="AG760">
        <v>92</v>
      </c>
      <c t="s" s="6" r="AH760">
        <v>92</v>
      </c>
      <c t="s" s="6" r="AI760">
        <v>92</v>
      </c>
      <c t="s" s="6" r="AJ760">
        <v>92</v>
      </c>
      <c t="s" s="6" r="AK760">
        <v>92</v>
      </c>
      <c t="s" s="6" r="AL760">
        <v>92</v>
      </c>
      <c t="s" s="6" r="AM760">
        <v>92</v>
      </c>
      <c t="s" s="6" r="AN760">
        <v>92</v>
      </c>
      <c s="6" r="AP760">
        <v>7</v>
      </c>
      <c t="s" s="6" r="AR760">
        <v>5831</v>
      </c>
      <c s="6" r="AS760">
        <v>0</v>
      </c>
      <c s="6" r="AT760">
        <v>0</v>
      </c>
      <c s="6" r="AU760">
        <v>0</v>
      </c>
      <c s="6" r="AV760">
        <v>0</v>
      </c>
      <c s="6" r="AW760">
        <v>0</v>
      </c>
      <c s="6" r="AX760">
        <v>0</v>
      </c>
      <c s="6" r="AY760">
        <v>0</v>
      </c>
      <c s="6" r="AZ760">
        <v>0</v>
      </c>
      <c s="6" r="BA760">
        <v>0</v>
      </c>
      <c s="6" r="BB760">
        <v>0</v>
      </c>
      <c s="6" r="BC760">
        <v>0</v>
      </c>
      <c s="6" r="BD760">
        <v>0</v>
      </c>
      <c s="6" r="BE760">
        <v>0</v>
      </c>
      <c s="6" r="BF760">
        <v>0</v>
      </c>
      <c s="6" r="BG760">
        <v>0</v>
      </c>
      <c s="6" r="BH760">
        <v>0</v>
      </c>
      <c s="6" r="BI760">
        <v>0</v>
      </c>
      <c s="6" r="BJ760">
        <v>0</v>
      </c>
      <c s="6" r="BK760">
        <v>0</v>
      </c>
      <c s="6" r="BL760">
        <v>0</v>
      </c>
      <c s="6" r="BM760">
        <v>0</v>
      </c>
      <c s="6" r="BN760">
        <v>0</v>
      </c>
      <c s="6" r="BO760">
        <v>0</v>
      </c>
      <c s="6" r="BP760">
        <v>0</v>
      </c>
      <c s="6" r="BQ760">
        <v>0</v>
      </c>
      <c t="str" s="6" r="BR760">
        <f>HYPERLINK("http://www.d20pfsrd.com/magic/all-spells/e/expend","Expend")</f>
        <v>Expend</v>
      </c>
      <c s="6" r="BS760">
        <v>770</v>
      </c>
      <c t="s" s="6" r="BT760">
        <v>92</v>
      </c>
      <c t="s" s="6" r="BV760">
        <v>1399</v>
      </c>
      <c s="6" r="BY760">
        <v>0</v>
      </c>
    </row>
    <row customHeight="1" r="761" ht="14.25">
      <c t="s" s="6" r="A761">
        <v>5832</v>
      </c>
      <c t="s" s="6" r="B761">
        <v>131</v>
      </c>
      <c t="s" s="6" r="E761">
        <v>5833</v>
      </c>
      <c t="s" s="6" r="F761">
        <v>81</v>
      </c>
      <c t="s" s="6" r="G761">
        <v>5834</v>
      </c>
      <c s="6" r="H761">
        <v>0</v>
      </c>
      <c t="s" s="6" r="I761">
        <v>5835</v>
      </c>
      <c t="s" s="6" r="L761">
        <v>1235</v>
      </c>
      <c t="s" s="6" r="M761">
        <v>5836</v>
      </c>
      <c s="6" r="N761">
        <v>1</v>
      </c>
      <c s="6" r="O761">
        <v>0</v>
      </c>
      <c t="s" s="6" r="P761">
        <v>187</v>
      </c>
      <c t="s" s="6" r="Q761">
        <v>188</v>
      </c>
      <c t="s" s="6" r="R761">
        <v>5837</v>
      </c>
      <c t="s" s="6" r="S761">
        <v>5838</v>
      </c>
      <c t="s" s="6" r="T761">
        <v>5200</v>
      </c>
      <c t="s" s="6" r="U761">
        <v>5839</v>
      </c>
      <c s="6" r="V761">
        <v>1</v>
      </c>
      <c s="6" r="W761">
        <v>1</v>
      </c>
      <c s="6" r="X761">
        <v>1</v>
      </c>
      <c s="6" r="Y761">
        <v>0</v>
      </c>
      <c s="6" r="Z761">
        <v>0</v>
      </c>
      <c t="s" s="6" r="AA761">
        <v>92</v>
      </c>
      <c t="s" s="6" r="AB761">
        <v>92</v>
      </c>
      <c t="s" s="6" r="AC761">
        <v>92</v>
      </c>
      <c s="6" r="AD761">
        <v>2</v>
      </c>
      <c t="s" s="6" r="AE761">
        <v>92</v>
      </c>
      <c t="s" s="6" r="AF761">
        <v>92</v>
      </c>
      <c t="s" s="6" r="AG761">
        <v>92</v>
      </c>
      <c t="s" s="6" r="AH761">
        <v>92</v>
      </c>
      <c t="s" s="6" r="AI761">
        <v>92</v>
      </c>
      <c s="6" r="AJ761">
        <v>2</v>
      </c>
      <c t="s" s="6" r="AK761">
        <v>92</v>
      </c>
      <c t="s" s="6" r="AL761">
        <v>92</v>
      </c>
      <c t="s" s="6" r="AM761">
        <v>92</v>
      </c>
      <c t="s" s="6" r="AN761">
        <v>92</v>
      </c>
      <c s="6" r="AP761">
        <v>2</v>
      </c>
      <c t="s" s="6" r="AR761">
        <v>5840</v>
      </c>
      <c s="6" r="AS761">
        <v>0</v>
      </c>
      <c s="6" r="AT761">
        <v>0</v>
      </c>
      <c s="6" r="AU761">
        <v>0</v>
      </c>
      <c s="6" r="AV761">
        <v>0</v>
      </c>
      <c s="6" r="AW761">
        <v>0</v>
      </c>
      <c s="6" r="AX761">
        <v>0</v>
      </c>
      <c s="6" r="AY761">
        <v>0</v>
      </c>
      <c s="6" r="AZ761">
        <v>0</v>
      </c>
      <c s="6" r="BA761">
        <v>0</v>
      </c>
      <c s="6" r="BB761">
        <v>0</v>
      </c>
      <c s="6" r="BC761">
        <v>0</v>
      </c>
      <c s="6" r="BD761">
        <v>0</v>
      </c>
      <c s="6" r="BE761">
        <v>0</v>
      </c>
      <c s="6" r="BF761">
        <v>0</v>
      </c>
      <c s="6" r="BG761">
        <v>0</v>
      </c>
      <c s="6" r="BH761">
        <v>0</v>
      </c>
      <c s="6" r="BI761">
        <v>0</v>
      </c>
      <c s="6" r="BJ761">
        <v>0</v>
      </c>
      <c s="6" r="BK761">
        <v>0</v>
      </c>
      <c s="6" r="BL761">
        <v>0</v>
      </c>
      <c s="6" r="BM761">
        <v>0</v>
      </c>
      <c s="6" r="BN761">
        <v>0</v>
      </c>
      <c s="6" r="BO761">
        <v>0</v>
      </c>
      <c s="6" r="BP761">
        <v>0</v>
      </c>
      <c s="6" r="BQ761">
        <v>0</v>
      </c>
      <c t="str" s="6" r="BR761">
        <f>HYPERLINK("http://www.d20pfsrd.com/magic/all-spells/f/feast-of-ashes","Feast of Ashes")</f>
        <v>Feast of Ashes</v>
      </c>
      <c s="6" r="BS761">
        <v>771</v>
      </c>
      <c t="s" s="6" r="BT761">
        <v>92</v>
      </c>
      <c t="s" s="6" r="BW761">
        <v>5841</v>
      </c>
      <c s="6" r="BY761">
        <v>1</v>
      </c>
    </row>
    <row customHeight="1" r="762" ht="14.25">
      <c t="s" s="6" r="A762">
        <v>5842</v>
      </c>
      <c t="s" s="6" r="B762">
        <v>131</v>
      </c>
      <c t="s" s="6" r="E762">
        <v>5843</v>
      </c>
      <c t="s" s="6" r="F762">
        <v>81</v>
      </c>
      <c t="s" s="6" r="G762">
        <v>106</v>
      </c>
      <c s="6" r="H762">
        <v>0</v>
      </c>
      <c t="s" s="6" r="I762">
        <v>107</v>
      </c>
      <c t="s" s="6" r="L762">
        <v>1235</v>
      </c>
      <c t="s" s="6" r="M762">
        <v>5005</v>
      </c>
      <c s="6" r="N762">
        <v>0</v>
      </c>
      <c s="6" r="O762">
        <v>0</v>
      </c>
      <c t="s" s="6" r="P762">
        <v>1227</v>
      </c>
      <c t="s" s="6" r="Q762">
        <v>188</v>
      </c>
      <c t="s" s="6" r="R762">
        <v>5844</v>
      </c>
      <c t="s" s="6" r="S762">
        <v>5845</v>
      </c>
      <c t="s" s="6" r="T762">
        <v>5200</v>
      </c>
      <c t="s" s="6" r="U762">
        <v>5846</v>
      </c>
      <c s="6" r="V762">
        <v>1</v>
      </c>
      <c s="6" r="W762">
        <v>1</v>
      </c>
      <c s="6" r="X762">
        <v>0</v>
      </c>
      <c s="6" r="Y762">
        <v>0</v>
      </c>
      <c s="6" r="Z762">
        <v>0</v>
      </c>
      <c t="s" s="6" r="AA762">
        <v>92</v>
      </c>
      <c t="s" s="6" r="AB762">
        <v>92</v>
      </c>
      <c t="s" s="6" r="AC762">
        <v>92</v>
      </c>
      <c s="6" r="AD762">
        <v>1</v>
      </c>
      <c s="6" r="AE762">
        <v>1</v>
      </c>
      <c s="6" r="AF762">
        <v>1</v>
      </c>
      <c t="s" s="6" r="AG762">
        <v>92</v>
      </c>
      <c t="s" s="6" r="AH762">
        <v>92</v>
      </c>
      <c t="s" s="6" r="AI762">
        <v>92</v>
      </c>
      <c t="s" s="6" r="AJ762">
        <v>92</v>
      </c>
      <c t="s" s="6" r="AK762">
        <v>92</v>
      </c>
      <c t="s" s="6" r="AL762">
        <v>92</v>
      </c>
      <c t="s" s="6" r="AM762">
        <v>92</v>
      </c>
      <c t="s" s="6" r="AN762">
        <v>92</v>
      </c>
      <c s="6" r="AP762">
        <v>1</v>
      </c>
      <c t="s" s="6" r="AR762">
        <v>5847</v>
      </c>
      <c s="6" r="AS762">
        <v>0</v>
      </c>
      <c s="6" r="AT762">
        <v>0</v>
      </c>
      <c s="6" r="AU762">
        <v>0</v>
      </c>
      <c s="6" r="AV762">
        <v>0</v>
      </c>
      <c s="6" r="AW762">
        <v>0</v>
      </c>
      <c s="6" r="AX762">
        <v>0</v>
      </c>
      <c s="6" r="AY762">
        <v>0</v>
      </c>
      <c s="6" r="AZ762">
        <v>0</v>
      </c>
      <c s="6" r="BA762">
        <v>0</v>
      </c>
      <c s="6" r="BB762">
        <v>0</v>
      </c>
      <c s="6" r="BC762">
        <v>0</v>
      </c>
      <c s="6" r="BD762">
        <v>0</v>
      </c>
      <c s="6" r="BE762">
        <v>0</v>
      </c>
      <c s="6" r="BF762">
        <v>0</v>
      </c>
      <c s="6" r="BG762">
        <v>0</v>
      </c>
      <c s="6" r="BH762">
        <v>0</v>
      </c>
      <c s="6" r="BI762">
        <v>0</v>
      </c>
      <c s="6" r="BJ762">
        <v>0</v>
      </c>
      <c s="6" r="BK762">
        <v>0</v>
      </c>
      <c s="6" r="BL762">
        <v>0</v>
      </c>
      <c s="6" r="BM762">
        <v>0</v>
      </c>
      <c s="6" r="BN762">
        <v>0</v>
      </c>
      <c s="6" r="BO762">
        <v>0</v>
      </c>
      <c s="6" r="BP762">
        <v>0</v>
      </c>
      <c s="6" r="BQ762">
        <v>0</v>
      </c>
      <c t="str" s="6" r="BR762">
        <f>HYPERLINK("http://www.d20pfsrd.com/magic/all-spells/f/feather-step","Feather Step")</f>
        <v>Feather Step</v>
      </c>
      <c s="6" r="BS762">
        <v>772</v>
      </c>
      <c t="s" s="6" r="BT762">
        <v>92</v>
      </c>
      <c s="6" r="BY762">
        <v>0</v>
      </c>
    </row>
    <row customHeight="1" r="763" ht="14.25">
      <c t="s" s="6" r="A763">
        <v>5848</v>
      </c>
      <c t="s" s="6" r="B763">
        <v>131</v>
      </c>
      <c t="s" s="6" r="E763">
        <v>5849</v>
      </c>
      <c t="s" s="6" r="F763">
        <v>81</v>
      </c>
      <c t="s" s="6" r="G763">
        <v>106</v>
      </c>
      <c s="6" r="H763">
        <v>0</v>
      </c>
      <c t="s" s="6" r="I763">
        <v>107</v>
      </c>
      <c t="s" s="6" r="L763">
        <v>620</v>
      </c>
      <c t="s" s="6" r="M763">
        <v>5005</v>
      </c>
      <c s="6" r="N763">
        <v>0</v>
      </c>
      <c s="6" r="O763">
        <v>0</v>
      </c>
      <c t="s" s="6" r="P763">
        <v>1227</v>
      </c>
      <c t="s" s="6" r="Q763">
        <v>188</v>
      </c>
      <c t="s" s="6" r="R763">
        <v>5850</v>
      </c>
      <c t="s" s="6" r="S763">
        <v>5851</v>
      </c>
      <c t="s" s="6" r="T763">
        <v>5200</v>
      </c>
      <c t="s" s="6" r="U763">
        <v>5852</v>
      </c>
      <c s="6" r="V763">
        <v>1</v>
      </c>
      <c s="6" r="W763">
        <v>1</v>
      </c>
      <c s="6" r="X763">
        <v>0</v>
      </c>
      <c s="6" r="Y763">
        <v>0</v>
      </c>
      <c s="6" r="Z763">
        <v>0</v>
      </c>
      <c t="s" s="6" r="AA763">
        <v>92</v>
      </c>
      <c t="s" s="6" r="AB763">
        <v>92</v>
      </c>
      <c t="s" s="6" r="AC763">
        <v>92</v>
      </c>
      <c s="6" r="AD763">
        <v>3</v>
      </c>
      <c s="6" r="AE763">
        <v>3</v>
      </c>
      <c s="6" r="AF763">
        <v>3</v>
      </c>
      <c t="s" s="6" r="AG763">
        <v>92</v>
      </c>
      <c t="s" s="6" r="AH763">
        <v>92</v>
      </c>
      <c t="s" s="6" r="AI763">
        <v>92</v>
      </c>
      <c t="s" s="6" r="AJ763">
        <v>92</v>
      </c>
      <c t="s" s="6" r="AK763">
        <v>92</v>
      </c>
      <c t="s" s="6" r="AL763">
        <v>92</v>
      </c>
      <c t="s" s="6" r="AM763">
        <v>92</v>
      </c>
      <c t="s" s="6" r="AN763">
        <v>92</v>
      </c>
      <c s="6" r="AP763">
        <v>3</v>
      </c>
      <c t="s" s="6" r="AR763">
        <v>5853</v>
      </c>
      <c s="6" r="AS763">
        <v>0</v>
      </c>
      <c s="6" r="AT763">
        <v>0</v>
      </c>
      <c s="6" r="AU763">
        <v>0</v>
      </c>
      <c s="6" r="AV763">
        <v>0</v>
      </c>
      <c s="6" r="AW763">
        <v>0</v>
      </c>
      <c s="6" r="AX763">
        <v>0</v>
      </c>
      <c s="6" r="AY763">
        <v>0</v>
      </c>
      <c s="6" r="AZ763">
        <v>0</v>
      </c>
      <c s="6" r="BA763">
        <v>0</v>
      </c>
      <c s="6" r="BB763">
        <v>0</v>
      </c>
      <c s="6" r="BC763">
        <v>0</v>
      </c>
      <c s="6" r="BD763">
        <v>0</v>
      </c>
      <c s="6" r="BE763">
        <v>0</v>
      </c>
      <c s="6" r="BF763">
        <v>0</v>
      </c>
      <c s="6" r="BG763">
        <v>0</v>
      </c>
      <c s="6" r="BH763">
        <v>0</v>
      </c>
      <c s="6" r="BI763">
        <v>0</v>
      </c>
      <c s="6" r="BJ763">
        <v>0</v>
      </c>
      <c s="6" r="BK763">
        <v>0</v>
      </c>
      <c s="6" r="BL763">
        <v>0</v>
      </c>
      <c s="6" r="BM763">
        <v>0</v>
      </c>
      <c s="6" r="BN763">
        <v>0</v>
      </c>
      <c s="6" r="BO763">
        <v>0</v>
      </c>
      <c s="6" r="BP763">
        <v>0</v>
      </c>
      <c s="6" r="BQ763">
        <v>0</v>
      </c>
      <c t="str" s="6" r="BR763">
        <f>HYPERLINK("http://www.d20pfsrd.com/magic/all-spells/f/feather-step,-mass","Feather Step, Mass")</f>
        <v>Feather Step, Mass</v>
      </c>
      <c s="6" r="BS763">
        <v>773</v>
      </c>
      <c t="s" s="6" r="BT763">
        <v>92</v>
      </c>
      <c s="6" r="BY763">
        <v>0</v>
      </c>
    </row>
    <row customHeight="1" r="764" ht="14.25">
      <c t="s" s="6" r="A764">
        <v>5854</v>
      </c>
      <c t="s" s="6" r="B764">
        <v>227</v>
      </c>
      <c t="s" s="6" r="E764">
        <v>5855</v>
      </c>
      <c t="s" s="6" r="F764">
        <v>81</v>
      </c>
      <c t="s" s="6" r="G764">
        <v>5856</v>
      </c>
      <c s="6" r="H764">
        <v>0</v>
      </c>
      <c t="s" s="6" r="I764">
        <v>107</v>
      </c>
      <c t="s" s="6" r="L764">
        <v>473</v>
      </c>
      <c t="s" s="6" r="M764">
        <v>4942</v>
      </c>
      <c s="6" r="N764">
        <v>0</v>
      </c>
      <c s="6" r="O764">
        <v>0</v>
      </c>
      <c t="s" s="6" r="P764">
        <v>1254</v>
      </c>
      <c t="s" s="6" r="Q764">
        <v>188</v>
      </c>
      <c t="s" s="6" r="R764">
        <v>5857</v>
      </c>
      <c t="s" s="6" r="S764">
        <v>5858</v>
      </c>
      <c t="s" s="6" r="T764">
        <v>5200</v>
      </c>
      <c t="s" s="6" r="U764">
        <v>5859</v>
      </c>
      <c s="6" r="V764">
        <v>1</v>
      </c>
      <c s="6" r="W764">
        <v>1</v>
      </c>
      <c s="6" r="X764">
        <v>1</v>
      </c>
      <c s="6" r="Y764">
        <v>0</v>
      </c>
      <c s="6" r="Z764">
        <v>0</v>
      </c>
      <c t="s" s="6" r="AA764">
        <v>92</v>
      </c>
      <c t="s" s="6" r="AB764">
        <v>92</v>
      </c>
      <c t="s" s="6" r="AC764">
        <v>92</v>
      </c>
      <c t="s" s="6" r="AD764">
        <v>92</v>
      </c>
      <c t="s" s="6" r="AE764">
        <v>92</v>
      </c>
      <c t="s" s="6" r="AF764">
        <v>92</v>
      </c>
      <c t="s" s="6" r="AG764">
        <v>92</v>
      </c>
      <c t="s" s="6" r="AH764">
        <v>92</v>
      </c>
      <c t="s" s="6" r="AI764">
        <v>92</v>
      </c>
      <c s="6" r="AJ764">
        <v>2</v>
      </c>
      <c s="6" r="AK764">
        <v>3</v>
      </c>
      <c t="s" s="6" r="AL764">
        <v>92</v>
      </c>
      <c t="s" s="6" r="AM764">
        <v>92</v>
      </c>
      <c t="s" s="6" r="AN764">
        <v>92</v>
      </c>
      <c t="s" s="6" r="AP764">
        <v>92</v>
      </c>
      <c t="s" s="6" r="AR764">
        <v>5860</v>
      </c>
      <c s="6" r="AS764">
        <v>0</v>
      </c>
      <c s="6" r="AT764">
        <v>0</v>
      </c>
      <c s="6" r="AU764">
        <v>0</v>
      </c>
      <c s="6" r="AV764">
        <v>0</v>
      </c>
      <c s="6" r="AW764">
        <v>0</v>
      </c>
      <c s="6" r="AX764">
        <v>0</v>
      </c>
      <c s="6" r="AY764">
        <v>0</v>
      </c>
      <c s="6" r="AZ764">
        <v>0</v>
      </c>
      <c s="6" r="BA764">
        <v>0</v>
      </c>
      <c s="6" r="BB764">
        <v>0</v>
      </c>
      <c s="6" r="BC764">
        <v>0</v>
      </c>
      <c s="6" r="BD764">
        <v>0</v>
      </c>
      <c s="6" r="BE764">
        <v>0</v>
      </c>
      <c s="6" r="BF764">
        <v>0</v>
      </c>
      <c s="6" r="BG764">
        <v>0</v>
      </c>
      <c s="6" r="BH764">
        <v>0</v>
      </c>
      <c s="6" r="BI764">
        <v>0</v>
      </c>
      <c s="6" r="BJ764">
        <v>0</v>
      </c>
      <c s="6" r="BK764">
        <v>0</v>
      </c>
      <c s="6" r="BL764">
        <v>0</v>
      </c>
      <c s="6" r="BM764">
        <v>0</v>
      </c>
      <c s="6" r="BN764">
        <v>0</v>
      </c>
      <c s="6" r="BO764">
        <v>0</v>
      </c>
      <c s="6" r="BP764">
        <v>0</v>
      </c>
      <c s="6" r="BQ764">
        <v>0</v>
      </c>
      <c t="str" s="6" r="BR764">
        <f>HYPERLINK("http://www.d20pfsrd.com/magic/all-spells/f/fester","Fester")</f>
        <v>Fester</v>
      </c>
      <c s="6" r="BS764">
        <v>774</v>
      </c>
      <c t="s" s="6" r="BT764">
        <v>92</v>
      </c>
      <c s="6" r="BY764">
        <v>0</v>
      </c>
    </row>
    <row customHeight="1" r="765" ht="14.25">
      <c t="s" s="6" r="A765">
        <v>5861</v>
      </c>
      <c t="s" s="6" r="B765">
        <v>227</v>
      </c>
      <c t="s" s="6" r="E765">
        <v>5862</v>
      </c>
      <c t="s" s="6" r="F765">
        <v>81</v>
      </c>
      <c t="s" s="6" r="G765">
        <v>5856</v>
      </c>
      <c s="6" r="H765">
        <v>0</v>
      </c>
      <c t="s" s="6" r="I765">
        <v>107</v>
      </c>
      <c t="s" s="6" r="L765">
        <v>620</v>
      </c>
      <c t="s" s="6" r="M765">
        <v>4942</v>
      </c>
      <c s="6" r="N765">
        <v>0</v>
      </c>
      <c s="6" r="O765">
        <v>0</v>
      </c>
      <c t="s" s="6" r="P765">
        <v>1254</v>
      </c>
      <c t="s" s="6" r="Q765">
        <v>188</v>
      </c>
      <c t="s" s="6" r="R765">
        <v>5863</v>
      </c>
      <c t="s" s="6" r="S765">
        <v>5864</v>
      </c>
      <c t="s" s="6" r="T765">
        <v>5200</v>
      </c>
      <c t="s" s="6" r="U765">
        <v>5865</v>
      </c>
      <c s="6" r="V765">
        <v>1</v>
      </c>
      <c s="6" r="W765">
        <v>1</v>
      </c>
      <c s="6" r="X765">
        <v>1</v>
      </c>
      <c s="6" r="Y765">
        <v>0</v>
      </c>
      <c s="6" r="Z765">
        <v>0</v>
      </c>
      <c t="s" s="6" r="AA765">
        <v>92</v>
      </c>
      <c t="s" s="6" r="AB765">
        <v>92</v>
      </c>
      <c t="s" s="6" r="AC765">
        <v>92</v>
      </c>
      <c t="s" s="6" r="AD765">
        <v>92</v>
      </c>
      <c t="s" s="6" r="AE765">
        <v>92</v>
      </c>
      <c t="s" s="6" r="AF765">
        <v>92</v>
      </c>
      <c t="s" s="6" r="AG765">
        <v>92</v>
      </c>
      <c t="s" s="6" r="AH765">
        <v>92</v>
      </c>
      <c t="s" s="6" r="AI765">
        <v>92</v>
      </c>
      <c s="6" r="AJ765">
        <v>6</v>
      </c>
      <c s="6" r="AK765">
        <v>6</v>
      </c>
      <c t="s" s="6" r="AL765">
        <v>92</v>
      </c>
      <c t="s" s="6" r="AM765">
        <v>92</v>
      </c>
      <c t="s" s="6" r="AN765">
        <v>92</v>
      </c>
      <c s="6" r="AP765">
        <v>6</v>
      </c>
      <c t="s" s="6" r="AR765">
        <v>5866</v>
      </c>
      <c s="6" r="AS765">
        <v>0</v>
      </c>
      <c s="6" r="AT765">
        <v>0</v>
      </c>
      <c s="6" r="AU765">
        <v>0</v>
      </c>
      <c s="6" r="AV765">
        <v>0</v>
      </c>
      <c s="6" r="AW765">
        <v>0</v>
      </c>
      <c s="6" r="AX765">
        <v>0</v>
      </c>
      <c s="6" r="AY765">
        <v>0</v>
      </c>
      <c s="6" r="AZ765">
        <v>0</v>
      </c>
      <c s="6" r="BA765">
        <v>0</v>
      </c>
      <c s="6" r="BB765">
        <v>0</v>
      </c>
      <c s="6" r="BC765">
        <v>0</v>
      </c>
      <c s="6" r="BD765">
        <v>0</v>
      </c>
      <c s="6" r="BE765">
        <v>0</v>
      </c>
      <c s="6" r="BF765">
        <v>0</v>
      </c>
      <c s="6" r="BG765">
        <v>0</v>
      </c>
      <c s="6" r="BH765">
        <v>0</v>
      </c>
      <c s="6" r="BI765">
        <v>0</v>
      </c>
      <c s="6" r="BJ765">
        <v>0</v>
      </c>
      <c s="6" r="BK765">
        <v>0</v>
      </c>
      <c s="6" r="BL765">
        <v>0</v>
      </c>
      <c s="6" r="BM765">
        <v>0</v>
      </c>
      <c s="6" r="BN765">
        <v>0</v>
      </c>
      <c s="6" r="BO765">
        <v>0</v>
      </c>
      <c s="6" r="BP765">
        <v>0</v>
      </c>
      <c s="6" r="BQ765">
        <v>0</v>
      </c>
      <c t="str" s="6" r="BR765">
        <f>HYPERLINK("http://www.d20pfsrd.com/magic/all-spells/f/fester,-mass","Fester, Mass")</f>
        <v>Fester, Mass</v>
      </c>
      <c s="6" r="BS765">
        <v>775</v>
      </c>
      <c t="s" s="6" r="BT765">
        <v>92</v>
      </c>
      <c s="6" r="BY765">
        <v>0</v>
      </c>
    </row>
    <row customHeight="1" r="766" ht="14.25">
      <c t="s" s="6" r="A766">
        <v>5867</v>
      </c>
      <c t="s" s="6" r="B766">
        <v>131</v>
      </c>
      <c t="s" s="6" r="D766">
        <v>57</v>
      </c>
      <c t="s" s="6" r="E766">
        <v>1058</v>
      </c>
      <c t="s" s="6" r="F766">
        <v>81</v>
      </c>
      <c t="s" s="6" r="G766">
        <v>251</v>
      </c>
      <c s="6" r="H766">
        <v>0</v>
      </c>
      <c t="s" s="6" r="I766">
        <v>155</v>
      </c>
      <c t="s" s="6" r="L766">
        <v>156</v>
      </c>
      <c t="s" s="6" r="M766">
        <v>2718</v>
      </c>
      <c s="6" r="N766">
        <v>0</v>
      </c>
      <c s="6" r="O766">
        <v>0</v>
      </c>
      <c t="s" s="6" r="R766">
        <v>5868</v>
      </c>
      <c t="s" s="6" r="S766">
        <v>5869</v>
      </c>
      <c t="s" s="6" r="T766">
        <v>5200</v>
      </c>
      <c t="s" s="6" r="U766">
        <v>5870</v>
      </c>
      <c s="6" r="V766">
        <v>1</v>
      </c>
      <c s="6" r="W766">
        <v>0</v>
      </c>
      <c s="6" r="X766">
        <v>0</v>
      </c>
      <c s="6" r="Y766">
        <v>0</v>
      </c>
      <c s="6" r="Z766">
        <v>0</v>
      </c>
      <c s="6" r="AA766">
        <v>9</v>
      </c>
      <c s="6" r="AB766">
        <v>9</v>
      </c>
      <c t="s" s="6" r="AC766">
        <v>92</v>
      </c>
      <c t="s" s="6" r="AD766">
        <v>92</v>
      </c>
      <c t="s" s="6" r="AE766">
        <v>92</v>
      </c>
      <c t="s" s="6" r="AF766">
        <v>92</v>
      </c>
      <c t="s" s="6" r="AG766">
        <v>92</v>
      </c>
      <c t="s" s="6" r="AH766">
        <v>92</v>
      </c>
      <c t="s" s="6" r="AI766">
        <v>92</v>
      </c>
      <c t="s" s="6" r="AJ766">
        <v>92</v>
      </c>
      <c t="s" s="6" r="AK766">
        <v>92</v>
      </c>
      <c t="s" s="6" r="AL766">
        <v>92</v>
      </c>
      <c t="s" s="6" r="AM766">
        <v>92</v>
      </c>
      <c t="s" s="6" r="AN766">
        <v>92</v>
      </c>
      <c s="6" r="AP766">
        <v>9</v>
      </c>
      <c t="s" s="6" r="AQ766">
        <v>5871</v>
      </c>
      <c t="s" s="6" r="AR766">
        <v>5872</v>
      </c>
      <c s="6" r="AS766">
        <v>0</v>
      </c>
      <c s="6" r="AT766">
        <v>0</v>
      </c>
      <c s="6" r="AU766">
        <v>0</v>
      </c>
      <c s="6" r="AV766">
        <v>0</v>
      </c>
      <c s="6" r="AW766">
        <v>0</v>
      </c>
      <c s="6" r="AX766">
        <v>0</v>
      </c>
      <c s="6" r="AY766">
        <v>0</v>
      </c>
      <c s="6" r="AZ766">
        <v>0</v>
      </c>
      <c s="6" r="BA766">
        <v>0</v>
      </c>
      <c s="6" r="BB766">
        <v>0</v>
      </c>
      <c s="6" r="BC766">
        <v>0</v>
      </c>
      <c s="6" r="BD766">
        <v>0</v>
      </c>
      <c s="6" r="BE766">
        <v>0</v>
      </c>
      <c s="6" r="BF766">
        <v>1</v>
      </c>
      <c s="6" r="BG766">
        <v>0</v>
      </c>
      <c s="6" r="BH766">
        <v>0</v>
      </c>
      <c s="6" r="BI766">
        <v>0</v>
      </c>
      <c s="6" r="BJ766">
        <v>0</v>
      </c>
      <c s="6" r="BK766">
        <v>0</v>
      </c>
      <c s="6" r="BL766">
        <v>0</v>
      </c>
      <c s="6" r="BM766">
        <v>0</v>
      </c>
      <c s="6" r="BN766">
        <v>0</v>
      </c>
      <c s="6" r="BO766">
        <v>0</v>
      </c>
      <c s="6" r="BP766">
        <v>0</v>
      </c>
      <c s="6" r="BQ766">
        <v>0</v>
      </c>
      <c t="str" s="6" r="BR766">
        <f>HYPERLINK("http://www.d20pfsrd.com/magic/all-spells/f/fiery-body","Fiery Body")</f>
        <v>Fiery Body</v>
      </c>
      <c s="6" r="BS766">
        <v>776</v>
      </c>
      <c t="s" s="6" r="BT766">
        <v>92</v>
      </c>
      <c t="s" s="6" r="BV766">
        <v>966</v>
      </c>
      <c s="6" r="BY766">
        <v>0</v>
      </c>
    </row>
    <row customHeight="1" r="767" ht="14.25">
      <c t="s" s="6" r="A767">
        <v>5873</v>
      </c>
      <c t="s" s="6" r="B767">
        <v>493</v>
      </c>
      <c t="s" s="6" r="D767">
        <v>57</v>
      </c>
      <c t="s" s="6" r="E767">
        <v>5760</v>
      </c>
      <c t="s" s="6" r="F767">
        <v>81</v>
      </c>
      <c t="s" s="6" r="G767">
        <v>5874</v>
      </c>
      <c s="6" r="H767">
        <v>0</v>
      </c>
      <c t="s" s="6" r="I767">
        <v>629</v>
      </c>
      <c t="s" s="6" r="J767">
        <v>630</v>
      </c>
      <c t="s" s="6" r="M767">
        <v>5875</v>
      </c>
      <c s="6" r="N767">
        <v>0</v>
      </c>
      <c s="6" r="O767">
        <v>0</v>
      </c>
      <c t="s" s="6" r="P767">
        <v>1822</v>
      </c>
      <c t="s" s="6" r="Q767">
        <v>188</v>
      </c>
      <c t="s" s="6" r="R767">
        <v>5876</v>
      </c>
      <c t="s" s="6" r="S767">
        <v>5877</v>
      </c>
      <c t="s" s="6" r="T767">
        <v>5200</v>
      </c>
      <c t="s" s="6" r="U767">
        <v>5878</v>
      </c>
      <c s="6" r="V767">
        <v>1</v>
      </c>
      <c s="6" r="W767">
        <v>1</v>
      </c>
      <c s="6" r="X767">
        <v>1</v>
      </c>
      <c s="6" r="Y767">
        <v>0</v>
      </c>
      <c s="6" r="Z767">
        <v>0</v>
      </c>
      <c s="6" r="AA767">
        <v>2</v>
      </c>
      <c s="6" r="AB767">
        <v>2</v>
      </c>
      <c t="s" s="6" r="AC767">
        <v>92</v>
      </c>
      <c t="s" s="6" r="AD767">
        <v>92</v>
      </c>
      <c t="s" s="6" r="AE767">
        <v>92</v>
      </c>
      <c t="s" s="6" r="AF767">
        <v>92</v>
      </c>
      <c t="s" s="6" r="AG767">
        <v>92</v>
      </c>
      <c s="6" r="AH767">
        <v>2</v>
      </c>
      <c t="s" s="6" r="AI767">
        <v>92</v>
      </c>
      <c t="s" s="6" r="AJ767">
        <v>92</v>
      </c>
      <c t="s" s="6" r="AK767">
        <v>92</v>
      </c>
      <c t="s" s="6" r="AL767">
        <v>92</v>
      </c>
      <c t="s" s="6" r="AM767">
        <v>92</v>
      </c>
      <c s="6" r="AN767">
        <v>2</v>
      </c>
      <c s="6" r="AP767">
        <v>2</v>
      </c>
      <c t="s" s="6" r="AR767">
        <v>5879</v>
      </c>
      <c s="6" r="AS767">
        <v>0</v>
      </c>
      <c s="6" r="AT767">
        <v>0</v>
      </c>
      <c s="6" r="AU767">
        <v>0</v>
      </c>
      <c s="6" r="AV767">
        <v>0</v>
      </c>
      <c s="6" r="AW767">
        <v>0</v>
      </c>
      <c s="6" r="AX767">
        <v>0</v>
      </c>
      <c s="6" r="AY767">
        <v>0</v>
      </c>
      <c s="6" r="AZ767">
        <v>0</v>
      </c>
      <c s="6" r="BA767">
        <v>0</v>
      </c>
      <c s="6" r="BB767">
        <v>0</v>
      </c>
      <c s="6" r="BC767">
        <v>0</v>
      </c>
      <c s="6" r="BD767">
        <v>0</v>
      </c>
      <c s="6" r="BE767">
        <v>0</v>
      </c>
      <c s="6" r="BF767">
        <v>1</v>
      </c>
      <c s="6" r="BG767">
        <v>0</v>
      </c>
      <c s="6" r="BH767">
        <v>0</v>
      </c>
      <c s="6" r="BI767">
        <v>0</v>
      </c>
      <c s="6" r="BJ767">
        <v>0</v>
      </c>
      <c s="6" r="BK767">
        <v>0</v>
      </c>
      <c s="6" r="BL767">
        <v>0</v>
      </c>
      <c s="6" r="BM767">
        <v>0</v>
      </c>
      <c s="6" r="BN767">
        <v>0</v>
      </c>
      <c s="6" r="BO767">
        <v>0</v>
      </c>
      <c s="6" r="BP767">
        <v>0</v>
      </c>
      <c s="6" r="BQ767">
        <v>0</v>
      </c>
      <c t="str" s="6" r="BR767">
        <f>HYPERLINK("http://www.d20pfsrd.com/magic/all-spells/f/fire-breath","Fire Breath")</f>
        <v>Fire Breath</v>
      </c>
      <c s="6" r="BS767">
        <v>777</v>
      </c>
      <c t="s" s="6" r="BT767">
        <v>92</v>
      </c>
      <c s="6" r="BY767">
        <v>0</v>
      </c>
    </row>
    <row customHeight="1" r="768" ht="14.25">
      <c t="s" s="6" r="A768">
        <v>5880</v>
      </c>
      <c t="s" s="6" r="B768">
        <v>493</v>
      </c>
      <c t="s" s="6" r="E768">
        <v>5295</v>
      </c>
      <c t="s" s="6" r="F768">
        <v>5881</v>
      </c>
      <c t="s" s="6" r="G768">
        <v>106</v>
      </c>
      <c s="6" r="H768">
        <v>0</v>
      </c>
      <c t="s" s="6" r="I768">
        <v>5882</v>
      </c>
      <c t="s" s="6" r="L768">
        <v>1235</v>
      </c>
      <c t="s" s="6" r="M768">
        <v>99</v>
      </c>
      <c s="6" r="N768">
        <v>0</v>
      </c>
      <c s="6" r="O768">
        <v>0</v>
      </c>
      <c t="s" s="6" r="P768">
        <v>4129</v>
      </c>
      <c t="s" s="6" r="Q768">
        <v>188</v>
      </c>
      <c t="s" s="6" r="R768">
        <v>5883</v>
      </c>
      <c t="s" s="6" r="S768">
        <v>5884</v>
      </c>
      <c t="s" s="6" r="T768">
        <v>5200</v>
      </c>
      <c t="s" s="6" r="U768">
        <v>5885</v>
      </c>
      <c s="6" r="V768">
        <v>1</v>
      </c>
      <c s="6" r="W768">
        <v>1</v>
      </c>
      <c s="6" r="X768">
        <v>0</v>
      </c>
      <c s="6" r="Y768">
        <v>0</v>
      </c>
      <c s="6" r="Z768">
        <v>0</v>
      </c>
      <c t="s" s="6" r="AA768">
        <v>92</v>
      </c>
      <c t="s" s="6" r="AB768">
        <v>92</v>
      </c>
      <c t="s" s="6" r="AC768">
        <v>92</v>
      </c>
      <c t="s" s="6" r="AD768">
        <v>92</v>
      </c>
      <c t="s" s="6" r="AE768">
        <v>92</v>
      </c>
      <c t="s" s="6" r="AF768">
        <v>92</v>
      </c>
      <c s="6" r="AG768">
        <v>2</v>
      </c>
      <c t="s" s="6" r="AH768">
        <v>92</v>
      </c>
      <c t="s" s="6" r="AI768">
        <v>92</v>
      </c>
      <c t="s" s="6" r="AJ768">
        <v>92</v>
      </c>
      <c t="s" s="6" r="AK768">
        <v>92</v>
      </c>
      <c t="s" s="6" r="AL768">
        <v>92</v>
      </c>
      <c t="s" s="6" r="AM768">
        <v>92</v>
      </c>
      <c t="s" s="6" r="AN768">
        <v>92</v>
      </c>
      <c s="6" r="AP768">
        <v>2</v>
      </c>
      <c t="s" s="6" r="AR768">
        <v>5886</v>
      </c>
      <c s="6" r="AS768">
        <v>0</v>
      </c>
      <c s="6" r="AT768">
        <v>0</v>
      </c>
      <c s="6" r="AU768">
        <v>0</v>
      </c>
      <c s="6" r="AV768">
        <v>0</v>
      </c>
      <c s="6" r="AW768">
        <v>0</v>
      </c>
      <c s="6" r="AX768">
        <v>0</v>
      </c>
      <c s="6" r="AY768">
        <v>0</v>
      </c>
      <c s="6" r="AZ768">
        <v>0</v>
      </c>
      <c s="6" r="BA768">
        <v>0</v>
      </c>
      <c s="6" r="BB768">
        <v>0</v>
      </c>
      <c s="6" r="BC768">
        <v>0</v>
      </c>
      <c s="6" r="BD768">
        <v>0</v>
      </c>
      <c s="6" r="BE768">
        <v>0</v>
      </c>
      <c s="6" r="BF768">
        <v>0</v>
      </c>
      <c s="6" r="BG768">
        <v>0</v>
      </c>
      <c s="6" r="BH768">
        <v>0</v>
      </c>
      <c s="6" r="BI768">
        <v>0</v>
      </c>
      <c s="6" r="BJ768">
        <v>0</v>
      </c>
      <c s="6" r="BK768">
        <v>0</v>
      </c>
      <c s="6" r="BL768">
        <v>0</v>
      </c>
      <c s="6" r="BM768">
        <v>0</v>
      </c>
      <c s="6" r="BN768">
        <v>0</v>
      </c>
      <c s="6" r="BO768">
        <v>0</v>
      </c>
      <c s="6" r="BP768">
        <v>0</v>
      </c>
      <c s="6" r="BQ768">
        <v>0</v>
      </c>
      <c t="str" s="6" r="BR768">
        <f>HYPERLINK("http://www.d20pfsrd.com/magic/all-spells/f/fire-of-entanglement","Fire of Entanglement")</f>
        <v>Fire of Entanglement</v>
      </c>
      <c s="6" r="BS768">
        <v>778</v>
      </c>
      <c t="s" s="6" r="BT768">
        <v>92</v>
      </c>
      <c s="6" r="BY768">
        <v>0</v>
      </c>
    </row>
    <row customHeight="1" r="769" ht="14.25">
      <c t="s" s="6" r="A769">
        <v>5887</v>
      </c>
      <c t="s" s="6" r="B769">
        <v>493</v>
      </c>
      <c t="s" s="6" r="E769">
        <v>2248</v>
      </c>
      <c t="s" s="6" r="F769">
        <v>5881</v>
      </c>
      <c t="s" s="6" r="G769">
        <v>106</v>
      </c>
      <c s="6" r="H769">
        <v>0</v>
      </c>
      <c t="s" s="6" r="I769">
        <v>5882</v>
      </c>
      <c t="s" s="6" r="L769">
        <v>1235</v>
      </c>
      <c t="s" s="6" r="M769">
        <v>99</v>
      </c>
      <c s="6" r="N769">
        <v>0</v>
      </c>
      <c s="6" r="O769">
        <v>0</v>
      </c>
      <c t="s" s="6" r="P769">
        <v>296</v>
      </c>
      <c t="s" s="6" r="Q769">
        <v>188</v>
      </c>
      <c t="s" s="6" r="R769">
        <v>5888</v>
      </c>
      <c t="s" s="6" r="S769">
        <v>5889</v>
      </c>
      <c t="s" s="6" r="T769">
        <v>5200</v>
      </c>
      <c t="s" s="6" r="U769">
        <v>5890</v>
      </c>
      <c s="6" r="V769">
        <v>1</v>
      </c>
      <c s="6" r="W769">
        <v>1</v>
      </c>
      <c s="6" r="X769">
        <v>0</v>
      </c>
      <c s="6" r="Y769">
        <v>0</v>
      </c>
      <c s="6" r="Z769">
        <v>0</v>
      </c>
      <c t="s" s="6" r="AA769">
        <v>92</v>
      </c>
      <c t="s" s="6" r="AB769">
        <v>92</v>
      </c>
      <c t="s" s="6" r="AC769">
        <v>92</v>
      </c>
      <c t="s" s="6" r="AD769">
        <v>92</v>
      </c>
      <c t="s" s="6" r="AE769">
        <v>92</v>
      </c>
      <c t="s" s="6" r="AF769">
        <v>92</v>
      </c>
      <c s="6" r="AG769">
        <v>3</v>
      </c>
      <c t="s" s="6" r="AH769">
        <v>92</v>
      </c>
      <c t="s" s="6" r="AI769">
        <v>92</v>
      </c>
      <c t="s" s="6" r="AJ769">
        <v>92</v>
      </c>
      <c t="s" s="6" r="AK769">
        <v>92</v>
      </c>
      <c t="s" s="6" r="AL769">
        <v>92</v>
      </c>
      <c t="s" s="6" r="AM769">
        <v>92</v>
      </c>
      <c t="s" s="6" r="AN769">
        <v>92</v>
      </c>
      <c s="6" r="AP769">
        <v>3</v>
      </c>
      <c t="s" s="6" r="AR769">
        <v>5891</v>
      </c>
      <c s="6" r="AS769">
        <v>0</v>
      </c>
      <c s="6" r="AT769">
        <v>0</v>
      </c>
      <c s="6" r="AU769">
        <v>0</v>
      </c>
      <c s="6" r="AV769">
        <v>0</v>
      </c>
      <c s="6" r="AW769">
        <v>0</v>
      </c>
      <c s="6" r="AX769">
        <v>0</v>
      </c>
      <c s="6" r="AY769">
        <v>0</v>
      </c>
      <c s="6" r="AZ769">
        <v>0</v>
      </c>
      <c s="6" r="BA769">
        <v>0</v>
      </c>
      <c s="6" r="BB769">
        <v>0</v>
      </c>
      <c s="6" r="BC769">
        <v>0</v>
      </c>
      <c s="6" r="BD769">
        <v>0</v>
      </c>
      <c s="6" r="BE769">
        <v>0</v>
      </c>
      <c s="6" r="BF769">
        <v>0</v>
      </c>
      <c s="6" r="BG769">
        <v>0</v>
      </c>
      <c s="6" r="BH769">
        <v>0</v>
      </c>
      <c s="6" r="BI769">
        <v>0</v>
      </c>
      <c s="6" r="BJ769">
        <v>0</v>
      </c>
      <c s="6" r="BK769">
        <v>0</v>
      </c>
      <c s="6" r="BL769">
        <v>0</v>
      </c>
      <c s="6" r="BM769">
        <v>0</v>
      </c>
      <c s="6" r="BN769">
        <v>0</v>
      </c>
      <c s="6" r="BO769">
        <v>0</v>
      </c>
      <c s="6" r="BP769">
        <v>0</v>
      </c>
      <c s="6" r="BQ769">
        <v>0</v>
      </c>
      <c t="str" s="6" r="BR769">
        <f>HYPERLINK("http://www.d20pfsrd.com/magic/all-spells/f/fire-of-judgment","Fire of Judgment")</f>
        <v>Fire of Judgment</v>
      </c>
      <c s="6" r="BS769">
        <v>779</v>
      </c>
      <c t="s" s="6" r="BT769">
        <v>92</v>
      </c>
      <c s="6" r="BY769">
        <v>0</v>
      </c>
    </row>
    <row customHeight="1" r="770" ht="14.25">
      <c t="s" s="6" r="A770">
        <v>5892</v>
      </c>
      <c t="s" s="6" r="B770">
        <v>493</v>
      </c>
      <c t="s" s="6" r="D770">
        <v>57</v>
      </c>
      <c t="s" s="6" r="E770">
        <v>2367</v>
      </c>
      <c t="s" s="6" r="F770">
        <v>5881</v>
      </c>
      <c t="s" s="6" r="G770">
        <v>106</v>
      </c>
      <c s="6" r="H770">
        <v>0</v>
      </c>
      <c t="s" s="6" r="I770">
        <v>5882</v>
      </c>
      <c t="s" s="6" r="L770">
        <v>1235</v>
      </c>
      <c t="s" s="6" r="M770">
        <v>141</v>
      </c>
      <c s="6" r="N770">
        <v>0</v>
      </c>
      <c s="6" r="O770">
        <v>0</v>
      </c>
      <c t="s" s="6" r="P770">
        <v>86</v>
      </c>
      <c t="s" s="6" r="Q770">
        <v>87</v>
      </c>
      <c t="s" s="6" r="R770">
        <v>5893</v>
      </c>
      <c t="s" s="6" r="S770">
        <v>5894</v>
      </c>
      <c t="s" s="6" r="T770">
        <v>5200</v>
      </c>
      <c t="s" s="6" r="U770">
        <v>5895</v>
      </c>
      <c s="6" r="V770">
        <v>1</v>
      </c>
      <c s="6" r="W770">
        <v>1</v>
      </c>
      <c s="6" r="X770">
        <v>0</v>
      </c>
      <c s="6" r="Y770">
        <v>0</v>
      </c>
      <c s="6" r="Z770">
        <v>0</v>
      </c>
      <c t="s" s="6" r="AA770">
        <v>92</v>
      </c>
      <c t="s" s="6" r="AB770">
        <v>92</v>
      </c>
      <c t="s" s="6" r="AC770">
        <v>92</v>
      </c>
      <c t="s" s="6" r="AD770">
        <v>92</v>
      </c>
      <c t="s" s="6" r="AE770">
        <v>92</v>
      </c>
      <c t="s" s="6" r="AF770">
        <v>92</v>
      </c>
      <c s="6" r="AG770">
        <v>4</v>
      </c>
      <c t="s" s="6" r="AH770">
        <v>92</v>
      </c>
      <c t="s" s="6" r="AI770">
        <v>92</v>
      </c>
      <c t="s" s="6" r="AJ770">
        <v>92</v>
      </c>
      <c t="s" s="6" r="AK770">
        <v>92</v>
      </c>
      <c t="s" s="6" r="AL770">
        <v>92</v>
      </c>
      <c t="s" s="6" r="AM770">
        <v>92</v>
      </c>
      <c t="s" s="6" r="AN770">
        <v>92</v>
      </c>
      <c s="6" r="AP770">
        <v>4</v>
      </c>
      <c t="s" s="6" r="AR770">
        <v>5896</v>
      </c>
      <c s="6" r="AS770">
        <v>0</v>
      </c>
      <c s="6" r="AT770">
        <v>0</v>
      </c>
      <c s="6" r="AU770">
        <v>0</v>
      </c>
      <c s="6" r="AV770">
        <v>0</v>
      </c>
      <c s="6" r="AW770">
        <v>0</v>
      </c>
      <c s="6" r="AX770">
        <v>0</v>
      </c>
      <c s="6" r="AY770">
        <v>0</v>
      </c>
      <c s="6" r="AZ770">
        <v>0</v>
      </c>
      <c s="6" r="BA770">
        <v>0</v>
      </c>
      <c s="6" r="BB770">
        <v>0</v>
      </c>
      <c s="6" r="BC770">
        <v>0</v>
      </c>
      <c s="6" r="BD770">
        <v>0</v>
      </c>
      <c s="6" r="BE770">
        <v>0</v>
      </c>
      <c s="6" r="BF770">
        <v>1</v>
      </c>
      <c s="6" r="BG770">
        <v>0</v>
      </c>
      <c s="6" r="BH770">
        <v>0</v>
      </c>
      <c s="6" r="BI770">
        <v>0</v>
      </c>
      <c s="6" r="BJ770">
        <v>0</v>
      </c>
      <c s="6" r="BK770">
        <v>0</v>
      </c>
      <c s="6" r="BL770">
        <v>0</v>
      </c>
      <c s="6" r="BM770">
        <v>0</v>
      </c>
      <c s="6" r="BN770">
        <v>0</v>
      </c>
      <c s="6" r="BO770">
        <v>0</v>
      </c>
      <c s="6" r="BP770">
        <v>0</v>
      </c>
      <c s="6" r="BQ770">
        <v>0</v>
      </c>
      <c t="str" s="6" r="BR770">
        <f>HYPERLINK("http://www.d20pfsrd.com/magic/all-spells/f/fire-of-vengeance","Fire of Vengeance")</f>
        <v>Fire of Vengeance</v>
      </c>
      <c s="6" r="BS770">
        <v>780</v>
      </c>
      <c t="s" s="6" r="BT770">
        <v>92</v>
      </c>
      <c s="6" r="BY770">
        <v>0</v>
      </c>
    </row>
    <row customHeight="1" r="771" ht="14.25">
      <c t="s" s="6" r="A771">
        <v>5897</v>
      </c>
      <c t="s" s="6" r="B771">
        <v>493</v>
      </c>
      <c t="s" s="6" r="D771">
        <v>57</v>
      </c>
      <c t="s" s="6" r="E771">
        <v>5898</v>
      </c>
      <c t="s" s="6" r="F771">
        <v>81</v>
      </c>
      <c t="s" s="6" r="G771">
        <v>5899</v>
      </c>
      <c s="6" r="H771">
        <v>0</v>
      </c>
      <c t="s" s="6" r="I771">
        <v>897</v>
      </c>
      <c t="s" s="6" r="J771">
        <v>141</v>
      </c>
      <c t="s" s="6" r="M771">
        <v>109</v>
      </c>
      <c s="6" r="N771">
        <v>0</v>
      </c>
      <c s="6" r="O771">
        <v>0</v>
      </c>
      <c t="s" s="6" r="P771">
        <v>631</v>
      </c>
      <c t="s" s="6" r="Q771">
        <v>188</v>
      </c>
      <c t="s" s="6" r="R771">
        <v>5900</v>
      </c>
      <c t="s" s="6" r="S771">
        <v>5901</v>
      </c>
      <c t="s" s="6" r="T771">
        <v>5200</v>
      </c>
      <c t="s" s="6" r="U771">
        <v>5902</v>
      </c>
      <c s="6" r="V771">
        <v>1</v>
      </c>
      <c s="6" r="W771">
        <v>1</v>
      </c>
      <c s="6" r="X771">
        <v>1</v>
      </c>
      <c s="6" r="Y771">
        <v>0</v>
      </c>
      <c s="6" r="Z771">
        <v>0</v>
      </c>
      <c s="6" r="AA771">
        <v>5</v>
      </c>
      <c s="6" r="AB771">
        <v>5</v>
      </c>
      <c t="s" s="6" r="AC771">
        <v>92</v>
      </c>
      <c s="6" r="AD771">
        <v>5</v>
      </c>
      <c t="s" s="6" r="AE771">
        <v>92</v>
      </c>
      <c t="s" s="6" r="AF771">
        <v>92</v>
      </c>
      <c t="s" s="6" r="AG771">
        <v>92</v>
      </c>
      <c t="s" s="6" r="AH771">
        <v>92</v>
      </c>
      <c t="s" s="6" r="AI771">
        <v>92</v>
      </c>
      <c t="s" s="6" r="AJ771">
        <v>92</v>
      </c>
      <c t="s" s="6" r="AK771">
        <v>92</v>
      </c>
      <c t="s" s="6" r="AL771">
        <v>92</v>
      </c>
      <c t="s" s="6" r="AM771">
        <v>92</v>
      </c>
      <c s="6" r="AN771">
        <v>5</v>
      </c>
      <c s="6" r="AP771">
        <v>5</v>
      </c>
      <c t="s" s="6" r="AR771">
        <v>5903</v>
      </c>
      <c s="6" r="AS771">
        <v>0</v>
      </c>
      <c s="6" r="AT771">
        <v>0</v>
      </c>
      <c s="6" r="AU771">
        <v>0</v>
      </c>
      <c s="6" r="AV771">
        <v>0</v>
      </c>
      <c s="6" r="AW771">
        <v>0</v>
      </c>
      <c s="6" r="AX771">
        <v>0</v>
      </c>
      <c s="6" r="AY771">
        <v>0</v>
      </c>
      <c s="6" r="AZ771">
        <v>0</v>
      </c>
      <c s="6" r="BA771">
        <v>0</v>
      </c>
      <c s="6" r="BB771">
        <v>0</v>
      </c>
      <c s="6" r="BC771">
        <v>0</v>
      </c>
      <c s="6" r="BD771">
        <v>0</v>
      </c>
      <c s="6" r="BE771">
        <v>0</v>
      </c>
      <c s="6" r="BF771">
        <v>1</v>
      </c>
      <c s="6" r="BG771">
        <v>0</v>
      </c>
      <c s="6" r="BH771">
        <v>0</v>
      </c>
      <c s="6" r="BI771">
        <v>0</v>
      </c>
      <c s="6" r="BJ771">
        <v>0</v>
      </c>
      <c s="6" r="BK771">
        <v>0</v>
      </c>
      <c s="6" r="BL771">
        <v>0</v>
      </c>
      <c s="6" r="BM771">
        <v>0</v>
      </c>
      <c s="6" r="BN771">
        <v>0</v>
      </c>
      <c s="6" r="BO771">
        <v>0</v>
      </c>
      <c s="6" r="BP771">
        <v>0</v>
      </c>
      <c s="6" r="BQ771">
        <v>0</v>
      </c>
      <c t="str" s="6" r="BR771">
        <f>HYPERLINK("http://www.d20pfsrd.com/magic/all-spells/f/fire-snake","Fire Snake")</f>
        <v>Fire Snake</v>
      </c>
      <c s="6" r="BS771">
        <v>781</v>
      </c>
      <c t="s" s="6" r="BT771">
        <v>92</v>
      </c>
      <c t="s" s="6" r="BV771">
        <v>966</v>
      </c>
      <c t="s" s="6" r="BW771">
        <v>5904</v>
      </c>
      <c t="s" s="6" r="BX771">
        <v>5905</v>
      </c>
      <c s="6" r="BY771">
        <v>1</v>
      </c>
    </row>
    <row customHeight="1" r="772" ht="14.25">
      <c t="s" s="6" r="A772">
        <v>5906</v>
      </c>
      <c t="s" s="6" r="B772">
        <v>131</v>
      </c>
      <c t="s" s="6" r="D772">
        <v>57</v>
      </c>
      <c t="s" s="6" r="E772">
        <v>973</v>
      </c>
      <c t="s" s="6" r="F772">
        <v>81</v>
      </c>
      <c t="s" s="6" r="G772">
        <v>106</v>
      </c>
      <c s="6" r="H772">
        <v>0</v>
      </c>
      <c t="s" s="6" r="I772">
        <v>107</v>
      </c>
      <c t="s" s="6" r="L772">
        <v>5907</v>
      </c>
      <c t="s" s="6" r="M772">
        <v>99</v>
      </c>
      <c s="6" r="N772">
        <v>0</v>
      </c>
      <c s="6" r="O772">
        <v>0</v>
      </c>
      <c t="s" s="6" r="P772">
        <v>5908</v>
      </c>
      <c t="s" s="6" r="Q772">
        <v>123</v>
      </c>
      <c t="s" s="6" r="R772">
        <v>5909</v>
      </c>
      <c t="s" s="6" r="S772">
        <v>5910</v>
      </c>
      <c t="s" s="6" r="T772">
        <v>5200</v>
      </c>
      <c t="s" s="6" r="U772">
        <v>5911</v>
      </c>
      <c s="6" r="V772">
        <v>1</v>
      </c>
      <c s="6" r="W772">
        <v>1</v>
      </c>
      <c s="6" r="X772">
        <v>0</v>
      </c>
      <c s="6" r="Y772">
        <v>0</v>
      </c>
      <c s="6" r="Z772">
        <v>0</v>
      </c>
      <c s="6" r="AA772">
        <v>7</v>
      </c>
      <c s="6" r="AB772">
        <v>7</v>
      </c>
      <c t="s" s="6" r="AC772">
        <v>92</v>
      </c>
      <c t="s" s="6" r="AD772">
        <v>92</v>
      </c>
      <c t="s" s="6" r="AE772">
        <v>92</v>
      </c>
      <c t="s" s="6" r="AF772">
        <v>92</v>
      </c>
      <c t="s" s="6" r="AG772">
        <v>92</v>
      </c>
      <c t="s" s="6" r="AH772">
        <v>92</v>
      </c>
      <c t="s" s="6" r="AI772">
        <v>92</v>
      </c>
      <c t="s" s="6" r="AJ772">
        <v>92</v>
      </c>
      <c t="s" s="6" r="AK772">
        <v>92</v>
      </c>
      <c t="s" s="6" r="AL772">
        <v>92</v>
      </c>
      <c t="s" s="6" r="AM772">
        <v>92</v>
      </c>
      <c t="s" s="6" r="AN772">
        <v>92</v>
      </c>
      <c s="6" r="AP772">
        <v>7</v>
      </c>
      <c t="s" s="6" r="AR772">
        <v>5912</v>
      </c>
      <c s="6" r="AS772">
        <v>0</v>
      </c>
      <c s="6" r="AT772">
        <v>0</v>
      </c>
      <c s="6" r="AU772">
        <v>0</v>
      </c>
      <c s="6" r="AV772">
        <v>0</v>
      </c>
      <c s="6" r="AW772">
        <v>0</v>
      </c>
      <c s="6" r="AX772">
        <v>0</v>
      </c>
      <c s="6" r="AY772">
        <v>0</v>
      </c>
      <c s="6" r="AZ772">
        <v>0</v>
      </c>
      <c s="6" r="BA772">
        <v>0</v>
      </c>
      <c s="6" r="BB772">
        <v>0</v>
      </c>
      <c s="6" r="BC772">
        <v>0</v>
      </c>
      <c s="6" r="BD772">
        <v>0</v>
      </c>
      <c s="6" r="BE772">
        <v>0</v>
      </c>
      <c s="6" r="BF772">
        <v>1</v>
      </c>
      <c s="6" r="BG772">
        <v>0</v>
      </c>
      <c s="6" r="BH772">
        <v>0</v>
      </c>
      <c s="6" r="BI772">
        <v>0</v>
      </c>
      <c s="6" r="BJ772">
        <v>0</v>
      </c>
      <c s="6" r="BK772">
        <v>0</v>
      </c>
      <c s="6" r="BL772">
        <v>0</v>
      </c>
      <c s="6" r="BM772">
        <v>0</v>
      </c>
      <c s="6" r="BN772">
        <v>0</v>
      </c>
      <c s="6" r="BO772">
        <v>0</v>
      </c>
      <c s="6" r="BP772">
        <v>0</v>
      </c>
      <c s="6" r="BQ772">
        <v>0</v>
      </c>
      <c t="str" s="6" r="BR772">
        <f>HYPERLINK("http://www.d20pfsrd.com/magic/all-spells/f/firebrand","Firebrand")</f>
        <v>Firebrand</v>
      </c>
      <c s="6" r="BS772">
        <v>782</v>
      </c>
      <c t="s" s="6" r="BT772">
        <v>92</v>
      </c>
      <c s="6" r="BY772">
        <v>0</v>
      </c>
    </row>
    <row customHeight="1" r="773" ht="14.25">
      <c t="s" s="6" r="A773">
        <v>5913</v>
      </c>
      <c t="s" s="6" r="B773">
        <v>131</v>
      </c>
      <c t="s" s="6" r="D773">
        <v>57</v>
      </c>
      <c t="s" s="6" r="E773">
        <v>5914</v>
      </c>
      <c t="s" s="6" r="F773">
        <v>81</v>
      </c>
      <c t="s" s="6" r="G773">
        <v>3449</v>
      </c>
      <c s="6" r="H773">
        <v>0</v>
      </c>
      <c t="s" s="6" r="I773">
        <v>83</v>
      </c>
      <c t="s" s="6" r="L773">
        <v>5915</v>
      </c>
      <c t="s" s="6" r="M773">
        <v>109</v>
      </c>
      <c s="6" r="N773">
        <v>0</v>
      </c>
      <c s="6" r="O773">
        <v>0</v>
      </c>
      <c t="s" s="6" r="P773">
        <v>5916</v>
      </c>
      <c t="s" s="6" r="Q773">
        <v>87</v>
      </c>
      <c t="s" s="6" r="R773">
        <v>5917</v>
      </c>
      <c t="s" s="6" r="S773">
        <v>5918</v>
      </c>
      <c t="s" s="6" r="T773">
        <v>5200</v>
      </c>
      <c t="s" s="6" r="U773">
        <v>5919</v>
      </c>
      <c s="6" r="V773">
        <v>1</v>
      </c>
      <c s="6" r="W773">
        <v>1</v>
      </c>
      <c s="6" r="X773">
        <v>1</v>
      </c>
      <c s="6" r="Y773">
        <v>0</v>
      </c>
      <c s="6" r="Z773">
        <v>0</v>
      </c>
      <c s="6" r="AA773">
        <v>4</v>
      </c>
      <c s="6" r="AB773">
        <v>4</v>
      </c>
      <c t="s" s="6" r="AC773">
        <v>92</v>
      </c>
      <c t="s" s="6" r="AD773">
        <v>92</v>
      </c>
      <c t="s" s="6" r="AE773">
        <v>92</v>
      </c>
      <c t="s" s="6" r="AF773">
        <v>92</v>
      </c>
      <c t="s" s="6" r="AG773">
        <v>92</v>
      </c>
      <c t="s" s="6" r="AH773">
        <v>92</v>
      </c>
      <c t="s" s="6" r="AI773">
        <v>92</v>
      </c>
      <c t="s" s="6" r="AJ773">
        <v>92</v>
      </c>
      <c t="s" s="6" r="AK773">
        <v>92</v>
      </c>
      <c t="s" s="6" r="AL773">
        <v>92</v>
      </c>
      <c t="s" s="6" r="AM773">
        <v>92</v>
      </c>
      <c s="6" r="AN773">
        <v>4</v>
      </c>
      <c s="6" r="AP773">
        <v>4</v>
      </c>
      <c t="s" s="6" r="AR773">
        <v>5920</v>
      </c>
      <c s="6" r="AS773">
        <v>0</v>
      </c>
      <c s="6" r="AT773">
        <v>0</v>
      </c>
      <c s="6" r="AU773">
        <v>0</v>
      </c>
      <c s="6" r="AV773">
        <v>0</v>
      </c>
      <c s="6" r="AW773">
        <v>0</v>
      </c>
      <c s="6" r="AX773">
        <v>0</v>
      </c>
      <c s="6" r="AY773">
        <v>0</v>
      </c>
      <c s="6" r="AZ773">
        <v>0</v>
      </c>
      <c s="6" r="BA773">
        <v>0</v>
      </c>
      <c s="6" r="BB773">
        <v>0</v>
      </c>
      <c s="6" r="BC773">
        <v>0</v>
      </c>
      <c s="6" r="BD773">
        <v>0</v>
      </c>
      <c s="6" r="BE773">
        <v>0</v>
      </c>
      <c s="6" r="BF773">
        <v>1</v>
      </c>
      <c s="6" r="BG773">
        <v>0</v>
      </c>
      <c s="6" r="BH773">
        <v>0</v>
      </c>
      <c s="6" r="BI773">
        <v>0</v>
      </c>
      <c s="6" r="BJ773">
        <v>0</v>
      </c>
      <c s="6" r="BK773">
        <v>0</v>
      </c>
      <c s="6" r="BL773">
        <v>0</v>
      </c>
      <c s="6" r="BM773">
        <v>0</v>
      </c>
      <c s="6" r="BN773">
        <v>0</v>
      </c>
      <c s="6" r="BO773">
        <v>0</v>
      </c>
      <c s="6" r="BP773">
        <v>0</v>
      </c>
      <c s="6" r="BQ773">
        <v>0</v>
      </c>
      <c t="str" s="6" r="BR773">
        <f>HYPERLINK("http://www.d20pfsrd.com/magic/all-spells/f/firefall","Firefall")</f>
        <v>Firefall</v>
      </c>
      <c s="6" r="BS773">
        <v>783</v>
      </c>
      <c t="s" s="6" r="BT773">
        <v>92</v>
      </c>
      <c s="6" r="BY773">
        <v>0</v>
      </c>
    </row>
    <row customHeight="1" r="774" ht="14.25">
      <c t="s" s="6" r="A774">
        <v>5921</v>
      </c>
      <c t="s" s="6" r="B774">
        <v>131</v>
      </c>
      <c t="s" s="6" r="D774">
        <v>57</v>
      </c>
      <c t="s" s="6" r="E774">
        <v>5499</v>
      </c>
      <c t="s" s="6" r="F774">
        <v>81</v>
      </c>
      <c t="s" s="6" r="G774">
        <v>251</v>
      </c>
      <c s="6" r="H774">
        <v>0</v>
      </c>
      <c t="s" s="6" r="I774">
        <v>120</v>
      </c>
      <c t="s" s="6" r="L774">
        <v>545</v>
      </c>
      <c t="s" s="6" r="M774">
        <v>99</v>
      </c>
      <c s="6" r="N774">
        <v>0</v>
      </c>
      <c s="6" r="O774">
        <v>0</v>
      </c>
      <c t="s" s="6" r="P774">
        <v>5922</v>
      </c>
      <c t="s" s="6" r="Q774">
        <v>5923</v>
      </c>
      <c t="s" s="6" r="R774">
        <v>5924</v>
      </c>
      <c t="s" s="6" r="S774">
        <v>5925</v>
      </c>
      <c t="s" s="6" r="T774">
        <v>5200</v>
      </c>
      <c t="s" s="6" r="U774">
        <v>5926</v>
      </c>
      <c s="6" r="V774">
        <v>1</v>
      </c>
      <c s="6" r="W774">
        <v>0</v>
      </c>
      <c s="6" r="X774">
        <v>0</v>
      </c>
      <c s="6" r="Y774">
        <v>0</v>
      </c>
      <c s="6" r="Z774">
        <v>0</v>
      </c>
      <c t="s" s="6" r="AA774">
        <v>92</v>
      </c>
      <c t="s" s="6" r="AB774">
        <v>92</v>
      </c>
      <c t="s" s="6" r="AC774">
        <v>92</v>
      </c>
      <c t="s" s="6" r="AD774">
        <v>92</v>
      </c>
      <c t="s" s="6" r="AE774">
        <v>92</v>
      </c>
      <c t="s" s="6" r="AF774">
        <v>92</v>
      </c>
      <c t="s" s="6" r="AG774">
        <v>92</v>
      </c>
      <c t="s" s="6" r="AH774">
        <v>92</v>
      </c>
      <c t="s" s="6" r="AI774">
        <v>92</v>
      </c>
      <c t="s" s="6" r="AJ774">
        <v>92</v>
      </c>
      <c s="6" r="AK774">
        <v>2</v>
      </c>
      <c t="s" s="6" r="AL774">
        <v>92</v>
      </c>
      <c t="s" s="6" r="AM774">
        <v>92</v>
      </c>
      <c t="s" s="6" r="AN774">
        <v>92</v>
      </c>
      <c s="6" r="AP774">
        <v>2</v>
      </c>
      <c t="s" s="6" r="AR774">
        <v>5927</v>
      </c>
      <c s="6" r="AS774">
        <v>0</v>
      </c>
      <c s="6" r="AT774">
        <v>0</v>
      </c>
      <c s="6" r="AU774">
        <v>0</v>
      </c>
      <c s="6" r="AV774">
        <v>0</v>
      </c>
      <c s="6" r="AW774">
        <v>0</v>
      </c>
      <c s="6" r="AX774">
        <v>0</v>
      </c>
      <c s="6" r="AY774">
        <v>0</v>
      </c>
      <c s="6" r="AZ774">
        <v>0</v>
      </c>
      <c s="6" r="BA774">
        <v>0</v>
      </c>
      <c s="6" r="BB774">
        <v>0</v>
      </c>
      <c s="6" r="BC774">
        <v>0</v>
      </c>
      <c s="6" r="BD774">
        <v>0</v>
      </c>
      <c s="6" r="BE774">
        <v>0</v>
      </c>
      <c s="6" r="BF774">
        <v>1</v>
      </c>
      <c s="6" r="BG774">
        <v>0</v>
      </c>
      <c s="6" r="BH774">
        <v>0</v>
      </c>
      <c s="6" r="BI774">
        <v>0</v>
      </c>
      <c s="6" r="BJ774">
        <v>0</v>
      </c>
      <c s="6" r="BK774">
        <v>0</v>
      </c>
      <c s="6" r="BL774">
        <v>0</v>
      </c>
      <c s="6" r="BM774">
        <v>0</v>
      </c>
      <c s="6" r="BN774">
        <v>0</v>
      </c>
      <c s="6" r="BO774">
        <v>0</v>
      </c>
      <c s="6" r="BP774">
        <v>0</v>
      </c>
      <c s="6" r="BQ774">
        <v>0</v>
      </c>
      <c t="s" s="6" r="BR774">
        <v>92</v>
      </c>
      <c s="6" r="BS774">
        <v>784</v>
      </c>
      <c t="s" s="6" r="BT774">
        <v>92</v>
      </c>
      <c t="s" s="6" r="BW774">
        <v>5928</v>
      </c>
      <c s="6" r="BY774">
        <v>1</v>
      </c>
    </row>
    <row customHeight="1" r="775" ht="14.25">
      <c t="s" s="6" r="A775">
        <v>5929</v>
      </c>
      <c t="s" s="6" r="B775">
        <v>493</v>
      </c>
      <c t="s" s="6" r="C775">
        <v>62</v>
      </c>
      <c t="s" s="6" r="E775">
        <v>5930</v>
      </c>
      <c t="s" s="6" r="F775">
        <v>81</v>
      </c>
      <c t="s" s="6" r="G775">
        <v>251</v>
      </c>
      <c s="6" r="H775">
        <v>0</v>
      </c>
      <c t="s" s="6" r="I775">
        <v>107</v>
      </c>
      <c t="s" s="6" r="K775">
        <v>5931</v>
      </c>
      <c t="s" s="6" r="M775">
        <v>109</v>
      </c>
      <c s="6" r="N775">
        <v>0</v>
      </c>
      <c s="6" r="O775">
        <v>0</v>
      </c>
      <c t="s" s="6" r="P775">
        <v>187</v>
      </c>
      <c t="s" s="6" r="Q775">
        <v>188</v>
      </c>
      <c t="s" s="6" r="R775">
        <v>5932</v>
      </c>
      <c t="s" s="6" r="S775">
        <v>5933</v>
      </c>
      <c t="s" s="6" r="T775">
        <v>5200</v>
      </c>
      <c t="s" s="6" r="U775">
        <v>5934</v>
      </c>
      <c s="6" r="V775">
        <v>1</v>
      </c>
      <c s="6" r="W775">
        <v>0</v>
      </c>
      <c s="6" r="X775">
        <v>0</v>
      </c>
      <c s="6" r="Y775">
        <v>0</v>
      </c>
      <c s="6" r="Z775">
        <v>0</v>
      </c>
      <c s="6" r="AA775">
        <v>1</v>
      </c>
      <c s="6" r="AB775">
        <v>1</v>
      </c>
      <c t="s" s="6" r="AC775">
        <v>92</v>
      </c>
      <c s="6" r="AD775">
        <v>1</v>
      </c>
      <c t="s" s="6" r="AE775">
        <v>92</v>
      </c>
      <c s="6" r="AF775">
        <v>1</v>
      </c>
      <c t="s" s="6" r="AG775">
        <v>92</v>
      </c>
      <c t="s" s="6" r="AH775">
        <v>92</v>
      </c>
      <c t="s" s="6" r="AI775">
        <v>92</v>
      </c>
      <c t="s" s="6" r="AJ775">
        <v>92</v>
      </c>
      <c t="s" s="6" r="AK775">
        <v>92</v>
      </c>
      <c t="s" s="6" r="AL775">
        <v>92</v>
      </c>
      <c t="s" s="6" r="AM775">
        <v>92</v>
      </c>
      <c s="6" r="AN775">
        <v>1</v>
      </c>
      <c s="6" r="AP775">
        <v>1</v>
      </c>
      <c t="s" s="6" r="AR775">
        <v>5935</v>
      </c>
      <c s="6" r="AS775">
        <v>0</v>
      </c>
      <c s="6" r="AT775">
        <v>0</v>
      </c>
      <c s="6" r="AU775">
        <v>0</v>
      </c>
      <c s="6" r="AV775">
        <v>0</v>
      </c>
      <c s="6" r="AW775">
        <v>0</v>
      </c>
      <c s="6" r="AX775">
        <v>0</v>
      </c>
      <c s="6" r="AY775">
        <v>0</v>
      </c>
      <c s="6" r="AZ775">
        <v>0</v>
      </c>
      <c s="6" r="BA775">
        <v>0</v>
      </c>
      <c s="6" r="BB775">
        <v>0</v>
      </c>
      <c s="6" r="BC775">
        <v>0</v>
      </c>
      <c s="6" r="BD775">
        <v>0</v>
      </c>
      <c s="6" r="BE775">
        <v>0</v>
      </c>
      <c s="6" r="BF775">
        <v>0</v>
      </c>
      <c s="6" r="BG775">
        <v>0</v>
      </c>
      <c s="6" r="BH775">
        <v>0</v>
      </c>
      <c s="6" r="BI775">
        <v>0</v>
      </c>
      <c s="6" r="BJ775">
        <v>0</v>
      </c>
      <c s="6" r="BK775">
        <v>0</v>
      </c>
      <c s="6" r="BL775">
        <v>0</v>
      </c>
      <c s="6" r="BM775">
        <v>0</v>
      </c>
      <c s="6" r="BN775">
        <v>0</v>
      </c>
      <c s="6" r="BO775">
        <v>0</v>
      </c>
      <c s="6" r="BP775">
        <v>0</v>
      </c>
      <c s="6" r="BQ775">
        <v>0</v>
      </c>
      <c t="str" s="6" r="BR775">
        <f>HYPERLINK("http://www.d20pfsrd.com/magic/all-spells/f/flare-burst","Flare Burst")</f>
        <v>Flare Burst</v>
      </c>
      <c s="6" r="BS775">
        <v>785</v>
      </c>
      <c t="s" s="6" r="BT775">
        <v>92</v>
      </c>
      <c s="6" r="BY775">
        <v>0</v>
      </c>
    </row>
    <row customHeight="1" r="776" ht="14.25">
      <c t="s" s="6" r="A776">
        <v>5936</v>
      </c>
      <c t="s" s="6" r="B776">
        <v>131</v>
      </c>
      <c t="s" s="6" r="D776">
        <v>68</v>
      </c>
      <c t="s" s="6" r="E776">
        <v>5937</v>
      </c>
      <c t="s" s="6" r="F776">
        <v>81</v>
      </c>
      <c t="s" s="6" r="G776">
        <v>5938</v>
      </c>
      <c s="6" r="H776">
        <v>0</v>
      </c>
      <c t="s" s="6" r="I776">
        <v>155</v>
      </c>
      <c t="s" s="6" r="L776">
        <v>156</v>
      </c>
      <c t="s" s="6" r="M776">
        <v>2718</v>
      </c>
      <c s="6" r="N776">
        <v>0</v>
      </c>
      <c s="6" r="O776">
        <v>0</v>
      </c>
      <c t="s" s="6" r="R776">
        <v>5939</v>
      </c>
      <c t="s" s="6" r="S776">
        <v>5940</v>
      </c>
      <c t="s" s="6" r="T776">
        <v>5200</v>
      </c>
      <c t="s" s="6" r="U776">
        <v>5941</v>
      </c>
      <c s="6" r="V776">
        <v>0</v>
      </c>
      <c s="6" r="W776">
        <v>1</v>
      </c>
      <c s="6" r="X776">
        <v>1</v>
      </c>
      <c s="6" r="Y776">
        <v>0</v>
      </c>
      <c s="6" r="Z776">
        <v>0</v>
      </c>
      <c s="6" r="AA776">
        <v>6</v>
      </c>
      <c s="6" r="AB776">
        <v>6</v>
      </c>
      <c t="s" s="6" r="AC776">
        <v>92</v>
      </c>
      <c t="s" s="6" r="AD776">
        <v>92</v>
      </c>
      <c t="s" s="6" r="AE776">
        <v>92</v>
      </c>
      <c t="s" s="6" r="AF776">
        <v>92</v>
      </c>
      <c t="s" s="6" r="AG776">
        <v>92</v>
      </c>
      <c s="6" r="AH776">
        <v>4</v>
      </c>
      <c t="s" s="6" r="AI776">
        <v>92</v>
      </c>
      <c t="s" s="6" r="AJ776">
        <v>92</v>
      </c>
      <c t="s" s="6" r="AK776">
        <v>92</v>
      </c>
      <c t="s" s="6" r="AL776">
        <v>92</v>
      </c>
      <c t="s" s="6" r="AM776">
        <v>92</v>
      </c>
      <c t="s" s="6" r="AN776">
        <v>92</v>
      </c>
      <c s="6" r="AP776">
        <v>6</v>
      </c>
      <c t="s" s="6" r="AR776">
        <v>5942</v>
      </c>
      <c s="6" r="AS776">
        <v>0</v>
      </c>
      <c s="6" r="AT776">
        <v>0</v>
      </c>
      <c s="6" r="AU776">
        <v>0</v>
      </c>
      <c s="6" r="AV776">
        <v>0</v>
      </c>
      <c s="6" r="AW776">
        <v>0</v>
      </c>
      <c s="6" r="AX776">
        <v>0</v>
      </c>
      <c s="6" r="AY776">
        <v>0</v>
      </c>
      <c s="6" r="AZ776">
        <v>0</v>
      </c>
      <c s="6" r="BA776">
        <v>0</v>
      </c>
      <c s="6" r="BB776">
        <v>0</v>
      </c>
      <c s="6" r="BC776">
        <v>0</v>
      </c>
      <c s="6" r="BD776">
        <v>0</v>
      </c>
      <c s="6" r="BE776">
        <v>0</v>
      </c>
      <c s="6" r="BF776">
        <v>0</v>
      </c>
      <c s="6" r="BG776">
        <v>0</v>
      </c>
      <c s="6" r="BH776">
        <v>0</v>
      </c>
      <c s="6" r="BI776">
        <v>0</v>
      </c>
      <c s="6" r="BJ776">
        <v>0</v>
      </c>
      <c s="6" r="BK776">
        <v>0</v>
      </c>
      <c s="6" r="BL776">
        <v>0</v>
      </c>
      <c s="6" r="BM776">
        <v>0</v>
      </c>
      <c s="6" r="BN776">
        <v>0</v>
      </c>
      <c s="6" r="BO776">
        <v>0</v>
      </c>
      <c s="6" r="BP776">
        <v>0</v>
      </c>
      <c s="6" r="BQ776">
        <v>1</v>
      </c>
      <c t="str" s="6" r="BR776">
        <f>HYPERLINK("http://www.d20pfsrd.com/magic/all-spells/f/fluid-form","Fluid Form")</f>
        <v>Fluid Form</v>
      </c>
      <c s="6" r="BS776">
        <v>786</v>
      </c>
      <c t="s" s="6" r="BT776">
        <v>92</v>
      </c>
      <c s="6" r="BY776">
        <v>0</v>
      </c>
    </row>
    <row customHeight="1" r="777" ht="14.25">
      <c t="s" s="6" r="A777">
        <v>5943</v>
      </c>
      <c t="s" s="6" r="B777">
        <v>131</v>
      </c>
      <c t="s" s="6" r="E777">
        <v>973</v>
      </c>
      <c t="s" s="6" r="F777">
        <v>81</v>
      </c>
      <c t="s" s="6" r="G777">
        <v>1894</v>
      </c>
      <c s="6" r="H777">
        <v>0</v>
      </c>
      <c t="s" s="6" r="I777">
        <v>107</v>
      </c>
      <c t="s" s="6" r="L777">
        <v>620</v>
      </c>
      <c t="s" s="6" r="M777">
        <v>5005</v>
      </c>
      <c s="6" r="N777">
        <v>0</v>
      </c>
      <c s="6" r="O777">
        <v>0</v>
      </c>
      <c t="s" s="6" r="P777">
        <v>421</v>
      </c>
      <c t="s" s="6" r="Q777">
        <v>123</v>
      </c>
      <c t="s" s="6" r="R777">
        <v>5944</v>
      </c>
      <c t="s" s="6" r="S777">
        <v>5945</v>
      </c>
      <c t="s" s="6" r="T777">
        <v>5200</v>
      </c>
      <c t="s" s="6" r="U777">
        <v>5946</v>
      </c>
      <c s="6" r="V777">
        <v>1</v>
      </c>
      <c s="6" r="W777">
        <v>1</v>
      </c>
      <c s="6" r="X777">
        <v>0</v>
      </c>
      <c s="6" r="Y777">
        <v>0</v>
      </c>
      <c s="6" r="Z777">
        <v>0</v>
      </c>
      <c s="6" r="AA777">
        <v>7</v>
      </c>
      <c s="6" r="AB777">
        <v>7</v>
      </c>
      <c t="s" s="6" r="AC777">
        <v>92</v>
      </c>
      <c t="s" s="6" r="AD777">
        <v>92</v>
      </c>
      <c t="s" s="6" r="AE777">
        <v>92</v>
      </c>
      <c t="s" s="6" r="AF777">
        <v>92</v>
      </c>
      <c t="s" s="6" r="AG777">
        <v>92</v>
      </c>
      <c t="s" s="6" r="AH777">
        <v>92</v>
      </c>
      <c t="s" s="6" r="AI777">
        <v>92</v>
      </c>
      <c t="s" s="6" r="AJ777">
        <v>92</v>
      </c>
      <c t="s" s="6" r="AK777">
        <v>92</v>
      </c>
      <c t="s" s="6" r="AL777">
        <v>92</v>
      </c>
      <c t="s" s="6" r="AM777">
        <v>92</v>
      </c>
      <c t="s" s="6" r="AN777">
        <v>92</v>
      </c>
      <c s="6" r="AP777">
        <v>7</v>
      </c>
      <c t="s" s="6" r="AQ777">
        <v>1750</v>
      </c>
      <c t="s" s="6" r="AR777">
        <v>5947</v>
      </c>
      <c s="6" r="AS777">
        <v>0</v>
      </c>
      <c s="6" r="AT777">
        <v>0</v>
      </c>
      <c s="6" r="AU777">
        <v>0</v>
      </c>
      <c s="6" r="AV777">
        <v>0</v>
      </c>
      <c s="6" r="AW777">
        <v>0</v>
      </c>
      <c s="6" r="AX777">
        <v>0</v>
      </c>
      <c s="6" r="AY777">
        <v>0</v>
      </c>
      <c s="6" r="AZ777">
        <v>0</v>
      </c>
      <c s="6" r="BA777">
        <v>0</v>
      </c>
      <c s="6" r="BB777">
        <v>0</v>
      </c>
      <c s="6" r="BC777">
        <v>0</v>
      </c>
      <c s="6" r="BD777">
        <v>0</v>
      </c>
      <c s="6" r="BE777">
        <v>0</v>
      </c>
      <c s="6" r="BF777">
        <v>0</v>
      </c>
      <c s="6" r="BG777">
        <v>0</v>
      </c>
      <c s="6" r="BH777">
        <v>0</v>
      </c>
      <c s="6" r="BI777">
        <v>0</v>
      </c>
      <c s="6" r="BJ777">
        <v>0</v>
      </c>
      <c s="6" r="BK777">
        <v>0</v>
      </c>
      <c s="6" r="BL777">
        <v>0</v>
      </c>
      <c s="6" r="BM777">
        <v>0</v>
      </c>
      <c s="6" r="BN777">
        <v>0</v>
      </c>
      <c s="6" r="BO777">
        <v>0</v>
      </c>
      <c s="6" r="BP777">
        <v>0</v>
      </c>
      <c s="6" r="BQ777">
        <v>0</v>
      </c>
      <c t="str" s="6" r="BR777">
        <f>HYPERLINK("http://www.d20pfsrd.com/magic/all-spells/f/fly,-mass","Fly, Mass")</f>
        <v>Fly, Mass</v>
      </c>
      <c s="6" r="BS777">
        <v>787</v>
      </c>
      <c t="s" s="6" r="BT777">
        <v>92</v>
      </c>
      <c s="6" r="BY777">
        <v>0</v>
      </c>
    </row>
    <row customHeight="1" r="778" ht="14.25">
      <c t="s" s="6" r="A778">
        <v>5948</v>
      </c>
      <c t="s" s="6" r="B778">
        <v>115</v>
      </c>
      <c t="s" s="6" r="C778">
        <v>116</v>
      </c>
      <c t="s" s="6" r="D778">
        <v>117</v>
      </c>
      <c t="s" s="6" r="E778">
        <v>4038</v>
      </c>
      <c t="s" s="6" r="F778">
        <v>1743</v>
      </c>
      <c t="s" s="6" r="G778">
        <v>106</v>
      </c>
      <c s="6" r="H778">
        <v>0</v>
      </c>
      <c t="s" s="6" r="I778">
        <v>97</v>
      </c>
      <c t="s" s="6" r="L778">
        <v>473</v>
      </c>
      <c t="s" s="6" r="M778">
        <v>272</v>
      </c>
      <c s="6" r="N778">
        <v>0</v>
      </c>
      <c s="6" r="O778">
        <v>0</v>
      </c>
      <c t="s" s="6" r="P778">
        <v>221</v>
      </c>
      <c t="s" s="6" r="Q778">
        <v>188</v>
      </c>
      <c t="s" s="6" r="R778">
        <v>5949</v>
      </c>
      <c t="s" s="6" r="S778">
        <v>5950</v>
      </c>
      <c t="s" s="6" r="T778">
        <v>5200</v>
      </c>
      <c t="s" s="6" r="U778">
        <v>5951</v>
      </c>
      <c s="6" r="V778">
        <v>1</v>
      </c>
      <c s="6" r="W778">
        <v>1</v>
      </c>
      <c s="6" r="X778">
        <v>0</v>
      </c>
      <c s="6" r="Y778">
        <v>0</v>
      </c>
      <c s="6" r="Z778">
        <v>0</v>
      </c>
      <c t="s" s="6" r="AA778">
        <v>92</v>
      </c>
      <c t="s" s="6" r="AB778">
        <v>92</v>
      </c>
      <c t="s" s="6" r="AC778">
        <v>92</v>
      </c>
      <c t="s" s="6" r="AD778">
        <v>92</v>
      </c>
      <c t="s" s="6" r="AE778">
        <v>92</v>
      </c>
      <c s="6" r="AF778">
        <v>5</v>
      </c>
      <c t="s" s="6" r="AG778">
        <v>92</v>
      </c>
      <c t="s" s="6" r="AH778">
        <v>92</v>
      </c>
      <c t="s" s="6" r="AI778">
        <v>92</v>
      </c>
      <c t="s" s="6" r="AJ778">
        <v>92</v>
      </c>
      <c t="s" s="6" r="AK778">
        <v>92</v>
      </c>
      <c t="s" s="6" r="AL778">
        <v>92</v>
      </c>
      <c t="s" s="6" r="AM778">
        <v>92</v>
      </c>
      <c t="s" s="6" r="AN778">
        <v>92</v>
      </c>
      <c s="6" r="AP778">
        <v>5</v>
      </c>
      <c t="s" s="6" r="AR778">
        <v>5952</v>
      </c>
      <c s="6" r="AS778">
        <v>0</v>
      </c>
      <c s="6" r="AT778">
        <v>0</v>
      </c>
      <c s="6" r="AU778">
        <v>0</v>
      </c>
      <c s="6" r="AV778">
        <v>0</v>
      </c>
      <c s="6" r="AW778">
        <v>0</v>
      </c>
      <c s="6" r="AX778">
        <v>0</v>
      </c>
      <c s="6" r="AY778">
        <v>0</v>
      </c>
      <c s="6" r="AZ778">
        <v>0</v>
      </c>
      <c s="6" r="BA778">
        <v>0</v>
      </c>
      <c s="6" r="BB778">
        <v>0</v>
      </c>
      <c s="6" r="BC778">
        <v>0</v>
      </c>
      <c s="6" r="BD778">
        <v>0</v>
      </c>
      <c s="6" r="BE778">
        <v>0</v>
      </c>
      <c s="6" r="BF778">
        <v>0</v>
      </c>
      <c s="6" r="BG778">
        <v>0</v>
      </c>
      <c s="6" r="BH778">
        <v>0</v>
      </c>
      <c s="6" r="BI778">
        <v>0</v>
      </c>
      <c s="6" r="BJ778">
        <v>0</v>
      </c>
      <c s="6" r="BK778">
        <v>0</v>
      </c>
      <c s="6" r="BL778">
        <v>1</v>
      </c>
      <c s="6" r="BM778">
        <v>0</v>
      </c>
      <c s="6" r="BN778">
        <v>0</v>
      </c>
      <c s="6" r="BO778">
        <v>0</v>
      </c>
      <c s="6" r="BP778">
        <v>0</v>
      </c>
      <c s="6" r="BQ778">
        <v>0</v>
      </c>
      <c t="str" s="6" r="BR778">
        <f>HYPERLINK("http://www.d20pfsrd.com/magic/all-spells/f/foe-to-friend","Foe to Friend")</f>
        <v>Foe to Friend</v>
      </c>
      <c s="6" r="BS778">
        <v>788</v>
      </c>
      <c t="s" s="6" r="BT778">
        <v>92</v>
      </c>
      <c s="6" r="BY778">
        <v>0</v>
      </c>
    </row>
    <row customHeight="1" r="779" ht="14.25">
      <c t="s" s="6" r="A779">
        <v>5953</v>
      </c>
      <c t="s" s="6" r="B779">
        <v>174</v>
      </c>
      <c t="s" s="6" r="D779">
        <v>5573</v>
      </c>
      <c t="s" s="6" r="E779">
        <v>5499</v>
      </c>
      <c t="s" s="6" r="F779">
        <v>81</v>
      </c>
      <c t="s" s="6" r="G779">
        <v>119</v>
      </c>
      <c s="6" r="H779">
        <v>0</v>
      </c>
      <c t="s" s="6" r="I779">
        <v>155</v>
      </c>
      <c t="s" s="6" r="L779">
        <v>156</v>
      </c>
      <c t="s" s="6" r="M779">
        <v>5954</v>
      </c>
      <c s="6" r="N779">
        <v>1</v>
      </c>
      <c s="6" r="O779">
        <v>0</v>
      </c>
      <c t="s" s="6" r="R779">
        <v>5955</v>
      </c>
      <c t="s" s="6" r="S779">
        <v>5956</v>
      </c>
      <c t="s" s="6" r="T779">
        <v>5200</v>
      </c>
      <c t="s" s="6" r="U779">
        <v>5957</v>
      </c>
      <c s="6" r="V779">
        <v>1</v>
      </c>
      <c s="6" r="W779">
        <v>1</v>
      </c>
      <c s="6" r="X779">
        <v>0</v>
      </c>
      <c s="6" r="Y779">
        <v>0</v>
      </c>
      <c s="6" r="Z779">
        <v>1</v>
      </c>
      <c t="s" s="6" r="AA779">
        <v>92</v>
      </c>
      <c t="s" s="6" r="AB779">
        <v>92</v>
      </c>
      <c t="s" s="6" r="AC779">
        <v>92</v>
      </c>
      <c t="s" s="6" r="AD779">
        <v>92</v>
      </c>
      <c t="s" s="6" r="AE779">
        <v>92</v>
      </c>
      <c t="s" s="6" r="AF779">
        <v>92</v>
      </c>
      <c t="s" s="6" r="AG779">
        <v>92</v>
      </c>
      <c t="s" s="6" r="AH779">
        <v>92</v>
      </c>
      <c t="s" s="6" r="AI779">
        <v>92</v>
      </c>
      <c t="s" s="6" r="AJ779">
        <v>92</v>
      </c>
      <c s="6" r="AK779">
        <v>2</v>
      </c>
      <c t="s" s="6" r="AL779">
        <v>92</v>
      </c>
      <c t="s" s="6" r="AM779">
        <v>92</v>
      </c>
      <c t="s" s="6" r="AN779">
        <v>92</v>
      </c>
      <c s="6" r="AP779">
        <v>2</v>
      </c>
      <c t="s" s="6" r="AR779">
        <v>5958</v>
      </c>
      <c s="6" r="AS779">
        <v>0</v>
      </c>
      <c s="6" r="AT779">
        <v>0</v>
      </c>
      <c s="6" r="AU779">
        <v>1</v>
      </c>
      <c s="6" r="AV779">
        <v>0</v>
      </c>
      <c s="6" r="AW779">
        <v>0</v>
      </c>
      <c s="6" r="AX779">
        <v>0</v>
      </c>
      <c s="6" r="AY779">
        <v>0</v>
      </c>
      <c s="6" r="AZ779">
        <v>0</v>
      </c>
      <c s="6" r="BA779">
        <v>0</v>
      </c>
      <c s="6" r="BB779">
        <v>0</v>
      </c>
      <c s="6" r="BC779">
        <v>0</v>
      </c>
      <c s="6" r="BD779">
        <v>1</v>
      </c>
      <c s="6" r="BE779">
        <v>0</v>
      </c>
      <c s="6" r="BF779">
        <v>0</v>
      </c>
      <c s="6" r="BG779">
        <v>0</v>
      </c>
      <c s="6" r="BH779">
        <v>1</v>
      </c>
      <c s="6" r="BI779">
        <v>0</v>
      </c>
      <c s="6" r="BJ779">
        <v>1</v>
      </c>
      <c s="6" r="BK779">
        <v>0</v>
      </c>
      <c s="6" r="BL779">
        <v>0</v>
      </c>
      <c s="6" r="BM779">
        <v>0</v>
      </c>
      <c s="6" r="BN779">
        <v>0</v>
      </c>
      <c s="6" r="BO779">
        <v>0</v>
      </c>
      <c s="6" r="BP779">
        <v>0</v>
      </c>
      <c s="6" r="BQ779">
        <v>0</v>
      </c>
      <c t="str" s="6" r="BR779">
        <f>HYPERLINK("http://www.d20pfsrd.com/magic/all-spells/f/follow-aura","Follow Aura")</f>
        <v>Follow Aura</v>
      </c>
      <c s="6" r="BS779">
        <v>789</v>
      </c>
      <c t="s" s="6" r="BT779">
        <v>92</v>
      </c>
      <c s="6" r="BY779">
        <v>0</v>
      </c>
    </row>
    <row customHeight="1" r="780" ht="14.25">
      <c t="s" s="6" r="A780">
        <v>5959</v>
      </c>
      <c t="s" s="6" r="B780">
        <v>162</v>
      </c>
      <c t="s" s="6" r="D780">
        <v>117</v>
      </c>
      <c t="s" s="6" r="E780">
        <v>4408</v>
      </c>
      <c t="s" s="6" r="F780">
        <v>81</v>
      </c>
      <c t="s" s="6" r="G780">
        <v>5960</v>
      </c>
      <c s="6" r="H780">
        <v>0</v>
      </c>
      <c t="s" s="6" r="I780">
        <v>273</v>
      </c>
      <c t="s" s="6" r="J780">
        <v>5961</v>
      </c>
      <c t="s" s="6" r="M780">
        <v>220</v>
      </c>
      <c s="6" r="N780">
        <v>0</v>
      </c>
      <c s="6" r="O780">
        <v>0</v>
      </c>
      <c t="s" s="6" r="P780">
        <v>296</v>
      </c>
      <c t="s" s="6" r="Q780">
        <v>188</v>
      </c>
      <c t="s" s="6" r="R780">
        <v>5962</v>
      </c>
      <c t="s" s="6" r="S780">
        <v>5963</v>
      </c>
      <c t="s" s="6" r="T780">
        <v>5200</v>
      </c>
      <c t="s" s="6" r="U780">
        <v>5964</v>
      </c>
      <c s="6" r="V780">
        <v>1</v>
      </c>
      <c s="6" r="W780">
        <v>1</v>
      </c>
      <c s="6" r="X780">
        <v>1</v>
      </c>
      <c s="6" r="Y780">
        <v>0</v>
      </c>
      <c s="6" r="Z780">
        <v>0</v>
      </c>
      <c t="s" s="6" r="AA780">
        <v>92</v>
      </c>
      <c t="s" s="6" r="AB780">
        <v>92</v>
      </c>
      <c t="s" s="6" r="AC780">
        <v>92</v>
      </c>
      <c t="s" s="6" r="AD780">
        <v>92</v>
      </c>
      <c t="s" s="6" r="AE780">
        <v>92</v>
      </c>
      <c s="6" r="AF780">
        <v>6</v>
      </c>
      <c t="s" s="6" r="AG780">
        <v>92</v>
      </c>
      <c t="s" s="6" r="AH780">
        <v>92</v>
      </c>
      <c t="s" s="6" r="AI780">
        <v>92</v>
      </c>
      <c t="s" s="6" r="AJ780">
        <v>92</v>
      </c>
      <c t="s" s="6" r="AK780">
        <v>92</v>
      </c>
      <c t="s" s="6" r="AL780">
        <v>92</v>
      </c>
      <c t="s" s="6" r="AM780">
        <v>92</v>
      </c>
      <c t="s" s="6" r="AN780">
        <v>92</v>
      </c>
      <c s="6" r="AP780">
        <v>6</v>
      </c>
      <c t="s" s="6" r="AR780">
        <v>5965</v>
      </c>
      <c s="6" r="AS780">
        <v>0</v>
      </c>
      <c s="6" r="AT780">
        <v>0</v>
      </c>
      <c s="6" r="AU780">
        <v>0</v>
      </c>
      <c s="6" r="AV780">
        <v>0</v>
      </c>
      <c s="6" r="AW780">
        <v>0</v>
      </c>
      <c s="6" r="AX780">
        <v>0</v>
      </c>
      <c s="6" r="AY780">
        <v>0</v>
      </c>
      <c s="6" r="AZ780">
        <v>0</v>
      </c>
      <c s="6" r="BA780">
        <v>0</v>
      </c>
      <c s="6" r="BB780">
        <v>0</v>
      </c>
      <c s="6" r="BC780">
        <v>0</v>
      </c>
      <c s="6" r="BD780">
        <v>0</v>
      </c>
      <c s="6" r="BE780">
        <v>0</v>
      </c>
      <c s="6" r="BF780">
        <v>0</v>
      </c>
      <c s="6" r="BG780">
        <v>0</v>
      </c>
      <c s="6" r="BH780">
        <v>0</v>
      </c>
      <c s="6" r="BI780">
        <v>0</v>
      </c>
      <c s="6" r="BJ780">
        <v>0</v>
      </c>
      <c s="6" r="BK780">
        <v>0</v>
      </c>
      <c s="6" r="BL780">
        <v>1</v>
      </c>
      <c s="6" r="BM780">
        <v>0</v>
      </c>
      <c s="6" r="BN780">
        <v>0</v>
      </c>
      <c s="6" r="BO780">
        <v>0</v>
      </c>
      <c s="6" r="BP780">
        <v>0</v>
      </c>
      <c s="6" r="BQ780">
        <v>0</v>
      </c>
      <c t="str" s="6" r="BR780">
        <f>HYPERLINK("http://www.d20pfsrd.com/magic/all-spells/f/fool-s-forbiddance","Fool's Forbiddance")</f>
        <v>Fool's Forbiddance</v>
      </c>
      <c s="6" r="BS780">
        <v>790</v>
      </c>
      <c t="s" s="6" r="BT780">
        <v>92</v>
      </c>
      <c s="6" r="BY780">
        <v>0</v>
      </c>
    </row>
    <row customHeight="1" r="781" ht="14.25">
      <c t="s" s="6" r="A781">
        <v>5966</v>
      </c>
      <c t="s" s="6" r="B781">
        <v>115</v>
      </c>
      <c t="s" s="6" r="C781">
        <v>116</v>
      </c>
      <c t="s" s="6" r="D781">
        <v>291</v>
      </c>
      <c t="s" s="6" r="E781">
        <v>5967</v>
      </c>
      <c t="s" s="6" r="F781">
        <v>81</v>
      </c>
      <c t="s" s="6" r="G781">
        <v>119</v>
      </c>
      <c s="6" r="H781">
        <v>0</v>
      </c>
      <c t="s" s="6" r="I781">
        <v>107</v>
      </c>
      <c t="s" s="6" r="L781">
        <v>5968</v>
      </c>
      <c t="s" s="6" r="M781">
        <v>99</v>
      </c>
      <c s="6" r="N781">
        <v>0</v>
      </c>
      <c s="6" r="O781">
        <v>0</v>
      </c>
      <c t="s" s="6" r="P781">
        <v>221</v>
      </c>
      <c t="s" s="6" r="Q781">
        <v>188</v>
      </c>
      <c t="s" s="6" r="R781">
        <v>5969</v>
      </c>
      <c t="s" s="6" r="S781">
        <v>5970</v>
      </c>
      <c t="s" s="6" r="T781">
        <v>5200</v>
      </c>
      <c t="s" s="6" r="U781">
        <v>5971</v>
      </c>
      <c s="6" r="V781">
        <v>1</v>
      </c>
      <c s="6" r="W781">
        <v>1</v>
      </c>
      <c s="6" r="X781">
        <v>0</v>
      </c>
      <c s="6" r="Y781">
        <v>0</v>
      </c>
      <c s="6" r="Z781">
        <v>1</v>
      </c>
      <c t="s" s="6" r="AA781">
        <v>92</v>
      </c>
      <c t="s" s="6" r="AB781">
        <v>92</v>
      </c>
      <c t="s" s="6" r="AC781">
        <v>92</v>
      </c>
      <c t="s" s="6" r="AD781">
        <v>92</v>
      </c>
      <c t="s" s="6" r="AE781">
        <v>92</v>
      </c>
      <c t="s" s="6" r="AF781">
        <v>92</v>
      </c>
      <c s="6" r="AG781">
        <v>4</v>
      </c>
      <c t="s" s="6" r="AH781">
        <v>92</v>
      </c>
      <c t="s" s="6" r="AI781">
        <v>92</v>
      </c>
      <c t="s" s="6" r="AJ781">
        <v>92</v>
      </c>
      <c s="6" r="AK781">
        <v>4</v>
      </c>
      <c t="s" s="6" r="AL781">
        <v>92</v>
      </c>
      <c t="s" s="6" r="AM781">
        <v>92</v>
      </c>
      <c t="s" s="6" r="AN781">
        <v>92</v>
      </c>
      <c s="6" r="AP781">
        <v>4</v>
      </c>
      <c t="s" s="6" r="AR781">
        <v>5972</v>
      </c>
      <c s="6" r="AS781">
        <v>0</v>
      </c>
      <c s="6" r="AT781">
        <v>0</v>
      </c>
      <c s="6" r="AU781">
        <v>0</v>
      </c>
      <c s="6" r="AV781">
        <v>0</v>
      </c>
      <c s="6" r="AW781">
        <v>0</v>
      </c>
      <c s="6" r="AX781">
        <v>0</v>
      </c>
      <c s="6" r="AY781">
        <v>0</v>
      </c>
      <c s="6" r="AZ781">
        <v>0</v>
      </c>
      <c s="6" r="BA781">
        <v>0</v>
      </c>
      <c s="6" r="BB781">
        <v>0</v>
      </c>
      <c s="6" r="BC781">
        <v>1</v>
      </c>
      <c s="6" r="BD781">
        <v>0</v>
      </c>
      <c s="6" r="BE781">
        <v>0</v>
      </c>
      <c s="6" r="BF781">
        <v>0</v>
      </c>
      <c s="6" r="BG781">
        <v>0</v>
      </c>
      <c s="6" r="BH781">
        <v>0</v>
      </c>
      <c s="6" r="BI781">
        <v>0</v>
      </c>
      <c s="6" r="BJ781">
        <v>0</v>
      </c>
      <c s="6" r="BK781">
        <v>0</v>
      </c>
      <c s="6" r="BL781">
        <v>1</v>
      </c>
      <c s="6" r="BM781">
        <v>0</v>
      </c>
      <c s="6" r="BN781">
        <v>0</v>
      </c>
      <c s="6" r="BO781">
        <v>0</v>
      </c>
      <c s="6" r="BP781">
        <v>0</v>
      </c>
      <c s="6" r="BQ781">
        <v>0</v>
      </c>
      <c t="str" s="6" r="BR781">
        <f>HYPERLINK("http://www.d20pfsrd.com/magic/all-spells/f/forced-repentance","Forced Repentance")</f>
        <v>Forced Repentance</v>
      </c>
      <c s="6" r="BS781">
        <v>791</v>
      </c>
      <c t="s" s="6" r="BT781">
        <v>92</v>
      </c>
      <c s="6" r="BY781">
        <v>0</v>
      </c>
    </row>
    <row customHeight="1" r="782" ht="14.25">
      <c t="s" s="6" r="A782">
        <v>5973</v>
      </c>
      <c t="s" s="6" r="B782">
        <v>115</v>
      </c>
      <c t="s" s="6" r="C782">
        <v>116</v>
      </c>
      <c t="s" s="6" r="D782">
        <v>217</v>
      </c>
      <c t="s" s="6" r="E782">
        <v>4038</v>
      </c>
      <c t="s" s="6" r="F782">
        <v>81</v>
      </c>
      <c t="s" s="6" r="G782">
        <v>251</v>
      </c>
      <c s="6" r="H782">
        <v>0</v>
      </c>
      <c t="s" s="6" r="J782">
        <v>5974</v>
      </c>
      <c t="s" s="6" r="L782">
        <v>5975</v>
      </c>
      <c t="s" s="6" r="M782">
        <v>5976</v>
      </c>
      <c s="6" r="N782">
        <v>0</v>
      </c>
      <c s="6" r="O782">
        <v>0</v>
      </c>
      <c t="s" s="6" r="P782">
        <v>722</v>
      </c>
      <c t="s" s="6" r="Q782">
        <v>188</v>
      </c>
      <c t="s" s="6" r="R782">
        <v>5977</v>
      </c>
      <c t="s" s="6" r="S782">
        <v>5978</v>
      </c>
      <c t="s" s="6" r="T782">
        <v>5200</v>
      </c>
      <c t="s" s="6" r="U782">
        <v>5979</v>
      </c>
      <c s="6" r="V782">
        <v>1</v>
      </c>
      <c s="6" r="W782">
        <v>0</v>
      </c>
      <c s="6" r="X782">
        <v>0</v>
      </c>
      <c s="6" r="Y782">
        <v>0</v>
      </c>
      <c s="6" r="Z782">
        <v>0</v>
      </c>
      <c t="s" s="6" r="AA782">
        <v>92</v>
      </c>
      <c t="s" s="6" r="AB782">
        <v>92</v>
      </c>
      <c t="s" s="6" r="AC782">
        <v>92</v>
      </c>
      <c t="s" s="6" r="AD782">
        <v>92</v>
      </c>
      <c t="s" s="6" r="AE782">
        <v>92</v>
      </c>
      <c s="6" r="AF782">
        <v>5</v>
      </c>
      <c t="s" s="6" r="AG782">
        <v>92</v>
      </c>
      <c t="s" s="6" r="AH782">
        <v>92</v>
      </c>
      <c t="s" s="6" r="AI782">
        <v>92</v>
      </c>
      <c t="s" s="6" r="AJ782">
        <v>92</v>
      </c>
      <c t="s" s="6" r="AK782">
        <v>92</v>
      </c>
      <c t="s" s="6" r="AL782">
        <v>92</v>
      </c>
      <c t="s" s="6" r="AM782">
        <v>92</v>
      </c>
      <c t="s" s="6" r="AN782">
        <v>92</v>
      </c>
      <c s="6" r="AP782">
        <v>5</v>
      </c>
      <c t="s" s="6" r="AR782">
        <v>5980</v>
      </c>
      <c s="6" r="AS782">
        <v>0</v>
      </c>
      <c s="6" r="AT782">
        <v>0</v>
      </c>
      <c s="6" r="AU782">
        <v>0</v>
      </c>
      <c s="6" r="AV782">
        <v>0</v>
      </c>
      <c s="6" r="AW782">
        <v>0</v>
      </c>
      <c s="6" r="AX782">
        <v>0</v>
      </c>
      <c s="6" r="AY782">
        <v>0</v>
      </c>
      <c s="6" r="AZ782">
        <v>0</v>
      </c>
      <c s="6" r="BA782">
        <v>0</v>
      </c>
      <c s="6" r="BB782">
        <v>0</v>
      </c>
      <c s="6" r="BC782">
        <v>0</v>
      </c>
      <c s="6" r="BD782">
        <v>0</v>
      </c>
      <c s="6" r="BE782">
        <v>0</v>
      </c>
      <c s="6" r="BF782">
        <v>0</v>
      </c>
      <c s="6" r="BG782">
        <v>0</v>
      </c>
      <c s="6" r="BH782">
        <v>0</v>
      </c>
      <c s="6" r="BI782">
        <v>0</v>
      </c>
      <c s="6" r="BJ782">
        <v>0</v>
      </c>
      <c s="6" r="BK782">
        <v>0</v>
      </c>
      <c s="6" r="BL782">
        <v>1</v>
      </c>
      <c s="6" r="BM782">
        <v>0</v>
      </c>
      <c s="6" r="BN782">
        <v>0</v>
      </c>
      <c s="6" r="BO782">
        <v>0</v>
      </c>
      <c s="6" r="BP782">
        <v>1</v>
      </c>
      <c s="6" r="BQ782">
        <v>0</v>
      </c>
      <c t="str" s="6" r="BR782">
        <f>HYPERLINK("http://www.d20pfsrd.com/magic/all-spells/f/frozen-note","Frozen Note")</f>
        <v>Frozen Note</v>
      </c>
      <c s="6" r="BS782">
        <v>792</v>
      </c>
      <c t="s" s="6" r="BT782">
        <v>92</v>
      </c>
      <c s="6" r="BY782">
        <v>0</v>
      </c>
    </row>
    <row customHeight="1" r="783" ht="14.25">
      <c t="s" s="6" r="A783">
        <v>5981</v>
      </c>
      <c t="s" s="6" r="B783">
        <v>174</v>
      </c>
      <c t="s" s="6" r="E783">
        <v>5455</v>
      </c>
      <c t="s" s="6" r="F783">
        <v>1743</v>
      </c>
      <c t="s" s="6" r="G783">
        <v>251</v>
      </c>
      <c s="6" r="H783">
        <v>0</v>
      </c>
      <c t="s" s="6" r="I783">
        <v>107</v>
      </c>
      <c t="s" s="6" r="L783">
        <v>473</v>
      </c>
      <c t="s" s="6" r="M783">
        <v>109</v>
      </c>
      <c s="6" r="N783">
        <v>0</v>
      </c>
      <c s="6" r="O783">
        <v>0</v>
      </c>
      <c t="s" s="6" r="P783">
        <v>421</v>
      </c>
      <c t="s" s="6" r="Q783">
        <v>188</v>
      </c>
      <c t="s" s="6" r="R783">
        <v>5982</v>
      </c>
      <c t="s" s="6" r="S783">
        <v>5983</v>
      </c>
      <c t="s" s="6" r="T783">
        <v>5200</v>
      </c>
      <c t="s" s="6" r="U783">
        <v>5984</v>
      </c>
      <c s="6" r="V783">
        <v>1</v>
      </c>
      <c s="6" r="W783">
        <v>0</v>
      </c>
      <c s="6" r="X783">
        <v>0</v>
      </c>
      <c s="6" r="Y783">
        <v>0</v>
      </c>
      <c s="6" r="Z783">
        <v>0</v>
      </c>
      <c t="s" s="6" r="AA783">
        <v>92</v>
      </c>
      <c t="s" s="6" r="AB783">
        <v>92</v>
      </c>
      <c t="s" s="6" r="AC783">
        <v>92</v>
      </c>
      <c t="s" s="6" r="AD783">
        <v>92</v>
      </c>
      <c t="s" s="6" r="AE783">
        <v>92</v>
      </c>
      <c s="6" r="AF783">
        <v>2</v>
      </c>
      <c t="s" s="6" r="AG783">
        <v>92</v>
      </c>
      <c t="s" s="6" r="AH783">
        <v>92</v>
      </c>
      <c t="s" s="6" r="AI783">
        <v>92</v>
      </c>
      <c t="s" s="6" r="AJ783">
        <v>92</v>
      </c>
      <c t="s" s="6" r="AK783">
        <v>92</v>
      </c>
      <c t="s" s="6" r="AL783">
        <v>92</v>
      </c>
      <c t="s" s="6" r="AM783">
        <v>92</v>
      </c>
      <c t="s" s="6" r="AN783">
        <v>92</v>
      </c>
      <c s="6" r="AP783">
        <v>2</v>
      </c>
      <c t="s" s="6" r="AR783">
        <v>5985</v>
      </c>
      <c s="6" r="AS783">
        <v>0</v>
      </c>
      <c s="6" r="AT783">
        <v>0</v>
      </c>
      <c s="6" r="AU783">
        <v>0</v>
      </c>
      <c s="6" r="AV783">
        <v>0</v>
      </c>
      <c s="6" r="AW783">
        <v>0</v>
      </c>
      <c s="6" r="AX783">
        <v>0</v>
      </c>
      <c s="6" r="AY783">
        <v>0</v>
      </c>
      <c s="6" r="AZ783">
        <v>0</v>
      </c>
      <c s="6" r="BA783">
        <v>0</v>
      </c>
      <c s="6" r="BB783">
        <v>0</v>
      </c>
      <c s="6" r="BC783">
        <v>0</v>
      </c>
      <c s="6" r="BD783">
        <v>0</v>
      </c>
      <c s="6" r="BE783">
        <v>0</v>
      </c>
      <c s="6" r="BF783">
        <v>0</v>
      </c>
      <c s="6" r="BG783">
        <v>0</v>
      </c>
      <c s="6" r="BH783">
        <v>0</v>
      </c>
      <c s="6" r="BI783">
        <v>0</v>
      </c>
      <c s="6" r="BJ783">
        <v>0</v>
      </c>
      <c s="6" r="BK783">
        <v>0</v>
      </c>
      <c s="6" r="BL783">
        <v>0</v>
      </c>
      <c s="6" r="BM783">
        <v>0</v>
      </c>
      <c s="6" r="BN783">
        <v>0</v>
      </c>
      <c s="6" r="BO783">
        <v>0</v>
      </c>
      <c s="6" r="BP783">
        <v>0</v>
      </c>
      <c s="6" r="BQ783">
        <v>0</v>
      </c>
      <c t="str" s="6" r="BR783">
        <f>HYPERLINK("http://www.d20pfsrd.com/magic/all-spells/g/gallant-inspiration","Gallant Inspiration")</f>
        <v>Gallant Inspiration</v>
      </c>
      <c s="6" r="BS783">
        <v>793</v>
      </c>
      <c t="s" s="6" r="BT783">
        <v>92</v>
      </c>
      <c s="6" r="BY783">
        <v>0</v>
      </c>
    </row>
    <row customHeight="1" r="784" ht="14.25">
      <c t="s" s="6" r="A784">
        <v>5986</v>
      </c>
      <c t="s" s="6" r="B784">
        <v>78</v>
      </c>
      <c t="s" s="6" r="C784">
        <v>1356</v>
      </c>
      <c t="s" s="6" r="E784">
        <v>3142</v>
      </c>
      <c t="s" s="6" r="F784">
        <v>197</v>
      </c>
      <c t="s" s="6" r="G784">
        <v>5987</v>
      </c>
      <c s="6" r="H784">
        <v>0</v>
      </c>
      <c t="s" s="6" r="I784">
        <v>313</v>
      </c>
      <c t="s" s="6" r="L784">
        <v>5988</v>
      </c>
      <c t="s" s="6" r="M784">
        <v>209</v>
      </c>
      <c s="6" r="N784">
        <v>0</v>
      </c>
      <c s="6" r="O784">
        <v>0</v>
      </c>
      <c t="s" s="6" r="P784">
        <v>86</v>
      </c>
      <c t="s" s="6" r="Q784">
        <v>87</v>
      </c>
      <c t="s" s="6" r="R784">
        <v>5989</v>
      </c>
      <c t="s" s="6" r="S784">
        <v>5990</v>
      </c>
      <c t="s" s="6" r="T784">
        <v>5200</v>
      </c>
      <c t="s" s="6" r="U784">
        <v>5991</v>
      </c>
      <c s="6" r="V784">
        <v>1</v>
      </c>
      <c s="6" r="W784">
        <v>1</v>
      </c>
      <c s="6" r="X784">
        <v>1</v>
      </c>
      <c s="6" r="Y784">
        <v>0</v>
      </c>
      <c s="6" r="Z784">
        <v>0</v>
      </c>
      <c s="6" r="AA784">
        <v>6</v>
      </c>
      <c s="6" r="AB784">
        <v>6</v>
      </c>
      <c t="s" s="6" r="AC784">
        <v>92</v>
      </c>
      <c t="s" s="6" r="AD784">
        <v>92</v>
      </c>
      <c t="s" s="6" r="AE784">
        <v>92</v>
      </c>
      <c s="6" r="AF784">
        <v>6</v>
      </c>
      <c t="s" s="6" r="AG784">
        <v>92</v>
      </c>
      <c t="s" s="6" r="AH784">
        <v>92</v>
      </c>
      <c t="s" s="6" r="AI784">
        <v>92</v>
      </c>
      <c t="s" s="6" r="AJ784">
        <v>92</v>
      </c>
      <c t="s" s="6" r="AK784">
        <v>92</v>
      </c>
      <c t="s" s="6" r="AL784">
        <v>92</v>
      </c>
      <c t="s" s="6" r="AM784">
        <v>92</v>
      </c>
      <c t="s" s="6" r="AN784">
        <v>92</v>
      </c>
      <c s="6" r="AP784">
        <v>6</v>
      </c>
      <c t="s" s="6" r="AR784">
        <v>5992</v>
      </c>
      <c s="6" r="AS784">
        <v>0</v>
      </c>
      <c s="6" r="AT784">
        <v>0</v>
      </c>
      <c s="6" r="AU784">
        <v>0</v>
      </c>
      <c s="6" r="AV784">
        <v>0</v>
      </c>
      <c s="6" r="AW784">
        <v>0</v>
      </c>
      <c s="6" r="AX784">
        <v>0</v>
      </c>
      <c s="6" r="AY784">
        <v>0</v>
      </c>
      <c s="6" r="AZ784">
        <v>0</v>
      </c>
      <c s="6" r="BA784">
        <v>0</v>
      </c>
      <c s="6" r="BB784">
        <v>0</v>
      </c>
      <c s="6" r="BC784">
        <v>0</v>
      </c>
      <c s="6" r="BD784">
        <v>0</v>
      </c>
      <c s="6" r="BE784">
        <v>0</v>
      </c>
      <c s="6" r="BF784">
        <v>0</v>
      </c>
      <c s="6" r="BG784">
        <v>0</v>
      </c>
      <c s="6" r="BH784">
        <v>0</v>
      </c>
      <c s="6" r="BI784">
        <v>0</v>
      </c>
      <c s="6" r="BJ784">
        <v>0</v>
      </c>
      <c s="6" r="BK784">
        <v>0</v>
      </c>
      <c s="6" r="BL784">
        <v>0</v>
      </c>
      <c s="6" r="BM784">
        <v>0</v>
      </c>
      <c s="6" r="BN784">
        <v>0</v>
      </c>
      <c s="6" r="BO784">
        <v>0</v>
      </c>
      <c s="6" r="BP784">
        <v>0</v>
      </c>
      <c s="6" r="BQ784">
        <v>0</v>
      </c>
      <c t="str" s="6" r="BR784">
        <f>HYPERLINK("http://www.d20pfsrd.com/magic/all-spells/g/getaway","Getaway")</f>
        <v>Getaway</v>
      </c>
      <c s="6" r="BS784">
        <v>794</v>
      </c>
      <c t="s" s="6" r="BT784">
        <v>92</v>
      </c>
      <c s="6" r="BY784">
        <v>0</v>
      </c>
    </row>
    <row customHeight="1" r="785" ht="14.25">
      <c t="s" s="6" r="A785">
        <v>5993</v>
      </c>
      <c t="s" s="6" r="B785">
        <v>78</v>
      </c>
      <c t="s" s="6" r="C785">
        <v>79</v>
      </c>
      <c t="s" s="6" r="D785">
        <v>5994</v>
      </c>
      <c t="s" s="6" r="E785">
        <v>5995</v>
      </c>
      <c t="s" s="6" r="F785">
        <v>81</v>
      </c>
      <c t="s" s="6" r="G785">
        <v>5996</v>
      </c>
      <c s="6" r="H785">
        <v>0</v>
      </c>
      <c t="s" s="6" r="I785">
        <v>83</v>
      </c>
      <c t="s" s="6" r="K785">
        <v>5997</v>
      </c>
      <c t="s" s="6" r="M785">
        <v>2696</v>
      </c>
      <c s="6" r="N785">
        <v>0</v>
      </c>
      <c s="6" r="O785">
        <v>0</v>
      </c>
      <c t="s" s="6" r="P785">
        <v>5998</v>
      </c>
      <c t="s" s="6" r="Q785">
        <v>87</v>
      </c>
      <c t="s" s="6" r="R785">
        <v>5999</v>
      </c>
      <c t="s" s="6" r="S785">
        <v>6000</v>
      </c>
      <c t="s" s="6" r="T785">
        <v>5200</v>
      </c>
      <c t="s" s="6" r="U785">
        <v>6001</v>
      </c>
      <c s="6" r="V785">
        <v>1</v>
      </c>
      <c s="6" r="W785">
        <v>1</v>
      </c>
      <c s="6" r="X785">
        <v>1</v>
      </c>
      <c s="6" r="Y785">
        <v>0</v>
      </c>
      <c s="6" r="Z785">
        <v>1</v>
      </c>
      <c s="6" r="AA785">
        <v>5</v>
      </c>
      <c s="6" r="AB785">
        <v>5</v>
      </c>
      <c t="s" s="6" r="AC785">
        <v>92</v>
      </c>
      <c s="6" r="AD785">
        <v>4</v>
      </c>
      <c t="s" s="6" r="AE785">
        <v>92</v>
      </c>
      <c t="s" s="6" r="AF785">
        <v>92</v>
      </c>
      <c t="s" s="6" r="AG785">
        <v>92</v>
      </c>
      <c t="s" s="6" r="AH785">
        <v>92</v>
      </c>
      <c t="s" s="6" r="AI785">
        <v>92</v>
      </c>
      <c t="s" s="6" r="AJ785">
        <v>92</v>
      </c>
      <c t="s" s="6" r="AK785">
        <v>92</v>
      </c>
      <c t="s" s="6" r="AL785">
        <v>92</v>
      </c>
      <c t="s" s="6" r="AM785">
        <v>92</v>
      </c>
      <c s="6" r="AN785">
        <v>5</v>
      </c>
      <c s="6" r="AP785">
        <v>5</v>
      </c>
      <c t="s" s="6" r="AR785">
        <v>6002</v>
      </c>
      <c s="6" r="AS785">
        <v>0</v>
      </c>
      <c s="6" r="AT785">
        <v>0</v>
      </c>
      <c s="6" r="AU785">
        <v>0</v>
      </c>
      <c s="6" r="AV785">
        <v>0</v>
      </c>
      <c s="6" r="AW785">
        <v>0</v>
      </c>
      <c s="6" r="AX785">
        <v>0</v>
      </c>
      <c s="6" r="AY785">
        <v>0</v>
      </c>
      <c s="6" r="AZ785">
        <v>0</v>
      </c>
      <c s="6" r="BA785">
        <v>0</v>
      </c>
      <c s="6" r="BB785">
        <v>0</v>
      </c>
      <c s="6" r="BC785">
        <v>0</v>
      </c>
      <c s="6" r="BD785">
        <v>0</v>
      </c>
      <c s="6" r="BE785">
        <v>0</v>
      </c>
      <c s="6" r="BF785">
        <v>1</v>
      </c>
      <c s="6" r="BG785">
        <v>0</v>
      </c>
      <c s="6" r="BH785">
        <v>0</v>
      </c>
      <c s="6" r="BI785">
        <v>0</v>
      </c>
      <c s="6" r="BJ785">
        <v>0</v>
      </c>
      <c s="6" r="BK785">
        <v>0</v>
      </c>
      <c s="6" r="BL785">
        <v>0</v>
      </c>
      <c s="6" r="BM785">
        <v>0</v>
      </c>
      <c s="6" r="BN785">
        <v>0</v>
      </c>
      <c s="6" r="BO785">
        <v>0</v>
      </c>
      <c s="6" r="BP785">
        <v>0</v>
      </c>
      <c s="6" r="BQ785">
        <v>1</v>
      </c>
      <c t="str" s="6" r="BR785">
        <f>HYPERLINK("http://www.d20pfsrd.com/magic/all-spells/g/geyser","Geyser")</f>
        <v>Geyser</v>
      </c>
      <c s="6" r="BS785">
        <v>795</v>
      </c>
      <c t="s" s="6" r="BT785">
        <v>92</v>
      </c>
      <c t="s" s="6" r="BU785">
        <v>462</v>
      </c>
      <c t="s" s="6" r="BV785">
        <v>542</v>
      </c>
      <c s="6" r="BY785">
        <v>0</v>
      </c>
    </row>
    <row customHeight="1" r="786" ht="14.25">
      <c t="s" s="6" r="A786">
        <v>6003</v>
      </c>
      <c t="s" s="6" r="B786">
        <v>131</v>
      </c>
      <c t="s" s="6" r="E786">
        <v>6004</v>
      </c>
      <c t="s" s="6" r="F786">
        <v>81</v>
      </c>
      <c t="s" s="6" r="G786">
        <v>6005</v>
      </c>
      <c s="6" r="H786">
        <v>0</v>
      </c>
      <c t="s" s="6" r="I786">
        <v>107</v>
      </c>
      <c t="s" s="6" r="L786">
        <v>6006</v>
      </c>
      <c t="s" s="6" r="M786">
        <v>99</v>
      </c>
      <c s="6" r="N786">
        <v>0</v>
      </c>
      <c s="6" r="O786">
        <v>0</v>
      </c>
      <c t="s" s="6" r="P786">
        <v>221</v>
      </c>
      <c t="s" s="6" r="Q786">
        <v>188</v>
      </c>
      <c t="s" s="6" r="R786">
        <v>6007</v>
      </c>
      <c t="s" s="6" r="S786">
        <v>6008</v>
      </c>
      <c t="s" s="6" r="T786">
        <v>5200</v>
      </c>
      <c t="s" s="6" r="U786">
        <v>6009</v>
      </c>
      <c s="6" r="V786">
        <v>1</v>
      </c>
      <c s="6" r="W786">
        <v>1</v>
      </c>
      <c s="6" r="X786">
        <v>1</v>
      </c>
      <c s="6" r="Y786">
        <v>0</v>
      </c>
      <c s="6" r="Z786">
        <v>1</v>
      </c>
      <c t="s" s="6" r="AA786">
        <v>92</v>
      </c>
      <c t="s" s="6" r="AB786">
        <v>92</v>
      </c>
      <c s="6" r="AC786">
        <v>2</v>
      </c>
      <c t="s" s="6" r="AD786">
        <v>92</v>
      </c>
      <c t="s" s="6" r="AE786">
        <v>92</v>
      </c>
      <c s="6" r="AF786">
        <v>2</v>
      </c>
      <c s="6" r="AG786">
        <v>1</v>
      </c>
      <c t="s" s="6" r="AH786">
        <v>92</v>
      </c>
      <c t="s" s="6" r="AI786">
        <v>92</v>
      </c>
      <c t="s" s="6" r="AJ786">
        <v>92</v>
      </c>
      <c s="6" r="AK786">
        <v>2</v>
      </c>
      <c s="6" r="AL786">
        <v>2</v>
      </c>
      <c t="s" s="6" r="AM786">
        <v>92</v>
      </c>
      <c t="s" s="6" r="AN786">
        <v>92</v>
      </c>
      <c s="6" r="AP786">
        <v>2</v>
      </c>
      <c t="s" s="6" r="AR786">
        <v>6010</v>
      </c>
      <c s="6" r="AS786">
        <v>0</v>
      </c>
      <c s="6" r="AT786">
        <v>0</v>
      </c>
      <c s="6" r="AU786">
        <v>0</v>
      </c>
      <c s="6" r="AV786">
        <v>0</v>
      </c>
      <c s="6" r="AW786">
        <v>0</v>
      </c>
      <c s="6" r="AX786">
        <v>0</v>
      </c>
      <c s="6" r="AY786">
        <v>0</v>
      </c>
      <c s="6" r="AZ786">
        <v>0</v>
      </c>
      <c s="6" r="BA786">
        <v>0</v>
      </c>
      <c s="6" r="BB786">
        <v>0</v>
      </c>
      <c s="6" r="BC786">
        <v>0</v>
      </c>
      <c s="6" r="BD786">
        <v>0</v>
      </c>
      <c s="6" r="BE786">
        <v>0</v>
      </c>
      <c s="6" r="BF786">
        <v>0</v>
      </c>
      <c s="6" r="BG786">
        <v>0</v>
      </c>
      <c s="6" r="BH786">
        <v>0</v>
      </c>
      <c s="6" r="BI786">
        <v>0</v>
      </c>
      <c s="6" r="BJ786">
        <v>0</v>
      </c>
      <c s="6" r="BK786">
        <v>0</v>
      </c>
      <c s="6" r="BL786">
        <v>0</v>
      </c>
      <c s="6" r="BM786">
        <v>0</v>
      </c>
      <c s="6" r="BN786">
        <v>0</v>
      </c>
      <c s="6" r="BO786">
        <v>0</v>
      </c>
      <c s="6" r="BP786">
        <v>0</v>
      </c>
      <c s="6" r="BQ786">
        <v>0</v>
      </c>
      <c t="s" s="6" r="BR786">
        <v>92</v>
      </c>
      <c s="6" r="BS786">
        <v>796</v>
      </c>
      <c t="s" s="6" r="BT786">
        <v>92</v>
      </c>
      <c t="s" s="6" r="BV786">
        <v>1681</v>
      </c>
      <c s="6" r="BY786">
        <v>0</v>
      </c>
    </row>
    <row customHeight="1" r="787" ht="14.25">
      <c t="s" s="6" r="A787">
        <v>6011</v>
      </c>
      <c t="s" s="6" r="B787">
        <v>131</v>
      </c>
      <c t="s" s="6" r="E787">
        <v>6012</v>
      </c>
      <c t="s" s="6" r="F787">
        <v>81</v>
      </c>
      <c t="s" s="6" r="G787">
        <v>6005</v>
      </c>
      <c s="6" r="H787">
        <v>0</v>
      </c>
      <c t="s" s="6" r="I787">
        <v>107</v>
      </c>
      <c t="s" s="6" r="L787">
        <v>6013</v>
      </c>
      <c t="s" s="6" r="M787">
        <v>99</v>
      </c>
      <c s="6" r="N787">
        <v>0</v>
      </c>
      <c s="6" r="O787">
        <v>0</v>
      </c>
      <c t="s" s="6" r="P787">
        <v>221</v>
      </c>
      <c t="s" s="6" r="Q787">
        <v>188</v>
      </c>
      <c t="s" s="6" r="R787">
        <v>6014</v>
      </c>
      <c t="s" s="6" r="S787">
        <v>6015</v>
      </c>
      <c t="s" s="6" r="T787">
        <v>5200</v>
      </c>
      <c t="s" s="6" r="U787">
        <v>6016</v>
      </c>
      <c s="6" r="V787">
        <v>1</v>
      </c>
      <c s="6" r="W787">
        <v>1</v>
      </c>
      <c s="6" r="X787">
        <v>1</v>
      </c>
      <c s="6" r="Y787">
        <v>0</v>
      </c>
      <c s="6" r="Z787">
        <v>1</v>
      </c>
      <c t="s" s="6" r="AA787">
        <v>92</v>
      </c>
      <c t="s" s="6" r="AB787">
        <v>92</v>
      </c>
      <c s="6" r="AC787">
        <v>5</v>
      </c>
      <c t="s" s="6" r="AD787">
        <v>92</v>
      </c>
      <c t="s" s="6" r="AE787">
        <v>92</v>
      </c>
      <c s="6" r="AF787">
        <v>4</v>
      </c>
      <c s="6" r="AG787">
        <v>3</v>
      </c>
      <c t="s" s="6" r="AH787">
        <v>92</v>
      </c>
      <c t="s" s="6" r="AI787">
        <v>92</v>
      </c>
      <c t="s" s="6" r="AJ787">
        <v>92</v>
      </c>
      <c s="6" r="AK787">
        <v>5</v>
      </c>
      <c s="6" r="AL787">
        <v>5</v>
      </c>
      <c t="s" s="6" r="AM787">
        <v>92</v>
      </c>
      <c t="s" s="6" r="AN787">
        <v>92</v>
      </c>
      <c s="6" r="AP787">
        <v>5</v>
      </c>
      <c t="s" s="6" r="AR787">
        <v>6017</v>
      </c>
      <c s="6" r="AS787">
        <v>0</v>
      </c>
      <c s="6" r="AT787">
        <v>0</v>
      </c>
      <c s="6" r="AU787">
        <v>0</v>
      </c>
      <c s="6" r="AV787">
        <v>0</v>
      </c>
      <c s="6" r="AW787">
        <v>0</v>
      </c>
      <c s="6" r="AX787">
        <v>0</v>
      </c>
      <c s="6" r="AY787">
        <v>0</v>
      </c>
      <c s="6" r="AZ787">
        <v>0</v>
      </c>
      <c s="6" r="BA787">
        <v>0</v>
      </c>
      <c s="6" r="BB787">
        <v>0</v>
      </c>
      <c s="6" r="BC787">
        <v>0</v>
      </c>
      <c s="6" r="BD787">
        <v>0</v>
      </c>
      <c s="6" r="BE787">
        <v>0</v>
      </c>
      <c s="6" r="BF787">
        <v>0</v>
      </c>
      <c s="6" r="BG787">
        <v>0</v>
      </c>
      <c s="6" r="BH787">
        <v>0</v>
      </c>
      <c s="6" r="BI787">
        <v>0</v>
      </c>
      <c s="6" r="BJ787">
        <v>0</v>
      </c>
      <c s="6" r="BK787">
        <v>0</v>
      </c>
      <c s="6" r="BL787">
        <v>0</v>
      </c>
      <c s="6" r="BM787">
        <v>0</v>
      </c>
      <c s="6" r="BN787">
        <v>0</v>
      </c>
      <c s="6" r="BO787">
        <v>0</v>
      </c>
      <c s="6" r="BP787">
        <v>0</v>
      </c>
      <c s="6" r="BQ787">
        <v>0</v>
      </c>
      <c t="s" s="6" r="BR787">
        <v>92</v>
      </c>
      <c s="6" r="BS787">
        <v>797</v>
      </c>
      <c t="s" s="6" r="BT787">
        <v>92</v>
      </c>
      <c t="s" s="6" r="BV787">
        <v>1681</v>
      </c>
      <c s="6" r="BY787">
        <v>0</v>
      </c>
    </row>
    <row customHeight="1" r="788" ht="14.25">
      <c t="s" s="6" r="A788">
        <v>6018</v>
      </c>
      <c t="s" s="6" r="B788">
        <v>131</v>
      </c>
      <c t="s" s="6" r="E788">
        <v>6019</v>
      </c>
      <c t="s" s="6" r="F788">
        <v>81</v>
      </c>
      <c t="s" s="6" r="G788">
        <v>6020</v>
      </c>
      <c s="6" r="H788">
        <v>0</v>
      </c>
      <c t="s" s="6" r="I788">
        <v>155</v>
      </c>
      <c t="s" s="6" r="L788">
        <v>156</v>
      </c>
      <c t="s" s="6" r="M788">
        <v>6021</v>
      </c>
      <c s="6" r="N788">
        <v>1</v>
      </c>
      <c s="6" r="O788">
        <v>0</v>
      </c>
      <c t="s" s="6" r="R788">
        <v>6022</v>
      </c>
      <c t="s" s="6" r="S788">
        <v>6023</v>
      </c>
      <c t="s" s="6" r="T788">
        <v>5200</v>
      </c>
      <c t="s" s="6" r="U788">
        <v>6024</v>
      </c>
      <c s="6" r="V788">
        <v>1</v>
      </c>
      <c s="6" r="W788">
        <v>1</v>
      </c>
      <c s="6" r="X788">
        <v>1</v>
      </c>
      <c s="6" r="Y788">
        <v>0</v>
      </c>
      <c s="6" r="Z788">
        <v>1</v>
      </c>
      <c s="6" r="AA788">
        <v>2</v>
      </c>
      <c s="6" r="AB788">
        <v>2</v>
      </c>
      <c t="s" s="6" r="AC788">
        <v>92</v>
      </c>
      <c s="6" r="AD788">
        <v>2</v>
      </c>
      <c s="6" r="AE788">
        <v>1</v>
      </c>
      <c t="s" s="6" r="AF788">
        <v>92</v>
      </c>
      <c t="s" s="6" r="AG788">
        <v>92</v>
      </c>
      <c t="s" s="6" r="AH788">
        <v>92</v>
      </c>
      <c s="6" r="AI788">
        <v>2</v>
      </c>
      <c s="6" r="AJ788">
        <v>2</v>
      </c>
      <c t="s" s="6" r="AK788">
        <v>92</v>
      </c>
      <c t="s" s="6" r="AL788">
        <v>92</v>
      </c>
      <c t="s" s="6" r="AM788">
        <v>92</v>
      </c>
      <c t="s" s="6" r="AN788">
        <v>92</v>
      </c>
      <c s="6" r="AP788">
        <v>2</v>
      </c>
      <c t="s" s="6" r="AR788">
        <v>6025</v>
      </c>
      <c s="6" r="AS788">
        <v>0</v>
      </c>
      <c s="6" r="AT788">
        <v>0</v>
      </c>
      <c s="6" r="AU788">
        <v>0</v>
      </c>
      <c s="6" r="AV788">
        <v>0</v>
      </c>
      <c s="6" r="AW788">
        <v>0</v>
      </c>
      <c s="6" r="AX788">
        <v>0</v>
      </c>
      <c s="6" r="AY788">
        <v>0</v>
      </c>
      <c s="6" r="AZ788">
        <v>0</v>
      </c>
      <c s="6" r="BA788">
        <v>0</v>
      </c>
      <c s="6" r="BB788">
        <v>0</v>
      </c>
      <c s="6" r="BC788">
        <v>0</v>
      </c>
      <c s="6" r="BD788">
        <v>0</v>
      </c>
      <c s="6" r="BE788">
        <v>0</v>
      </c>
      <c s="6" r="BF788">
        <v>0</v>
      </c>
      <c s="6" r="BG788">
        <v>0</v>
      </c>
      <c s="6" r="BH788">
        <v>0</v>
      </c>
      <c s="6" r="BI788">
        <v>0</v>
      </c>
      <c s="6" r="BJ788">
        <v>0</v>
      </c>
      <c s="6" r="BK788">
        <v>0</v>
      </c>
      <c s="6" r="BL788">
        <v>0</v>
      </c>
      <c s="6" r="BM788">
        <v>0</v>
      </c>
      <c s="6" r="BN788">
        <v>0</v>
      </c>
      <c s="6" r="BO788">
        <v>0</v>
      </c>
      <c s="6" r="BP788">
        <v>0</v>
      </c>
      <c s="6" r="BQ788">
        <v>0</v>
      </c>
      <c t="str" s="6" r="BR788">
        <f>HYPERLINK("http://www.d20pfsrd.com/magic/all-spells/g/glide","Glide")</f>
        <v>Glide</v>
      </c>
      <c s="6" r="BS788">
        <v>798</v>
      </c>
      <c t="s" s="6" r="BT788">
        <v>92</v>
      </c>
      <c s="6" r="BY788">
        <v>0</v>
      </c>
    </row>
    <row customHeight="1" r="789" ht="14.25">
      <c t="s" s="6" r="A789">
        <v>6026</v>
      </c>
      <c t="s" s="6" r="B789">
        <v>162</v>
      </c>
      <c t="s" s="6" r="E789">
        <v>6027</v>
      </c>
      <c t="s" s="6" r="F789">
        <v>5881</v>
      </c>
      <c t="s" s="6" r="G789">
        <v>251</v>
      </c>
      <c s="6" r="H789">
        <v>0</v>
      </c>
      <c t="s" s="6" r="I789">
        <v>155</v>
      </c>
      <c t="s" s="6" r="L789">
        <v>156</v>
      </c>
      <c t="s" s="6" r="M789">
        <v>141</v>
      </c>
      <c s="6" r="N789">
        <v>0</v>
      </c>
      <c s="6" r="O789">
        <v>0</v>
      </c>
      <c t="s" s="6" r="R789">
        <v>6028</v>
      </c>
      <c t="s" s="6" r="S789">
        <v>6029</v>
      </c>
      <c t="s" s="6" r="T789">
        <v>5200</v>
      </c>
      <c t="s" s="6" r="U789">
        <v>6030</v>
      </c>
      <c s="6" r="V789">
        <v>1</v>
      </c>
      <c s="6" r="W789">
        <v>0</v>
      </c>
      <c s="6" r="X789">
        <v>0</v>
      </c>
      <c s="6" r="Y789">
        <v>0</v>
      </c>
      <c s="6" r="Z789">
        <v>0</v>
      </c>
      <c t="s" s="6" r="AA789">
        <v>92</v>
      </c>
      <c t="s" s="6" r="AB789">
        <v>92</v>
      </c>
      <c s="6" r="AC789">
        <v>2</v>
      </c>
      <c t="s" s="6" r="AD789">
        <v>92</v>
      </c>
      <c t="s" s="6" r="AE789">
        <v>92</v>
      </c>
      <c t="s" s="6" r="AF789">
        <v>92</v>
      </c>
      <c s="6" r="AG789">
        <v>1</v>
      </c>
      <c t="s" s="6" r="AH789">
        <v>92</v>
      </c>
      <c t="s" s="6" r="AI789">
        <v>92</v>
      </c>
      <c t="s" s="6" r="AJ789">
        <v>92</v>
      </c>
      <c t="s" s="6" r="AK789">
        <v>92</v>
      </c>
      <c s="6" r="AL789">
        <v>2</v>
      </c>
      <c t="s" s="6" r="AM789">
        <v>92</v>
      </c>
      <c t="s" s="6" r="AN789">
        <v>92</v>
      </c>
      <c s="6" r="AP789">
        <v>2</v>
      </c>
      <c t="s" s="6" r="AR789">
        <v>6031</v>
      </c>
      <c s="6" r="AS789">
        <v>0</v>
      </c>
      <c s="6" r="AT789">
        <v>0</v>
      </c>
      <c s="6" r="AU789">
        <v>0</v>
      </c>
      <c s="6" r="AV789">
        <v>0</v>
      </c>
      <c s="6" r="AW789">
        <v>0</v>
      </c>
      <c s="6" r="AX789">
        <v>0</v>
      </c>
      <c s="6" r="AY789">
        <v>0</v>
      </c>
      <c s="6" r="AZ789">
        <v>0</v>
      </c>
      <c s="6" r="BA789">
        <v>0</v>
      </c>
      <c s="6" r="BB789">
        <v>0</v>
      </c>
      <c s="6" r="BC789">
        <v>0</v>
      </c>
      <c s="6" r="BD789">
        <v>0</v>
      </c>
      <c s="6" r="BE789">
        <v>0</v>
      </c>
      <c s="6" r="BF789">
        <v>0</v>
      </c>
      <c s="6" r="BG789">
        <v>0</v>
      </c>
      <c s="6" r="BH789">
        <v>0</v>
      </c>
      <c s="6" r="BI789">
        <v>0</v>
      </c>
      <c s="6" r="BJ789">
        <v>0</v>
      </c>
      <c s="6" r="BK789">
        <v>0</v>
      </c>
      <c s="6" r="BL789">
        <v>0</v>
      </c>
      <c s="6" r="BM789">
        <v>0</v>
      </c>
      <c s="6" r="BN789">
        <v>0</v>
      </c>
      <c s="6" r="BO789">
        <v>0</v>
      </c>
      <c s="6" r="BP789">
        <v>0</v>
      </c>
      <c s="6" r="BQ789">
        <v>0</v>
      </c>
      <c t="str" s="6" r="BR789">
        <f>HYPERLINK("http://www.d20pfsrd.com/magic/all-spells/g/grace","Grace")</f>
        <v>Grace</v>
      </c>
      <c s="6" r="BS789">
        <v>799</v>
      </c>
      <c t="s" s="6" r="BT789">
        <v>92</v>
      </c>
      <c s="6" r="BY789">
        <v>0</v>
      </c>
    </row>
    <row customHeight="1" r="790" ht="14.25">
      <c t="s" s="6" r="A790">
        <v>6032</v>
      </c>
      <c t="s" s="6" r="B790">
        <v>131</v>
      </c>
      <c t="s" s="6" r="E790">
        <v>6033</v>
      </c>
      <c t="s" s="6" r="F790">
        <v>81</v>
      </c>
      <c t="s" s="6" r="G790">
        <v>106</v>
      </c>
      <c s="6" r="H790">
        <v>0</v>
      </c>
      <c t="s" s="6" r="I790">
        <v>155</v>
      </c>
      <c t="s" s="6" r="L790">
        <v>156</v>
      </c>
      <c t="s" s="6" r="M790">
        <v>5513</v>
      </c>
      <c s="6" r="N790">
        <v>1</v>
      </c>
      <c s="6" r="O790">
        <v>0</v>
      </c>
      <c t="s" s="6" r="R790">
        <v>6034</v>
      </c>
      <c t="s" s="6" r="S790">
        <v>6035</v>
      </c>
      <c t="s" s="6" r="T790">
        <v>5200</v>
      </c>
      <c t="s" s="6" r="U790">
        <v>6036</v>
      </c>
      <c s="6" r="V790">
        <v>1</v>
      </c>
      <c s="6" r="W790">
        <v>1</v>
      </c>
      <c s="6" r="X790">
        <v>0</v>
      </c>
      <c s="6" r="Y790">
        <v>0</v>
      </c>
      <c s="6" r="Z790">
        <v>0</v>
      </c>
      <c s="6" r="AA790">
        <v>1</v>
      </c>
      <c s="6" r="AB790">
        <v>1</v>
      </c>
      <c t="s" s="6" r="AC790">
        <v>92</v>
      </c>
      <c t="s" s="6" r="AD790">
        <v>92</v>
      </c>
      <c s="6" r="AE790">
        <v>1</v>
      </c>
      <c t="s" s="6" r="AF790">
        <v>92</v>
      </c>
      <c t="s" s="6" r="AG790">
        <v>92</v>
      </c>
      <c t="s" s="6" r="AH790">
        <v>92</v>
      </c>
      <c t="s" s="6" r="AI790">
        <v>92</v>
      </c>
      <c t="s" s="6" r="AJ790">
        <v>92</v>
      </c>
      <c t="s" s="6" r="AK790">
        <v>92</v>
      </c>
      <c t="s" s="6" r="AL790">
        <v>92</v>
      </c>
      <c t="s" s="6" r="AM790">
        <v>92</v>
      </c>
      <c t="s" s="6" r="AN790">
        <v>92</v>
      </c>
      <c s="6" r="AP790">
        <v>1</v>
      </c>
      <c t="s" s="6" r="AR790">
        <v>6037</v>
      </c>
      <c s="6" r="AS790">
        <v>0</v>
      </c>
      <c s="6" r="AT790">
        <v>0</v>
      </c>
      <c s="6" r="AU790">
        <v>0</v>
      </c>
      <c s="6" r="AV790">
        <v>0</v>
      </c>
      <c s="6" r="AW790">
        <v>0</v>
      </c>
      <c s="6" r="AX790">
        <v>0</v>
      </c>
      <c s="6" r="AY790">
        <v>0</v>
      </c>
      <c s="6" r="AZ790">
        <v>0</v>
      </c>
      <c s="6" r="BA790">
        <v>0</v>
      </c>
      <c s="6" r="BB790">
        <v>0</v>
      </c>
      <c s="6" r="BC790">
        <v>0</v>
      </c>
      <c s="6" r="BD790">
        <v>0</v>
      </c>
      <c s="6" r="BE790">
        <v>0</v>
      </c>
      <c s="6" r="BF790">
        <v>0</v>
      </c>
      <c s="6" r="BG790">
        <v>0</v>
      </c>
      <c s="6" r="BH790">
        <v>0</v>
      </c>
      <c s="6" r="BI790">
        <v>0</v>
      </c>
      <c s="6" r="BJ790">
        <v>0</v>
      </c>
      <c s="6" r="BK790">
        <v>0</v>
      </c>
      <c s="6" r="BL790">
        <v>0</v>
      </c>
      <c s="6" r="BM790">
        <v>0</v>
      </c>
      <c s="6" r="BN790">
        <v>0</v>
      </c>
      <c s="6" r="BO790">
        <v>0</v>
      </c>
      <c s="6" r="BP790">
        <v>0</v>
      </c>
      <c s="6" r="BQ790">
        <v>0</v>
      </c>
      <c t="str" s="6" r="BR790">
        <f>HYPERLINK("http://www.d20pfsrd.com/magic/all-spells/g/gravity-bow","Gravity Bow")</f>
        <v>Gravity Bow</v>
      </c>
      <c s="6" r="BS790">
        <v>800</v>
      </c>
      <c t="s" s="6" r="BT790">
        <v>92</v>
      </c>
      <c s="6" r="BY790">
        <v>0</v>
      </c>
    </row>
    <row customHeight="1" r="791" ht="14.25">
      <c t="s" s="6" r="A791">
        <v>6038</v>
      </c>
      <c t="s" s="6" r="B791">
        <v>78</v>
      </c>
      <c t="s" s="6" r="C791">
        <v>79</v>
      </c>
      <c t="s" s="6" r="E791">
        <v>4304</v>
      </c>
      <c t="s" s="6" r="F791">
        <v>311</v>
      </c>
      <c t="s" s="6" r="G791">
        <v>6039</v>
      </c>
      <c s="6" r="H791">
        <v>0</v>
      </c>
      <c t="s" s="6" r="I791">
        <v>107</v>
      </c>
      <c t="s" s="6" r="K791">
        <v>6040</v>
      </c>
      <c t="s" s="6" r="M791">
        <v>6041</v>
      </c>
      <c s="6" r="N791">
        <v>1</v>
      </c>
      <c s="6" r="O791">
        <v>0</v>
      </c>
      <c t="s" s="6" r="P791">
        <v>86</v>
      </c>
      <c t="s" s="6" r="Q791">
        <v>87</v>
      </c>
      <c t="s" s="6" r="R791">
        <v>6042</v>
      </c>
      <c t="s" s="6" r="S791">
        <v>6043</v>
      </c>
      <c t="s" s="6" r="T791">
        <v>5200</v>
      </c>
      <c t="s" s="6" r="U791">
        <v>6044</v>
      </c>
      <c s="6" r="V791">
        <v>1</v>
      </c>
      <c s="6" r="W791">
        <v>1</v>
      </c>
      <c s="6" r="X791">
        <v>1</v>
      </c>
      <c s="6" r="Y791">
        <v>0</v>
      </c>
      <c s="6" r="Z791">
        <v>1</v>
      </c>
      <c t="s" s="6" r="AA791">
        <v>92</v>
      </c>
      <c t="s" s="6" r="AB791">
        <v>92</v>
      </c>
      <c t="s" s="6" r="AC791">
        <v>92</v>
      </c>
      <c s="6" r="AD791">
        <v>4</v>
      </c>
      <c s="6" r="AE791">
        <v>4</v>
      </c>
      <c t="s" s="6" r="AF791">
        <v>92</v>
      </c>
      <c t="s" s="6" r="AG791">
        <v>92</v>
      </c>
      <c t="s" s="6" r="AH791">
        <v>92</v>
      </c>
      <c t="s" s="6" r="AI791">
        <v>92</v>
      </c>
      <c t="s" s="6" r="AJ791">
        <v>92</v>
      </c>
      <c t="s" s="6" r="AK791">
        <v>92</v>
      </c>
      <c t="s" s="6" r="AL791">
        <v>92</v>
      </c>
      <c t="s" s="6" r="AM791">
        <v>92</v>
      </c>
      <c t="s" s="6" r="AN791">
        <v>92</v>
      </c>
      <c s="6" r="AP791">
        <v>4</v>
      </c>
      <c t="s" s="6" r="AR791">
        <v>6045</v>
      </c>
      <c s="6" r="AS791">
        <v>0</v>
      </c>
      <c s="6" r="AT791">
        <v>0</v>
      </c>
      <c s="6" r="AU791">
        <v>0</v>
      </c>
      <c s="6" r="AV791">
        <v>0</v>
      </c>
      <c s="6" r="AW791">
        <v>0</v>
      </c>
      <c s="6" r="AX791">
        <v>0</v>
      </c>
      <c s="6" r="AY791">
        <v>0</v>
      </c>
      <c s="6" r="AZ791">
        <v>0</v>
      </c>
      <c s="6" r="BA791">
        <v>0</v>
      </c>
      <c s="6" r="BB791">
        <v>0</v>
      </c>
      <c s="6" r="BC791">
        <v>0</v>
      </c>
      <c s="6" r="BD791">
        <v>0</v>
      </c>
      <c s="6" r="BE791">
        <v>0</v>
      </c>
      <c s="6" r="BF791">
        <v>0</v>
      </c>
      <c s="6" r="BG791">
        <v>0</v>
      </c>
      <c s="6" r="BH791">
        <v>0</v>
      </c>
      <c s="6" r="BI791">
        <v>0</v>
      </c>
      <c s="6" r="BJ791">
        <v>0</v>
      </c>
      <c s="6" r="BK791">
        <v>0</v>
      </c>
      <c s="6" r="BL791">
        <v>0</v>
      </c>
      <c s="6" r="BM791">
        <v>0</v>
      </c>
      <c s="6" r="BN791">
        <v>0</v>
      </c>
      <c s="6" r="BO791">
        <v>0</v>
      </c>
      <c s="6" r="BP791">
        <v>0</v>
      </c>
      <c s="6" r="BQ791">
        <v>0</v>
      </c>
      <c t="str" s="6" r="BR791">
        <f>HYPERLINK("http://www.d20pfsrd.com/magic/all-spells/g/grove-of-respite","Grove of Respite")</f>
        <v>Grove of Respite</v>
      </c>
      <c s="6" r="BS791">
        <v>801</v>
      </c>
      <c t="s" s="6" r="BT791">
        <v>92</v>
      </c>
      <c s="6" r="BY791">
        <v>0</v>
      </c>
    </row>
    <row customHeight="1" r="792" ht="14.25">
      <c t="s" s="6" r="A792">
        <v>6046</v>
      </c>
      <c t="s" s="6" r="B792">
        <v>174</v>
      </c>
      <c t="s" s="6" r="E792">
        <v>6047</v>
      </c>
      <c t="s" s="6" r="F792">
        <v>197</v>
      </c>
      <c t="s" s="6" r="G792">
        <v>6048</v>
      </c>
      <c s="6" r="H792">
        <v>0</v>
      </c>
      <c t="s" s="6" r="I792">
        <v>155</v>
      </c>
      <c t="s" s="6" r="L792">
        <v>156</v>
      </c>
      <c t="s" s="6" r="M792">
        <v>5196</v>
      </c>
      <c s="6" r="N792">
        <v>1</v>
      </c>
      <c s="6" r="O792">
        <v>0</v>
      </c>
      <c t="s" s="6" r="R792">
        <v>6049</v>
      </c>
      <c t="s" s="6" r="S792">
        <v>6050</v>
      </c>
      <c t="s" s="6" r="T792">
        <v>5200</v>
      </c>
      <c t="s" s="6" r="U792">
        <v>6051</v>
      </c>
      <c s="6" r="V792">
        <v>1</v>
      </c>
      <c s="6" r="W792">
        <v>1</v>
      </c>
      <c s="6" r="X792">
        <v>1</v>
      </c>
      <c s="6" r="Y792">
        <v>0</v>
      </c>
      <c s="6" r="Z792">
        <v>0</v>
      </c>
      <c t="s" s="6" r="AA792">
        <v>92</v>
      </c>
      <c t="s" s="6" r="AB792">
        <v>92</v>
      </c>
      <c s="6" r="AC792">
        <v>3</v>
      </c>
      <c t="s" s="6" r="AD792">
        <v>92</v>
      </c>
      <c s="6" r="AE792">
        <v>2</v>
      </c>
      <c t="s" s="6" r="AF792">
        <v>92</v>
      </c>
      <c t="s" s="6" r="AG792">
        <v>92</v>
      </c>
      <c t="s" s="6" r="AH792">
        <v>92</v>
      </c>
      <c t="s" s="6" r="AI792">
        <v>92</v>
      </c>
      <c s="6" r="AJ792">
        <v>3</v>
      </c>
      <c t="s" s="6" r="AK792">
        <v>92</v>
      </c>
      <c s="6" r="AL792">
        <v>3</v>
      </c>
      <c t="s" s="6" r="AM792">
        <v>92</v>
      </c>
      <c t="s" s="6" r="AN792">
        <v>92</v>
      </c>
      <c s="6" r="AP792">
        <v>3</v>
      </c>
      <c t="s" s="6" r="AR792">
        <v>6052</v>
      </c>
      <c s="6" r="AS792">
        <v>0</v>
      </c>
      <c s="6" r="AT792">
        <v>0</v>
      </c>
      <c s="6" r="AU792">
        <v>0</v>
      </c>
      <c s="6" r="AV792">
        <v>0</v>
      </c>
      <c s="6" r="AW792">
        <v>0</v>
      </c>
      <c s="6" r="AX792">
        <v>0</v>
      </c>
      <c s="6" r="AY792">
        <v>0</v>
      </c>
      <c s="6" r="AZ792">
        <v>0</v>
      </c>
      <c s="6" r="BA792">
        <v>0</v>
      </c>
      <c s="6" r="BB792">
        <v>0</v>
      </c>
      <c s="6" r="BC792">
        <v>0</v>
      </c>
      <c s="6" r="BD792">
        <v>0</v>
      </c>
      <c s="6" r="BE792">
        <v>0</v>
      </c>
      <c s="6" r="BF792">
        <v>0</v>
      </c>
      <c s="6" r="BG792">
        <v>0</v>
      </c>
      <c s="6" r="BH792">
        <v>0</v>
      </c>
      <c s="6" r="BI792">
        <v>0</v>
      </c>
      <c s="6" r="BJ792">
        <v>0</v>
      </c>
      <c s="6" r="BK792">
        <v>0</v>
      </c>
      <c s="6" r="BL792">
        <v>0</v>
      </c>
      <c s="6" r="BM792">
        <v>0</v>
      </c>
      <c s="6" r="BN792">
        <v>0</v>
      </c>
      <c s="6" r="BO792">
        <v>0</v>
      </c>
      <c s="6" r="BP792">
        <v>0</v>
      </c>
      <c s="6" r="BQ792">
        <v>0</v>
      </c>
      <c t="str" s="6" r="BR792">
        <f>HYPERLINK("http://www.d20pfsrd.com/magic/all-spells/g/guiding-star","Guiding Star")</f>
        <v>Guiding Star</v>
      </c>
      <c s="6" r="BS792">
        <v>802</v>
      </c>
      <c t="s" s="6" r="BT792">
        <v>92</v>
      </c>
      <c t="s" s="6" r="BV792">
        <v>360</v>
      </c>
      <c s="6" r="BY792">
        <v>0</v>
      </c>
    </row>
    <row customHeight="1" r="793" ht="14.25">
      <c t="s" s="6" r="A793">
        <v>6053</v>
      </c>
      <c t="s" s="6" r="B793">
        <v>115</v>
      </c>
      <c t="s" s="6" r="C793">
        <v>116</v>
      </c>
      <c t="s" s="6" r="D793">
        <v>117</v>
      </c>
      <c t="s" s="6" r="E793">
        <v>3011</v>
      </c>
      <c t="s" s="6" r="F793">
        <v>81</v>
      </c>
      <c t="s" s="6" r="G793">
        <v>106</v>
      </c>
      <c s="6" r="H793">
        <v>0</v>
      </c>
      <c t="s" s="6" r="I793">
        <v>107</v>
      </c>
      <c t="s" s="6" r="L793">
        <v>1235</v>
      </c>
      <c t="s" s="6" r="M793">
        <v>109</v>
      </c>
      <c s="6" r="N793">
        <v>0</v>
      </c>
      <c s="6" r="O793">
        <v>0</v>
      </c>
      <c t="s" s="6" r="P793">
        <v>421</v>
      </c>
      <c t="s" s="6" r="Q793">
        <v>123</v>
      </c>
      <c t="s" s="6" r="R793">
        <v>6054</v>
      </c>
      <c t="s" s="6" r="S793">
        <v>6055</v>
      </c>
      <c t="s" s="6" r="T793">
        <v>5200</v>
      </c>
      <c t="s" s="6" r="U793">
        <v>6056</v>
      </c>
      <c s="6" r="V793">
        <v>1</v>
      </c>
      <c s="6" r="W793">
        <v>1</v>
      </c>
      <c s="6" r="X793">
        <v>0</v>
      </c>
      <c s="6" r="Y793">
        <v>0</v>
      </c>
      <c s="6" r="Z793">
        <v>0</v>
      </c>
      <c t="s" s="6" r="AA793">
        <v>92</v>
      </c>
      <c t="s" s="6" r="AB793">
        <v>92</v>
      </c>
      <c t="s" s="6" r="AC793">
        <v>92</v>
      </c>
      <c t="s" s="6" r="AD793">
        <v>92</v>
      </c>
      <c t="s" s="6" r="AE793">
        <v>92</v>
      </c>
      <c s="6" r="AF793">
        <v>4</v>
      </c>
      <c t="s" s="6" r="AG793">
        <v>92</v>
      </c>
      <c t="s" s="6" r="AH793">
        <v>92</v>
      </c>
      <c t="s" s="6" r="AI793">
        <v>92</v>
      </c>
      <c t="s" s="6" r="AJ793">
        <v>92</v>
      </c>
      <c t="s" s="6" r="AK793">
        <v>92</v>
      </c>
      <c t="s" s="6" r="AL793">
        <v>92</v>
      </c>
      <c t="s" s="6" r="AM793">
        <v>92</v>
      </c>
      <c t="s" s="6" r="AN793">
        <v>92</v>
      </c>
      <c s="6" r="AP793">
        <v>4</v>
      </c>
      <c t="s" s="6" r="AR793">
        <v>6057</v>
      </c>
      <c s="6" r="AS793">
        <v>0</v>
      </c>
      <c s="6" r="AT793">
        <v>0</v>
      </c>
      <c s="6" r="AU793">
        <v>0</v>
      </c>
      <c s="6" r="AV793">
        <v>0</v>
      </c>
      <c s="6" r="AW793">
        <v>0</v>
      </c>
      <c s="6" r="AX793">
        <v>0</v>
      </c>
      <c s="6" r="AY793">
        <v>0</v>
      </c>
      <c s="6" r="AZ793">
        <v>0</v>
      </c>
      <c s="6" r="BA793">
        <v>0</v>
      </c>
      <c s="6" r="BB793">
        <v>0</v>
      </c>
      <c s="6" r="BC793">
        <v>0</v>
      </c>
      <c s="6" r="BD793">
        <v>0</v>
      </c>
      <c s="6" r="BE793">
        <v>0</v>
      </c>
      <c s="6" r="BF793">
        <v>0</v>
      </c>
      <c s="6" r="BG793">
        <v>0</v>
      </c>
      <c s="6" r="BH793">
        <v>0</v>
      </c>
      <c s="6" r="BI793">
        <v>0</v>
      </c>
      <c s="6" r="BJ793">
        <v>0</v>
      </c>
      <c s="6" r="BK793">
        <v>0</v>
      </c>
      <c s="6" r="BL793">
        <v>1</v>
      </c>
      <c s="6" r="BM793">
        <v>0</v>
      </c>
      <c s="6" r="BN793">
        <v>0</v>
      </c>
      <c s="6" r="BO793">
        <v>0</v>
      </c>
      <c s="6" r="BP793">
        <v>0</v>
      </c>
      <c s="6" r="BQ793">
        <v>0</v>
      </c>
      <c t="str" s="6" r="BR793">
        <f>HYPERLINK("http://www.d20pfsrd.com/magic/all-spells/h/heroic-finale","Heroic Finale")</f>
        <v>Heroic Finale</v>
      </c>
      <c s="6" r="BS793">
        <v>803</v>
      </c>
      <c t="s" s="6" r="BT793">
        <v>92</v>
      </c>
      <c s="6" r="BY793">
        <v>0</v>
      </c>
    </row>
    <row customHeight="1" r="794" ht="14.25">
      <c t="s" s="6" r="A794">
        <v>6058</v>
      </c>
      <c t="s" s="6" r="B794">
        <v>78</v>
      </c>
      <c t="s" s="6" r="C794">
        <v>598</v>
      </c>
      <c t="s" s="6" r="E794">
        <v>544</v>
      </c>
      <c t="s" s="6" r="F794">
        <v>1743</v>
      </c>
      <c t="s" s="6" r="G794">
        <v>251</v>
      </c>
      <c s="6" r="H794">
        <v>0</v>
      </c>
      <c t="s" s="6" r="I794">
        <v>155</v>
      </c>
      <c t="s" s="6" r="L794">
        <v>156</v>
      </c>
      <c t="s" s="6" r="M794">
        <v>109</v>
      </c>
      <c s="6" r="N794">
        <v>0</v>
      </c>
      <c s="6" r="O794">
        <v>0</v>
      </c>
      <c t="s" s="6" r="R794">
        <v>6059</v>
      </c>
      <c t="s" s="6" r="S794">
        <v>6060</v>
      </c>
      <c t="s" s="6" r="T794">
        <v>5200</v>
      </c>
      <c t="s" s="6" r="U794">
        <v>6061</v>
      </c>
      <c s="6" r="V794">
        <v>1</v>
      </c>
      <c s="6" r="W794">
        <v>0</v>
      </c>
      <c s="6" r="X794">
        <v>0</v>
      </c>
      <c s="6" r="Y794">
        <v>0</v>
      </c>
      <c s="6" r="Z794">
        <v>0</v>
      </c>
      <c t="s" s="6" r="AA794">
        <v>92</v>
      </c>
      <c t="s" s="6" r="AB794">
        <v>92</v>
      </c>
      <c t="s" s="6" r="AC794">
        <v>92</v>
      </c>
      <c t="s" s="6" r="AD794">
        <v>92</v>
      </c>
      <c t="s" s="6" r="AE794">
        <v>92</v>
      </c>
      <c t="s" s="6" r="AF794">
        <v>92</v>
      </c>
      <c s="6" r="AG794">
        <v>1</v>
      </c>
      <c t="s" s="6" r="AH794">
        <v>92</v>
      </c>
      <c t="s" s="6" r="AI794">
        <v>92</v>
      </c>
      <c t="s" s="6" r="AJ794">
        <v>92</v>
      </c>
      <c t="s" s="6" r="AK794">
        <v>92</v>
      </c>
      <c t="s" s="6" r="AL794">
        <v>92</v>
      </c>
      <c t="s" s="6" r="AM794">
        <v>92</v>
      </c>
      <c t="s" s="6" r="AN794">
        <v>92</v>
      </c>
      <c s="6" r="AP794">
        <v>1</v>
      </c>
      <c t="s" s="6" r="AR794">
        <v>6062</v>
      </c>
      <c s="6" r="AS794">
        <v>0</v>
      </c>
      <c s="6" r="AT794">
        <v>0</v>
      </c>
      <c s="6" r="AU794">
        <v>0</v>
      </c>
      <c s="6" r="AV794">
        <v>0</v>
      </c>
      <c s="6" r="AW794">
        <v>0</v>
      </c>
      <c s="6" r="AX794">
        <v>0</v>
      </c>
      <c s="6" r="AY794">
        <v>0</v>
      </c>
      <c s="6" r="AZ794">
        <v>0</v>
      </c>
      <c s="6" r="BA794">
        <v>0</v>
      </c>
      <c s="6" r="BB794">
        <v>0</v>
      </c>
      <c s="6" r="BC794">
        <v>0</v>
      </c>
      <c s="6" r="BD794">
        <v>0</v>
      </c>
      <c s="6" r="BE794">
        <v>0</v>
      </c>
      <c s="6" r="BF794">
        <v>0</v>
      </c>
      <c s="6" r="BG794">
        <v>0</v>
      </c>
      <c s="6" r="BH794">
        <v>0</v>
      </c>
      <c s="6" r="BI794">
        <v>0</v>
      </c>
      <c s="6" r="BJ794">
        <v>0</v>
      </c>
      <c s="6" r="BK794">
        <v>0</v>
      </c>
      <c s="6" r="BL794">
        <v>0</v>
      </c>
      <c s="6" r="BM794">
        <v>0</v>
      </c>
      <c s="6" r="BN794">
        <v>0</v>
      </c>
      <c s="6" r="BO794">
        <v>0</v>
      </c>
      <c s="6" r="BP794">
        <v>0</v>
      </c>
      <c s="6" r="BQ794">
        <v>0</v>
      </c>
      <c t="str" s="6" r="BR794">
        <f>HYPERLINK("http://www.d20pfsrd.com/magic/all-spells/h/hero-s-defiance","Hero's Defiance")</f>
        <v>Hero's Defiance</v>
      </c>
      <c s="6" r="BS794">
        <v>804</v>
      </c>
      <c t="s" s="6" r="BT794">
        <v>92</v>
      </c>
      <c s="6" r="BY794">
        <v>0</v>
      </c>
    </row>
    <row customHeight="1" r="795" ht="14.25">
      <c t="s" s="6" r="A795">
        <v>6063</v>
      </c>
      <c t="s" s="6" r="B795">
        <v>131</v>
      </c>
      <c t="s" s="6" r="D795">
        <v>2922</v>
      </c>
      <c t="s" s="6" r="E795">
        <v>6064</v>
      </c>
      <c t="s" s="6" r="F795">
        <v>81</v>
      </c>
      <c t="s" s="6" r="G795">
        <v>6065</v>
      </c>
      <c s="6" r="H795">
        <v>0</v>
      </c>
      <c t="s" s="6" r="I795">
        <v>107</v>
      </c>
      <c t="s" s="6" r="L795">
        <v>6066</v>
      </c>
      <c t="s" s="6" r="M795">
        <v>5954</v>
      </c>
      <c s="6" r="N795">
        <v>1</v>
      </c>
      <c s="6" r="O795">
        <v>0</v>
      </c>
      <c t="s" s="6" r="P795">
        <v>421</v>
      </c>
      <c t="s" s="6" r="Q795">
        <v>188</v>
      </c>
      <c t="s" s="6" r="R795">
        <v>6067</v>
      </c>
      <c t="s" s="6" r="S795">
        <v>6068</v>
      </c>
      <c t="s" s="6" r="T795">
        <v>5200</v>
      </c>
      <c t="s" s="6" r="U795">
        <v>6069</v>
      </c>
      <c s="6" r="V795">
        <v>1</v>
      </c>
      <c s="6" r="W795">
        <v>1</v>
      </c>
      <c s="6" r="X795">
        <v>1</v>
      </c>
      <c s="6" r="Y795">
        <v>0</v>
      </c>
      <c s="6" r="Z795">
        <v>1</v>
      </c>
      <c t="s" s="6" r="AA795">
        <v>92</v>
      </c>
      <c t="s" s="6" r="AB795">
        <v>92</v>
      </c>
      <c t="s" s="6" r="AC795">
        <v>92</v>
      </c>
      <c t="s" s="6" r="AD795">
        <v>92</v>
      </c>
      <c t="s" s="6" r="AE795">
        <v>92</v>
      </c>
      <c s="6" r="AF795">
        <v>2</v>
      </c>
      <c t="s" s="6" r="AG795">
        <v>92</v>
      </c>
      <c t="s" s="6" r="AH795">
        <v>92</v>
      </c>
      <c t="s" s="6" r="AI795">
        <v>92</v>
      </c>
      <c s="6" r="AJ795">
        <v>2</v>
      </c>
      <c s="6" r="AK795">
        <v>3</v>
      </c>
      <c t="s" s="6" r="AL795">
        <v>92</v>
      </c>
      <c t="s" s="6" r="AM795">
        <v>92</v>
      </c>
      <c t="s" s="6" r="AN795">
        <v>92</v>
      </c>
      <c s="6" r="AP795">
        <v>2</v>
      </c>
      <c t="s" s="6" r="AR795">
        <v>6070</v>
      </c>
      <c s="6" r="AS795">
        <v>0</v>
      </c>
      <c s="6" r="AT795">
        <v>0</v>
      </c>
      <c s="6" r="AU795">
        <v>0</v>
      </c>
      <c s="6" r="AV795">
        <v>0</v>
      </c>
      <c s="6" r="AW795">
        <v>0</v>
      </c>
      <c s="6" r="AX795">
        <v>0</v>
      </c>
      <c s="6" r="AY795">
        <v>0</v>
      </c>
      <c s="6" r="AZ795">
        <v>0</v>
      </c>
      <c s="6" r="BA795">
        <v>0</v>
      </c>
      <c s="6" r="BB795">
        <v>0</v>
      </c>
      <c s="6" r="BC795">
        <v>0</v>
      </c>
      <c s="6" r="BD795">
        <v>0</v>
      </c>
      <c s="6" r="BE795">
        <v>0</v>
      </c>
      <c s="6" r="BF795">
        <v>0</v>
      </c>
      <c s="6" r="BG795">
        <v>0</v>
      </c>
      <c s="6" r="BH795">
        <v>0</v>
      </c>
      <c s="6" r="BI795">
        <v>1</v>
      </c>
      <c s="6" r="BJ795">
        <v>0</v>
      </c>
      <c s="6" r="BK795">
        <v>0</v>
      </c>
      <c s="6" r="BL795">
        <v>0</v>
      </c>
      <c s="6" r="BM795">
        <v>0</v>
      </c>
      <c s="6" r="BN795">
        <v>0</v>
      </c>
      <c s="6" r="BO795">
        <v>0</v>
      </c>
      <c s="6" r="BP795">
        <v>0</v>
      </c>
      <c s="6" r="BQ795">
        <v>0</v>
      </c>
      <c t="str" s="6" r="BR795">
        <f>HYPERLINK("http://www.d20pfsrd.com/magic/all-spells/h/hidden-speech","Hidden Speech")</f>
        <v>Hidden Speech</v>
      </c>
      <c s="6" r="BS795">
        <v>805</v>
      </c>
      <c t="s" s="6" r="BT795">
        <v>92</v>
      </c>
      <c s="6" r="BY795">
        <v>0</v>
      </c>
    </row>
    <row customHeight="1" r="796" ht="14.25">
      <c t="s" s="6" r="A796">
        <v>6071</v>
      </c>
      <c t="s" s="6" r="B796">
        <v>579</v>
      </c>
      <c t="s" s="6" r="C796">
        <v>580</v>
      </c>
      <c t="s" s="6" r="E796">
        <v>4015</v>
      </c>
      <c t="s" s="6" r="F796">
        <v>311</v>
      </c>
      <c t="s" s="6" r="G796">
        <v>6072</v>
      </c>
      <c s="6" r="H796">
        <v>0</v>
      </c>
      <c t="s" s="6" r="I796">
        <v>107</v>
      </c>
      <c t="s" s="6" r="J796">
        <v>6073</v>
      </c>
      <c t="s" s="6" r="M796">
        <v>6041</v>
      </c>
      <c s="6" r="N796">
        <v>1</v>
      </c>
      <c s="6" r="O796">
        <v>0</v>
      </c>
      <c t="s" s="6" r="P796">
        <v>2197</v>
      </c>
      <c t="s" s="6" r="Q796">
        <v>87</v>
      </c>
      <c t="s" s="6" r="R796">
        <v>6074</v>
      </c>
      <c t="s" s="6" r="S796">
        <v>6075</v>
      </c>
      <c t="s" s="6" r="T796">
        <v>5200</v>
      </c>
      <c t="s" s="6" r="U796">
        <v>6076</v>
      </c>
      <c s="6" r="V796">
        <v>1</v>
      </c>
      <c s="6" r="W796">
        <v>1</v>
      </c>
      <c s="6" r="X796">
        <v>1</v>
      </c>
      <c s="6" r="Y796">
        <v>0</v>
      </c>
      <c s="6" r="Z796">
        <v>0</v>
      </c>
      <c t="s" s="6" r="AA796">
        <v>92</v>
      </c>
      <c t="s" s="6" r="AB796">
        <v>92</v>
      </c>
      <c t="s" s="6" r="AC796">
        <v>92</v>
      </c>
      <c s="6" r="AD796">
        <v>3</v>
      </c>
      <c s="6" r="AE796">
        <v>2</v>
      </c>
      <c t="s" s="6" r="AF796">
        <v>92</v>
      </c>
      <c t="s" s="6" r="AG796">
        <v>92</v>
      </c>
      <c t="s" s="6" r="AH796">
        <v>92</v>
      </c>
      <c t="s" s="6" r="AI796">
        <v>92</v>
      </c>
      <c t="s" s="6" r="AJ796">
        <v>92</v>
      </c>
      <c t="s" s="6" r="AK796">
        <v>92</v>
      </c>
      <c t="s" s="6" r="AL796">
        <v>92</v>
      </c>
      <c t="s" s="6" r="AM796">
        <v>92</v>
      </c>
      <c t="s" s="6" r="AN796">
        <v>92</v>
      </c>
      <c s="6" r="AP796">
        <v>3</v>
      </c>
      <c t="s" s="6" r="AR796">
        <v>6077</v>
      </c>
      <c s="6" r="AS796">
        <v>0</v>
      </c>
      <c s="6" r="AT796">
        <v>0</v>
      </c>
      <c s="6" r="AU796">
        <v>0</v>
      </c>
      <c s="6" r="AV796">
        <v>0</v>
      </c>
      <c s="6" r="AW796">
        <v>0</v>
      </c>
      <c s="6" r="AX796">
        <v>0</v>
      </c>
      <c s="6" r="AY796">
        <v>0</v>
      </c>
      <c s="6" r="AZ796">
        <v>0</v>
      </c>
      <c s="6" r="BA796">
        <v>0</v>
      </c>
      <c s="6" r="BB796">
        <v>0</v>
      </c>
      <c s="6" r="BC796">
        <v>0</v>
      </c>
      <c s="6" r="BD796">
        <v>0</v>
      </c>
      <c s="6" r="BE796">
        <v>0</v>
      </c>
      <c s="6" r="BF796">
        <v>0</v>
      </c>
      <c s="6" r="BG796">
        <v>0</v>
      </c>
      <c s="6" r="BH796">
        <v>0</v>
      </c>
      <c s="6" r="BI796">
        <v>0</v>
      </c>
      <c s="6" r="BJ796">
        <v>0</v>
      </c>
      <c s="6" r="BK796">
        <v>0</v>
      </c>
      <c s="6" r="BL796">
        <v>0</v>
      </c>
      <c s="6" r="BM796">
        <v>0</v>
      </c>
      <c s="6" r="BN796">
        <v>0</v>
      </c>
      <c s="6" r="BO796">
        <v>0</v>
      </c>
      <c s="6" r="BP796">
        <v>0</v>
      </c>
      <c s="6" r="BQ796">
        <v>0</v>
      </c>
      <c t="str" s="6" r="BR796">
        <f>HYPERLINK("http://www.d20pfsrd.com/magic/all-spells/h/hide-campsite","Hide Campsite")</f>
        <v>Hide Campsite</v>
      </c>
      <c s="6" r="BS796">
        <v>806</v>
      </c>
      <c t="s" s="6" r="BT796">
        <v>92</v>
      </c>
      <c s="6" r="BY796">
        <v>0</v>
      </c>
    </row>
    <row customHeight="1" r="797" ht="14.25">
      <c t="s" s="6" r="A797">
        <v>6078</v>
      </c>
      <c t="s" s="6" r="B797">
        <v>493</v>
      </c>
      <c t="s" s="6" r="D797">
        <v>59</v>
      </c>
      <c t="s" s="6" r="E797">
        <v>2248</v>
      </c>
      <c t="s" s="6" r="F797">
        <v>81</v>
      </c>
      <c t="s" s="6" r="G797">
        <v>106</v>
      </c>
      <c s="6" r="H797">
        <v>0</v>
      </c>
      <c t="s" s="6" r="I797">
        <v>1052</v>
      </c>
      <c t="s" s="6" r="J797">
        <v>630</v>
      </c>
      <c t="s" s="6" r="M797">
        <v>109</v>
      </c>
      <c s="6" r="N797">
        <v>0</v>
      </c>
      <c s="6" r="O797">
        <v>0</v>
      </c>
      <c t="s" s="6" r="P797">
        <v>3271</v>
      </c>
      <c t="s" s="6" r="Q797">
        <v>188</v>
      </c>
      <c t="s" s="6" r="R797">
        <v>6079</v>
      </c>
      <c t="s" s="6" r="S797">
        <v>6080</v>
      </c>
      <c t="s" s="6" r="T797">
        <v>5200</v>
      </c>
      <c t="s" s="6" r="U797">
        <v>6081</v>
      </c>
      <c s="6" r="V797">
        <v>1</v>
      </c>
      <c s="6" r="W797">
        <v>1</v>
      </c>
      <c s="6" r="X797">
        <v>0</v>
      </c>
      <c s="6" r="Y797">
        <v>0</v>
      </c>
      <c s="6" r="Z797">
        <v>0</v>
      </c>
      <c t="s" s="6" r="AA797">
        <v>92</v>
      </c>
      <c t="s" s="6" r="AB797">
        <v>92</v>
      </c>
      <c t="s" s="6" r="AC797">
        <v>92</v>
      </c>
      <c t="s" s="6" r="AD797">
        <v>92</v>
      </c>
      <c t="s" s="6" r="AE797">
        <v>92</v>
      </c>
      <c t="s" s="6" r="AF797">
        <v>92</v>
      </c>
      <c s="6" r="AG797">
        <v>3</v>
      </c>
      <c t="s" s="6" r="AH797">
        <v>92</v>
      </c>
      <c t="s" s="6" r="AI797">
        <v>92</v>
      </c>
      <c t="s" s="6" r="AJ797">
        <v>92</v>
      </c>
      <c t="s" s="6" r="AK797">
        <v>92</v>
      </c>
      <c t="s" s="6" r="AL797">
        <v>92</v>
      </c>
      <c t="s" s="6" r="AM797">
        <v>92</v>
      </c>
      <c t="s" s="6" r="AN797">
        <v>92</v>
      </c>
      <c s="6" r="AP797">
        <v>3</v>
      </c>
      <c t="s" s="6" r="AR797">
        <v>6082</v>
      </c>
      <c s="6" r="AS797">
        <v>0</v>
      </c>
      <c s="6" r="AT797">
        <v>0</v>
      </c>
      <c s="6" r="AU797">
        <v>0</v>
      </c>
      <c s="6" r="AV797">
        <v>0</v>
      </c>
      <c s="6" r="AW797">
        <v>0</v>
      </c>
      <c s="6" r="AX797">
        <v>0</v>
      </c>
      <c s="6" r="AY797">
        <v>0</v>
      </c>
      <c s="6" r="AZ797">
        <v>0</v>
      </c>
      <c s="6" r="BA797">
        <v>0</v>
      </c>
      <c s="6" r="BB797">
        <v>0</v>
      </c>
      <c s="6" r="BC797">
        <v>0</v>
      </c>
      <c s="6" r="BD797">
        <v>0</v>
      </c>
      <c s="6" r="BE797">
        <v>0</v>
      </c>
      <c s="6" r="BF797">
        <v>0</v>
      </c>
      <c s="6" r="BG797">
        <v>0</v>
      </c>
      <c s="6" r="BH797">
        <v>1</v>
      </c>
      <c s="6" r="BI797">
        <v>0</v>
      </c>
      <c s="6" r="BJ797">
        <v>0</v>
      </c>
      <c s="6" r="BK797">
        <v>0</v>
      </c>
      <c s="6" r="BL797">
        <v>0</v>
      </c>
      <c s="6" r="BM797">
        <v>0</v>
      </c>
      <c s="6" r="BN797">
        <v>0</v>
      </c>
      <c s="6" r="BO797">
        <v>0</v>
      </c>
      <c s="6" r="BP797">
        <v>0</v>
      </c>
      <c s="6" r="BQ797">
        <v>0</v>
      </c>
      <c t="str" s="6" r="BR797">
        <f>HYPERLINK("http://www.d20pfsrd.com/magic/all-spells/h/holy-whisper","Holy Whisper")</f>
        <v>Holy Whisper</v>
      </c>
      <c s="6" r="BS797">
        <v>807</v>
      </c>
      <c t="s" s="6" r="BT797">
        <v>92</v>
      </c>
      <c s="6" r="BY797">
        <v>0</v>
      </c>
    </row>
    <row customHeight="1" r="798" ht="14.25">
      <c t="s" s="6" r="A798">
        <v>6083</v>
      </c>
      <c t="s" s="6" r="B798">
        <v>131</v>
      </c>
      <c t="s" s="6" r="E798">
        <v>6084</v>
      </c>
      <c t="s" s="6" r="F798">
        <v>81</v>
      </c>
      <c t="s" s="6" r="G798">
        <v>6085</v>
      </c>
      <c s="6" r="H798">
        <v>0</v>
      </c>
      <c t="s" s="6" r="I798">
        <v>155</v>
      </c>
      <c t="s" s="6" r="L798">
        <v>156</v>
      </c>
      <c t="s" s="6" r="M798">
        <v>5005</v>
      </c>
      <c s="6" r="N798">
        <v>0</v>
      </c>
      <c s="6" r="O798">
        <v>0</v>
      </c>
      <c t="s" s="6" r="R798">
        <v>6086</v>
      </c>
      <c t="s" s="6" r="S798">
        <v>6087</v>
      </c>
      <c t="s" s="6" r="T798">
        <v>5200</v>
      </c>
      <c t="s" s="6" r="U798">
        <v>6088</v>
      </c>
      <c s="6" r="V798">
        <v>1</v>
      </c>
      <c s="6" r="W798">
        <v>0</v>
      </c>
      <c s="6" r="X798">
        <v>1</v>
      </c>
      <c s="6" r="Y798">
        <v>0</v>
      </c>
      <c s="6" r="Z798">
        <v>1</v>
      </c>
      <c t="s" s="6" r="AA798">
        <v>92</v>
      </c>
      <c t="s" s="6" r="AB798">
        <v>92</v>
      </c>
      <c t="s" s="6" r="AC798">
        <v>92</v>
      </c>
      <c t="s" s="6" r="AD798">
        <v>92</v>
      </c>
      <c t="s" s="6" r="AE798">
        <v>92</v>
      </c>
      <c s="6" r="AF798">
        <v>2</v>
      </c>
      <c s="6" r="AG798">
        <v>1</v>
      </c>
      <c t="s" s="6" r="AH798">
        <v>92</v>
      </c>
      <c t="s" s="6" r="AI798">
        <v>92</v>
      </c>
      <c t="s" s="6" r="AJ798">
        <v>92</v>
      </c>
      <c s="6" r="AK798">
        <v>2</v>
      </c>
      <c t="s" s="6" r="AL798">
        <v>92</v>
      </c>
      <c t="s" s="6" r="AM798">
        <v>92</v>
      </c>
      <c t="s" s="6" r="AN798">
        <v>92</v>
      </c>
      <c s="6" r="AP798">
        <v>2</v>
      </c>
      <c t="s" s="6" r="AR798">
        <v>6089</v>
      </c>
      <c s="6" r="AS798">
        <v>0</v>
      </c>
      <c s="6" r="AT798">
        <v>0</v>
      </c>
      <c s="6" r="AU798">
        <v>0</v>
      </c>
      <c s="6" r="AV798">
        <v>0</v>
      </c>
      <c s="6" r="AW798">
        <v>0</v>
      </c>
      <c s="6" r="AX798">
        <v>0</v>
      </c>
      <c s="6" r="AY798">
        <v>0</v>
      </c>
      <c s="6" r="AZ798">
        <v>0</v>
      </c>
      <c s="6" r="BA798">
        <v>0</v>
      </c>
      <c s="6" r="BB798">
        <v>0</v>
      </c>
      <c s="6" r="BC798">
        <v>0</v>
      </c>
      <c s="6" r="BD798">
        <v>0</v>
      </c>
      <c s="6" r="BE798">
        <v>0</v>
      </c>
      <c s="6" r="BF798">
        <v>0</v>
      </c>
      <c s="6" r="BG798">
        <v>0</v>
      </c>
      <c s="6" r="BH798">
        <v>0</v>
      </c>
      <c s="6" r="BI798">
        <v>0</v>
      </c>
      <c s="6" r="BJ798">
        <v>0</v>
      </c>
      <c s="6" r="BK798">
        <v>0</v>
      </c>
      <c s="6" r="BL798">
        <v>0</v>
      </c>
      <c s="6" r="BM798">
        <v>0</v>
      </c>
      <c s="6" r="BN798">
        <v>0</v>
      </c>
      <c s="6" r="BO798">
        <v>0</v>
      </c>
      <c s="6" r="BP798">
        <v>0</v>
      </c>
      <c s="6" r="BQ798">
        <v>0</v>
      </c>
      <c t="str" s="6" r="BR798">
        <f>HYPERLINK("http://www.d20pfsrd.com/magic/all-spells/h/honeyed-tongue","Honeyed Tongue")</f>
        <v>Honeyed Tongue</v>
      </c>
      <c s="6" r="BS798">
        <v>808</v>
      </c>
      <c t="s" s="6" r="BT798">
        <v>92</v>
      </c>
      <c s="6" r="BY798">
        <v>0</v>
      </c>
    </row>
    <row customHeight="1" r="799" ht="14.25">
      <c t="s" s="6" r="A799">
        <v>6090</v>
      </c>
      <c t="s" s="6" r="B799">
        <v>78</v>
      </c>
      <c t="s" s="6" r="C799">
        <v>79</v>
      </c>
      <c t="s" s="6" r="E799">
        <v>6091</v>
      </c>
      <c t="s" s="6" r="F799">
        <v>81</v>
      </c>
      <c t="s" s="6" r="G799">
        <v>5600</v>
      </c>
      <c s="6" r="H799">
        <v>1</v>
      </c>
      <c t="s" s="6" r="I799">
        <v>97</v>
      </c>
      <c t="s" s="6" r="K799">
        <v>5213</v>
      </c>
      <c t="s" s="6" r="M799">
        <v>5214</v>
      </c>
      <c s="6" r="N799">
        <v>0</v>
      </c>
      <c s="6" r="O799">
        <v>0</v>
      </c>
      <c t="s" s="6" r="P799">
        <v>6092</v>
      </c>
      <c t="s" s="6" r="Q799">
        <v>87</v>
      </c>
      <c t="s" s="6" r="R799">
        <v>6093</v>
      </c>
      <c t="s" s="6" r="S799">
        <v>6094</v>
      </c>
      <c t="s" s="6" r="T799">
        <v>5200</v>
      </c>
      <c t="s" s="6" r="U799">
        <v>6095</v>
      </c>
      <c s="6" r="V799">
        <v>1</v>
      </c>
      <c s="6" r="W799">
        <v>1</v>
      </c>
      <c s="6" r="X799">
        <v>0</v>
      </c>
      <c s="6" r="Y799">
        <v>0</v>
      </c>
      <c s="6" r="Z799">
        <v>0</v>
      </c>
      <c s="6" r="AA799">
        <v>5</v>
      </c>
      <c s="6" r="AB799">
        <v>5</v>
      </c>
      <c t="s" s="6" r="AC799">
        <v>92</v>
      </c>
      <c t="s" s="6" r="AD799">
        <v>92</v>
      </c>
      <c t="s" s="6" r="AE799">
        <v>92</v>
      </c>
      <c t="s" s="6" r="AF799">
        <v>92</v>
      </c>
      <c t="s" s="6" r="AG799">
        <v>92</v>
      </c>
      <c t="s" s="6" r="AH799">
        <v>92</v>
      </c>
      <c s="6" r="AI799">
        <v>5</v>
      </c>
      <c t="s" s="6" r="AJ799">
        <v>92</v>
      </c>
      <c t="s" s="6" r="AK799">
        <v>92</v>
      </c>
      <c t="s" s="6" r="AL799">
        <v>92</v>
      </c>
      <c t="s" s="6" r="AM799">
        <v>92</v>
      </c>
      <c t="s" s="6" r="AN799">
        <v>92</v>
      </c>
      <c s="6" r="AP799">
        <v>5</v>
      </c>
      <c t="s" s="6" r="AQ799">
        <v>5604</v>
      </c>
      <c t="s" s="6" r="AR799">
        <v>6096</v>
      </c>
      <c s="6" r="AS799">
        <v>0</v>
      </c>
      <c s="6" r="AT799">
        <v>0</v>
      </c>
      <c s="6" r="AU799">
        <v>0</v>
      </c>
      <c s="6" r="AV799">
        <v>0</v>
      </c>
      <c s="6" r="AW799">
        <v>0</v>
      </c>
      <c s="6" r="AX799">
        <v>0</v>
      </c>
      <c s="6" r="AY799">
        <v>0</v>
      </c>
      <c s="6" r="AZ799">
        <v>0</v>
      </c>
      <c s="6" r="BA799">
        <v>0</v>
      </c>
      <c s="6" r="BB799">
        <v>0</v>
      </c>
      <c s="6" r="BC799">
        <v>0</v>
      </c>
      <c s="6" r="BD799">
        <v>0</v>
      </c>
      <c s="6" r="BE799">
        <v>0</v>
      </c>
      <c s="6" r="BF799">
        <v>0</v>
      </c>
      <c s="6" r="BG799">
        <v>0</v>
      </c>
      <c s="6" r="BH799">
        <v>0</v>
      </c>
      <c s="6" r="BI799">
        <v>0</v>
      </c>
      <c s="6" r="BJ799">
        <v>0</v>
      </c>
      <c s="6" r="BK799">
        <v>0</v>
      </c>
      <c s="6" r="BL799">
        <v>0</v>
      </c>
      <c s="6" r="BM799">
        <v>0</v>
      </c>
      <c s="6" r="BN799">
        <v>0</v>
      </c>
      <c s="6" r="BO799">
        <v>0</v>
      </c>
      <c s="6" r="BP799">
        <v>0</v>
      </c>
      <c s="6" r="BQ799">
        <v>0</v>
      </c>
      <c t="str" s="6" r="BR799">
        <f>HYPERLINK("http://www.d20pfsrd.com/magic/all-spells/h/hungry-pit","Hungry Pit")</f>
        <v>Hungry Pit</v>
      </c>
      <c s="6" r="BS799">
        <v>809</v>
      </c>
      <c s="6" r="BT799">
        <v>10</v>
      </c>
      <c s="6" r="BY799">
        <v>0</v>
      </c>
    </row>
    <row customHeight="1" r="800" ht="14.25">
      <c t="s" s="6" r="A800">
        <v>6097</v>
      </c>
      <c t="s" s="6" r="B800">
        <v>493</v>
      </c>
      <c t="s" s="6" r="D800">
        <v>68</v>
      </c>
      <c t="s" s="6" r="E800">
        <v>6098</v>
      </c>
      <c t="s" s="6" r="F800">
        <v>81</v>
      </c>
      <c t="s" s="6" r="G800">
        <v>106</v>
      </c>
      <c s="6" r="H800">
        <v>0</v>
      </c>
      <c t="s" s="6" r="I800">
        <v>107</v>
      </c>
      <c t="s" s="6" r="L800">
        <v>1380</v>
      </c>
      <c t="s" s="6" r="M800">
        <v>109</v>
      </c>
      <c s="6" r="N800">
        <v>0</v>
      </c>
      <c s="6" r="O800">
        <v>0</v>
      </c>
      <c t="s" s="6" r="P800">
        <v>86</v>
      </c>
      <c t="s" s="6" r="Q800">
        <v>188</v>
      </c>
      <c t="s" s="6" r="R800">
        <v>6099</v>
      </c>
      <c t="s" s="6" r="S800">
        <v>6100</v>
      </c>
      <c t="s" s="6" r="T800">
        <v>5200</v>
      </c>
      <c t="s" s="6" r="U800">
        <v>6101</v>
      </c>
      <c s="6" r="V800">
        <v>1</v>
      </c>
      <c s="6" r="W800">
        <v>1</v>
      </c>
      <c s="6" r="X800">
        <v>0</v>
      </c>
      <c s="6" r="Y800">
        <v>0</v>
      </c>
      <c s="6" r="Z800">
        <v>0</v>
      </c>
      <c s="6" r="AA800">
        <v>1</v>
      </c>
      <c s="6" r="AB800">
        <v>1</v>
      </c>
      <c t="s" s="6" r="AC800">
        <v>92</v>
      </c>
      <c s="6" r="AD800">
        <v>1</v>
      </c>
      <c t="s" s="6" r="AE800">
        <v>92</v>
      </c>
      <c t="s" s="6" r="AF800">
        <v>92</v>
      </c>
      <c t="s" s="6" r="AG800">
        <v>92</v>
      </c>
      <c t="s" s="6" r="AH800">
        <v>92</v>
      </c>
      <c t="s" s="6" r="AI800">
        <v>92</v>
      </c>
      <c t="s" s="6" r="AJ800">
        <v>92</v>
      </c>
      <c t="s" s="6" r="AK800">
        <v>92</v>
      </c>
      <c t="s" s="6" r="AL800">
        <v>92</v>
      </c>
      <c t="s" s="6" r="AM800">
        <v>92</v>
      </c>
      <c s="6" r="AN800">
        <v>1</v>
      </c>
      <c s="6" r="AP800">
        <v>1</v>
      </c>
      <c t="s" s="6" r="AR800">
        <v>6102</v>
      </c>
      <c s="6" r="AS800">
        <v>0</v>
      </c>
      <c s="6" r="AT800">
        <v>0</v>
      </c>
      <c s="6" r="AU800">
        <v>0</v>
      </c>
      <c s="6" r="AV800">
        <v>0</v>
      </c>
      <c s="6" r="AW800">
        <v>0</v>
      </c>
      <c s="6" r="AX800">
        <v>0</v>
      </c>
      <c s="6" r="AY800">
        <v>0</v>
      </c>
      <c s="6" r="AZ800">
        <v>0</v>
      </c>
      <c s="6" r="BA800">
        <v>0</v>
      </c>
      <c s="6" r="BB800">
        <v>0</v>
      </c>
      <c s="6" r="BC800">
        <v>0</v>
      </c>
      <c s="6" r="BD800">
        <v>0</v>
      </c>
      <c s="6" r="BE800">
        <v>0</v>
      </c>
      <c s="6" r="BF800">
        <v>0</v>
      </c>
      <c s="6" r="BG800">
        <v>0</v>
      </c>
      <c s="6" r="BH800">
        <v>0</v>
      </c>
      <c s="6" r="BI800">
        <v>0</v>
      </c>
      <c s="6" r="BJ800">
        <v>0</v>
      </c>
      <c s="6" r="BK800">
        <v>0</v>
      </c>
      <c s="6" r="BL800">
        <v>0</v>
      </c>
      <c s="6" r="BM800">
        <v>0</v>
      </c>
      <c s="6" r="BN800">
        <v>0</v>
      </c>
      <c s="6" r="BO800">
        <v>0</v>
      </c>
      <c s="6" r="BP800">
        <v>0</v>
      </c>
      <c s="6" r="BQ800">
        <v>1</v>
      </c>
      <c t="str" s="6" r="BR800">
        <f>HYPERLINK("http://www.d20pfsrd.com/magic/all-spells/h/hydraulic-push","Hydraulic Push")</f>
        <v>Hydraulic Push</v>
      </c>
      <c s="6" r="BS800">
        <v>810</v>
      </c>
      <c t="s" s="6" r="BT800">
        <v>92</v>
      </c>
      <c t="s" s="6" r="BU800">
        <v>462</v>
      </c>
      <c t="s" s="6" r="BW800">
        <v>6103</v>
      </c>
      <c s="6" r="BY800">
        <v>1</v>
      </c>
    </row>
    <row customHeight="1" r="801" ht="14.25">
      <c t="s" s="6" r="A801">
        <v>6104</v>
      </c>
      <c t="s" s="6" r="B801">
        <v>493</v>
      </c>
      <c t="s" s="6" r="D801">
        <v>68</v>
      </c>
      <c t="s" s="6" r="E801">
        <v>6105</v>
      </c>
      <c t="s" s="6" r="F801">
        <v>81</v>
      </c>
      <c t="s" s="6" r="G801">
        <v>106</v>
      </c>
      <c s="6" r="H801">
        <v>0</v>
      </c>
      <c t="s" s="6" r="I801">
        <v>897</v>
      </c>
      <c t="s" s="6" r="J801">
        <v>6106</v>
      </c>
      <c t="s" s="6" r="M801">
        <v>109</v>
      </c>
      <c s="6" r="N801">
        <v>0</v>
      </c>
      <c s="6" r="O801">
        <v>0</v>
      </c>
      <c t="s" s="6" r="P801">
        <v>86</v>
      </c>
      <c t="s" s="6" r="Q801">
        <v>188</v>
      </c>
      <c t="s" s="6" r="R801">
        <v>6107</v>
      </c>
      <c t="s" s="6" r="S801">
        <v>6108</v>
      </c>
      <c t="s" s="6" r="T801">
        <v>5200</v>
      </c>
      <c t="s" s="6" r="U801">
        <v>6109</v>
      </c>
      <c s="6" r="V801">
        <v>1</v>
      </c>
      <c s="6" r="W801">
        <v>1</v>
      </c>
      <c s="6" r="X801">
        <v>0</v>
      </c>
      <c s="6" r="Y801">
        <v>0</v>
      </c>
      <c s="6" r="Z801">
        <v>0</v>
      </c>
      <c s="6" r="AA801">
        <v>3</v>
      </c>
      <c s="6" r="AB801">
        <v>3</v>
      </c>
      <c t="s" s="6" r="AC801">
        <v>92</v>
      </c>
      <c s="6" r="AD801">
        <v>3</v>
      </c>
      <c t="s" s="6" r="AE801">
        <v>92</v>
      </c>
      <c t="s" s="6" r="AF801">
        <v>92</v>
      </c>
      <c t="s" s="6" r="AG801">
        <v>92</v>
      </c>
      <c t="s" s="6" r="AH801">
        <v>92</v>
      </c>
      <c t="s" s="6" r="AI801">
        <v>92</v>
      </c>
      <c t="s" s="6" r="AJ801">
        <v>92</v>
      </c>
      <c t="s" s="6" r="AK801">
        <v>92</v>
      </c>
      <c t="s" s="6" r="AL801">
        <v>92</v>
      </c>
      <c t="s" s="6" r="AM801">
        <v>92</v>
      </c>
      <c s="6" r="AN801">
        <v>3</v>
      </c>
      <c s="6" r="AP801">
        <v>3</v>
      </c>
      <c t="s" s="6" r="AR801">
        <v>6110</v>
      </c>
      <c s="6" r="AS801">
        <v>0</v>
      </c>
      <c s="6" r="AT801">
        <v>0</v>
      </c>
      <c s="6" r="AU801">
        <v>0</v>
      </c>
      <c s="6" r="AV801">
        <v>0</v>
      </c>
      <c s="6" r="AW801">
        <v>0</v>
      </c>
      <c s="6" r="AX801">
        <v>0</v>
      </c>
      <c s="6" r="AY801">
        <v>0</v>
      </c>
      <c s="6" r="AZ801">
        <v>0</v>
      </c>
      <c s="6" r="BA801">
        <v>0</v>
      </c>
      <c s="6" r="BB801">
        <v>0</v>
      </c>
      <c s="6" r="BC801">
        <v>0</v>
      </c>
      <c s="6" r="BD801">
        <v>0</v>
      </c>
      <c s="6" r="BE801">
        <v>0</v>
      </c>
      <c s="6" r="BF801">
        <v>0</v>
      </c>
      <c s="6" r="BG801">
        <v>0</v>
      </c>
      <c s="6" r="BH801">
        <v>0</v>
      </c>
      <c s="6" r="BI801">
        <v>0</v>
      </c>
      <c s="6" r="BJ801">
        <v>0</v>
      </c>
      <c s="6" r="BK801">
        <v>0</v>
      </c>
      <c s="6" r="BL801">
        <v>0</v>
      </c>
      <c s="6" r="BM801">
        <v>0</v>
      </c>
      <c s="6" r="BN801">
        <v>0</v>
      </c>
      <c s="6" r="BO801">
        <v>0</v>
      </c>
      <c s="6" r="BP801">
        <v>0</v>
      </c>
      <c s="6" r="BQ801">
        <v>1</v>
      </c>
      <c t="str" s="6" r="BR801">
        <f>HYPERLINK("http://www.d20pfsrd.com/magic/all-spells/h/hydraulic-torrent","Hydraulic Torrent")</f>
        <v>Hydraulic Torrent</v>
      </c>
      <c s="6" r="BS801">
        <v>811</v>
      </c>
      <c t="s" s="6" r="BT801">
        <v>92</v>
      </c>
      <c t="s" s="6" r="BW801">
        <v>6111</v>
      </c>
      <c t="s" s="6" r="BX801">
        <v>6112</v>
      </c>
      <c s="6" r="BY801">
        <v>1</v>
      </c>
    </row>
    <row customHeight="1" r="802" ht="14.25">
      <c t="s" s="6" r="A802">
        <v>6113</v>
      </c>
      <c t="s" s="6" r="B802">
        <v>115</v>
      </c>
      <c t="s" s="6" r="C802">
        <v>116</v>
      </c>
      <c t="s" s="6" r="D802">
        <v>117</v>
      </c>
      <c t="s" s="6" r="E802">
        <v>6114</v>
      </c>
      <c t="s" s="6" r="F802">
        <v>81</v>
      </c>
      <c t="s" s="6" r="G802">
        <v>6115</v>
      </c>
      <c s="6" r="H802">
        <v>0</v>
      </c>
      <c t="s" s="6" r="I802">
        <v>107</v>
      </c>
      <c t="s" s="6" r="L802">
        <v>1235</v>
      </c>
      <c t="s" s="6" r="M802">
        <v>6116</v>
      </c>
      <c s="6" r="N802">
        <v>0</v>
      </c>
      <c s="6" r="O802">
        <v>0</v>
      </c>
      <c t="s" s="6" r="P802">
        <v>86</v>
      </c>
      <c t="s" s="6" r="Q802">
        <v>188</v>
      </c>
      <c t="s" s="6" r="R802">
        <v>6117</v>
      </c>
      <c t="s" s="6" r="S802">
        <v>6118</v>
      </c>
      <c t="s" s="6" r="T802">
        <v>5200</v>
      </c>
      <c t="s" s="6" r="U802">
        <v>6119</v>
      </c>
      <c s="6" r="V802">
        <v>1</v>
      </c>
      <c s="6" r="W802">
        <v>1</v>
      </c>
      <c s="6" r="X802">
        <v>1</v>
      </c>
      <c s="6" r="Y802">
        <v>0</v>
      </c>
      <c s="6" r="Z802">
        <v>0</v>
      </c>
      <c t="s" s="6" r="AA802">
        <v>92</v>
      </c>
      <c t="s" s="6" r="AB802">
        <v>92</v>
      </c>
      <c t="s" s="6" r="AC802">
        <v>92</v>
      </c>
      <c t="s" s="6" r="AD802">
        <v>92</v>
      </c>
      <c t="s" s="6" r="AE802">
        <v>92</v>
      </c>
      <c t="s" s="6" r="AF802">
        <v>92</v>
      </c>
      <c t="s" s="6" r="AG802">
        <v>92</v>
      </c>
      <c t="s" s="6" r="AH802">
        <v>92</v>
      </c>
      <c t="s" s="6" r="AI802">
        <v>92</v>
      </c>
      <c s="6" r="AJ802">
        <v>1</v>
      </c>
      <c t="s" s="6" r="AK802">
        <v>92</v>
      </c>
      <c t="s" s="6" r="AL802">
        <v>92</v>
      </c>
      <c t="s" s="6" r="AM802">
        <v>92</v>
      </c>
      <c t="s" s="6" r="AN802">
        <v>92</v>
      </c>
      <c s="6" r="AP802">
        <v>1</v>
      </c>
      <c t="s" s="6" r="AR802">
        <v>6120</v>
      </c>
      <c s="6" r="AS802">
        <v>0</v>
      </c>
      <c s="6" r="AT802">
        <v>0</v>
      </c>
      <c s="6" r="AU802">
        <v>0</v>
      </c>
      <c s="6" r="AV802">
        <v>0</v>
      </c>
      <c s="6" r="AW802">
        <v>0</v>
      </c>
      <c s="6" r="AX802">
        <v>0</v>
      </c>
      <c s="6" r="AY802">
        <v>0</v>
      </c>
      <c s="6" r="AZ802">
        <v>0</v>
      </c>
      <c s="6" r="BA802">
        <v>0</v>
      </c>
      <c s="6" r="BB802">
        <v>0</v>
      </c>
      <c s="6" r="BC802">
        <v>0</v>
      </c>
      <c s="6" r="BD802">
        <v>0</v>
      </c>
      <c s="6" r="BE802">
        <v>0</v>
      </c>
      <c s="6" r="BF802">
        <v>0</v>
      </c>
      <c s="6" r="BG802">
        <v>0</v>
      </c>
      <c s="6" r="BH802">
        <v>0</v>
      </c>
      <c s="6" r="BI802">
        <v>0</v>
      </c>
      <c s="6" r="BJ802">
        <v>0</v>
      </c>
      <c s="6" r="BK802">
        <v>0</v>
      </c>
      <c s="6" r="BL802">
        <v>1</v>
      </c>
      <c s="6" r="BM802">
        <v>0</v>
      </c>
      <c s="6" r="BN802">
        <v>0</v>
      </c>
      <c s="6" r="BO802">
        <v>0</v>
      </c>
      <c s="6" r="BP802">
        <v>0</v>
      </c>
      <c s="6" r="BQ802">
        <v>0</v>
      </c>
      <c t="str" s="6" r="BR802">
        <f>HYPERLINK("http://www.d20pfsrd.com/magic/all-spells/i/ill-omen","Ill Omen")</f>
        <v>Ill Omen</v>
      </c>
      <c s="6" r="BS802">
        <v>812</v>
      </c>
      <c t="s" s="6" r="BT802">
        <v>92</v>
      </c>
      <c t="s" s="6" r="BW802">
        <v>6121</v>
      </c>
      <c t="s" s="6" r="BX802">
        <v>6122</v>
      </c>
      <c s="6" r="BY802">
        <v>1</v>
      </c>
    </row>
    <row customHeight="1" r="803" ht="14.25">
      <c t="s" s="6" r="A803">
        <v>6123</v>
      </c>
      <c t="s" s="6" r="B803">
        <v>131</v>
      </c>
      <c t="s" s="6" r="E803">
        <v>915</v>
      </c>
      <c t="s" s="6" r="F803">
        <v>81</v>
      </c>
      <c t="s" s="6" r="G803">
        <v>106</v>
      </c>
      <c s="6" r="H803">
        <v>0</v>
      </c>
      <c t="s" s="6" r="I803">
        <v>155</v>
      </c>
      <c t="s" s="6" r="L803">
        <v>156</v>
      </c>
      <c t="s" s="6" r="M803">
        <v>5513</v>
      </c>
      <c s="6" r="N803">
        <v>1</v>
      </c>
      <c s="6" r="O803">
        <v>0</v>
      </c>
      <c t="s" s="6" r="R803">
        <v>6124</v>
      </c>
      <c t="s" s="6" r="S803">
        <v>6125</v>
      </c>
      <c t="s" s="6" r="T803">
        <v>5200</v>
      </c>
      <c t="s" s="6" r="U803">
        <v>6126</v>
      </c>
      <c s="6" r="V803">
        <v>1</v>
      </c>
      <c s="6" r="W803">
        <v>1</v>
      </c>
      <c s="6" r="X803">
        <v>0</v>
      </c>
      <c s="6" r="Y803">
        <v>0</v>
      </c>
      <c s="6" r="Z803">
        <v>0</v>
      </c>
      <c t="s" s="6" r="AA803">
        <v>92</v>
      </c>
      <c t="s" s="6" r="AB803">
        <v>92</v>
      </c>
      <c t="s" s="6" r="AC803">
        <v>92</v>
      </c>
      <c t="s" s="6" r="AD803">
        <v>92</v>
      </c>
      <c t="s" s="6" r="AE803">
        <v>92</v>
      </c>
      <c s="6" r="AF803">
        <v>1</v>
      </c>
      <c t="s" s="6" r="AG803">
        <v>92</v>
      </c>
      <c t="s" s="6" r="AH803">
        <v>92</v>
      </c>
      <c t="s" s="6" r="AI803">
        <v>92</v>
      </c>
      <c t="s" s="6" r="AJ803">
        <v>92</v>
      </c>
      <c t="s" s="6" r="AK803">
        <v>92</v>
      </c>
      <c t="s" s="6" r="AL803">
        <v>92</v>
      </c>
      <c t="s" s="6" r="AM803">
        <v>92</v>
      </c>
      <c t="s" s="6" r="AN803">
        <v>92</v>
      </c>
      <c s="6" r="AP803">
        <v>1</v>
      </c>
      <c t="s" s="6" r="AR803">
        <v>6127</v>
      </c>
      <c s="6" r="AS803">
        <v>0</v>
      </c>
      <c s="6" r="AT803">
        <v>0</v>
      </c>
      <c s="6" r="AU803">
        <v>0</v>
      </c>
      <c s="6" r="AV803">
        <v>0</v>
      </c>
      <c s="6" r="AW803">
        <v>0</v>
      </c>
      <c s="6" r="AX803">
        <v>0</v>
      </c>
      <c s="6" r="AY803">
        <v>0</v>
      </c>
      <c s="6" r="AZ803">
        <v>0</v>
      </c>
      <c s="6" r="BA803">
        <v>0</v>
      </c>
      <c s="6" r="BB803">
        <v>0</v>
      </c>
      <c s="6" r="BC803">
        <v>0</v>
      </c>
      <c s="6" r="BD803">
        <v>0</v>
      </c>
      <c s="6" r="BE803">
        <v>0</v>
      </c>
      <c s="6" r="BF803">
        <v>0</v>
      </c>
      <c s="6" r="BG803">
        <v>0</v>
      </c>
      <c s="6" r="BH803">
        <v>0</v>
      </c>
      <c s="6" r="BI803">
        <v>0</v>
      </c>
      <c s="6" r="BJ803">
        <v>0</v>
      </c>
      <c s="6" r="BK803">
        <v>0</v>
      </c>
      <c s="6" r="BL803">
        <v>0</v>
      </c>
      <c s="6" r="BM803">
        <v>0</v>
      </c>
      <c s="6" r="BN803">
        <v>0</v>
      </c>
      <c s="6" r="BO803">
        <v>0</v>
      </c>
      <c s="6" r="BP803">
        <v>0</v>
      </c>
      <c s="6" r="BQ803">
        <v>0</v>
      </c>
      <c t="str" s="6" r="BR803">
        <f>HYPERLINK("http://www.d20pfsrd.com/magic/all-spells/i/innocence","Innocence")</f>
        <v>Innocence</v>
      </c>
      <c s="6" r="BS803">
        <v>813</v>
      </c>
      <c t="s" s="6" r="BT803">
        <v>92</v>
      </c>
      <c s="6" r="BY803">
        <v>0</v>
      </c>
    </row>
    <row customHeight="1" r="804" ht="14.25">
      <c t="s" s="6" r="A804">
        <v>6128</v>
      </c>
      <c t="s" s="6" r="B804">
        <v>78</v>
      </c>
      <c t="s" s="6" r="C804">
        <v>79</v>
      </c>
      <c t="s" s="6" r="D804">
        <v>58</v>
      </c>
      <c t="s" s="6" r="E804">
        <v>6129</v>
      </c>
      <c t="s" s="6" r="F804">
        <v>81</v>
      </c>
      <c t="s" s="6" r="G804">
        <v>119</v>
      </c>
      <c s="6" r="H804">
        <v>0</v>
      </c>
      <c t="s" s="6" r="I804">
        <v>155</v>
      </c>
      <c t="s" s="6" r="L804">
        <v>156</v>
      </c>
      <c t="s" s="6" r="M804">
        <v>5513</v>
      </c>
      <c s="6" r="N804">
        <v>1</v>
      </c>
      <c s="6" r="O804">
        <v>0</v>
      </c>
      <c t="s" s="6" r="R804">
        <v>6130</v>
      </c>
      <c t="s" s="6" r="S804">
        <v>6131</v>
      </c>
      <c t="s" s="6" r="T804">
        <v>5200</v>
      </c>
      <c t="s" s="6" r="U804">
        <v>6132</v>
      </c>
      <c s="6" r="V804">
        <v>1</v>
      </c>
      <c s="6" r="W804">
        <v>1</v>
      </c>
      <c s="6" r="X804">
        <v>0</v>
      </c>
      <c s="6" r="Y804">
        <v>0</v>
      </c>
      <c s="6" r="Z804">
        <v>1</v>
      </c>
      <c t="s" s="6" r="AA804">
        <v>92</v>
      </c>
      <c t="s" s="6" r="AB804">
        <v>92</v>
      </c>
      <c s="6" r="AC804">
        <v>2</v>
      </c>
      <c t="s" s="6" r="AD804">
        <v>92</v>
      </c>
      <c t="s" s="6" r="AE804">
        <v>92</v>
      </c>
      <c t="s" s="6" r="AF804">
        <v>92</v>
      </c>
      <c s="6" r="AG804">
        <v>2</v>
      </c>
      <c t="s" s="6" r="AH804">
        <v>92</v>
      </c>
      <c t="s" s="6" r="AI804">
        <v>92</v>
      </c>
      <c t="s" s="6" r="AJ804">
        <v>92</v>
      </c>
      <c t="s" s="6" r="AK804">
        <v>92</v>
      </c>
      <c s="6" r="AL804">
        <v>2</v>
      </c>
      <c t="s" s="6" r="AM804">
        <v>92</v>
      </c>
      <c t="s" s="6" r="AN804">
        <v>92</v>
      </c>
      <c s="6" r="AP804">
        <v>2</v>
      </c>
      <c t="s" s="6" r="AR804">
        <v>6133</v>
      </c>
      <c s="6" r="AS804">
        <v>0</v>
      </c>
      <c s="6" r="AT804">
        <v>0</v>
      </c>
      <c s="6" r="AU804">
        <v>0</v>
      </c>
      <c s="6" r="AV804">
        <v>0</v>
      </c>
      <c s="6" r="AW804">
        <v>0</v>
      </c>
      <c s="6" r="AX804">
        <v>0</v>
      </c>
      <c s="6" r="AY804">
        <v>0</v>
      </c>
      <c s="6" r="AZ804">
        <v>0</v>
      </c>
      <c s="6" r="BA804">
        <v>0</v>
      </c>
      <c s="6" r="BB804">
        <v>0</v>
      </c>
      <c s="6" r="BC804">
        <v>0</v>
      </c>
      <c s="6" r="BD804">
        <v>0</v>
      </c>
      <c s="6" r="BE804">
        <v>0</v>
      </c>
      <c s="6" r="BF804">
        <v>0</v>
      </c>
      <c s="6" r="BG804">
        <v>1</v>
      </c>
      <c s="6" r="BH804">
        <v>0</v>
      </c>
      <c s="6" r="BI804">
        <v>0</v>
      </c>
      <c s="6" r="BJ804">
        <v>0</v>
      </c>
      <c s="6" r="BK804">
        <v>0</v>
      </c>
      <c s="6" r="BL804">
        <v>0</v>
      </c>
      <c s="6" r="BM804">
        <v>0</v>
      </c>
      <c s="6" r="BN804">
        <v>0</v>
      </c>
      <c s="6" r="BO804">
        <v>0</v>
      </c>
      <c s="6" r="BP804">
        <v>0</v>
      </c>
      <c s="6" r="BQ804">
        <v>0</v>
      </c>
      <c t="str" s="6" r="BR804">
        <f>HYPERLINK("http://www.d20pfsrd.com/magic/all-spells/i/instant-armor","Instant Armor")</f>
        <v>Instant Armor</v>
      </c>
      <c s="6" r="BS804">
        <v>814</v>
      </c>
      <c t="s" s="6" r="BT804">
        <v>92</v>
      </c>
      <c s="6" r="BY804">
        <v>0</v>
      </c>
    </row>
    <row customHeight="1" r="805" ht="14.25">
      <c t="s" s="6" r="A805">
        <v>6134</v>
      </c>
      <c t="s" s="6" r="B805">
        <v>115</v>
      </c>
      <c t="s" s="6" r="E805">
        <v>6135</v>
      </c>
      <c t="s" s="6" r="F805">
        <v>5881</v>
      </c>
      <c t="s" s="6" r="G805">
        <v>106</v>
      </c>
      <c s="6" r="H805">
        <v>0</v>
      </c>
      <c t="s" s="6" r="I805">
        <v>107</v>
      </c>
      <c t="s" s="6" r="L805">
        <v>6136</v>
      </c>
      <c t="s" s="6" r="M805">
        <v>2718</v>
      </c>
      <c s="6" r="N805">
        <v>0</v>
      </c>
      <c s="6" r="O805">
        <v>0</v>
      </c>
      <c t="s" s="6" r="P805">
        <v>86</v>
      </c>
      <c t="s" s="6" r="Q805">
        <v>87</v>
      </c>
      <c t="s" s="6" r="R805">
        <v>6137</v>
      </c>
      <c t="s" s="6" r="S805">
        <v>6138</v>
      </c>
      <c t="s" s="6" r="T805">
        <v>5200</v>
      </c>
      <c t="s" s="6" r="U805">
        <v>6139</v>
      </c>
      <c s="6" r="V805">
        <v>1</v>
      </c>
      <c s="6" r="W805">
        <v>1</v>
      </c>
      <c s="6" r="X805">
        <v>0</v>
      </c>
      <c s="6" r="Y805">
        <v>0</v>
      </c>
      <c s="6" r="Z805">
        <v>0</v>
      </c>
      <c t="s" s="6" r="AA805">
        <v>92</v>
      </c>
      <c t="s" s="6" r="AB805">
        <v>92</v>
      </c>
      <c t="s" s="6" r="AC805">
        <v>92</v>
      </c>
      <c t="s" s="6" r="AD805">
        <v>92</v>
      </c>
      <c s="6" r="AE805">
        <v>3</v>
      </c>
      <c t="s" s="6" r="AF805">
        <v>92</v>
      </c>
      <c t="s" s="6" r="AG805">
        <v>92</v>
      </c>
      <c t="s" s="6" r="AH805">
        <v>92</v>
      </c>
      <c t="s" s="6" r="AI805">
        <v>92</v>
      </c>
      <c t="s" s="6" r="AJ805">
        <v>92</v>
      </c>
      <c t="s" s="6" r="AK805">
        <v>92</v>
      </c>
      <c t="s" s="6" r="AL805">
        <v>92</v>
      </c>
      <c t="s" s="6" r="AM805">
        <v>92</v>
      </c>
      <c t="s" s="6" r="AN805">
        <v>92</v>
      </c>
      <c s="6" r="AP805">
        <v>3</v>
      </c>
      <c t="s" s="6" r="AR805">
        <v>6140</v>
      </c>
      <c s="6" r="AS805">
        <v>0</v>
      </c>
      <c s="6" r="AT805">
        <v>0</v>
      </c>
      <c s="6" r="AU805">
        <v>0</v>
      </c>
      <c s="6" r="AV805">
        <v>0</v>
      </c>
      <c s="6" r="AW805">
        <v>0</v>
      </c>
      <c s="6" r="AX805">
        <v>0</v>
      </c>
      <c s="6" r="AY805">
        <v>0</v>
      </c>
      <c s="6" r="AZ805">
        <v>0</v>
      </c>
      <c s="6" r="BA805">
        <v>0</v>
      </c>
      <c s="6" r="BB805">
        <v>0</v>
      </c>
      <c s="6" r="BC805">
        <v>0</v>
      </c>
      <c s="6" r="BD805">
        <v>0</v>
      </c>
      <c s="6" r="BE805">
        <v>0</v>
      </c>
      <c s="6" r="BF805">
        <v>0</v>
      </c>
      <c s="6" r="BG805">
        <v>0</v>
      </c>
      <c s="6" r="BH805">
        <v>0</v>
      </c>
      <c s="6" r="BI805">
        <v>0</v>
      </c>
      <c s="6" r="BJ805">
        <v>0</v>
      </c>
      <c s="6" r="BK805">
        <v>0</v>
      </c>
      <c s="6" r="BL805">
        <v>0</v>
      </c>
      <c s="6" r="BM805">
        <v>0</v>
      </c>
      <c s="6" r="BN805">
        <v>0</v>
      </c>
      <c s="6" r="BO805">
        <v>0</v>
      </c>
      <c s="6" r="BP805">
        <v>0</v>
      </c>
      <c s="6" r="BQ805">
        <v>0</v>
      </c>
      <c t="str" s="6" r="BR805">
        <f>HYPERLINK("http://www.d20pfsrd.com/magic/all-spells/i/instant-enemy","Instant Enemy")</f>
        <v>Instant Enemy</v>
      </c>
      <c s="6" r="BS805">
        <v>815</v>
      </c>
      <c t="s" s="6" r="BT805">
        <v>92</v>
      </c>
      <c s="6" r="BY805">
        <v>0</v>
      </c>
    </row>
    <row customHeight="1" r="806" ht="14.25">
      <c t="s" s="6" r="A806">
        <v>6141</v>
      </c>
      <c t="s" s="6" r="B806">
        <v>579</v>
      </c>
      <c t="s" s="6" r="D806">
        <v>2047</v>
      </c>
      <c t="s" s="6" r="E806">
        <v>915</v>
      </c>
      <c t="s" s="6" r="F806">
        <v>81</v>
      </c>
      <c t="s" s="6" r="G806">
        <v>251</v>
      </c>
      <c s="6" r="H806">
        <v>0</v>
      </c>
      <c t="s" s="6" r="I806">
        <v>120</v>
      </c>
      <c t="s" s="6" r="L806">
        <v>420</v>
      </c>
      <c t="s" s="6" r="M806">
        <v>5954</v>
      </c>
      <c s="6" r="N806">
        <v>1</v>
      </c>
      <c s="6" r="O806">
        <v>0</v>
      </c>
      <c t="s" s="6" r="P806">
        <v>421</v>
      </c>
      <c t="s" s="6" r="Q806">
        <v>123</v>
      </c>
      <c t="s" s="6" r="R806">
        <v>6142</v>
      </c>
      <c t="s" s="6" r="S806">
        <v>6143</v>
      </c>
      <c t="s" s="6" r="T806">
        <v>5200</v>
      </c>
      <c t="s" s="6" r="U806">
        <v>6144</v>
      </c>
      <c s="6" r="V806">
        <v>1</v>
      </c>
      <c s="6" r="W806">
        <v>0</v>
      </c>
      <c s="6" r="X806">
        <v>0</v>
      </c>
      <c s="6" r="Y806">
        <v>0</v>
      </c>
      <c s="6" r="Z806">
        <v>0</v>
      </c>
      <c t="s" s="6" r="AA806">
        <v>92</v>
      </c>
      <c t="s" s="6" r="AB806">
        <v>92</v>
      </c>
      <c t="s" s="6" r="AC806">
        <v>92</v>
      </c>
      <c t="s" s="6" r="AD806">
        <v>92</v>
      </c>
      <c t="s" s="6" r="AE806">
        <v>92</v>
      </c>
      <c s="6" r="AF806">
        <v>1</v>
      </c>
      <c t="s" s="6" r="AG806">
        <v>92</v>
      </c>
      <c t="s" s="6" r="AH806">
        <v>92</v>
      </c>
      <c t="s" s="6" r="AI806">
        <v>92</v>
      </c>
      <c t="s" s="6" r="AJ806">
        <v>92</v>
      </c>
      <c t="s" s="6" r="AK806">
        <v>92</v>
      </c>
      <c t="s" s="6" r="AL806">
        <v>92</v>
      </c>
      <c t="s" s="6" r="AM806">
        <v>92</v>
      </c>
      <c t="s" s="6" r="AN806">
        <v>92</v>
      </c>
      <c s="6" r="AP806">
        <v>1</v>
      </c>
      <c t="s" s="6" r="AR806">
        <v>6145</v>
      </c>
      <c s="6" r="AS806">
        <v>0</v>
      </c>
      <c s="6" r="AT806">
        <v>0</v>
      </c>
      <c s="6" r="AU806">
        <v>0</v>
      </c>
      <c s="6" r="AV806">
        <v>0</v>
      </c>
      <c s="6" r="AW806">
        <v>0</v>
      </c>
      <c s="6" r="AX806">
        <v>0</v>
      </c>
      <c s="6" r="AY806">
        <v>0</v>
      </c>
      <c s="6" r="AZ806">
        <v>0</v>
      </c>
      <c s="6" r="BA806">
        <v>0</v>
      </c>
      <c s="6" r="BB806">
        <v>0</v>
      </c>
      <c s="6" r="BC806">
        <v>0</v>
      </c>
      <c s="6" r="BD806">
        <v>0</v>
      </c>
      <c s="6" r="BE806">
        <v>0</v>
      </c>
      <c s="6" r="BF806">
        <v>0</v>
      </c>
      <c s="6" r="BG806">
        <v>0</v>
      </c>
      <c s="6" r="BH806">
        <v>0</v>
      </c>
      <c s="6" r="BI806">
        <v>0</v>
      </c>
      <c s="6" r="BJ806">
        <v>0</v>
      </c>
      <c s="6" r="BK806">
        <v>0</v>
      </c>
      <c s="6" r="BL806">
        <v>0</v>
      </c>
      <c s="6" r="BM806">
        <v>0</v>
      </c>
      <c s="6" r="BN806">
        <v>0</v>
      </c>
      <c s="6" r="BO806">
        <v>0</v>
      </c>
      <c s="6" r="BP806">
        <v>0</v>
      </c>
      <c s="6" r="BQ806">
        <v>0</v>
      </c>
      <c t="str" s="6" r="BR806">
        <f>HYPERLINK("http://www.d20pfsrd.com/magic/all-spells/i/invigorate","Invigorate")</f>
        <v>Invigorate</v>
      </c>
      <c s="6" r="BS806">
        <v>816</v>
      </c>
      <c t="s" s="6" r="BT806">
        <v>92</v>
      </c>
      <c s="6" r="BY806">
        <v>0</v>
      </c>
    </row>
    <row customHeight="1" r="807" ht="14.25">
      <c t="s" s="6" r="A807">
        <v>6146</v>
      </c>
      <c t="s" s="6" r="B807">
        <v>579</v>
      </c>
      <c t="s" s="6" r="D807">
        <v>2047</v>
      </c>
      <c t="s" s="6" r="E807">
        <v>2085</v>
      </c>
      <c t="s" s="6" r="F807">
        <v>81</v>
      </c>
      <c t="s" s="6" r="G807">
        <v>251</v>
      </c>
      <c s="6" r="H807">
        <v>0</v>
      </c>
      <c t="s" s="6" r="I807">
        <v>120</v>
      </c>
      <c t="s" s="6" r="L807">
        <v>6147</v>
      </c>
      <c t="s" s="6" r="M807">
        <v>5954</v>
      </c>
      <c s="6" r="N807">
        <v>1</v>
      </c>
      <c s="6" r="O807">
        <v>0</v>
      </c>
      <c t="s" s="6" r="P807">
        <v>421</v>
      </c>
      <c t="s" s="6" r="Q807">
        <v>123</v>
      </c>
      <c t="s" s="6" r="R807">
        <v>6148</v>
      </c>
      <c t="s" s="6" r="S807">
        <v>6149</v>
      </c>
      <c t="s" s="6" r="T807">
        <v>5200</v>
      </c>
      <c t="s" s="6" r="U807">
        <v>6150</v>
      </c>
      <c s="6" r="V807">
        <v>1</v>
      </c>
      <c s="6" r="W807">
        <v>0</v>
      </c>
      <c s="6" r="X807">
        <v>0</v>
      </c>
      <c s="6" r="Y807">
        <v>0</v>
      </c>
      <c s="6" r="Z807">
        <v>0</v>
      </c>
      <c t="s" s="6" r="AA807">
        <v>92</v>
      </c>
      <c t="s" s="6" r="AB807">
        <v>92</v>
      </c>
      <c t="s" s="6" r="AC807">
        <v>92</v>
      </c>
      <c t="s" s="6" r="AD807">
        <v>92</v>
      </c>
      <c t="s" s="6" r="AE807">
        <v>92</v>
      </c>
      <c s="6" r="AF807">
        <v>3</v>
      </c>
      <c t="s" s="6" r="AG807">
        <v>92</v>
      </c>
      <c t="s" s="6" r="AH807">
        <v>92</v>
      </c>
      <c t="s" s="6" r="AI807">
        <v>92</v>
      </c>
      <c t="s" s="6" r="AJ807">
        <v>92</v>
      </c>
      <c t="s" s="6" r="AK807">
        <v>92</v>
      </c>
      <c t="s" s="6" r="AL807">
        <v>92</v>
      </c>
      <c t="s" s="6" r="AM807">
        <v>92</v>
      </c>
      <c t="s" s="6" r="AN807">
        <v>92</v>
      </c>
      <c s="6" r="AP807">
        <v>3</v>
      </c>
      <c t="s" s="6" r="AR807">
        <v>6151</v>
      </c>
      <c s="6" r="AS807">
        <v>0</v>
      </c>
      <c s="6" r="AT807">
        <v>0</v>
      </c>
      <c s="6" r="AU807">
        <v>0</v>
      </c>
      <c s="6" r="AV807">
        <v>0</v>
      </c>
      <c s="6" r="AW807">
        <v>0</v>
      </c>
      <c s="6" r="AX807">
        <v>0</v>
      </c>
      <c s="6" r="AY807">
        <v>0</v>
      </c>
      <c s="6" r="AZ807">
        <v>0</v>
      </c>
      <c s="6" r="BA807">
        <v>0</v>
      </c>
      <c s="6" r="BB807">
        <v>0</v>
      </c>
      <c s="6" r="BC807">
        <v>0</v>
      </c>
      <c s="6" r="BD807">
        <v>0</v>
      </c>
      <c s="6" r="BE807">
        <v>0</v>
      </c>
      <c s="6" r="BF807">
        <v>0</v>
      </c>
      <c s="6" r="BG807">
        <v>0</v>
      </c>
      <c s="6" r="BH807">
        <v>0</v>
      </c>
      <c s="6" r="BI807">
        <v>0</v>
      </c>
      <c s="6" r="BJ807">
        <v>0</v>
      </c>
      <c s="6" r="BK807">
        <v>0</v>
      </c>
      <c s="6" r="BL807">
        <v>0</v>
      </c>
      <c s="6" r="BM807">
        <v>0</v>
      </c>
      <c s="6" r="BN807">
        <v>0</v>
      </c>
      <c s="6" r="BO807">
        <v>0</v>
      </c>
      <c s="6" r="BP807">
        <v>0</v>
      </c>
      <c s="6" r="BQ807">
        <v>0</v>
      </c>
      <c t="str" s="6" r="BR807">
        <f>HYPERLINK("http://www.d20pfsrd.com/magic/all-spells/i/invigorate,-mass","Invigorate, Mass")</f>
        <v>Invigorate, Mass</v>
      </c>
      <c s="6" r="BS807">
        <v>817</v>
      </c>
      <c t="s" s="6" r="BT807">
        <v>92</v>
      </c>
      <c s="6" r="BY807">
        <v>0</v>
      </c>
    </row>
    <row customHeight="1" r="808" ht="14.25">
      <c t="s" s="6" r="A808">
        <v>6152</v>
      </c>
      <c t="s" s="6" r="B808">
        <v>78</v>
      </c>
      <c t="s" s="6" r="C808">
        <v>1356</v>
      </c>
      <c t="s" s="6" r="E808">
        <v>2085</v>
      </c>
      <c t="s" s="6" r="F808">
        <v>81</v>
      </c>
      <c t="s" s="6" r="G808">
        <v>106</v>
      </c>
      <c s="6" r="H808">
        <v>0</v>
      </c>
      <c t="s" s="6" r="I808">
        <v>120</v>
      </c>
      <c t="s" s="6" r="L808">
        <v>473</v>
      </c>
      <c t="s" s="6" r="M808">
        <v>6153</v>
      </c>
      <c s="6" r="N808">
        <v>0</v>
      </c>
      <c s="6" r="O808">
        <v>0</v>
      </c>
      <c t="s" s="6" r="P808">
        <v>221</v>
      </c>
      <c t="s" s="6" r="Q808">
        <v>188</v>
      </c>
      <c t="s" s="6" r="R808">
        <v>6154</v>
      </c>
      <c t="s" s="6" r="S808">
        <v>6155</v>
      </c>
      <c t="s" s="6" r="T808">
        <v>5200</v>
      </c>
      <c t="s" s="6" r="U808">
        <v>6156</v>
      </c>
      <c s="6" r="V808">
        <v>1</v>
      </c>
      <c s="6" r="W808">
        <v>1</v>
      </c>
      <c s="6" r="X808">
        <v>0</v>
      </c>
      <c s="6" r="Y808">
        <v>0</v>
      </c>
      <c s="6" r="Z808">
        <v>0</v>
      </c>
      <c t="s" s="6" r="AA808">
        <v>92</v>
      </c>
      <c t="s" s="6" r="AB808">
        <v>92</v>
      </c>
      <c t="s" s="6" r="AC808">
        <v>92</v>
      </c>
      <c t="s" s="6" r="AD808">
        <v>92</v>
      </c>
      <c t="s" s="6" r="AE808">
        <v>92</v>
      </c>
      <c s="6" r="AF808">
        <v>3</v>
      </c>
      <c t="s" s="6" r="AG808">
        <v>92</v>
      </c>
      <c t="s" s="6" r="AH808">
        <v>92</v>
      </c>
      <c t="s" s="6" r="AI808">
        <v>92</v>
      </c>
      <c t="s" s="6" r="AJ808">
        <v>92</v>
      </c>
      <c t="s" s="6" r="AK808">
        <v>92</v>
      </c>
      <c t="s" s="6" r="AL808">
        <v>92</v>
      </c>
      <c t="s" s="6" r="AM808">
        <v>92</v>
      </c>
      <c t="s" s="6" r="AN808">
        <v>92</v>
      </c>
      <c s="6" r="AP808">
        <v>3</v>
      </c>
      <c t="s" s="6" r="AR808">
        <v>6157</v>
      </c>
      <c s="6" r="AS808">
        <v>0</v>
      </c>
      <c s="6" r="AT808">
        <v>0</v>
      </c>
      <c s="6" r="AU808">
        <v>0</v>
      </c>
      <c s="6" r="AV808">
        <v>0</v>
      </c>
      <c s="6" r="AW808">
        <v>0</v>
      </c>
      <c s="6" r="AX808">
        <v>0</v>
      </c>
      <c s="6" r="AY808">
        <v>0</v>
      </c>
      <c s="6" r="AZ808">
        <v>0</v>
      </c>
      <c s="6" r="BA808">
        <v>0</v>
      </c>
      <c s="6" r="BB808">
        <v>0</v>
      </c>
      <c s="6" r="BC808">
        <v>0</v>
      </c>
      <c s="6" r="BD808">
        <v>0</v>
      </c>
      <c s="6" r="BE808">
        <v>0</v>
      </c>
      <c s="6" r="BF808">
        <v>0</v>
      </c>
      <c s="6" r="BG808">
        <v>0</v>
      </c>
      <c s="6" r="BH808">
        <v>0</v>
      </c>
      <c s="6" r="BI808">
        <v>0</v>
      </c>
      <c s="6" r="BJ808">
        <v>0</v>
      </c>
      <c s="6" r="BK808">
        <v>0</v>
      </c>
      <c s="6" r="BL808">
        <v>0</v>
      </c>
      <c s="6" r="BM808">
        <v>0</v>
      </c>
      <c s="6" r="BN808">
        <v>0</v>
      </c>
      <c s="6" r="BO808">
        <v>0</v>
      </c>
      <c s="6" r="BP808">
        <v>0</v>
      </c>
      <c s="6" r="BQ808">
        <v>0</v>
      </c>
      <c t="str" s="6" r="BR808">
        <f>HYPERLINK("http://www.d20pfsrd.com/magic/all-spells/j/jester-s-jaunt","Jester's Jaunt")</f>
        <v>Jester's Jaunt</v>
      </c>
      <c s="6" r="BS808">
        <v>818</v>
      </c>
      <c t="s" s="6" r="BT808">
        <v>92</v>
      </c>
      <c s="6" r="BY808">
        <v>0</v>
      </c>
    </row>
    <row customHeight="1" r="809" ht="14.25">
      <c t="s" s="6" r="A809">
        <v>6158</v>
      </c>
      <c t="s" s="6" r="B809">
        <v>131</v>
      </c>
      <c t="s" s="6" r="E809">
        <v>6159</v>
      </c>
      <c t="s" s="6" r="F809">
        <v>81</v>
      </c>
      <c t="s" s="6" r="G809">
        <v>6160</v>
      </c>
      <c s="6" r="H809">
        <v>0</v>
      </c>
      <c t="s" s="6" r="I809">
        <v>120</v>
      </c>
      <c t="s" s="6" r="L809">
        <v>420</v>
      </c>
      <c t="s" s="6" r="M809">
        <v>5513</v>
      </c>
      <c s="6" r="N809">
        <v>1</v>
      </c>
      <c s="6" r="O809">
        <v>0</v>
      </c>
      <c t="s" s="6" r="P809">
        <v>421</v>
      </c>
      <c t="s" s="6" r="Q809">
        <v>123</v>
      </c>
      <c t="s" s="6" r="R809">
        <v>6161</v>
      </c>
      <c t="s" s="6" r="S809">
        <v>6162</v>
      </c>
      <c t="s" s="6" r="T809">
        <v>5200</v>
      </c>
      <c t="s" s="6" r="U809">
        <v>6163</v>
      </c>
      <c s="6" r="V809">
        <v>1</v>
      </c>
      <c s="6" r="W809">
        <v>0</v>
      </c>
      <c s="6" r="X809">
        <v>1</v>
      </c>
      <c s="6" r="Y809">
        <v>0</v>
      </c>
      <c s="6" r="Z809">
        <v>1</v>
      </c>
      <c t="s" s="6" r="AA809">
        <v>92</v>
      </c>
      <c t="s" s="6" r="AB809">
        <v>92</v>
      </c>
      <c t="s" s="6" r="AC809">
        <v>92</v>
      </c>
      <c s="6" r="AD809">
        <v>1</v>
      </c>
      <c s="6" r="AE809">
        <v>1</v>
      </c>
      <c t="s" s="6" r="AF809">
        <v>92</v>
      </c>
      <c t="s" s="6" r="AG809">
        <v>92</v>
      </c>
      <c s="6" r="AH809">
        <v>1</v>
      </c>
      <c t="s" s="6" r="AI809">
        <v>92</v>
      </c>
      <c t="s" s="6" r="AJ809">
        <v>92</v>
      </c>
      <c t="s" s="6" r="AK809">
        <v>92</v>
      </c>
      <c t="s" s="6" r="AL809">
        <v>92</v>
      </c>
      <c t="s" s="6" r="AM809">
        <v>92</v>
      </c>
      <c t="s" s="6" r="AN809">
        <v>92</v>
      </c>
      <c s="6" r="AP809">
        <v>1</v>
      </c>
      <c t="s" s="6" r="AR809">
        <v>6164</v>
      </c>
      <c s="6" r="AS809">
        <v>0</v>
      </c>
      <c s="6" r="AT809">
        <v>0</v>
      </c>
      <c s="6" r="AU809">
        <v>0</v>
      </c>
      <c s="6" r="AV809">
        <v>0</v>
      </c>
      <c s="6" r="AW809">
        <v>0</v>
      </c>
      <c s="6" r="AX809">
        <v>0</v>
      </c>
      <c s="6" r="AY809">
        <v>0</v>
      </c>
      <c s="6" r="AZ809">
        <v>0</v>
      </c>
      <c s="6" r="BA809">
        <v>0</v>
      </c>
      <c s="6" r="BB809">
        <v>0</v>
      </c>
      <c s="6" r="BC809">
        <v>0</v>
      </c>
      <c s="6" r="BD809">
        <v>0</v>
      </c>
      <c s="6" r="BE809">
        <v>0</v>
      </c>
      <c s="6" r="BF809">
        <v>0</v>
      </c>
      <c s="6" r="BG809">
        <v>0</v>
      </c>
      <c s="6" r="BH809">
        <v>0</v>
      </c>
      <c s="6" r="BI809">
        <v>0</v>
      </c>
      <c s="6" r="BJ809">
        <v>0</v>
      </c>
      <c s="6" r="BK809">
        <v>0</v>
      </c>
      <c s="6" r="BL809">
        <v>0</v>
      </c>
      <c s="6" r="BM809">
        <v>0</v>
      </c>
      <c s="6" r="BN809">
        <v>0</v>
      </c>
      <c s="6" r="BO809">
        <v>0</v>
      </c>
      <c s="6" r="BP809">
        <v>0</v>
      </c>
      <c s="6" r="BQ809">
        <v>0</v>
      </c>
      <c t="str" s="6" r="BR809">
        <f>HYPERLINK("http://www.d20pfsrd.com/magic/all-spells/k/keen-senses","Keen Senses")</f>
        <v>Keen Senses</v>
      </c>
      <c s="6" r="BS809">
        <v>819</v>
      </c>
      <c t="s" s="6" r="BT809">
        <v>92</v>
      </c>
      <c s="6" r="BY809">
        <v>0</v>
      </c>
    </row>
    <row customHeight="1" r="810" ht="14.25">
      <c t="s" s="6" r="A810">
        <v>6165</v>
      </c>
      <c t="s" s="6" r="B810">
        <v>78</v>
      </c>
      <c t="s" s="6" r="C810">
        <v>1356</v>
      </c>
      <c t="s" s="6" r="E810">
        <v>2367</v>
      </c>
      <c t="s" s="6" r="F810">
        <v>81</v>
      </c>
      <c t="s" s="6" r="G810">
        <v>119</v>
      </c>
      <c s="6" r="H810">
        <v>0</v>
      </c>
      <c t="s" s="6" r="I810">
        <v>107</v>
      </c>
      <c t="s" s="6" r="L810">
        <v>1235</v>
      </c>
      <c t="s" s="6" r="M810">
        <v>109</v>
      </c>
      <c s="6" r="N810">
        <v>0</v>
      </c>
      <c s="6" r="O810">
        <v>0</v>
      </c>
      <c t="s" s="6" r="P810">
        <v>421</v>
      </c>
      <c t="s" s="6" r="Q810">
        <v>123</v>
      </c>
      <c t="s" s="6" r="R810">
        <v>6166</v>
      </c>
      <c t="s" s="6" r="S810">
        <v>6167</v>
      </c>
      <c t="s" s="6" r="T810">
        <v>5200</v>
      </c>
      <c t="s" s="6" r="U810">
        <v>6168</v>
      </c>
      <c s="6" r="V810">
        <v>1</v>
      </c>
      <c s="6" r="W810">
        <v>1</v>
      </c>
      <c s="6" r="X810">
        <v>0</v>
      </c>
      <c s="6" r="Y810">
        <v>0</v>
      </c>
      <c s="6" r="Z810">
        <v>1</v>
      </c>
      <c t="s" s="6" r="AA810">
        <v>92</v>
      </c>
      <c t="s" s="6" r="AB810">
        <v>92</v>
      </c>
      <c t="s" s="6" r="AC810">
        <v>92</v>
      </c>
      <c t="s" s="6" r="AD810">
        <v>92</v>
      </c>
      <c t="s" s="6" r="AE810">
        <v>92</v>
      </c>
      <c t="s" s="6" r="AF810">
        <v>92</v>
      </c>
      <c s="6" r="AG810">
        <v>4</v>
      </c>
      <c t="s" s="6" r="AH810">
        <v>92</v>
      </c>
      <c t="s" s="6" r="AI810">
        <v>92</v>
      </c>
      <c t="s" s="6" r="AJ810">
        <v>92</v>
      </c>
      <c t="s" s="6" r="AK810">
        <v>92</v>
      </c>
      <c t="s" s="6" r="AL810">
        <v>92</v>
      </c>
      <c t="s" s="6" r="AM810">
        <v>92</v>
      </c>
      <c t="s" s="6" r="AN810">
        <v>92</v>
      </c>
      <c s="6" r="AP810">
        <v>4</v>
      </c>
      <c t="s" s="6" r="AR810">
        <v>6169</v>
      </c>
      <c s="6" r="AS810">
        <v>0</v>
      </c>
      <c s="6" r="AT810">
        <v>0</v>
      </c>
      <c s="6" r="AU810">
        <v>0</v>
      </c>
      <c s="6" r="AV810">
        <v>0</v>
      </c>
      <c s="6" r="AW810">
        <v>0</v>
      </c>
      <c s="6" r="AX810">
        <v>0</v>
      </c>
      <c s="6" r="AY810">
        <v>0</v>
      </c>
      <c s="6" r="AZ810">
        <v>0</v>
      </c>
      <c s="6" r="BA810">
        <v>0</v>
      </c>
      <c s="6" r="BB810">
        <v>0</v>
      </c>
      <c s="6" r="BC810">
        <v>0</v>
      </c>
      <c s="6" r="BD810">
        <v>0</v>
      </c>
      <c s="6" r="BE810">
        <v>0</v>
      </c>
      <c s="6" r="BF810">
        <v>0</v>
      </c>
      <c s="6" r="BG810">
        <v>0</v>
      </c>
      <c s="6" r="BH810">
        <v>0</v>
      </c>
      <c s="6" r="BI810">
        <v>0</v>
      </c>
      <c s="6" r="BJ810">
        <v>0</v>
      </c>
      <c s="6" r="BK810">
        <v>0</v>
      </c>
      <c s="6" r="BL810">
        <v>0</v>
      </c>
      <c s="6" r="BM810">
        <v>0</v>
      </c>
      <c s="6" r="BN810">
        <v>0</v>
      </c>
      <c s="6" r="BO810">
        <v>0</v>
      </c>
      <c s="6" r="BP810">
        <v>0</v>
      </c>
      <c s="6" r="BQ810">
        <v>0</v>
      </c>
      <c t="str" s="6" r="BR810">
        <f>HYPERLINK("http://www.d20pfsrd.com/magic/all-spells/k/king-s-castle","King's Castle")</f>
        <v>King's Castle</v>
      </c>
      <c s="6" r="BS810">
        <v>820</v>
      </c>
      <c t="s" s="6" r="BT810">
        <v>92</v>
      </c>
      <c s="6" r="BY810">
        <v>0</v>
      </c>
    </row>
    <row customHeight="1" r="811" ht="14.25">
      <c t="s" s="6" r="A811">
        <v>6170</v>
      </c>
      <c t="s" s="6" r="B811">
        <v>115</v>
      </c>
      <c t="s" s="6" r="C811">
        <v>116</v>
      </c>
      <c t="s" s="6" r="D811">
        <v>117</v>
      </c>
      <c t="s" s="6" r="E811">
        <v>544</v>
      </c>
      <c t="s" s="6" r="F811">
        <v>81</v>
      </c>
      <c t="s" s="6" r="G811">
        <v>5511</v>
      </c>
      <c s="6" r="H811">
        <v>0</v>
      </c>
      <c t="s" s="6" r="I811">
        <v>107</v>
      </c>
      <c t="s" s="6" r="L811">
        <v>1235</v>
      </c>
      <c t="s" s="6" r="M811">
        <v>272</v>
      </c>
      <c s="6" r="N811">
        <v>0</v>
      </c>
      <c s="6" r="O811">
        <v>0</v>
      </c>
      <c t="s" s="6" r="P811">
        <v>221</v>
      </c>
      <c t="s" s="6" r="Q811">
        <v>188</v>
      </c>
      <c t="s" s="6" r="R811">
        <v>6171</v>
      </c>
      <c t="s" s="6" r="S811">
        <v>6172</v>
      </c>
      <c t="s" s="6" r="T811">
        <v>5200</v>
      </c>
      <c t="s" s="6" r="U811">
        <v>6173</v>
      </c>
      <c s="6" r="V811">
        <v>1</v>
      </c>
      <c s="6" r="W811">
        <v>0</v>
      </c>
      <c s="6" r="X811">
        <v>0</v>
      </c>
      <c s="6" r="Y811">
        <v>0</v>
      </c>
      <c s="6" r="Z811">
        <v>1</v>
      </c>
      <c t="s" s="6" r="AA811">
        <v>92</v>
      </c>
      <c t="s" s="6" r="AB811">
        <v>92</v>
      </c>
      <c t="s" s="6" r="AC811">
        <v>92</v>
      </c>
      <c t="s" s="6" r="AD811">
        <v>92</v>
      </c>
      <c t="s" s="6" r="AE811">
        <v>92</v>
      </c>
      <c t="s" s="6" r="AF811">
        <v>92</v>
      </c>
      <c s="6" r="AG811">
        <v>1</v>
      </c>
      <c t="s" s="6" r="AH811">
        <v>92</v>
      </c>
      <c t="s" s="6" r="AI811">
        <v>92</v>
      </c>
      <c t="s" s="6" r="AJ811">
        <v>92</v>
      </c>
      <c t="s" s="6" r="AK811">
        <v>92</v>
      </c>
      <c t="s" s="6" r="AL811">
        <v>92</v>
      </c>
      <c t="s" s="6" r="AM811">
        <v>92</v>
      </c>
      <c t="s" s="6" r="AN811">
        <v>92</v>
      </c>
      <c s="6" r="AP811">
        <v>1</v>
      </c>
      <c t="s" s="6" r="AR811">
        <v>6174</v>
      </c>
      <c s="6" r="AS811">
        <v>0</v>
      </c>
      <c s="6" r="AT811">
        <v>0</v>
      </c>
      <c s="6" r="AU811">
        <v>0</v>
      </c>
      <c s="6" r="AV811">
        <v>0</v>
      </c>
      <c s="6" r="AW811">
        <v>0</v>
      </c>
      <c s="6" r="AX811">
        <v>0</v>
      </c>
      <c s="6" r="AY811">
        <v>0</v>
      </c>
      <c s="6" r="AZ811">
        <v>0</v>
      </c>
      <c s="6" r="BA811">
        <v>0</v>
      </c>
      <c s="6" r="BB811">
        <v>0</v>
      </c>
      <c s="6" r="BC811">
        <v>0</v>
      </c>
      <c s="6" r="BD811">
        <v>0</v>
      </c>
      <c s="6" r="BE811">
        <v>0</v>
      </c>
      <c s="6" r="BF811">
        <v>0</v>
      </c>
      <c s="6" r="BG811">
        <v>0</v>
      </c>
      <c s="6" r="BH811">
        <v>0</v>
      </c>
      <c s="6" r="BI811">
        <v>0</v>
      </c>
      <c s="6" r="BJ811">
        <v>0</v>
      </c>
      <c s="6" r="BK811">
        <v>0</v>
      </c>
      <c s="6" r="BL811">
        <v>1</v>
      </c>
      <c s="6" r="BM811">
        <v>0</v>
      </c>
      <c s="6" r="BN811">
        <v>0</v>
      </c>
      <c s="6" r="BO811">
        <v>0</v>
      </c>
      <c s="6" r="BP811">
        <v>0</v>
      </c>
      <c s="6" r="BQ811">
        <v>0</v>
      </c>
      <c t="str" s="6" r="BR811">
        <f>HYPERLINK("http://www.d20pfsrd.com/magic/all-spells/k/knight-s-calling","Knight's Calling")</f>
        <v>Knight's Calling</v>
      </c>
      <c s="6" r="BS811">
        <v>821</v>
      </c>
      <c t="s" s="6" r="BT811">
        <v>92</v>
      </c>
      <c s="6" r="BY811">
        <v>0</v>
      </c>
    </row>
    <row customHeight="1" r="812" ht="14.25">
      <c t="s" s="6" r="A812">
        <v>6175</v>
      </c>
      <c t="s" s="6" r="B812">
        <v>131</v>
      </c>
      <c t="s" s="6" r="E812">
        <v>6176</v>
      </c>
      <c t="s" s="6" r="F812">
        <v>81</v>
      </c>
      <c t="s" s="6" r="G812">
        <v>106</v>
      </c>
      <c s="6" r="H812">
        <v>0</v>
      </c>
      <c t="s" s="6" r="I812">
        <v>155</v>
      </c>
      <c t="s" s="6" r="L812">
        <v>120</v>
      </c>
      <c t="s" s="6" r="M812">
        <v>5513</v>
      </c>
      <c s="6" r="N812">
        <v>1</v>
      </c>
      <c s="6" r="O812">
        <v>0</v>
      </c>
      <c t="s" s="6" r="R812">
        <v>6177</v>
      </c>
      <c t="s" s="6" r="S812">
        <v>6178</v>
      </c>
      <c t="s" s="6" r="T812">
        <v>5200</v>
      </c>
      <c t="s" s="6" r="U812">
        <v>6179</v>
      </c>
      <c s="6" r="V812">
        <v>1</v>
      </c>
      <c s="6" r="W812">
        <v>1</v>
      </c>
      <c s="6" r="X812">
        <v>0</v>
      </c>
      <c s="6" r="Y812">
        <v>0</v>
      </c>
      <c s="6" r="Z812">
        <v>0</v>
      </c>
      <c t="s" s="6" r="AA812">
        <v>92</v>
      </c>
      <c t="s" s="6" r="AB812">
        <v>92</v>
      </c>
      <c t="s" s="6" r="AC812">
        <v>92</v>
      </c>
      <c t="s" s="6" r="AD812">
        <v>92</v>
      </c>
      <c s="6" r="AE812">
        <v>1</v>
      </c>
      <c t="s" s="6" r="AF812">
        <v>92</v>
      </c>
      <c t="s" s="6" r="AG812">
        <v>92</v>
      </c>
      <c t="s" s="6" r="AH812">
        <v>92</v>
      </c>
      <c t="s" s="6" r="AI812">
        <v>92</v>
      </c>
      <c t="s" s="6" r="AJ812">
        <v>92</v>
      </c>
      <c t="s" s="6" r="AK812">
        <v>92</v>
      </c>
      <c t="s" s="6" r="AL812">
        <v>92</v>
      </c>
      <c t="s" s="6" r="AM812">
        <v>92</v>
      </c>
      <c t="s" s="6" r="AN812">
        <v>92</v>
      </c>
      <c s="6" r="AP812">
        <v>1</v>
      </c>
      <c t="s" s="6" r="AR812">
        <v>6180</v>
      </c>
      <c s="6" r="AS812">
        <v>0</v>
      </c>
      <c s="6" r="AT812">
        <v>0</v>
      </c>
      <c s="6" r="AU812">
        <v>0</v>
      </c>
      <c s="6" r="AV812">
        <v>0</v>
      </c>
      <c s="6" r="AW812">
        <v>0</v>
      </c>
      <c s="6" r="AX812">
        <v>0</v>
      </c>
      <c s="6" r="AY812">
        <v>0</v>
      </c>
      <c s="6" r="AZ812">
        <v>0</v>
      </c>
      <c s="6" r="BA812">
        <v>0</v>
      </c>
      <c s="6" r="BB812">
        <v>0</v>
      </c>
      <c s="6" r="BC812">
        <v>0</v>
      </c>
      <c s="6" r="BD812">
        <v>0</v>
      </c>
      <c s="6" r="BE812">
        <v>0</v>
      </c>
      <c s="6" r="BF812">
        <v>0</v>
      </c>
      <c s="6" r="BG812">
        <v>0</v>
      </c>
      <c s="6" r="BH812">
        <v>0</v>
      </c>
      <c s="6" r="BI812">
        <v>0</v>
      </c>
      <c s="6" r="BJ812">
        <v>0</v>
      </c>
      <c s="6" r="BK812">
        <v>0</v>
      </c>
      <c s="6" r="BL812">
        <v>0</v>
      </c>
      <c s="6" r="BM812">
        <v>0</v>
      </c>
      <c s="6" r="BN812">
        <v>0</v>
      </c>
      <c s="6" r="BO812">
        <v>0</v>
      </c>
      <c s="6" r="BP812">
        <v>0</v>
      </c>
      <c s="6" r="BQ812">
        <v>0</v>
      </c>
      <c t="str" s="6" r="BR812">
        <f>HYPERLINK("http://www.d20pfsrd.com/magic/all-spells/l/lead-blades","Lead Blades")</f>
        <v>Lead Blades</v>
      </c>
      <c s="6" r="BS812">
        <v>822</v>
      </c>
      <c t="s" s="6" r="BT812">
        <v>92</v>
      </c>
      <c s="6" r="BY812">
        <v>0</v>
      </c>
    </row>
    <row customHeight="1" r="813" ht="14.25">
      <c t="s" s="6" r="A813">
        <v>6181</v>
      </c>
      <c t="s" s="6" r="B813">
        <v>162</v>
      </c>
      <c t="s" s="6" r="E813">
        <v>6182</v>
      </c>
      <c t="s" s="6" r="F813">
        <v>81</v>
      </c>
      <c t="s" s="6" r="G813">
        <v>6183</v>
      </c>
      <c s="6" r="H813">
        <v>0</v>
      </c>
      <c t="s" s="6" r="I813">
        <v>120</v>
      </c>
      <c t="s" s="6" r="L813">
        <v>6147</v>
      </c>
      <c t="s" s="6" r="M813">
        <v>4736</v>
      </c>
      <c s="6" r="N813">
        <v>0</v>
      </c>
      <c s="6" r="O813">
        <v>0</v>
      </c>
      <c t="s" s="6" r="P813">
        <v>421</v>
      </c>
      <c t="s" s="6" r="Q813">
        <v>123</v>
      </c>
      <c t="s" s="6" r="R813">
        <v>6184</v>
      </c>
      <c t="s" s="6" r="S813">
        <v>6185</v>
      </c>
      <c t="s" s="6" r="T813">
        <v>5200</v>
      </c>
      <c t="s" s="6" r="U813">
        <v>6186</v>
      </c>
      <c s="6" r="V813">
        <v>1</v>
      </c>
      <c s="6" r="W813">
        <v>1</v>
      </c>
      <c s="6" r="X813">
        <v>1</v>
      </c>
      <c s="6" r="Y813">
        <v>0</v>
      </c>
      <c s="6" r="Z813">
        <v>1</v>
      </c>
      <c s="6" r="AA813">
        <v>5</v>
      </c>
      <c s="6" r="AB813">
        <v>5</v>
      </c>
      <c s="6" r="AC813">
        <v>5</v>
      </c>
      <c s="6" r="AD813">
        <v>4</v>
      </c>
      <c s="6" r="AE813">
        <v>3</v>
      </c>
      <c t="s" s="6" r="AF813">
        <v>92</v>
      </c>
      <c t="s" s="6" r="AG813">
        <v>92</v>
      </c>
      <c t="s" s="6" r="AH813">
        <v>92</v>
      </c>
      <c t="s" s="6" r="AI813">
        <v>92</v>
      </c>
      <c t="s" s="6" r="AJ813">
        <v>92</v>
      </c>
      <c t="s" s="6" r="AK813">
        <v>92</v>
      </c>
      <c s="6" r="AL813">
        <v>5</v>
      </c>
      <c t="s" s="6" r="AM813">
        <v>92</v>
      </c>
      <c t="s" s="6" r="AN813">
        <v>92</v>
      </c>
      <c s="6" r="AP813">
        <v>5</v>
      </c>
      <c t="s" s="6" r="AR813">
        <v>6187</v>
      </c>
      <c s="6" r="AS813">
        <v>0</v>
      </c>
      <c s="6" r="AT813">
        <v>0</v>
      </c>
      <c s="6" r="AU813">
        <v>0</v>
      </c>
      <c s="6" r="AV813">
        <v>0</v>
      </c>
      <c s="6" r="AW813">
        <v>0</v>
      </c>
      <c s="6" r="AX813">
        <v>0</v>
      </c>
      <c s="6" r="AY813">
        <v>0</v>
      </c>
      <c s="6" r="AZ813">
        <v>0</v>
      </c>
      <c s="6" r="BA813">
        <v>0</v>
      </c>
      <c s="6" r="BB813">
        <v>0</v>
      </c>
      <c s="6" r="BC813">
        <v>0</v>
      </c>
      <c s="6" r="BD813">
        <v>0</v>
      </c>
      <c s="6" r="BE813">
        <v>0</v>
      </c>
      <c s="6" r="BF813">
        <v>0</v>
      </c>
      <c s="6" r="BG813">
        <v>0</v>
      </c>
      <c s="6" r="BH813">
        <v>0</v>
      </c>
      <c s="6" r="BI813">
        <v>0</v>
      </c>
      <c s="6" r="BJ813">
        <v>0</v>
      </c>
      <c s="6" r="BK813">
        <v>0</v>
      </c>
      <c s="6" r="BL813">
        <v>0</v>
      </c>
      <c s="6" r="BM813">
        <v>0</v>
      </c>
      <c s="6" r="BN813">
        <v>0</v>
      </c>
      <c s="6" r="BO813">
        <v>0</v>
      </c>
      <c s="6" r="BP813">
        <v>0</v>
      </c>
      <c s="6" r="BQ813">
        <v>0</v>
      </c>
      <c t="str" s="6" r="BR813">
        <f>HYPERLINK("http://www.d20pfsrd.com/magic/all-spells/l/life-bubble","Life Bubble")</f>
        <v>Life Bubble</v>
      </c>
      <c s="6" r="BS813">
        <v>823</v>
      </c>
      <c t="s" s="6" r="BT813">
        <v>92</v>
      </c>
      <c s="6" r="BY813">
        <v>0</v>
      </c>
    </row>
    <row customHeight="1" r="814" ht="14.25">
      <c t="s" s="6" r="A814">
        <v>6188</v>
      </c>
      <c t="s" s="6" r="B814">
        <v>493</v>
      </c>
      <c t="s" s="6" r="D814">
        <v>6189</v>
      </c>
      <c t="s" s="6" r="E814">
        <v>5295</v>
      </c>
      <c t="s" s="6" r="F814">
        <v>81</v>
      </c>
      <c t="s" s="6" r="G814">
        <v>106</v>
      </c>
      <c s="6" r="H814">
        <v>0</v>
      </c>
      <c t="s" s="6" r="I814">
        <v>155</v>
      </c>
      <c t="s" s="6" r="K814">
        <v>6190</v>
      </c>
      <c t="s" s="6" r="M814">
        <v>6191</v>
      </c>
      <c s="6" r="N814">
        <v>1</v>
      </c>
      <c s="6" r="O814">
        <v>0</v>
      </c>
      <c t="s" s="6" r="R814">
        <v>6192</v>
      </c>
      <c t="s" s="6" r="S814">
        <v>6193</v>
      </c>
      <c t="s" s="6" r="T814">
        <v>5200</v>
      </c>
      <c t="s" s="6" r="U814">
        <v>6194</v>
      </c>
      <c s="6" r="V814">
        <v>1</v>
      </c>
      <c s="6" r="W814">
        <v>1</v>
      </c>
      <c s="6" r="X814">
        <v>0</v>
      </c>
      <c s="6" r="Y814">
        <v>0</v>
      </c>
      <c s="6" r="Z814">
        <v>0</v>
      </c>
      <c t="s" s="6" r="AA814">
        <v>92</v>
      </c>
      <c t="s" s="6" r="AB814">
        <v>92</v>
      </c>
      <c t="s" s="6" r="AC814">
        <v>92</v>
      </c>
      <c t="s" s="6" r="AD814">
        <v>92</v>
      </c>
      <c t="s" s="6" r="AE814">
        <v>92</v>
      </c>
      <c t="s" s="6" r="AF814">
        <v>92</v>
      </c>
      <c s="6" r="AG814">
        <v>2</v>
      </c>
      <c t="s" s="6" r="AH814">
        <v>92</v>
      </c>
      <c t="s" s="6" r="AI814">
        <v>92</v>
      </c>
      <c t="s" s="6" r="AJ814">
        <v>92</v>
      </c>
      <c t="s" s="6" r="AK814">
        <v>92</v>
      </c>
      <c t="s" s="6" r="AL814">
        <v>92</v>
      </c>
      <c t="s" s="6" r="AM814">
        <v>92</v>
      </c>
      <c t="s" s="6" r="AN814">
        <v>92</v>
      </c>
      <c s="6" r="AP814">
        <v>2</v>
      </c>
      <c t="s" s="6" r="AR814">
        <v>6195</v>
      </c>
      <c s="6" r="AS814">
        <v>0</v>
      </c>
      <c s="6" r="AT814">
        <v>0</v>
      </c>
      <c s="6" r="AU814">
        <v>0</v>
      </c>
      <c s="6" r="AV814">
        <v>0</v>
      </c>
      <c s="6" r="AW814">
        <v>0</v>
      </c>
      <c s="6" r="AX814">
        <v>0</v>
      </c>
      <c s="6" r="AY814">
        <v>0</v>
      </c>
      <c s="6" r="AZ814">
        <v>0</v>
      </c>
      <c s="6" r="BA814">
        <v>0</v>
      </c>
      <c s="6" r="BB814">
        <v>0</v>
      </c>
      <c s="6" r="BC814">
        <v>0</v>
      </c>
      <c s="6" r="BD814">
        <v>0</v>
      </c>
      <c s="6" r="BE814">
        <v>0</v>
      </c>
      <c s="6" r="BF814">
        <v>0</v>
      </c>
      <c s="6" r="BG814">
        <v>0</v>
      </c>
      <c s="6" r="BH814">
        <v>1</v>
      </c>
      <c s="6" r="BI814">
        <v>0</v>
      </c>
      <c s="6" r="BJ814">
        <v>0</v>
      </c>
      <c s="6" r="BK814">
        <v>1</v>
      </c>
      <c s="6" r="BL814">
        <v>0</v>
      </c>
      <c s="6" r="BM814">
        <v>0</v>
      </c>
      <c s="6" r="BN814">
        <v>0</v>
      </c>
      <c s="6" r="BO814">
        <v>0</v>
      </c>
      <c s="6" r="BP814">
        <v>0</v>
      </c>
      <c s="6" r="BQ814">
        <v>0</v>
      </c>
      <c t="str" s="6" r="BR814">
        <f>HYPERLINK("http://www.d20pfsrd.com/magic/all-spells/l/light-lance","Light Lance")</f>
        <v>Light Lance</v>
      </c>
      <c s="6" r="BS814">
        <v>824</v>
      </c>
      <c t="s" s="6" r="BT814">
        <v>92</v>
      </c>
      <c s="6" r="BY814">
        <v>0</v>
      </c>
    </row>
    <row customHeight="1" r="815" ht="14.25">
      <c t="s" s="6" r="A815">
        <v>6196</v>
      </c>
      <c t="s" s="6" r="B815">
        <v>131</v>
      </c>
      <c t="s" s="6" r="E815">
        <v>641</v>
      </c>
      <c t="s" s="6" r="F815">
        <v>81</v>
      </c>
      <c t="s" s="6" r="G815">
        <v>6197</v>
      </c>
      <c s="6" r="H815">
        <v>0</v>
      </c>
      <c t="s" s="6" r="I815">
        <v>83</v>
      </c>
      <c t="s" s="6" r="K815">
        <v>6198</v>
      </c>
      <c t="s" s="6" r="M815">
        <v>6199</v>
      </c>
      <c s="6" r="N815">
        <v>1</v>
      </c>
      <c s="6" r="O815">
        <v>0</v>
      </c>
      <c t="s" s="6" r="P815">
        <v>86</v>
      </c>
      <c t="s" s="6" r="Q815">
        <v>87</v>
      </c>
      <c t="s" s="6" r="R815">
        <v>6200</v>
      </c>
      <c t="s" s="6" r="S815">
        <v>6201</v>
      </c>
      <c t="s" s="6" r="T815">
        <v>5200</v>
      </c>
      <c t="s" s="6" r="U815">
        <v>6202</v>
      </c>
      <c s="6" r="V815">
        <v>1</v>
      </c>
      <c s="6" r="W815">
        <v>1</v>
      </c>
      <c s="6" r="X815">
        <v>1</v>
      </c>
      <c s="6" r="Y815">
        <v>0</v>
      </c>
      <c s="6" r="Z815">
        <v>0</v>
      </c>
      <c t="s" s="6" r="AA815">
        <v>92</v>
      </c>
      <c t="s" s="6" r="AB815">
        <v>92</v>
      </c>
      <c t="s" s="6" r="AC815">
        <v>92</v>
      </c>
      <c s="6" r="AD815">
        <v>3</v>
      </c>
      <c t="s" s="6" r="AE815">
        <v>92</v>
      </c>
      <c t="s" s="6" r="AF815">
        <v>92</v>
      </c>
      <c t="s" s="6" r="AG815">
        <v>92</v>
      </c>
      <c t="s" s="6" r="AH815">
        <v>92</v>
      </c>
      <c t="s" s="6" r="AI815">
        <v>92</v>
      </c>
      <c t="s" s="6" r="AJ815">
        <v>92</v>
      </c>
      <c t="s" s="6" r="AK815">
        <v>92</v>
      </c>
      <c t="s" s="6" r="AL815">
        <v>92</v>
      </c>
      <c t="s" s="6" r="AM815">
        <v>92</v>
      </c>
      <c t="s" s="6" r="AN815">
        <v>92</v>
      </c>
      <c s="6" r="AP815">
        <v>3</v>
      </c>
      <c t="s" s="6" r="AR815">
        <v>6203</v>
      </c>
      <c s="6" r="AS815">
        <v>0</v>
      </c>
      <c s="6" r="AT815">
        <v>0</v>
      </c>
      <c s="6" r="AU815">
        <v>0</v>
      </c>
      <c s="6" r="AV815">
        <v>0</v>
      </c>
      <c s="6" r="AW815">
        <v>0</v>
      </c>
      <c s="6" r="AX815">
        <v>0</v>
      </c>
      <c s="6" r="AY815">
        <v>0</v>
      </c>
      <c s="6" r="AZ815">
        <v>0</v>
      </c>
      <c s="6" r="BA815">
        <v>0</v>
      </c>
      <c s="6" r="BB815">
        <v>0</v>
      </c>
      <c s="6" r="BC815">
        <v>0</v>
      </c>
      <c s="6" r="BD815">
        <v>0</v>
      </c>
      <c s="6" r="BE815">
        <v>0</v>
      </c>
      <c s="6" r="BF815">
        <v>0</v>
      </c>
      <c s="6" r="BG815">
        <v>0</v>
      </c>
      <c s="6" r="BH815">
        <v>0</v>
      </c>
      <c s="6" r="BI815">
        <v>0</v>
      </c>
      <c s="6" r="BJ815">
        <v>0</v>
      </c>
      <c s="6" r="BK815">
        <v>0</v>
      </c>
      <c s="6" r="BL815">
        <v>0</v>
      </c>
      <c s="6" r="BM815">
        <v>0</v>
      </c>
      <c s="6" r="BN815">
        <v>0</v>
      </c>
      <c s="6" r="BO815">
        <v>0</v>
      </c>
      <c s="6" r="BP815">
        <v>0</v>
      </c>
      <c s="6" r="BQ815">
        <v>0</v>
      </c>
      <c t="str" s="6" r="BR815">
        <f>HYPERLINK("http://www.d20pfsrd.com/magic/all-spells/l/lily-pad-stride","Lily Pad Stride")</f>
        <v>Lily Pad Stride</v>
      </c>
      <c s="6" r="BS815">
        <v>825</v>
      </c>
      <c t="s" s="6" r="BT815">
        <v>92</v>
      </c>
      <c s="6" r="BY815">
        <v>0</v>
      </c>
    </row>
    <row customHeight="1" r="816" ht="14.25">
      <c t="s" s="6" r="A816">
        <v>6204</v>
      </c>
      <c t="s" s="6" r="B816">
        <v>131</v>
      </c>
      <c t="s" s="6" r="E816">
        <v>4295</v>
      </c>
      <c t="s" s="6" r="F816">
        <v>81</v>
      </c>
      <c t="s" s="6" r="G816">
        <v>6205</v>
      </c>
      <c s="6" r="H816">
        <v>0</v>
      </c>
      <c t="s" s="6" r="I816">
        <v>120</v>
      </c>
      <c t="s" s="6" r="L816">
        <v>420</v>
      </c>
      <c t="s" s="6" r="M816">
        <v>99</v>
      </c>
      <c s="6" r="N816">
        <v>0</v>
      </c>
      <c s="6" r="O816">
        <v>0</v>
      </c>
      <c t="s" s="6" r="P816">
        <v>1227</v>
      </c>
      <c t="s" s="6" r="Q816">
        <v>123</v>
      </c>
      <c t="s" s="6" r="R816">
        <v>6206</v>
      </c>
      <c t="s" s="6" r="S816">
        <v>6207</v>
      </c>
      <c t="s" s="6" r="T816">
        <v>5200</v>
      </c>
      <c t="s" s="6" r="U816">
        <v>6208</v>
      </c>
      <c s="6" r="V816">
        <v>1</v>
      </c>
      <c s="6" r="W816">
        <v>1</v>
      </c>
      <c s="6" r="X816">
        <v>1</v>
      </c>
      <c s="6" r="Y816">
        <v>0</v>
      </c>
      <c s="6" r="Z816">
        <v>0</v>
      </c>
      <c t="s" s="6" r="AA816">
        <v>92</v>
      </c>
      <c t="s" s="6" r="AB816">
        <v>92</v>
      </c>
      <c t="s" s="6" r="AC816">
        <v>92</v>
      </c>
      <c s="6" r="AD816">
        <v>2</v>
      </c>
      <c s="6" r="AE816">
        <v>2</v>
      </c>
      <c t="s" s="6" r="AF816">
        <v>92</v>
      </c>
      <c t="s" s="6" r="AG816">
        <v>92</v>
      </c>
      <c t="s" s="6" r="AH816">
        <v>92</v>
      </c>
      <c t="s" s="6" r="AI816">
        <v>92</v>
      </c>
      <c t="s" s="6" r="AJ816">
        <v>92</v>
      </c>
      <c t="s" s="6" r="AK816">
        <v>92</v>
      </c>
      <c t="s" s="6" r="AL816">
        <v>92</v>
      </c>
      <c t="s" s="6" r="AM816">
        <v>92</v>
      </c>
      <c t="s" s="6" r="AN816">
        <v>92</v>
      </c>
      <c s="6" r="AP816">
        <v>2</v>
      </c>
      <c t="s" s="6" r="AR816">
        <v>6209</v>
      </c>
      <c s="6" r="AS816">
        <v>0</v>
      </c>
      <c s="6" r="AT816">
        <v>0</v>
      </c>
      <c s="6" r="AU816">
        <v>0</v>
      </c>
      <c s="6" r="AV816">
        <v>0</v>
      </c>
      <c s="6" r="AW816">
        <v>0</v>
      </c>
      <c s="6" r="AX816">
        <v>0</v>
      </c>
      <c s="6" r="AY816">
        <v>0</v>
      </c>
      <c s="6" r="AZ816">
        <v>0</v>
      </c>
      <c s="6" r="BA816">
        <v>0</v>
      </c>
      <c s="6" r="BB816">
        <v>0</v>
      </c>
      <c s="6" r="BC816">
        <v>0</v>
      </c>
      <c s="6" r="BD816">
        <v>0</v>
      </c>
      <c s="6" r="BE816">
        <v>0</v>
      </c>
      <c s="6" r="BF816">
        <v>0</v>
      </c>
      <c s="6" r="BG816">
        <v>0</v>
      </c>
      <c s="6" r="BH816">
        <v>0</v>
      </c>
      <c s="6" r="BI816">
        <v>0</v>
      </c>
      <c s="6" r="BJ816">
        <v>0</v>
      </c>
      <c s="6" r="BK816">
        <v>0</v>
      </c>
      <c s="6" r="BL816">
        <v>0</v>
      </c>
      <c s="6" r="BM816">
        <v>0</v>
      </c>
      <c s="6" r="BN816">
        <v>0</v>
      </c>
      <c s="6" r="BO816">
        <v>0</v>
      </c>
      <c s="6" r="BP816">
        <v>0</v>
      </c>
      <c s="6" r="BQ816">
        <v>0</v>
      </c>
      <c t="str" s="6" r="BR816">
        <f>HYPERLINK("http://www.d20pfsrd.com/magic/all-spells/l/lockjaw","Lockjaw")</f>
        <v>Lockjaw</v>
      </c>
      <c s="6" r="BS816">
        <v>826</v>
      </c>
      <c t="s" s="6" r="BT816">
        <v>92</v>
      </c>
      <c s="6" r="BY816">
        <v>0</v>
      </c>
    </row>
    <row customHeight="1" r="817" ht="14.25">
      <c t="s" s="6" r="A817">
        <v>6210</v>
      </c>
      <c t="s" s="6" r="B817">
        <v>162</v>
      </c>
      <c t="s" s="6" r="D817">
        <v>117</v>
      </c>
      <c t="s" s="6" r="E817">
        <v>2248</v>
      </c>
      <c t="s" s="6" r="F817">
        <v>81</v>
      </c>
      <c t="s" s="6" r="G817">
        <v>106</v>
      </c>
      <c s="6" r="H817">
        <v>0</v>
      </c>
      <c t="s" s="6" r="I817">
        <v>107</v>
      </c>
      <c t="s" s="6" r="L817">
        <v>6211</v>
      </c>
      <c t="s" s="6" r="M817">
        <v>99</v>
      </c>
      <c s="6" r="N817">
        <v>0</v>
      </c>
      <c s="6" r="O817">
        <v>0</v>
      </c>
      <c t="s" s="6" r="P817">
        <v>474</v>
      </c>
      <c t="s" s="6" r="Q817">
        <v>188</v>
      </c>
      <c t="s" s="6" r="R817">
        <v>6212</v>
      </c>
      <c t="s" s="6" r="S817">
        <v>6213</v>
      </c>
      <c t="s" s="6" r="T817">
        <v>5200</v>
      </c>
      <c t="s" s="6" r="U817">
        <v>6214</v>
      </c>
      <c s="6" r="V817">
        <v>1</v>
      </c>
      <c s="6" r="W817">
        <v>1</v>
      </c>
      <c s="6" r="X817">
        <v>0</v>
      </c>
      <c s="6" r="Y817">
        <v>0</v>
      </c>
      <c s="6" r="Z817">
        <v>0</v>
      </c>
      <c t="s" s="6" r="AA817">
        <v>92</v>
      </c>
      <c t="s" s="6" r="AB817">
        <v>92</v>
      </c>
      <c t="s" s="6" r="AC817">
        <v>92</v>
      </c>
      <c t="s" s="6" r="AD817">
        <v>92</v>
      </c>
      <c t="s" s="6" r="AE817">
        <v>92</v>
      </c>
      <c t="s" s="6" r="AF817">
        <v>92</v>
      </c>
      <c s="6" r="AG817">
        <v>3</v>
      </c>
      <c t="s" s="6" r="AH817">
        <v>92</v>
      </c>
      <c t="s" s="6" r="AI817">
        <v>92</v>
      </c>
      <c t="s" s="6" r="AJ817">
        <v>92</v>
      </c>
      <c t="s" s="6" r="AK817">
        <v>92</v>
      </c>
      <c t="s" s="6" r="AL817">
        <v>92</v>
      </c>
      <c t="s" s="6" r="AM817">
        <v>92</v>
      </c>
      <c t="s" s="6" r="AN817">
        <v>92</v>
      </c>
      <c s="6" r="AP817">
        <v>3</v>
      </c>
      <c t="s" s="6" r="AR817">
        <v>6215</v>
      </c>
      <c s="6" r="AS817">
        <v>0</v>
      </c>
      <c s="6" r="AT817">
        <v>0</v>
      </c>
      <c s="6" r="AU817">
        <v>0</v>
      </c>
      <c s="6" r="AV817">
        <v>0</v>
      </c>
      <c s="6" r="AW817">
        <v>0</v>
      </c>
      <c s="6" r="AX817">
        <v>0</v>
      </c>
      <c s="6" r="AY817">
        <v>0</v>
      </c>
      <c s="6" r="AZ817">
        <v>0</v>
      </c>
      <c s="6" r="BA817">
        <v>0</v>
      </c>
      <c s="6" r="BB817">
        <v>0</v>
      </c>
      <c s="6" r="BC817">
        <v>0</v>
      </c>
      <c s="6" r="BD817">
        <v>0</v>
      </c>
      <c s="6" r="BE817">
        <v>0</v>
      </c>
      <c s="6" r="BF817">
        <v>0</v>
      </c>
      <c s="6" r="BG817">
        <v>0</v>
      </c>
      <c s="6" r="BH817">
        <v>0</v>
      </c>
      <c s="6" r="BI817">
        <v>0</v>
      </c>
      <c s="6" r="BJ817">
        <v>0</v>
      </c>
      <c s="6" r="BK817">
        <v>0</v>
      </c>
      <c s="6" r="BL817">
        <v>1</v>
      </c>
      <c s="6" r="BM817">
        <v>0</v>
      </c>
      <c s="6" r="BN817">
        <v>0</v>
      </c>
      <c s="6" r="BO817">
        <v>0</v>
      </c>
      <c s="6" r="BP817">
        <v>0</v>
      </c>
      <c s="6" r="BQ817">
        <v>0</v>
      </c>
      <c t="str" s="6" r="BR817">
        <f>HYPERLINK("http://www.d20pfsrd.com/magic/all-spells/m/marks-of-forbiddance","Marks Of Forbiddance")</f>
        <v>Marks Of Forbiddance</v>
      </c>
      <c s="6" r="BS817">
        <v>827</v>
      </c>
      <c t="s" s="6" r="BT817">
        <v>92</v>
      </c>
      <c s="6" r="BY817">
        <v>0</v>
      </c>
    </row>
    <row customHeight="1" r="818" ht="14.25">
      <c t="s" s="6" r="A818">
        <v>6216</v>
      </c>
      <c t="s" s="6" r="B818">
        <v>579</v>
      </c>
      <c t="s" s="6" r="C818">
        <v>580</v>
      </c>
      <c t="s" s="6" r="E818">
        <v>6114</v>
      </c>
      <c t="s" s="6" r="F818">
        <v>81</v>
      </c>
      <c t="s" s="6" r="G818">
        <v>6217</v>
      </c>
      <c s="6" r="H818">
        <v>0</v>
      </c>
      <c t="s" s="6" r="I818">
        <v>120</v>
      </c>
      <c t="s" s="6" r="L818">
        <v>3064</v>
      </c>
      <c t="s" s="6" r="M818">
        <v>5196</v>
      </c>
      <c s="6" r="N818">
        <v>1</v>
      </c>
      <c s="6" r="O818">
        <v>0</v>
      </c>
      <c t="s" s="6" r="P818">
        <v>201</v>
      </c>
      <c t="s" s="6" r="Q818">
        <v>87</v>
      </c>
      <c t="s" s="6" r="R818">
        <v>6218</v>
      </c>
      <c t="s" s="6" r="S818">
        <v>6219</v>
      </c>
      <c t="s" s="6" r="T818">
        <v>5200</v>
      </c>
      <c t="s" s="6" r="U818">
        <v>6220</v>
      </c>
      <c s="6" r="V818">
        <v>1</v>
      </c>
      <c s="6" r="W818">
        <v>1</v>
      </c>
      <c s="6" r="X818">
        <v>1</v>
      </c>
      <c s="6" r="Y818">
        <v>0</v>
      </c>
      <c s="6" r="Z818">
        <v>0</v>
      </c>
      <c t="s" s="6" r="AA818">
        <v>92</v>
      </c>
      <c t="s" s="6" r="AB818">
        <v>92</v>
      </c>
      <c t="s" s="6" r="AC818">
        <v>92</v>
      </c>
      <c t="s" s="6" r="AD818">
        <v>92</v>
      </c>
      <c t="s" s="6" r="AE818">
        <v>92</v>
      </c>
      <c t="s" s="6" r="AF818">
        <v>92</v>
      </c>
      <c t="s" s="6" r="AG818">
        <v>92</v>
      </c>
      <c t="s" s="6" r="AH818">
        <v>92</v>
      </c>
      <c t="s" s="6" r="AI818">
        <v>92</v>
      </c>
      <c s="6" r="AJ818">
        <v>1</v>
      </c>
      <c t="s" s="6" r="AK818">
        <v>92</v>
      </c>
      <c t="s" s="6" r="AL818">
        <v>92</v>
      </c>
      <c t="s" s="6" r="AM818">
        <v>92</v>
      </c>
      <c t="s" s="6" r="AN818">
        <v>92</v>
      </c>
      <c s="6" r="AP818">
        <v>1</v>
      </c>
      <c t="s" s="6" r="AR818">
        <v>6221</v>
      </c>
      <c s="6" r="AS818">
        <v>0</v>
      </c>
      <c s="6" r="AT818">
        <v>0</v>
      </c>
      <c s="6" r="AU818">
        <v>0</v>
      </c>
      <c s="6" r="AV818">
        <v>0</v>
      </c>
      <c s="6" r="AW818">
        <v>0</v>
      </c>
      <c s="6" r="AX818">
        <v>0</v>
      </c>
      <c s="6" r="AY818">
        <v>0</v>
      </c>
      <c s="6" r="AZ818">
        <v>0</v>
      </c>
      <c s="6" r="BA818">
        <v>0</v>
      </c>
      <c s="6" r="BB818">
        <v>0</v>
      </c>
      <c s="6" r="BC818">
        <v>0</v>
      </c>
      <c s="6" r="BD818">
        <v>0</v>
      </c>
      <c s="6" r="BE818">
        <v>0</v>
      </c>
      <c s="6" r="BF818">
        <v>0</v>
      </c>
      <c s="6" r="BG818">
        <v>0</v>
      </c>
      <c s="6" r="BH818">
        <v>0</v>
      </c>
      <c s="6" r="BI818">
        <v>0</v>
      </c>
      <c s="6" r="BJ818">
        <v>0</v>
      </c>
      <c s="6" r="BK818">
        <v>0</v>
      </c>
      <c s="6" r="BL818">
        <v>0</v>
      </c>
      <c s="6" r="BM818">
        <v>0</v>
      </c>
      <c s="6" r="BN818">
        <v>0</v>
      </c>
      <c s="6" r="BO818">
        <v>0</v>
      </c>
      <c s="6" r="BP818">
        <v>0</v>
      </c>
      <c s="6" r="BQ818">
        <v>0</v>
      </c>
      <c t="str" s="6" r="BR818">
        <f>HYPERLINK("http://www.d20pfsrd.com/magic/all-spells/m/mask-dweomer","Mask Dweomer")</f>
        <v>Mask Dweomer</v>
      </c>
      <c s="6" r="BS818">
        <v>828</v>
      </c>
      <c t="s" s="6" r="BT818">
        <v>92</v>
      </c>
      <c s="6" r="BY818">
        <v>0</v>
      </c>
    </row>
    <row customHeight="1" r="819" ht="14.25">
      <c t="s" s="6" r="A819">
        <v>6222</v>
      </c>
      <c t="s" s="6" r="B819">
        <v>115</v>
      </c>
      <c t="s" s="6" r="D819">
        <v>117</v>
      </c>
      <c t="s" s="6" r="E819">
        <v>262</v>
      </c>
      <c t="s" s="6" r="F819">
        <v>81</v>
      </c>
      <c t="s" s="6" r="G819">
        <v>106</v>
      </c>
      <c s="6" r="H819">
        <v>0</v>
      </c>
      <c t="s" s="6" r="I819">
        <v>107</v>
      </c>
      <c t="s" s="6" r="L819">
        <v>473</v>
      </c>
      <c t="s" s="6" r="M819">
        <v>109</v>
      </c>
      <c s="6" r="N819">
        <v>0</v>
      </c>
      <c s="6" r="O819">
        <v>0</v>
      </c>
      <c t="s" s="6" r="P819">
        <v>221</v>
      </c>
      <c t="s" s="6" r="Q819">
        <v>188</v>
      </c>
      <c t="s" s="6" r="R819">
        <v>6223</v>
      </c>
      <c t="s" s="6" r="S819">
        <v>6224</v>
      </c>
      <c t="s" s="6" r="T819">
        <v>5200</v>
      </c>
      <c t="s" s="6" r="U819">
        <v>6225</v>
      </c>
      <c s="6" r="V819">
        <v>1</v>
      </c>
      <c s="6" r="W819">
        <v>1</v>
      </c>
      <c s="6" r="X819">
        <v>0</v>
      </c>
      <c s="6" r="Y819">
        <v>0</v>
      </c>
      <c s="6" r="Z819">
        <v>0</v>
      </c>
      <c s="6" r="AA819">
        <v>1</v>
      </c>
      <c s="6" r="AB819">
        <v>1</v>
      </c>
      <c t="s" s="6" r="AC819">
        <v>92</v>
      </c>
      <c t="s" s="6" r="AD819">
        <v>92</v>
      </c>
      <c t="s" s="6" r="AE819">
        <v>92</v>
      </c>
      <c s="6" r="AF819">
        <v>1</v>
      </c>
      <c t="s" s="6" r="AG819">
        <v>92</v>
      </c>
      <c t="s" s="6" r="AH819">
        <v>92</v>
      </c>
      <c t="s" s="6" r="AI819">
        <v>92</v>
      </c>
      <c t="s" s="6" r="AJ819">
        <v>92</v>
      </c>
      <c t="s" s="6" r="AK819">
        <v>92</v>
      </c>
      <c t="s" s="6" r="AL819">
        <v>92</v>
      </c>
      <c t="s" s="6" r="AM819">
        <v>92</v>
      </c>
      <c t="s" s="6" r="AN819">
        <v>92</v>
      </c>
      <c s="6" r="AP819">
        <v>1</v>
      </c>
      <c t="s" s="6" r="AQ819">
        <v>6226</v>
      </c>
      <c t="s" s="6" r="AR819">
        <v>6227</v>
      </c>
      <c s="6" r="AS819">
        <v>0</v>
      </c>
      <c s="6" r="AT819">
        <v>0</v>
      </c>
      <c s="6" r="AU819">
        <v>0</v>
      </c>
      <c s="6" r="AV819">
        <v>0</v>
      </c>
      <c s="6" r="AW819">
        <v>0</v>
      </c>
      <c s="6" r="AX819">
        <v>0</v>
      </c>
      <c s="6" r="AY819">
        <v>0</v>
      </c>
      <c s="6" r="AZ819">
        <v>0</v>
      </c>
      <c s="6" r="BA819">
        <v>0</v>
      </c>
      <c s="6" r="BB819">
        <v>0</v>
      </c>
      <c s="6" r="BC819">
        <v>0</v>
      </c>
      <c s="6" r="BD819">
        <v>0</v>
      </c>
      <c s="6" r="BE819">
        <v>0</v>
      </c>
      <c s="6" r="BF819">
        <v>0</v>
      </c>
      <c s="6" r="BG819">
        <v>0</v>
      </c>
      <c s="6" r="BH819">
        <v>0</v>
      </c>
      <c s="6" r="BI819">
        <v>0</v>
      </c>
      <c s="6" r="BJ819">
        <v>0</v>
      </c>
      <c s="6" r="BK819">
        <v>0</v>
      </c>
      <c s="6" r="BL819">
        <v>1</v>
      </c>
      <c s="6" r="BM819">
        <v>0</v>
      </c>
      <c s="6" r="BN819">
        <v>0</v>
      </c>
      <c s="6" r="BO819">
        <v>0</v>
      </c>
      <c s="6" r="BP819">
        <v>0</v>
      </c>
      <c s="6" r="BQ819">
        <v>0</v>
      </c>
      <c t="str" s="6" r="BR819">
        <f>HYPERLINK("http://www.d20pfsrd.com/magic/all-spells/m/memory-lapse","Memory Lapse")</f>
        <v>Memory Lapse</v>
      </c>
      <c s="6" r="BS819">
        <v>829</v>
      </c>
      <c t="s" s="6" r="BT819">
        <v>92</v>
      </c>
      <c t="s" s="6" r="BV819">
        <v>2317</v>
      </c>
      <c s="6" r="BY819">
        <v>0</v>
      </c>
    </row>
    <row customHeight="1" r="820" ht="14.25">
      <c t="s" s="6" r="A820">
        <v>6228</v>
      </c>
      <c t="s" s="6" r="B820">
        <v>115</v>
      </c>
      <c t="s" s="6" r="C820">
        <v>116</v>
      </c>
      <c t="s" s="6" r="D820">
        <v>291</v>
      </c>
      <c t="s" s="6" r="E820">
        <v>6229</v>
      </c>
      <c t="s" s="6" r="F820">
        <v>81</v>
      </c>
      <c t="s" s="6" r="G820">
        <v>6230</v>
      </c>
      <c s="6" r="H820">
        <v>0</v>
      </c>
      <c t="s" s="6" r="I820">
        <v>97</v>
      </c>
      <c t="s" s="6" r="L820">
        <v>731</v>
      </c>
      <c t="s" s="6" r="M820">
        <v>99</v>
      </c>
      <c s="6" r="N820">
        <v>0</v>
      </c>
      <c s="6" r="O820">
        <v>0</v>
      </c>
      <c t="s" s="6" r="P820">
        <v>221</v>
      </c>
      <c t="s" s="6" r="Q820">
        <v>188</v>
      </c>
      <c t="s" s="6" r="R820">
        <v>6231</v>
      </c>
      <c t="s" s="6" r="S820">
        <v>6232</v>
      </c>
      <c t="s" s="6" r="T820">
        <v>5200</v>
      </c>
      <c t="s" s="6" r="U820">
        <v>6233</v>
      </c>
      <c s="6" r="V820">
        <v>1</v>
      </c>
      <c s="6" r="W820">
        <v>1</v>
      </c>
      <c s="6" r="X820">
        <v>1</v>
      </c>
      <c s="6" r="Y820">
        <v>0</v>
      </c>
      <c s="6" r="Z820">
        <v>0</v>
      </c>
      <c s="6" r="AA820">
        <v>4</v>
      </c>
      <c s="6" r="AB820">
        <v>4</v>
      </c>
      <c t="s" s="6" r="AC820">
        <v>92</v>
      </c>
      <c s="6" r="AD820">
        <v>4</v>
      </c>
      <c t="s" s="6" r="AE820">
        <v>92</v>
      </c>
      <c t="s" s="6" r="AF820">
        <v>92</v>
      </c>
      <c t="s" s="6" r="AG820">
        <v>92</v>
      </c>
      <c t="s" s="6" r="AH820">
        <v>92</v>
      </c>
      <c t="s" s="6" r="AI820">
        <v>92</v>
      </c>
      <c s="6" r="AJ820">
        <v>4</v>
      </c>
      <c t="s" s="6" r="AK820">
        <v>92</v>
      </c>
      <c t="s" s="6" r="AL820">
        <v>92</v>
      </c>
      <c t="s" s="6" r="AM820">
        <v>92</v>
      </c>
      <c t="s" s="6" r="AN820">
        <v>92</v>
      </c>
      <c s="6" r="AP820">
        <v>4</v>
      </c>
      <c t="s" s="6" r="AQ820">
        <v>6234</v>
      </c>
      <c t="s" s="6" r="AR820">
        <v>6235</v>
      </c>
      <c s="6" r="AS820">
        <v>0</v>
      </c>
      <c s="6" r="AT820">
        <v>0</v>
      </c>
      <c s="6" r="AU820">
        <v>0</v>
      </c>
      <c s="6" r="AV820">
        <v>0</v>
      </c>
      <c s="6" r="AW820">
        <v>0</v>
      </c>
      <c s="6" r="AX820">
        <v>0</v>
      </c>
      <c s="6" r="AY820">
        <v>0</v>
      </c>
      <c s="6" r="AZ820">
        <v>0</v>
      </c>
      <c s="6" r="BA820">
        <v>0</v>
      </c>
      <c s="6" r="BB820">
        <v>0</v>
      </c>
      <c s="6" r="BC820">
        <v>1</v>
      </c>
      <c s="6" r="BD820">
        <v>0</v>
      </c>
      <c s="6" r="BE820">
        <v>0</v>
      </c>
      <c s="6" r="BF820">
        <v>0</v>
      </c>
      <c s="6" r="BG820">
        <v>0</v>
      </c>
      <c s="6" r="BH820">
        <v>0</v>
      </c>
      <c s="6" r="BI820">
        <v>0</v>
      </c>
      <c s="6" r="BJ820">
        <v>0</v>
      </c>
      <c s="6" r="BK820">
        <v>0</v>
      </c>
      <c s="6" r="BL820">
        <v>1</v>
      </c>
      <c s="6" r="BM820">
        <v>0</v>
      </c>
      <c s="6" r="BN820">
        <v>0</v>
      </c>
      <c s="6" r="BO820">
        <v>0</v>
      </c>
      <c s="6" r="BP820">
        <v>0</v>
      </c>
      <c s="6" r="BQ820">
        <v>0</v>
      </c>
      <c t="str" s="6" r="BR820">
        <f>HYPERLINK("http://www.d20pfsrd.com/magic/all-spells/m/moonstruck","Moonstruck")</f>
        <v>Moonstruck</v>
      </c>
      <c s="6" r="BS820">
        <v>830</v>
      </c>
      <c t="s" s="6" r="BT820">
        <v>92</v>
      </c>
      <c t="s" s="6" r="BV820">
        <v>1152</v>
      </c>
      <c s="6" r="BY820">
        <v>0</v>
      </c>
    </row>
    <row customHeight="1" r="821" ht="14.25">
      <c t="s" s="6" r="A821">
        <v>6236</v>
      </c>
      <c t="s" s="6" r="B821">
        <v>227</v>
      </c>
      <c t="s" s="6" r="E821">
        <v>1011</v>
      </c>
      <c t="s" s="6" r="F821">
        <v>197</v>
      </c>
      <c t="s" s="6" r="G821">
        <v>6237</v>
      </c>
      <c s="6" r="H821">
        <v>1</v>
      </c>
      <c t="s" s="6" r="I821">
        <v>1052</v>
      </c>
      <c t="s" s="6" r="J821">
        <v>6238</v>
      </c>
      <c t="s" s="6" r="M821">
        <v>3073</v>
      </c>
      <c s="6" r="N821">
        <v>0</v>
      </c>
      <c s="6" r="O821">
        <v>0</v>
      </c>
      <c t="s" s="6" r="P821">
        <v>421</v>
      </c>
      <c t="s" s="6" r="Q821">
        <v>123</v>
      </c>
      <c t="s" s="6" r="R821">
        <v>6239</v>
      </c>
      <c t="s" s="6" r="S821">
        <v>6240</v>
      </c>
      <c t="s" s="6" r="T821">
        <v>5200</v>
      </c>
      <c t="s" s="6" r="U821">
        <v>6241</v>
      </c>
      <c s="6" r="V821">
        <v>1</v>
      </c>
      <c s="6" r="W821">
        <v>1</v>
      </c>
      <c s="6" r="X821">
        <v>1</v>
      </c>
      <c s="6" r="Y821">
        <v>0</v>
      </c>
      <c s="6" r="Z821">
        <v>0</v>
      </c>
      <c t="s" s="6" r="AA821">
        <v>92</v>
      </c>
      <c t="s" s="6" r="AB821">
        <v>92</v>
      </c>
      <c s="6" r="AC821">
        <v>3</v>
      </c>
      <c t="s" s="6" r="AD821">
        <v>92</v>
      </c>
      <c t="s" s="6" r="AE821">
        <v>92</v>
      </c>
      <c t="s" s="6" r="AF821">
        <v>92</v>
      </c>
      <c t="s" s="6" r="AG821">
        <v>92</v>
      </c>
      <c t="s" s="6" r="AH821">
        <v>92</v>
      </c>
      <c t="s" s="6" r="AI821">
        <v>92</v>
      </c>
      <c t="s" s="6" r="AJ821">
        <v>92</v>
      </c>
      <c t="s" s="6" r="AK821">
        <v>92</v>
      </c>
      <c s="6" r="AL821">
        <v>3</v>
      </c>
      <c t="s" s="6" r="AM821">
        <v>92</v>
      </c>
      <c t="s" s="6" r="AN821">
        <v>92</v>
      </c>
      <c s="6" r="AP821">
        <v>3</v>
      </c>
      <c t="s" s="6" r="AR821">
        <v>6242</v>
      </c>
      <c s="6" r="AS821">
        <v>0</v>
      </c>
      <c s="6" r="AT821">
        <v>0</v>
      </c>
      <c s="6" r="AU821">
        <v>0</v>
      </c>
      <c s="6" r="AV821">
        <v>0</v>
      </c>
      <c s="6" r="AW821">
        <v>0</v>
      </c>
      <c s="6" r="AX821">
        <v>0</v>
      </c>
      <c s="6" r="AY821">
        <v>0</v>
      </c>
      <c s="6" r="AZ821">
        <v>0</v>
      </c>
      <c s="6" r="BA821">
        <v>0</v>
      </c>
      <c s="6" r="BB821">
        <v>0</v>
      </c>
      <c s="6" r="BC821">
        <v>0</v>
      </c>
      <c s="6" r="BD821">
        <v>0</v>
      </c>
      <c s="6" r="BE821">
        <v>0</v>
      </c>
      <c s="6" r="BF821">
        <v>0</v>
      </c>
      <c s="6" r="BG821">
        <v>0</v>
      </c>
      <c s="6" r="BH821">
        <v>0</v>
      </c>
      <c s="6" r="BI821">
        <v>0</v>
      </c>
      <c s="6" r="BJ821">
        <v>0</v>
      </c>
      <c s="6" r="BK821">
        <v>0</v>
      </c>
      <c s="6" r="BL821">
        <v>0</v>
      </c>
      <c s="6" r="BM821">
        <v>0</v>
      </c>
      <c s="6" r="BN821">
        <v>0</v>
      </c>
      <c s="6" r="BO821">
        <v>0</v>
      </c>
      <c s="6" r="BP821">
        <v>0</v>
      </c>
      <c s="6" r="BQ821">
        <v>0</v>
      </c>
      <c t="str" s="6" r="BR821">
        <f>HYPERLINK("http://www.d20pfsrd.com/magic/all-spells/n/nap-stack","Nap Stack")</f>
        <v>Nap Stack</v>
      </c>
      <c s="6" r="BS821">
        <v>831</v>
      </c>
      <c s="6" r="BT821">
        <v>100</v>
      </c>
      <c s="6" r="BY821">
        <v>0</v>
      </c>
    </row>
    <row customHeight="1" r="822" ht="14.25">
      <c t="s" s="6" r="A822">
        <v>6243</v>
      </c>
      <c t="s" s="6" r="B822">
        <v>131</v>
      </c>
      <c t="s" s="6" r="E822">
        <v>760</v>
      </c>
      <c t="s" s="6" r="F822">
        <v>81</v>
      </c>
      <c t="s" s="6" r="G822">
        <v>6244</v>
      </c>
      <c s="6" r="H822">
        <v>0</v>
      </c>
      <c t="s" s="6" r="I822">
        <v>120</v>
      </c>
      <c t="s" s="6" r="L822">
        <v>420</v>
      </c>
      <c t="s" s="6" r="M822">
        <v>99</v>
      </c>
      <c s="6" r="N822">
        <v>0</v>
      </c>
      <c s="6" r="O822">
        <v>0</v>
      </c>
      <c t="s" s="6" r="P822">
        <v>421</v>
      </c>
      <c t="s" s="6" r="Q822">
        <v>123</v>
      </c>
      <c t="s" s="6" r="R822">
        <v>6245</v>
      </c>
      <c t="s" s="6" r="S822">
        <v>6246</v>
      </c>
      <c t="s" s="6" r="T822">
        <v>5200</v>
      </c>
      <c t="s" s="6" r="U822">
        <v>6247</v>
      </c>
      <c s="6" r="V822">
        <v>1</v>
      </c>
      <c s="6" r="W822">
        <v>1</v>
      </c>
      <c s="6" r="X822">
        <v>1</v>
      </c>
      <c s="6" r="Y822">
        <v>0</v>
      </c>
      <c s="6" r="Z822">
        <v>0</v>
      </c>
      <c t="s" s="6" r="AA822">
        <v>92</v>
      </c>
      <c t="s" s="6" r="AB822">
        <v>92</v>
      </c>
      <c t="s" s="6" r="AC822">
        <v>92</v>
      </c>
      <c s="6" r="AD822">
        <v>2</v>
      </c>
      <c t="s" s="6" r="AE822">
        <v>92</v>
      </c>
      <c t="s" s="6" r="AF822">
        <v>92</v>
      </c>
      <c t="s" s="6" r="AG822">
        <v>92</v>
      </c>
      <c t="s" s="6" r="AH822">
        <v>92</v>
      </c>
      <c t="s" s="6" r="AI822">
        <v>92</v>
      </c>
      <c t="s" s="6" r="AJ822">
        <v>92</v>
      </c>
      <c t="s" s="6" r="AK822">
        <v>92</v>
      </c>
      <c t="s" s="6" r="AL822">
        <v>92</v>
      </c>
      <c t="s" s="6" r="AM822">
        <v>92</v>
      </c>
      <c t="s" s="6" r="AN822">
        <v>92</v>
      </c>
      <c s="6" r="AP822">
        <v>2</v>
      </c>
      <c t="s" s="6" r="AR822">
        <v>6248</v>
      </c>
      <c s="6" r="AS822">
        <v>0</v>
      </c>
      <c s="6" r="AT822">
        <v>0</v>
      </c>
      <c s="6" r="AU822">
        <v>0</v>
      </c>
      <c s="6" r="AV822">
        <v>0</v>
      </c>
      <c s="6" r="AW822">
        <v>0</v>
      </c>
      <c s="6" r="AX822">
        <v>0</v>
      </c>
      <c s="6" r="AY822">
        <v>0</v>
      </c>
      <c s="6" r="AZ822">
        <v>0</v>
      </c>
      <c s="6" r="BA822">
        <v>0</v>
      </c>
      <c s="6" r="BB822">
        <v>0</v>
      </c>
      <c s="6" r="BC822">
        <v>0</v>
      </c>
      <c s="6" r="BD822">
        <v>0</v>
      </c>
      <c s="6" r="BE822">
        <v>0</v>
      </c>
      <c s="6" r="BF822">
        <v>0</v>
      </c>
      <c s="6" r="BG822">
        <v>0</v>
      </c>
      <c s="6" r="BH822">
        <v>0</v>
      </c>
      <c s="6" r="BI822">
        <v>0</v>
      </c>
      <c s="6" r="BJ822">
        <v>0</v>
      </c>
      <c s="6" r="BK822">
        <v>0</v>
      </c>
      <c s="6" r="BL822">
        <v>0</v>
      </c>
      <c s="6" r="BM822">
        <v>0</v>
      </c>
      <c s="6" r="BN822">
        <v>0</v>
      </c>
      <c s="6" r="BO822">
        <v>0</v>
      </c>
      <c s="6" r="BP822">
        <v>0</v>
      </c>
      <c s="6" r="BQ822">
        <v>0</v>
      </c>
      <c t="str" s="6" r="BR822">
        <f>HYPERLINK("http://www.d20pfsrd.com/magic/all-spells/n/natural-rhythm","Natural Rhythm")</f>
        <v>Natural Rhythm</v>
      </c>
      <c s="6" r="BS822">
        <v>832</v>
      </c>
      <c t="s" s="6" r="BT822">
        <v>92</v>
      </c>
      <c s="6" r="BY822">
        <v>0</v>
      </c>
    </row>
    <row customHeight="1" r="823" ht="14.25">
      <c t="s" s="6" r="A823">
        <v>6249</v>
      </c>
      <c t="s" s="6" r="B823">
        <v>131</v>
      </c>
      <c t="s" s="6" r="D823">
        <v>48</v>
      </c>
      <c t="s" s="6" r="E823">
        <v>5614</v>
      </c>
      <c t="s" s="6" r="F823">
        <v>81</v>
      </c>
      <c t="s" s="6" r="G823">
        <v>119</v>
      </c>
      <c s="6" r="H823">
        <v>0</v>
      </c>
      <c t="s" s="6" r="I823">
        <v>120</v>
      </c>
      <c t="s" s="6" r="L823">
        <v>420</v>
      </c>
      <c t="s" s="6" r="M823">
        <v>323</v>
      </c>
      <c s="6" r="N823">
        <v>0</v>
      </c>
      <c s="6" r="O823">
        <v>0</v>
      </c>
      <c t="s" s="6" r="P823">
        <v>221</v>
      </c>
      <c t="s" s="6" r="Q823">
        <v>188</v>
      </c>
      <c t="s" s="6" r="R823">
        <v>6250</v>
      </c>
      <c t="s" s="6" r="S823">
        <v>6251</v>
      </c>
      <c t="s" s="6" r="T823">
        <v>5200</v>
      </c>
      <c t="s" s="6" r="U823">
        <v>6252</v>
      </c>
      <c s="6" r="V823">
        <v>1</v>
      </c>
      <c s="6" r="W823">
        <v>1</v>
      </c>
      <c s="6" r="X823">
        <v>0</v>
      </c>
      <c s="6" r="Y823">
        <v>0</v>
      </c>
      <c s="6" r="Z823">
        <v>1</v>
      </c>
      <c t="s" s="6" r="AA823">
        <v>92</v>
      </c>
      <c t="s" s="6" r="AB823">
        <v>92</v>
      </c>
      <c t="s" s="6" r="AC823">
        <v>92</v>
      </c>
      <c s="6" r="AD823">
        <v>3</v>
      </c>
      <c t="s" s="6" r="AE823">
        <v>92</v>
      </c>
      <c t="s" s="6" r="AF823">
        <v>92</v>
      </c>
      <c t="s" s="6" r="AG823">
        <v>92</v>
      </c>
      <c t="s" s="6" r="AH823">
        <v>92</v>
      </c>
      <c t="s" s="6" r="AI823">
        <v>92</v>
      </c>
      <c s="6" r="AJ823">
        <v>3</v>
      </c>
      <c t="s" s="6" r="AK823">
        <v>92</v>
      </c>
      <c t="s" s="6" r="AL823">
        <v>92</v>
      </c>
      <c t="s" s="6" r="AM823">
        <v>92</v>
      </c>
      <c t="s" s="6" r="AN823">
        <v>92</v>
      </c>
      <c s="6" r="AP823">
        <v>3</v>
      </c>
      <c t="s" s="6" r="AR823">
        <v>6253</v>
      </c>
      <c s="6" r="AS823">
        <v>0</v>
      </c>
      <c s="6" r="AT823">
        <v>0</v>
      </c>
      <c s="6" r="AU823">
        <v>0</v>
      </c>
      <c s="6" r="AV823">
        <v>0</v>
      </c>
      <c s="6" r="AW823">
        <v>1</v>
      </c>
      <c s="6" r="AX823">
        <v>0</v>
      </c>
      <c s="6" r="AY823">
        <v>0</v>
      </c>
      <c s="6" r="AZ823">
        <v>0</v>
      </c>
      <c s="6" r="BA823">
        <v>0</v>
      </c>
      <c s="6" r="BB823">
        <v>0</v>
      </c>
      <c s="6" r="BC823">
        <v>0</v>
      </c>
      <c s="6" r="BD823">
        <v>0</v>
      </c>
      <c s="6" r="BE823">
        <v>0</v>
      </c>
      <c s="6" r="BF823">
        <v>0</v>
      </c>
      <c s="6" r="BG823">
        <v>0</v>
      </c>
      <c s="6" r="BH823">
        <v>0</v>
      </c>
      <c s="6" r="BI823">
        <v>0</v>
      </c>
      <c s="6" r="BJ823">
        <v>0</v>
      </c>
      <c s="6" r="BK823">
        <v>0</v>
      </c>
      <c s="6" r="BL823">
        <v>0</v>
      </c>
      <c s="6" r="BM823">
        <v>0</v>
      </c>
      <c s="6" r="BN823">
        <v>0</v>
      </c>
      <c s="6" r="BO823">
        <v>0</v>
      </c>
      <c s="6" r="BP823">
        <v>0</v>
      </c>
      <c s="6" r="BQ823">
        <v>0</v>
      </c>
      <c t="str" s="6" r="BR823">
        <f>HYPERLINK("http://www.d20pfsrd.com/magic/all-spells/n/nature-s-exile","Nature's Exile")</f>
        <v>Nature's Exile</v>
      </c>
      <c s="6" r="BS823">
        <v>833</v>
      </c>
      <c t="s" s="6" r="BT823">
        <v>92</v>
      </c>
      <c s="6" r="BY823">
        <v>0</v>
      </c>
    </row>
    <row customHeight="1" r="824" ht="14.25">
      <c t="s" s="6" r="A824">
        <v>6254</v>
      </c>
      <c t="s" s="6" r="B824">
        <v>131</v>
      </c>
      <c t="s" s="6" r="E824">
        <v>6159</v>
      </c>
      <c t="s" s="6" r="F824">
        <v>81</v>
      </c>
      <c t="s" s="6" r="G824">
        <v>6255</v>
      </c>
      <c s="6" r="H824">
        <v>0</v>
      </c>
      <c t="s" s="6" r="I824">
        <v>107</v>
      </c>
      <c t="s" s="6" r="L824">
        <v>6256</v>
      </c>
      <c t="s" s="6" r="M824">
        <v>711</v>
      </c>
      <c s="6" r="N824">
        <v>1</v>
      </c>
      <c s="6" r="O824">
        <v>0</v>
      </c>
      <c t="s" s="6" r="P824">
        <v>187</v>
      </c>
      <c t="s" s="6" r="Q824">
        <v>188</v>
      </c>
      <c t="s" s="6" r="R824">
        <v>6257</v>
      </c>
      <c t="s" s="6" r="S824">
        <v>6258</v>
      </c>
      <c t="s" s="6" r="T824">
        <v>5200</v>
      </c>
      <c t="s" s="6" r="U824">
        <v>6259</v>
      </c>
      <c s="6" r="V824">
        <v>1</v>
      </c>
      <c s="6" r="W824">
        <v>1</v>
      </c>
      <c s="6" r="X824">
        <v>1</v>
      </c>
      <c s="6" r="Y824">
        <v>0</v>
      </c>
      <c s="6" r="Z824">
        <v>1</v>
      </c>
      <c t="s" s="6" r="AA824">
        <v>92</v>
      </c>
      <c t="s" s="6" r="AB824">
        <v>92</v>
      </c>
      <c t="s" s="6" r="AC824">
        <v>92</v>
      </c>
      <c s="6" r="AD824">
        <v>1</v>
      </c>
      <c s="6" r="AE824">
        <v>1</v>
      </c>
      <c t="s" s="6" r="AF824">
        <v>92</v>
      </c>
      <c t="s" s="6" r="AG824">
        <v>92</v>
      </c>
      <c s="6" r="AH824">
        <v>1</v>
      </c>
      <c t="s" s="6" r="AI824">
        <v>92</v>
      </c>
      <c t="s" s="6" r="AJ824">
        <v>92</v>
      </c>
      <c t="s" s="6" r="AK824">
        <v>92</v>
      </c>
      <c t="s" s="6" r="AL824">
        <v>92</v>
      </c>
      <c t="s" s="6" r="AM824">
        <v>92</v>
      </c>
      <c t="s" s="6" r="AN824">
        <v>92</v>
      </c>
      <c s="6" r="AP824">
        <v>1</v>
      </c>
      <c t="s" s="6" r="AR824">
        <v>6260</v>
      </c>
      <c s="6" r="AS824">
        <v>0</v>
      </c>
      <c s="6" r="AT824">
        <v>0</v>
      </c>
      <c s="6" r="AU824">
        <v>0</v>
      </c>
      <c s="6" r="AV824">
        <v>0</v>
      </c>
      <c s="6" r="AW824">
        <v>0</v>
      </c>
      <c s="6" r="AX824">
        <v>0</v>
      </c>
      <c s="6" r="AY824">
        <v>0</v>
      </c>
      <c s="6" r="AZ824">
        <v>0</v>
      </c>
      <c s="6" r="BA824">
        <v>0</v>
      </c>
      <c s="6" r="BB824">
        <v>0</v>
      </c>
      <c s="6" r="BC824">
        <v>0</v>
      </c>
      <c s="6" r="BD824">
        <v>0</v>
      </c>
      <c s="6" r="BE824">
        <v>0</v>
      </c>
      <c s="6" r="BF824">
        <v>0</v>
      </c>
      <c s="6" r="BG824">
        <v>0</v>
      </c>
      <c s="6" r="BH824">
        <v>0</v>
      </c>
      <c s="6" r="BI824">
        <v>0</v>
      </c>
      <c s="6" r="BJ824">
        <v>0</v>
      </c>
      <c s="6" r="BK824">
        <v>0</v>
      </c>
      <c s="6" r="BL824">
        <v>0</v>
      </c>
      <c s="6" r="BM824">
        <v>0</v>
      </c>
      <c s="6" r="BN824">
        <v>0</v>
      </c>
      <c s="6" r="BO824">
        <v>0</v>
      </c>
      <c s="6" r="BP824">
        <v>0</v>
      </c>
      <c s="6" r="BQ824">
        <v>0</v>
      </c>
      <c t="str" s="6" r="BR824">
        <f>HYPERLINK("http://www.d20pfsrd.com/magic/all-spells/n/negate-aroma","Negate Aroma")</f>
        <v>Negate Aroma</v>
      </c>
      <c s="6" r="BS824">
        <v>834</v>
      </c>
      <c t="s" s="6" r="BT824">
        <v>92</v>
      </c>
      <c s="6" r="BY824">
        <v>0</v>
      </c>
    </row>
    <row customHeight="1" r="825" ht="14.25">
      <c t="s" s="6" r="A825">
        <v>6261</v>
      </c>
      <c t="s" s="6" r="B825">
        <v>162</v>
      </c>
      <c t="s" s="6" r="E825">
        <v>2367</v>
      </c>
      <c t="s" s="6" r="F825">
        <v>81</v>
      </c>
      <c t="s" s="6" r="G825">
        <v>106</v>
      </c>
      <c s="6" r="H825">
        <v>0</v>
      </c>
      <c t="s" s="6" r="I825">
        <v>155</v>
      </c>
      <c t="s" s="6" r="L825">
        <v>156</v>
      </c>
      <c t="s" s="6" r="M825">
        <v>99</v>
      </c>
      <c s="6" r="N825">
        <v>0</v>
      </c>
      <c s="6" r="O825">
        <v>0</v>
      </c>
      <c t="s" s="6" r="R825">
        <v>6262</v>
      </c>
      <c t="s" s="6" r="S825">
        <v>6263</v>
      </c>
      <c t="s" s="6" r="T825">
        <v>5200</v>
      </c>
      <c t="s" s="6" r="U825">
        <v>6264</v>
      </c>
      <c s="6" r="V825">
        <v>1</v>
      </c>
      <c s="6" r="W825">
        <v>1</v>
      </c>
      <c s="6" r="X825">
        <v>0</v>
      </c>
      <c s="6" r="Y825">
        <v>0</v>
      </c>
      <c s="6" r="Z825">
        <v>0</v>
      </c>
      <c t="s" s="6" r="AA825">
        <v>92</v>
      </c>
      <c t="s" s="6" r="AB825">
        <v>92</v>
      </c>
      <c t="s" s="6" r="AC825">
        <v>92</v>
      </c>
      <c t="s" s="6" r="AD825">
        <v>92</v>
      </c>
      <c t="s" s="6" r="AE825">
        <v>92</v>
      </c>
      <c t="s" s="6" r="AF825">
        <v>92</v>
      </c>
      <c s="6" r="AG825">
        <v>4</v>
      </c>
      <c t="s" s="6" r="AH825">
        <v>92</v>
      </c>
      <c t="s" s="6" r="AI825">
        <v>92</v>
      </c>
      <c t="s" s="6" r="AJ825">
        <v>92</v>
      </c>
      <c t="s" s="6" r="AK825">
        <v>92</v>
      </c>
      <c t="s" s="6" r="AL825">
        <v>92</v>
      </c>
      <c t="s" s="6" r="AM825">
        <v>92</v>
      </c>
      <c t="s" s="6" r="AN825">
        <v>92</v>
      </c>
      <c s="6" r="AP825">
        <v>4</v>
      </c>
      <c t="s" s="6" r="AR825">
        <v>6265</v>
      </c>
      <c s="6" r="AS825">
        <v>0</v>
      </c>
      <c s="6" r="AT825">
        <v>0</v>
      </c>
      <c s="6" r="AU825">
        <v>0</v>
      </c>
      <c s="6" r="AV825">
        <v>0</v>
      </c>
      <c s="6" r="AW825">
        <v>0</v>
      </c>
      <c s="6" r="AX825">
        <v>0</v>
      </c>
      <c s="6" r="AY825">
        <v>0</v>
      </c>
      <c s="6" r="AZ825">
        <v>0</v>
      </c>
      <c s="6" r="BA825">
        <v>0</v>
      </c>
      <c s="6" r="BB825">
        <v>0</v>
      </c>
      <c s="6" r="BC825">
        <v>0</v>
      </c>
      <c s="6" r="BD825">
        <v>0</v>
      </c>
      <c s="6" r="BE825">
        <v>0</v>
      </c>
      <c s="6" r="BF825">
        <v>0</v>
      </c>
      <c s="6" r="BG825">
        <v>0</v>
      </c>
      <c s="6" r="BH825">
        <v>0</v>
      </c>
      <c s="6" r="BI825">
        <v>0</v>
      </c>
      <c s="6" r="BJ825">
        <v>0</v>
      </c>
      <c s="6" r="BK825">
        <v>0</v>
      </c>
      <c s="6" r="BL825">
        <v>0</v>
      </c>
      <c s="6" r="BM825">
        <v>0</v>
      </c>
      <c s="6" r="BN825">
        <v>0</v>
      </c>
      <c s="6" r="BO825">
        <v>0</v>
      </c>
      <c s="6" r="BP825">
        <v>0</v>
      </c>
      <c s="6" r="BQ825">
        <v>0</v>
      </c>
      <c t="str" s="6" r="BR825">
        <f>HYPERLINK("http://www.d20pfsrd.com/magic/all-spells/o/oath-of-peace","Oath of Peace")</f>
        <v>Oath of Peace</v>
      </c>
      <c s="6" r="BS825">
        <v>835</v>
      </c>
      <c t="s" s="6" r="BT825">
        <v>92</v>
      </c>
      <c t="s" s="6" r="BW825">
        <v>6266</v>
      </c>
      <c s="6" r="BY825">
        <v>1</v>
      </c>
    </row>
    <row customHeight="1" r="826" ht="14.25">
      <c t="s" s="6" r="A826">
        <v>6267</v>
      </c>
      <c t="s" s="6" r="B826">
        <v>227</v>
      </c>
      <c t="s" s="6" r="D826">
        <v>48</v>
      </c>
      <c t="s" s="6" r="E826">
        <v>6268</v>
      </c>
      <c t="s" s="6" r="F826">
        <v>81</v>
      </c>
      <c t="s" s="6" r="G826">
        <v>251</v>
      </c>
      <c s="6" r="H826">
        <v>0</v>
      </c>
      <c t="s" s="6" r="I826">
        <v>97</v>
      </c>
      <c t="s" s="6" r="L826">
        <v>1235</v>
      </c>
      <c t="s" s="6" r="M826">
        <v>2718</v>
      </c>
      <c s="6" r="N826">
        <v>0</v>
      </c>
      <c s="6" r="O826">
        <v>0</v>
      </c>
      <c t="s" s="6" r="P826">
        <v>221</v>
      </c>
      <c t="s" s="6" r="Q826">
        <v>188</v>
      </c>
      <c t="s" s="6" r="R826">
        <v>6269</v>
      </c>
      <c t="s" s="6" r="S826">
        <v>6270</v>
      </c>
      <c t="s" s="6" r="T826">
        <v>5200</v>
      </c>
      <c t="s" s="6" r="U826">
        <v>6271</v>
      </c>
      <c s="6" r="V826">
        <v>1</v>
      </c>
      <c s="6" r="W826">
        <v>0</v>
      </c>
      <c s="6" r="X826">
        <v>0</v>
      </c>
      <c s="6" r="Y826">
        <v>0</v>
      </c>
      <c s="6" r="Z826">
        <v>0</v>
      </c>
      <c t="s" s="6" r="AA826">
        <v>92</v>
      </c>
      <c t="s" s="6" r="AB826">
        <v>92</v>
      </c>
      <c t="s" s="6" r="AC826">
        <v>92</v>
      </c>
      <c t="s" s="6" r="AD826">
        <v>92</v>
      </c>
      <c t="s" s="6" r="AE826">
        <v>92</v>
      </c>
      <c t="s" s="6" r="AF826">
        <v>92</v>
      </c>
      <c t="s" s="6" r="AG826">
        <v>92</v>
      </c>
      <c t="s" s="6" r="AH826">
        <v>92</v>
      </c>
      <c t="s" s="6" r="AI826">
        <v>92</v>
      </c>
      <c t="s" s="6" r="AJ826">
        <v>92</v>
      </c>
      <c t="s" s="6" r="AK826">
        <v>92</v>
      </c>
      <c s="6" r="AL826">
        <v>2</v>
      </c>
      <c t="s" s="6" r="AM826">
        <v>92</v>
      </c>
      <c t="s" s="6" r="AN826">
        <v>92</v>
      </c>
      <c s="6" r="AP826">
        <v>2</v>
      </c>
      <c t="s" s="6" r="AR826">
        <v>6272</v>
      </c>
      <c s="6" r="AS826">
        <v>0</v>
      </c>
      <c s="6" r="AT826">
        <v>0</v>
      </c>
      <c s="6" r="AU826">
        <v>0</v>
      </c>
      <c s="6" r="AV826">
        <v>0</v>
      </c>
      <c s="6" r="AW826">
        <v>1</v>
      </c>
      <c s="6" r="AX826">
        <v>0</v>
      </c>
      <c s="6" r="AY826">
        <v>0</v>
      </c>
      <c s="6" r="AZ826">
        <v>0</v>
      </c>
      <c s="6" r="BA826">
        <v>0</v>
      </c>
      <c s="6" r="BB826">
        <v>0</v>
      </c>
      <c s="6" r="BC826">
        <v>0</v>
      </c>
      <c s="6" r="BD826">
        <v>0</v>
      </c>
      <c s="6" r="BE826">
        <v>0</v>
      </c>
      <c s="6" r="BF826">
        <v>0</v>
      </c>
      <c s="6" r="BG826">
        <v>0</v>
      </c>
      <c s="6" r="BH826">
        <v>0</v>
      </c>
      <c s="6" r="BI826">
        <v>0</v>
      </c>
      <c s="6" r="BJ826">
        <v>0</v>
      </c>
      <c s="6" r="BK826">
        <v>0</v>
      </c>
      <c s="6" r="BL826">
        <v>0</v>
      </c>
      <c s="6" r="BM826">
        <v>0</v>
      </c>
      <c s="6" r="BN826">
        <v>0</v>
      </c>
      <c s="6" r="BO826">
        <v>0</v>
      </c>
      <c s="6" r="BP826">
        <v>0</v>
      </c>
      <c s="6" r="BQ826">
        <v>0</v>
      </c>
      <c t="str" s="6" r="BR826">
        <f>HYPERLINK("http://www.d20pfsrd.com/magic/all-spells/o/oracle-s-burden","Oracle's Burden")</f>
        <v>Oracle's Burden</v>
      </c>
      <c s="6" r="BS826">
        <v>836</v>
      </c>
      <c t="s" s="6" r="BT826">
        <v>92</v>
      </c>
      <c s="6" r="BY826">
        <v>0</v>
      </c>
    </row>
    <row customHeight="1" r="827" ht="14.25">
      <c t="s" s="6" r="A827">
        <v>6273</v>
      </c>
      <c t="s" s="6" r="B827">
        <v>493</v>
      </c>
      <c t="s" s="6" r="D827">
        <v>4381</v>
      </c>
      <c t="s" s="6" r="E827">
        <v>6274</v>
      </c>
      <c t="s" s="6" r="F827">
        <v>81</v>
      </c>
      <c t="s" s="6" r="G827">
        <v>106</v>
      </c>
      <c s="6" r="H827">
        <v>0</v>
      </c>
      <c t="s" s="6" r="I827">
        <v>107</v>
      </c>
      <c t="s" s="6" r="L827">
        <v>473</v>
      </c>
      <c t="s" s="6" r="M827">
        <v>483</v>
      </c>
      <c s="6" r="N827">
        <v>1</v>
      </c>
      <c s="6" r="O827">
        <v>0</v>
      </c>
      <c t="s" s="6" r="P827">
        <v>187</v>
      </c>
      <c t="s" s="6" r="Q827">
        <v>188</v>
      </c>
      <c t="s" s="6" r="R827">
        <v>6275</v>
      </c>
      <c t="s" s="6" r="S827">
        <v>6276</v>
      </c>
      <c t="s" s="6" r="T827">
        <v>5200</v>
      </c>
      <c t="s" s="6" r="U827">
        <v>6277</v>
      </c>
      <c s="6" r="V827">
        <v>1</v>
      </c>
      <c s="6" r="W827">
        <v>1</v>
      </c>
      <c s="6" r="X827">
        <v>0</v>
      </c>
      <c s="6" r="Y827">
        <v>0</v>
      </c>
      <c s="6" r="Z827">
        <v>0</v>
      </c>
      <c s="6" r="AA827">
        <v>3</v>
      </c>
      <c s="6" r="AB827">
        <v>3</v>
      </c>
      <c t="s" s="6" r="AC827">
        <v>92</v>
      </c>
      <c t="s" s="6" r="AD827">
        <v>92</v>
      </c>
      <c t="s" s="6" r="AE827">
        <v>92</v>
      </c>
      <c t="s" s="6" r="AF827">
        <v>92</v>
      </c>
      <c t="s" s="6" r="AG827">
        <v>92</v>
      </c>
      <c t="s" s="6" r="AH827">
        <v>92</v>
      </c>
      <c t="s" s="6" r="AI827">
        <v>92</v>
      </c>
      <c s="6" r="AJ827">
        <v>3</v>
      </c>
      <c t="s" s="6" r="AK827">
        <v>92</v>
      </c>
      <c t="s" s="6" r="AL827">
        <v>92</v>
      </c>
      <c t="s" s="6" r="AM827">
        <v>92</v>
      </c>
      <c t="s" s="6" r="AN827">
        <v>92</v>
      </c>
      <c s="6" r="AP827">
        <v>3</v>
      </c>
      <c t="s" s="6" r="AR827">
        <v>6278</v>
      </c>
      <c s="6" r="AS827">
        <v>0</v>
      </c>
      <c s="6" r="AT827">
        <v>0</v>
      </c>
      <c s="6" r="AU827">
        <v>0</v>
      </c>
      <c s="6" r="AV827">
        <v>0</v>
      </c>
      <c s="6" r="AW827">
        <v>0</v>
      </c>
      <c s="6" r="AX827">
        <v>0</v>
      </c>
      <c s="6" r="AY827">
        <v>0</v>
      </c>
      <c s="6" r="AZ827">
        <v>0</v>
      </c>
      <c s="6" r="BA827">
        <v>0</v>
      </c>
      <c s="6" r="BB827">
        <v>0</v>
      </c>
      <c s="6" r="BC827">
        <v>0</v>
      </c>
      <c s="6" r="BD827">
        <v>1</v>
      </c>
      <c s="6" r="BE827">
        <v>0</v>
      </c>
      <c s="6" r="BF827">
        <v>0</v>
      </c>
      <c s="6" r="BG827">
        <v>0</v>
      </c>
      <c s="6" r="BH827">
        <v>0</v>
      </c>
      <c s="6" r="BI827">
        <v>0</v>
      </c>
      <c s="6" r="BJ827">
        <v>0</v>
      </c>
      <c s="6" r="BK827">
        <v>0</v>
      </c>
      <c s="6" r="BL827">
        <v>0</v>
      </c>
      <c s="6" r="BM827">
        <v>1</v>
      </c>
      <c s="6" r="BN827">
        <v>0</v>
      </c>
      <c s="6" r="BO827">
        <v>0</v>
      </c>
      <c s="6" r="BP827">
        <v>0</v>
      </c>
      <c s="6" r="BQ827">
        <v>0</v>
      </c>
      <c t="str" s="6" r="BR827">
        <f>HYPERLINK("http://www.d20pfsrd.com/magic/all-spells/p/pain-strike","Pain Strike")</f>
        <v>Pain Strike</v>
      </c>
      <c s="6" r="BS827">
        <v>837</v>
      </c>
      <c t="s" s="6" r="BT827">
        <v>92</v>
      </c>
      <c t="s" s="6" r="BV827">
        <v>638</v>
      </c>
      <c s="6" r="BY827">
        <v>0</v>
      </c>
    </row>
    <row customHeight="1" r="828" ht="14.25">
      <c t="s" s="6" r="A828">
        <v>6279</v>
      </c>
      <c t="s" s="6" r="B828">
        <v>493</v>
      </c>
      <c t="s" s="6" r="D828">
        <v>4381</v>
      </c>
      <c t="s" s="6" r="E828">
        <v>1755</v>
      </c>
      <c t="s" s="6" r="F828">
        <v>81</v>
      </c>
      <c t="s" s="6" r="G828">
        <v>106</v>
      </c>
      <c s="6" r="H828">
        <v>0</v>
      </c>
      <c t="s" s="6" r="I828">
        <v>107</v>
      </c>
      <c t="s" s="6" r="L828">
        <v>6280</v>
      </c>
      <c t="s" s="6" r="M828">
        <v>483</v>
      </c>
      <c s="6" r="N828">
        <v>1</v>
      </c>
      <c s="6" r="O828">
        <v>0</v>
      </c>
      <c t="s" s="6" r="P828">
        <v>187</v>
      </c>
      <c t="s" s="6" r="Q828">
        <v>188</v>
      </c>
      <c t="s" s="6" r="R828">
        <v>6281</v>
      </c>
      <c t="s" s="6" r="S828">
        <v>6282</v>
      </c>
      <c t="s" s="6" r="T828">
        <v>5200</v>
      </c>
      <c t="s" s="6" r="U828">
        <v>6283</v>
      </c>
      <c s="6" r="V828">
        <v>1</v>
      </c>
      <c s="6" r="W828">
        <v>1</v>
      </c>
      <c s="6" r="X828">
        <v>0</v>
      </c>
      <c s="6" r="Y828">
        <v>0</v>
      </c>
      <c s="6" r="Z828">
        <v>0</v>
      </c>
      <c s="6" r="AA828">
        <v>5</v>
      </c>
      <c s="6" r="AB828">
        <v>5</v>
      </c>
      <c t="s" s="6" r="AC828">
        <v>92</v>
      </c>
      <c t="s" s="6" r="AD828">
        <v>92</v>
      </c>
      <c t="s" s="6" r="AE828">
        <v>92</v>
      </c>
      <c t="s" s="6" r="AF828">
        <v>92</v>
      </c>
      <c t="s" s="6" r="AG828">
        <v>92</v>
      </c>
      <c t="s" s="6" r="AH828">
        <v>92</v>
      </c>
      <c t="s" s="6" r="AI828">
        <v>92</v>
      </c>
      <c s="6" r="AJ828">
        <v>5</v>
      </c>
      <c t="s" s="6" r="AK828">
        <v>92</v>
      </c>
      <c t="s" s="6" r="AL828">
        <v>92</v>
      </c>
      <c t="s" s="6" r="AM828">
        <v>92</v>
      </c>
      <c t="s" s="6" r="AN828">
        <v>92</v>
      </c>
      <c s="6" r="AP828">
        <v>5</v>
      </c>
      <c t="s" s="6" r="AR828">
        <v>6284</v>
      </c>
      <c s="6" r="AS828">
        <v>0</v>
      </c>
      <c s="6" r="AT828">
        <v>0</v>
      </c>
      <c s="6" r="AU828">
        <v>0</v>
      </c>
      <c s="6" r="AV828">
        <v>0</v>
      </c>
      <c s="6" r="AW828">
        <v>0</v>
      </c>
      <c s="6" r="AX828">
        <v>0</v>
      </c>
      <c s="6" r="AY828">
        <v>0</v>
      </c>
      <c s="6" r="AZ828">
        <v>0</v>
      </c>
      <c s="6" r="BA828">
        <v>0</v>
      </c>
      <c s="6" r="BB828">
        <v>0</v>
      </c>
      <c s="6" r="BC828">
        <v>0</v>
      </c>
      <c s="6" r="BD828">
        <v>1</v>
      </c>
      <c s="6" r="BE828">
        <v>0</v>
      </c>
      <c s="6" r="BF828">
        <v>0</v>
      </c>
      <c s="6" r="BG828">
        <v>0</v>
      </c>
      <c s="6" r="BH828">
        <v>0</v>
      </c>
      <c s="6" r="BI828">
        <v>0</v>
      </c>
      <c s="6" r="BJ828">
        <v>0</v>
      </c>
      <c s="6" r="BK828">
        <v>0</v>
      </c>
      <c s="6" r="BL828">
        <v>0</v>
      </c>
      <c s="6" r="BM828">
        <v>1</v>
      </c>
      <c s="6" r="BN828">
        <v>0</v>
      </c>
      <c s="6" r="BO828">
        <v>0</v>
      </c>
      <c s="6" r="BP828">
        <v>0</v>
      </c>
      <c s="6" r="BQ828">
        <v>0</v>
      </c>
      <c t="str" s="6" r="BR828">
        <f>HYPERLINK("http://www.d20pfsrd.com/magic/all-spells/p/pain-strike,-mass","Pain Strike, Mass")</f>
        <v>Pain Strike, Mass</v>
      </c>
      <c s="6" r="BS828">
        <v>838</v>
      </c>
      <c t="s" s="6" r="BT828">
        <v>92</v>
      </c>
      <c t="s" s="6" r="BV828">
        <v>638</v>
      </c>
      <c s="6" r="BY828">
        <v>0</v>
      </c>
    </row>
    <row customHeight="1" r="829" ht="14.25">
      <c t="s" s="6" r="A829">
        <v>6285</v>
      </c>
      <c t="s" s="6" r="B829">
        <v>162</v>
      </c>
      <c t="s" s="6" r="E829">
        <v>5295</v>
      </c>
      <c t="s" s="6" r="F829">
        <v>1743</v>
      </c>
      <c t="s" s="6" r="G829">
        <v>5511</v>
      </c>
      <c s="6" r="H829">
        <v>0</v>
      </c>
      <c t="s" s="6" r="I829">
        <v>107</v>
      </c>
      <c t="s" s="6" r="L829">
        <v>1235</v>
      </c>
      <c t="s" s="6" r="M829">
        <v>109</v>
      </c>
      <c s="6" r="N829">
        <v>0</v>
      </c>
      <c s="6" r="O829">
        <v>0</v>
      </c>
      <c t="s" s="6" r="P829">
        <v>1227</v>
      </c>
      <c t="s" s="6" r="Q829">
        <v>123</v>
      </c>
      <c t="s" s="6" r="R829">
        <v>6286</v>
      </c>
      <c t="s" s="6" r="S829">
        <v>6287</v>
      </c>
      <c t="s" s="6" r="T829">
        <v>5200</v>
      </c>
      <c t="s" s="6" r="U829">
        <v>6288</v>
      </c>
      <c s="6" r="V829">
        <v>1</v>
      </c>
      <c s="6" r="W829">
        <v>0</v>
      </c>
      <c s="6" r="X829">
        <v>0</v>
      </c>
      <c s="6" r="Y829">
        <v>0</v>
      </c>
      <c s="6" r="Z829">
        <v>1</v>
      </c>
      <c t="s" s="6" r="AA829">
        <v>92</v>
      </c>
      <c t="s" s="6" r="AB829">
        <v>92</v>
      </c>
      <c t="s" s="6" r="AC829">
        <v>92</v>
      </c>
      <c t="s" s="6" r="AD829">
        <v>92</v>
      </c>
      <c t="s" s="6" r="AE829">
        <v>92</v>
      </c>
      <c t="s" s="6" r="AF829">
        <v>92</v>
      </c>
      <c s="6" r="AG829">
        <v>2</v>
      </c>
      <c t="s" s="6" r="AH829">
        <v>92</v>
      </c>
      <c t="s" s="6" r="AI829">
        <v>92</v>
      </c>
      <c t="s" s="6" r="AJ829">
        <v>92</v>
      </c>
      <c t="s" s="6" r="AK829">
        <v>92</v>
      </c>
      <c t="s" s="6" r="AL829">
        <v>92</v>
      </c>
      <c t="s" s="6" r="AM829">
        <v>92</v>
      </c>
      <c t="s" s="6" r="AN829">
        <v>92</v>
      </c>
      <c s="6" r="AP829">
        <v>2</v>
      </c>
      <c t="s" s="6" r="AR829">
        <v>6289</v>
      </c>
      <c s="6" r="AS829">
        <v>0</v>
      </c>
      <c s="6" r="AT829">
        <v>0</v>
      </c>
      <c s="6" r="AU829">
        <v>0</v>
      </c>
      <c s="6" r="AV829">
        <v>0</v>
      </c>
      <c s="6" r="AW829">
        <v>0</v>
      </c>
      <c s="6" r="AX829">
        <v>0</v>
      </c>
      <c s="6" r="AY829">
        <v>0</v>
      </c>
      <c s="6" r="AZ829">
        <v>0</v>
      </c>
      <c s="6" r="BA829">
        <v>0</v>
      </c>
      <c s="6" r="BB829">
        <v>0</v>
      </c>
      <c s="6" r="BC829">
        <v>0</v>
      </c>
      <c s="6" r="BD829">
        <v>0</v>
      </c>
      <c s="6" r="BE829">
        <v>0</v>
      </c>
      <c s="6" r="BF829">
        <v>0</v>
      </c>
      <c s="6" r="BG829">
        <v>0</v>
      </c>
      <c s="6" r="BH829">
        <v>0</v>
      </c>
      <c s="6" r="BI829">
        <v>0</v>
      </c>
      <c s="6" r="BJ829">
        <v>0</v>
      </c>
      <c s="6" r="BK829">
        <v>0</v>
      </c>
      <c s="6" r="BL829">
        <v>0</v>
      </c>
      <c s="6" r="BM829">
        <v>0</v>
      </c>
      <c s="6" r="BN829">
        <v>0</v>
      </c>
      <c s="6" r="BO829">
        <v>0</v>
      </c>
      <c s="6" r="BP829">
        <v>0</v>
      </c>
      <c s="6" r="BQ829">
        <v>0</v>
      </c>
      <c t="str" s="6" r="BR829">
        <f>HYPERLINK("http://www.d20pfsrd.com/magic/all-spells/p/paladin-s-sacrifice","Paladin's Sacrifice")</f>
        <v>Paladin's Sacrifice</v>
      </c>
      <c s="6" r="BS829">
        <v>839</v>
      </c>
      <c t="s" s="6" r="BT829">
        <v>92</v>
      </c>
      <c s="6" r="BY829">
        <v>0</v>
      </c>
    </row>
    <row customHeight="1" r="830" ht="14.25">
      <c t="s" s="6" r="A830">
        <v>6290</v>
      </c>
      <c t="s" s="6" r="B830">
        <v>579</v>
      </c>
      <c t="s" s="6" r="C830">
        <v>1523</v>
      </c>
      <c t="s" s="6" r="D830">
        <v>3713</v>
      </c>
      <c t="s" s="6" r="E830">
        <v>973</v>
      </c>
      <c t="s" s="6" r="F830">
        <v>81</v>
      </c>
      <c t="s" s="6" r="G830">
        <v>106</v>
      </c>
      <c s="6" r="H830">
        <v>0</v>
      </c>
      <c t="s" s="6" r="I830">
        <v>6291</v>
      </c>
      <c t="s" s="6" r="L830">
        <v>6292</v>
      </c>
      <c t="s" s="6" r="M830">
        <v>109</v>
      </c>
      <c s="6" r="N830">
        <v>0</v>
      </c>
      <c s="6" r="O830">
        <v>0</v>
      </c>
      <c t="s" s="6" r="P830">
        <v>6293</v>
      </c>
      <c t="s" s="6" r="Q830">
        <v>188</v>
      </c>
      <c t="s" s="6" r="R830">
        <v>6294</v>
      </c>
      <c t="s" s="6" r="S830">
        <v>6295</v>
      </c>
      <c t="s" s="6" r="T830">
        <v>5200</v>
      </c>
      <c t="s" s="6" r="U830">
        <v>6296</v>
      </c>
      <c s="6" r="V830">
        <v>1</v>
      </c>
      <c s="6" r="W830">
        <v>1</v>
      </c>
      <c s="6" r="X830">
        <v>0</v>
      </c>
      <c s="6" r="Y830">
        <v>0</v>
      </c>
      <c s="6" r="Z830">
        <v>0</v>
      </c>
      <c s="6" r="AA830">
        <v>7</v>
      </c>
      <c s="6" r="AB830">
        <v>7</v>
      </c>
      <c t="s" s="6" r="AC830">
        <v>92</v>
      </c>
      <c t="s" s="6" r="AD830">
        <v>92</v>
      </c>
      <c t="s" s="6" r="AE830">
        <v>92</v>
      </c>
      <c t="s" s="6" r="AF830">
        <v>92</v>
      </c>
      <c t="s" s="6" r="AG830">
        <v>92</v>
      </c>
      <c t="s" s="6" r="AH830">
        <v>92</v>
      </c>
      <c t="s" s="6" r="AI830">
        <v>92</v>
      </c>
      <c t="s" s="6" r="AJ830">
        <v>92</v>
      </c>
      <c t="s" s="6" r="AK830">
        <v>92</v>
      </c>
      <c t="s" s="6" r="AL830">
        <v>92</v>
      </c>
      <c t="s" s="6" r="AM830">
        <v>92</v>
      </c>
      <c t="s" s="6" r="AN830">
        <v>92</v>
      </c>
      <c s="6" r="AP830">
        <v>7</v>
      </c>
      <c t="s" s="6" r="AR830">
        <v>6297</v>
      </c>
      <c s="6" r="AS830">
        <v>0</v>
      </c>
      <c s="6" r="AT830">
        <v>0</v>
      </c>
      <c s="6" r="AU830">
        <v>0</v>
      </c>
      <c s="6" r="AV830">
        <v>0</v>
      </c>
      <c s="6" r="AW830">
        <v>0</v>
      </c>
      <c s="6" r="AX830">
        <v>0</v>
      </c>
      <c s="6" r="AY830">
        <v>0</v>
      </c>
      <c s="6" r="AZ830">
        <v>0</v>
      </c>
      <c s="6" r="BA830">
        <v>0</v>
      </c>
      <c s="6" r="BB830">
        <v>0</v>
      </c>
      <c s="6" r="BC830">
        <v>1</v>
      </c>
      <c s="6" r="BD830">
        <v>0</v>
      </c>
      <c s="6" r="BE830">
        <v>1</v>
      </c>
      <c s="6" r="BF830">
        <v>0</v>
      </c>
      <c s="6" r="BG830">
        <v>0</v>
      </c>
      <c s="6" r="BH830">
        <v>0</v>
      </c>
      <c s="6" r="BI830">
        <v>0</v>
      </c>
      <c s="6" r="BJ830">
        <v>0</v>
      </c>
      <c s="6" r="BK830">
        <v>0</v>
      </c>
      <c s="6" r="BL830">
        <v>1</v>
      </c>
      <c s="6" r="BM830">
        <v>0</v>
      </c>
      <c s="6" r="BN830">
        <v>0</v>
      </c>
      <c s="6" r="BO830">
        <v>0</v>
      </c>
      <c s="6" r="BP830">
        <v>0</v>
      </c>
      <c s="6" r="BQ830">
        <v>0</v>
      </c>
      <c t="str" s="6" r="BR830">
        <f>HYPERLINK("http://www.d20pfsrd.com/magic/all-spells/p/phantasmal-revenge","Phantasmal Revenge")</f>
        <v>Phantasmal Revenge</v>
      </c>
      <c s="6" r="BS830">
        <v>840</v>
      </c>
      <c t="s" s="6" r="BT830">
        <v>92</v>
      </c>
      <c t="s" s="6" r="BV830">
        <v>638</v>
      </c>
      <c s="6" r="BY830">
        <v>0</v>
      </c>
    </row>
    <row customHeight="1" r="831" ht="14.25">
      <c t="s" s="6" r="A831">
        <v>6298</v>
      </c>
      <c t="s" s="6" r="B831">
        <v>579</v>
      </c>
      <c t="s" s="6" r="C831">
        <v>1523</v>
      </c>
      <c t="s" s="6" r="D831">
        <v>117</v>
      </c>
      <c t="s" s="6" r="E831">
        <v>1734</v>
      </c>
      <c t="s" s="6" r="F831">
        <v>81</v>
      </c>
      <c t="s" s="6" r="G831">
        <v>106</v>
      </c>
      <c s="6" r="H831">
        <v>0</v>
      </c>
      <c t="s" s="6" r="I831">
        <v>97</v>
      </c>
      <c t="s" s="6" r="L831">
        <v>6299</v>
      </c>
      <c t="s" s="6" r="M831">
        <v>483</v>
      </c>
      <c s="6" r="N831">
        <v>1</v>
      </c>
      <c s="6" r="O831">
        <v>0</v>
      </c>
      <c t="s" s="6" r="P831">
        <v>3156</v>
      </c>
      <c t="s" s="6" r="Q831">
        <v>188</v>
      </c>
      <c t="s" s="6" r="R831">
        <v>6300</v>
      </c>
      <c t="s" s="6" r="S831">
        <v>6301</v>
      </c>
      <c t="s" s="6" r="T831">
        <v>5200</v>
      </c>
      <c t="s" s="6" r="U831">
        <v>6302</v>
      </c>
      <c s="6" r="V831">
        <v>1</v>
      </c>
      <c s="6" r="W831">
        <v>1</v>
      </c>
      <c s="6" r="X831">
        <v>0</v>
      </c>
      <c s="6" r="Y831">
        <v>0</v>
      </c>
      <c s="6" r="Z831">
        <v>0</v>
      </c>
      <c s="6" r="AA831">
        <v>5</v>
      </c>
      <c s="6" r="AB831">
        <v>5</v>
      </c>
      <c t="s" s="6" r="AC831">
        <v>92</v>
      </c>
      <c t="s" s="6" r="AD831">
        <v>92</v>
      </c>
      <c t="s" s="6" r="AE831">
        <v>92</v>
      </c>
      <c s="6" r="AF831">
        <v>5</v>
      </c>
      <c t="s" s="6" r="AG831">
        <v>92</v>
      </c>
      <c t="s" s="6" r="AH831">
        <v>92</v>
      </c>
      <c t="s" s="6" r="AI831">
        <v>92</v>
      </c>
      <c t="s" s="6" r="AJ831">
        <v>92</v>
      </c>
      <c t="s" s="6" r="AK831">
        <v>92</v>
      </c>
      <c t="s" s="6" r="AL831">
        <v>92</v>
      </c>
      <c t="s" s="6" r="AM831">
        <v>92</v>
      </c>
      <c t="s" s="6" r="AN831">
        <v>92</v>
      </c>
      <c s="6" r="AP831">
        <v>5</v>
      </c>
      <c t="s" s="6" r="AQ831">
        <v>2317</v>
      </c>
      <c t="s" s="6" r="AR831">
        <v>6303</v>
      </c>
      <c s="6" r="AS831">
        <v>0</v>
      </c>
      <c s="6" r="AT831">
        <v>0</v>
      </c>
      <c s="6" r="AU831">
        <v>0</v>
      </c>
      <c s="6" r="AV831">
        <v>0</v>
      </c>
      <c s="6" r="AW831">
        <v>0</v>
      </c>
      <c s="6" r="AX831">
        <v>0</v>
      </c>
      <c s="6" r="AY831">
        <v>0</v>
      </c>
      <c s="6" r="AZ831">
        <v>0</v>
      </c>
      <c s="6" r="BA831">
        <v>0</v>
      </c>
      <c s="6" r="BB831">
        <v>0</v>
      </c>
      <c s="6" r="BC831">
        <v>0</v>
      </c>
      <c s="6" r="BD831">
        <v>0</v>
      </c>
      <c s="6" r="BE831">
        <v>0</v>
      </c>
      <c s="6" r="BF831">
        <v>0</v>
      </c>
      <c s="6" r="BG831">
        <v>0</v>
      </c>
      <c s="6" r="BH831">
        <v>0</v>
      </c>
      <c s="6" r="BI831">
        <v>0</v>
      </c>
      <c s="6" r="BJ831">
        <v>0</v>
      </c>
      <c s="6" r="BK831">
        <v>0</v>
      </c>
      <c s="6" r="BL831">
        <v>1</v>
      </c>
      <c s="6" r="BM831">
        <v>0</v>
      </c>
      <c s="6" r="BN831">
        <v>0</v>
      </c>
      <c s="6" r="BO831">
        <v>0</v>
      </c>
      <c s="6" r="BP831">
        <v>0</v>
      </c>
      <c s="6" r="BQ831">
        <v>0</v>
      </c>
      <c t="str" s="6" r="BR831">
        <f>HYPERLINK("http://www.d20pfsrd.com/magic/all-spells/p/phantasmal-web","Phantasmal Web")</f>
        <v>Phantasmal Web</v>
      </c>
      <c s="6" r="BS831">
        <v>841</v>
      </c>
      <c t="s" s="6" r="BT831">
        <v>92</v>
      </c>
      <c s="6" r="BY831">
        <v>0</v>
      </c>
    </row>
    <row customHeight="1" r="832" ht="14.25">
      <c t="s" s="6" r="A832">
        <v>6304</v>
      </c>
      <c t="s" s="6" r="B832">
        <v>115</v>
      </c>
      <c t="s" s="6" r="C832">
        <v>116</v>
      </c>
      <c t="s" s="6" r="D832">
        <v>217</v>
      </c>
      <c t="s" s="6" r="E832">
        <v>4408</v>
      </c>
      <c t="s" s="6" r="F832">
        <v>81</v>
      </c>
      <c t="s" s="6" r="G832">
        <v>6305</v>
      </c>
      <c s="6" r="H832">
        <v>0</v>
      </c>
      <c t="s" s="6" r="I832">
        <v>6306</v>
      </c>
      <c t="s" s="6" r="J832">
        <v>6307</v>
      </c>
      <c t="s" s="6" r="M832">
        <v>2696</v>
      </c>
      <c s="6" r="N832">
        <v>0</v>
      </c>
      <c s="6" r="O832">
        <v>0</v>
      </c>
      <c t="s" s="6" r="P832">
        <v>722</v>
      </c>
      <c t="s" s="6" r="Q832">
        <v>188</v>
      </c>
      <c t="s" s="6" r="R832">
        <v>6308</v>
      </c>
      <c t="s" s="6" r="S832">
        <v>6309</v>
      </c>
      <c t="s" s="6" r="T832">
        <v>5200</v>
      </c>
      <c t="s" s="6" r="U832">
        <v>6310</v>
      </c>
      <c s="6" r="V832">
        <v>1</v>
      </c>
      <c s="6" r="W832">
        <v>0</v>
      </c>
      <c s="6" r="X832">
        <v>0</v>
      </c>
      <c s="6" r="Y832">
        <v>0</v>
      </c>
      <c s="6" r="Z832">
        <v>0</v>
      </c>
      <c t="s" s="6" r="AA832">
        <v>92</v>
      </c>
      <c t="s" s="6" r="AB832">
        <v>92</v>
      </c>
      <c t="s" s="6" r="AC832">
        <v>92</v>
      </c>
      <c t="s" s="6" r="AD832">
        <v>92</v>
      </c>
      <c t="s" s="6" r="AE832">
        <v>92</v>
      </c>
      <c s="6" r="AF832">
        <v>6</v>
      </c>
      <c t="s" s="6" r="AG832">
        <v>92</v>
      </c>
      <c t="s" s="6" r="AH832">
        <v>92</v>
      </c>
      <c t="s" s="6" r="AI832">
        <v>92</v>
      </c>
      <c t="s" s="6" r="AJ832">
        <v>92</v>
      </c>
      <c t="s" s="6" r="AK832">
        <v>92</v>
      </c>
      <c t="s" s="6" r="AL832">
        <v>92</v>
      </c>
      <c t="s" s="6" r="AM832">
        <v>92</v>
      </c>
      <c t="s" s="6" r="AN832">
        <v>92</v>
      </c>
      <c s="6" r="AP832">
        <v>6</v>
      </c>
      <c t="s" s="6" r="AR832">
        <v>6311</v>
      </c>
      <c s="6" r="AS832">
        <v>0</v>
      </c>
      <c s="6" r="AT832">
        <v>0</v>
      </c>
      <c s="6" r="AU832">
        <v>0</v>
      </c>
      <c s="6" r="AV832">
        <v>0</v>
      </c>
      <c s="6" r="AW832">
        <v>0</v>
      </c>
      <c s="6" r="AX832">
        <v>0</v>
      </c>
      <c s="6" r="AY832">
        <v>0</v>
      </c>
      <c s="6" r="AZ832">
        <v>0</v>
      </c>
      <c s="6" r="BA832">
        <v>0</v>
      </c>
      <c s="6" r="BB832">
        <v>0</v>
      </c>
      <c s="6" r="BC832">
        <v>0</v>
      </c>
      <c s="6" r="BD832">
        <v>0</v>
      </c>
      <c s="6" r="BE832">
        <v>0</v>
      </c>
      <c s="6" r="BF832">
        <v>0</v>
      </c>
      <c s="6" r="BG832">
        <v>0</v>
      </c>
      <c s="6" r="BH832">
        <v>0</v>
      </c>
      <c s="6" r="BI832">
        <v>0</v>
      </c>
      <c s="6" r="BJ832">
        <v>0</v>
      </c>
      <c s="6" r="BK832">
        <v>0</v>
      </c>
      <c s="6" r="BL832">
        <v>1</v>
      </c>
      <c s="6" r="BM832">
        <v>0</v>
      </c>
      <c s="6" r="BN832">
        <v>0</v>
      </c>
      <c s="6" r="BO832">
        <v>0</v>
      </c>
      <c s="6" r="BP832">
        <v>1</v>
      </c>
      <c s="6" r="BQ832">
        <v>0</v>
      </c>
      <c t="str" s="6" r="BR832">
        <f>HYPERLINK("http://www.d20pfsrd.com/magic/all-spells/p/pied-piping","Pied Piping")</f>
        <v>Pied Piping</v>
      </c>
      <c s="6" r="BS832">
        <v>842</v>
      </c>
      <c t="s" s="6" r="BT832">
        <v>92</v>
      </c>
      <c s="6" r="BY832">
        <v>0</v>
      </c>
    </row>
    <row customHeight="1" r="833" ht="14.25">
      <c t="s" s="6" r="A833">
        <v>6312</v>
      </c>
      <c t="s" s="6" r="B833">
        <v>78</v>
      </c>
      <c t="s" s="6" r="C833">
        <v>598</v>
      </c>
      <c t="s" s="6" r="D833">
        <v>62</v>
      </c>
      <c t="s" s="6" r="E833">
        <v>599</v>
      </c>
      <c t="s" s="6" r="F833">
        <v>81</v>
      </c>
      <c t="s" s="6" r="G833">
        <v>119</v>
      </c>
      <c s="6" r="H833">
        <v>0</v>
      </c>
      <c t="s" s="6" r="I833">
        <v>97</v>
      </c>
      <c t="s" s="6" r="K833">
        <v>6313</v>
      </c>
      <c t="s" s="6" r="M833">
        <v>99</v>
      </c>
      <c s="6" r="N833">
        <v>0</v>
      </c>
      <c s="6" r="O833">
        <v>0</v>
      </c>
      <c t="s" s="6" r="P833">
        <v>86</v>
      </c>
      <c t="s" s="6" r="Q833">
        <v>87</v>
      </c>
      <c t="s" s="6" r="R833">
        <v>6314</v>
      </c>
      <c t="s" s="6" r="S833">
        <v>6315</v>
      </c>
      <c t="s" s="6" r="T833">
        <v>5200</v>
      </c>
      <c t="s" s="6" r="U833">
        <v>6316</v>
      </c>
      <c s="6" r="V833">
        <v>1</v>
      </c>
      <c s="6" r="W833">
        <v>1</v>
      </c>
      <c s="6" r="X833">
        <v>0</v>
      </c>
      <c s="6" r="Y833">
        <v>0</v>
      </c>
      <c s="6" r="Z833">
        <v>1</v>
      </c>
      <c t="s" s="6" r="AA833">
        <v>92</v>
      </c>
      <c t="s" s="6" r="AB833">
        <v>92</v>
      </c>
      <c s="6" r="AC833">
        <v>5</v>
      </c>
      <c t="s" s="6" r="AD833">
        <v>92</v>
      </c>
      <c t="s" s="6" r="AE833">
        <v>92</v>
      </c>
      <c t="s" s="6" r="AF833">
        <v>92</v>
      </c>
      <c t="s" s="6" r="AG833">
        <v>92</v>
      </c>
      <c t="s" s="6" r="AH833">
        <v>92</v>
      </c>
      <c t="s" s="6" r="AI833">
        <v>92</v>
      </c>
      <c t="s" s="6" r="AJ833">
        <v>92</v>
      </c>
      <c t="s" s="6" r="AK833">
        <v>92</v>
      </c>
      <c s="6" r="AL833">
        <v>5</v>
      </c>
      <c t="s" s="6" r="AM833">
        <v>92</v>
      </c>
      <c t="s" s="6" r="AN833">
        <v>92</v>
      </c>
      <c s="6" r="AP833">
        <v>5</v>
      </c>
      <c t="s" s="6" r="AR833">
        <v>6317</v>
      </c>
      <c s="6" r="AS833">
        <v>0</v>
      </c>
      <c s="6" r="AT833">
        <v>0</v>
      </c>
      <c s="6" r="AU833">
        <v>0</v>
      </c>
      <c s="6" r="AV833">
        <v>0</v>
      </c>
      <c s="6" r="AW833">
        <v>0</v>
      </c>
      <c s="6" r="AX833">
        <v>0</v>
      </c>
      <c s="6" r="AY833">
        <v>0</v>
      </c>
      <c s="6" r="AZ833">
        <v>0</v>
      </c>
      <c s="6" r="BA833">
        <v>0</v>
      </c>
      <c s="6" r="BB833">
        <v>0</v>
      </c>
      <c s="6" r="BC833">
        <v>0</v>
      </c>
      <c s="6" r="BD833">
        <v>0</v>
      </c>
      <c s="6" r="BE833">
        <v>0</v>
      </c>
      <c s="6" r="BF833">
        <v>0</v>
      </c>
      <c s="6" r="BG833">
        <v>0</v>
      </c>
      <c s="6" r="BH833">
        <v>0</v>
      </c>
      <c s="6" r="BI833">
        <v>0</v>
      </c>
      <c s="6" r="BJ833">
        <v>0</v>
      </c>
      <c s="6" r="BK833">
        <v>1</v>
      </c>
      <c s="6" r="BL833">
        <v>0</v>
      </c>
      <c s="6" r="BM833">
        <v>0</v>
      </c>
      <c s="6" r="BN833">
        <v>0</v>
      </c>
      <c s="6" r="BO833">
        <v>0</v>
      </c>
      <c s="6" r="BP833">
        <v>0</v>
      </c>
      <c s="6" r="BQ833">
        <v>0</v>
      </c>
      <c t="str" s="6" r="BR833">
        <f>HYPERLINK("http://www.d20pfsrd.com/magic/all-spells/p/pillar-of-life","Pillar of Life")</f>
        <v>Pillar of Life</v>
      </c>
      <c s="6" r="BS833">
        <v>843</v>
      </c>
      <c t="s" s="6" r="BT833">
        <v>92</v>
      </c>
      <c t="s" s="6" r="BV833">
        <v>605</v>
      </c>
      <c t="s" s="6" r="BW833">
        <v>6318</v>
      </c>
      <c s="6" r="BY833">
        <v>1</v>
      </c>
    </row>
    <row customHeight="1" r="834" ht="14.25">
      <c t="s" s="6" r="A834">
        <v>6319</v>
      </c>
      <c t="s" s="6" r="B834">
        <v>131</v>
      </c>
      <c t="s" s="6" r="E834">
        <v>6320</v>
      </c>
      <c t="s" s="6" r="F834">
        <v>81</v>
      </c>
      <c t="s" s="6" r="G834">
        <v>251</v>
      </c>
      <c s="6" r="H834">
        <v>0</v>
      </c>
      <c t="s" s="6" r="I834">
        <v>155</v>
      </c>
      <c t="s" s="6" r="L834">
        <v>156</v>
      </c>
      <c t="s" s="6" r="M834">
        <v>711</v>
      </c>
      <c s="6" r="N834">
        <v>1</v>
      </c>
      <c s="6" r="O834">
        <v>0</v>
      </c>
      <c t="s" s="6" r="R834">
        <v>6321</v>
      </c>
      <c t="s" s="6" r="S834">
        <v>6322</v>
      </c>
      <c t="s" s="6" r="T834">
        <v>5200</v>
      </c>
      <c t="s" s="6" r="U834">
        <v>6323</v>
      </c>
      <c s="6" r="V834">
        <v>1</v>
      </c>
      <c s="6" r="W834">
        <v>0</v>
      </c>
      <c s="6" r="X834">
        <v>0</v>
      </c>
      <c s="6" r="Y834">
        <v>0</v>
      </c>
      <c s="6" r="Z834">
        <v>0</v>
      </c>
      <c s="6" r="AA834">
        <v>5</v>
      </c>
      <c s="6" r="AB834">
        <v>5</v>
      </c>
      <c s="6" r="AC834">
        <v>4</v>
      </c>
      <c t="s" s="6" r="AD834">
        <v>92</v>
      </c>
      <c t="s" s="6" r="AE834">
        <v>92</v>
      </c>
      <c t="s" s="6" r="AF834">
        <v>92</v>
      </c>
      <c t="s" s="6" r="AG834">
        <v>92</v>
      </c>
      <c s="6" r="AH834">
        <v>5</v>
      </c>
      <c s="6" r="AI834">
        <v>5</v>
      </c>
      <c t="s" s="6" r="AJ834">
        <v>92</v>
      </c>
      <c t="s" s="6" r="AK834">
        <v>92</v>
      </c>
      <c s="6" r="AL834">
        <v>4</v>
      </c>
      <c t="s" s="6" r="AM834">
        <v>92</v>
      </c>
      <c t="s" s="6" r="AN834">
        <v>92</v>
      </c>
      <c s="6" r="AP834">
        <v>5</v>
      </c>
      <c t="s" s="6" r="AR834">
        <v>6324</v>
      </c>
      <c s="6" r="AS834">
        <v>0</v>
      </c>
      <c s="6" r="AT834">
        <v>0</v>
      </c>
      <c s="6" r="AU834">
        <v>0</v>
      </c>
      <c s="6" r="AV834">
        <v>0</v>
      </c>
      <c s="6" r="AW834">
        <v>0</v>
      </c>
      <c s="6" r="AX834">
        <v>0</v>
      </c>
      <c s="6" r="AY834">
        <v>0</v>
      </c>
      <c s="6" r="AZ834">
        <v>0</v>
      </c>
      <c s="6" r="BA834">
        <v>0</v>
      </c>
      <c s="6" r="BB834">
        <v>0</v>
      </c>
      <c s="6" r="BC834">
        <v>0</v>
      </c>
      <c s="6" r="BD834">
        <v>0</v>
      </c>
      <c s="6" r="BE834">
        <v>0</v>
      </c>
      <c s="6" r="BF834">
        <v>0</v>
      </c>
      <c s="6" r="BG834">
        <v>0</v>
      </c>
      <c s="6" r="BH834">
        <v>0</v>
      </c>
      <c s="6" r="BI834">
        <v>0</v>
      </c>
      <c s="6" r="BJ834">
        <v>0</v>
      </c>
      <c s="6" r="BK834">
        <v>0</v>
      </c>
      <c s="6" r="BL834">
        <v>0</v>
      </c>
      <c s="6" r="BM834">
        <v>0</v>
      </c>
      <c s="6" r="BN834">
        <v>0</v>
      </c>
      <c s="6" r="BO834">
        <v>0</v>
      </c>
      <c s="6" r="BP834">
        <v>0</v>
      </c>
      <c s="6" r="BQ834">
        <v>0</v>
      </c>
      <c t="str" s="6" r="BR834">
        <f>HYPERLINK("http://www.d20pfsrd.com/magic/all-spells/p/planar-adaptation","Planar Adaptation")</f>
        <v>Planar Adaptation</v>
      </c>
      <c s="6" r="BS834">
        <v>844</v>
      </c>
      <c t="s" s="6" r="BT834">
        <v>92</v>
      </c>
      <c s="6" r="BY834">
        <v>0</v>
      </c>
    </row>
    <row customHeight="1" r="835" ht="14.25">
      <c t="s" s="6" r="A835">
        <v>6325</v>
      </c>
      <c t="s" s="6" r="B835">
        <v>131</v>
      </c>
      <c t="s" s="6" r="E835">
        <v>6326</v>
      </c>
      <c t="s" s="6" r="F835">
        <v>81</v>
      </c>
      <c t="s" s="6" r="G835">
        <v>106</v>
      </c>
      <c s="6" r="H835">
        <v>0</v>
      </c>
      <c t="s" s="6" r="I835">
        <v>107</v>
      </c>
      <c t="s" s="6" r="L835">
        <v>620</v>
      </c>
      <c t="s" s="6" r="M835">
        <v>711</v>
      </c>
      <c s="6" r="N835">
        <v>1</v>
      </c>
      <c s="6" r="O835">
        <v>0</v>
      </c>
      <c t="s" s="6" r="P835">
        <v>421</v>
      </c>
      <c t="s" s="6" r="Q835">
        <v>123</v>
      </c>
      <c t="s" s="6" r="R835">
        <v>6327</v>
      </c>
      <c t="s" s="6" r="S835">
        <v>6328</v>
      </c>
      <c t="s" s="6" r="T835">
        <v>5200</v>
      </c>
      <c t="s" s="6" r="U835">
        <v>6329</v>
      </c>
      <c s="6" r="V835">
        <v>1</v>
      </c>
      <c s="6" r="W835">
        <v>1</v>
      </c>
      <c s="6" r="X835">
        <v>0</v>
      </c>
      <c s="6" r="Y835">
        <v>0</v>
      </c>
      <c s="6" r="Z835">
        <v>0</v>
      </c>
      <c s="6" r="AA835">
        <v>7</v>
      </c>
      <c s="6" r="AB835">
        <v>7</v>
      </c>
      <c s="6" r="AC835">
        <v>6</v>
      </c>
      <c t="s" s="6" r="AD835">
        <v>92</v>
      </c>
      <c t="s" s="6" r="AE835">
        <v>92</v>
      </c>
      <c t="s" s="6" r="AF835">
        <v>92</v>
      </c>
      <c t="s" s="6" r="AG835">
        <v>92</v>
      </c>
      <c t="s" s="6" r="AH835">
        <v>92</v>
      </c>
      <c s="6" r="AI835">
        <v>6</v>
      </c>
      <c t="s" s="6" r="AJ835">
        <v>92</v>
      </c>
      <c t="s" s="6" r="AK835">
        <v>92</v>
      </c>
      <c s="6" r="AL835">
        <v>6</v>
      </c>
      <c t="s" s="6" r="AM835">
        <v>92</v>
      </c>
      <c t="s" s="6" r="AN835">
        <v>92</v>
      </c>
      <c s="6" r="AP835">
        <v>7</v>
      </c>
      <c t="s" s="6" r="AR835">
        <v>6330</v>
      </c>
      <c s="6" r="AS835">
        <v>0</v>
      </c>
      <c s="6" r="AT835">
        <v>0</v>
      </c>
      <c s="6" r="AU835">
        <v>0</v>
      </c>
      <c s="6" r="AV835">
        <v>0</v>
      </c>
      <c s="6" r="AW835">
        <v>0</v>
      </c>
      <c s="6" r="AX835">
        <v>0</v>
      </c>
      <c s="6" r="AY835">
        <v>0</v>
      </c>
      <c s="6" r="AZ835">
        <v>0</v>
      </c>
      <c s="6" r="BA835">
        <v>0</v>
      </c>
      <c s="6" r="BB835">
        <v>0</v>
      </c>
      <c s="6" r="BC835">
        <v>0</v>
      </c>
      <c s="6" r="BD835">
        <v>0</v>
      </c>
      <c s="6" r="BE835">
        <v>0</v>
      </c>
      <c s="6" r="BF835">
        <v>0</v>
      </c>
      <c s="6" r="BG835">
        <v>0</v>
      </c>
      <c s="6" r="BH835">
        <v>0</v>
      </c>
      <c s="6" r="BI835">
        <v>0</v>
      </c>
      <c s="6" r="BJ835">
        <v>0</v>
      </c>
      <c s="6" r="BK835">
        <v>0</v>
      </c>
      <c s="6" r="BL835">
        <v>0</v>
      </c>
      <c s="6" r="BM835">
        <v>0</v>
      </c>
      <c s="6" r="BN835">
        <v>0</v>
      </c>
      <c s="6" r="BO835">
        <v>0</v>
      </c>
      <c s="6" r="BP835">
        <v>0</v>
      </c>
      <c s="6" r="BQ835">
        <v>0</v>
      </c>
      <c t="str" s="6" r="BR835">
        <f>HYPERLINK("http://www.d20pfsrd.com/magic/all-spells/p/planar-adaptation&lt;-mass","Planar Adaptation&lt; Mass")</f>
        <v>Planar Adaptation&lt; Mass</v>
      </c>
      <c s="6" r="BS835">
        <v>845</v>
      </c>
      <c t="s" s="6" r="BT835">
        <v>92</v>
      </c>
      <c s="6" r="BY835">
        <v>0</v>
      </c>
    </row>
    <row customHeight="1" r="836" ht="14.25">
      <c t="s" s="6" r="A836">
        <v>6331</v>
      </c>
      <c t="s" s="6" r="B836">
        <v>227</v>
      </c>
      <c t="s" s="6" r="E836">
        <v>5833</v>
      </c>
      <c t="s" s="6" r="F836">
        <v>81</v>
      </c>
      <c t="s" s="6" r="G836">
        <v>6332</v>
      </c>
      <c s="6" r="H836">
        <v>0</v>
      </c>
      <c t="s" s="6" r="I836">
        <v>107</v>
      </c>
      <c t="s" s="6" r="L836">
        <v>1235</v>
      </c>
      <c t="s" s="6" r="M836">
        <v>2718</v>
      </c>
      <c s="6" r="N836">
        <v>0</v>
      </c>
      <c s="6" r="O836">
        <v>0</v>
      </c>
      <c t="s" s="6" r="P836">
        <v>187</v>
      </c>
      <c t="s" s="6" r="Q836">
        <v>188</v>
      </c>
      <c t="s" s="6" r="R836">
        <v>6333</v>
      </c>
      <c t="s" s="6" r="S836">
        <v>6334</v>
      </c>
      <c t="s" s="6" r="T836">
        <v>5200</v>
      </c>
      <c t="s" s="6" r="U836">
        <v>6335</v>
      </c>
      <c s="6" r="V836">
        <v>1</v>
      </c>
      <c s="6" r="W836">
        <v>1</v>
      </c>
      <c s="6" r="X836">
        <v>1</v>
      </c>
      <c s="6" r="Y836">
        <v>0</v>
      </c>
      <c s="6" r="Z836">
        <v>0</v>
      </c>
      <c t="s" s="6" r="AA836">
        <v>92</v>
      </c>
      <c t="s" s="6" r="AB836">
        <v>92</v>
      </c>
      <c t="s" s="6" r="AC836">
        <v>92</v>
      </c>
      <c s="6" r="AD836">
        <v>2</v>
      </c>
      <c t="s" s="6" r="AE836">
        <v>92</v>
      </c>
      <c t="s" s="6" r="AF836">
        <v>92</v>
      </c>
      <c t="s" s="6" r="AG836">
        <v>92</v>
      </c>
      <c t="s" s="6" r="AH836">
        <v>92</v>
      </c>
      <c t="s" s="6" r="AI836">
        <v>92</v>
      </c>
      <c s="6" r="AJ836">
        <v>2</v>
      </c>
      <c t="s" s="6" r="AK836">
        <v>92</v>
      </c>
      <c t="s" s="6" r="AL836">
        <v>92</v>
      </c>
      <c t="s" s="6" r="AM836">
        <v>92</v>
      </c>
      <c t="s" s="6" r="AN836">
        <v>92</v>
      </c>
      <c s="6" r="AP836">
        <v>2</v>
      </c>
      <c t="s" s="6" r="AR836">
        <v>6336</v>
      </c>
      <c s="6" r="AS836">
        <v>0</v>
      </c>
      <c s="6" r="AT836">
        <v>0</v>
      </c>
      <c s="6" r="AU836">
        <v>0</v>
      </c>
      <c s="6" r="AV836">
        <v>0</v>
      </c>
      <c s="6" r="AW836">
        <v>0</v>
      </c>
      <c s="6" r="AX836">
        <v>0</v>
      </c>
      <c s="6" r="AY836">
        <v>0</v>
      </c>
      <c s="6" r="AZ836">
        <v>0</v>
      </c>
      <c s="6" r="BA836">
        <v>0</v>
      </c>
      <c s="6" r="BB836">
        <v>0</v>
      </c>
      <c s="6" r="BC836">
        <v>0</v>
      </c>
      <c s="6" r="BD836">
        <v>0</v>
      </c>
      <c s="6" r="BE836">
        <v>0</v>
      </c>
      <c s="6" r="BF836">
        <v>0</v>
      </c>
      <c s="6" r="BG836">
        <v>0</v>
      </c>
      <c s="6" r="BH836">
        <v>0</v>
      </c>
      <c s="6" r="BI836">
        <v>0</v>
      </c>
      <c s="6" r="BJ836">
        <v>0</v>
      </c>
      <c s="6" r="BK836">
        <v>0</v>
      </c>
      <c s="6" r="BL836">
        <v>0</v>
      </c>
      <c s="6" r="BM836">
        <v>0</v>
      </c>
      <c s="6" r="BN836">
        <v>0</v>
      </c>
      <c s="6" r="BO836">
        <v>0</v>
      </c>
      <c s="6" r="BP836">
        <v>0</v>
      </c>
      <c s="6" r="BQ836">
        <v>0</v>
      </c>
      <c t="str" s="6" r="BR836">
        <f>HYPERLINK("http://www.d20pfsrd.com/magic/all-spells/p/pox-pustules","Pox Pustules")</f>
        <v>Pox Pustules</v>
      </c>
      <c s="6" r="BS836">
        <v>846</v>
      </c>
      <c t="s" s="6" r="BT836">
        <v>92</v>
      </c>
      <c t="s" s="6" r="BW836">
        <v>6337</v>
      </c>
      <c s="6" r="BY836">
        <v>1</v>
      </c>
    </row>
    <row customHeight="1" r="837" ht="14.25">
      <c t="s" s="6" r="A837">
        <v>6338</v>
      </c>
      <c t="s" s="6" r="B837">
        <v>78</v>
      </c>
      <c t="s" s="6" r="C837">
        <v>79</v>
      </c>
      <c t="s" s="6" r="E837">
        <v>5226</v>
      </c>
      <c t="s" s="6" r="F837">
        <v>81</v>
      </c>
      <c t="s" s="6" r="G837">
        <v>119</v>
      </c>
      <c s="6" r="H837">
        <v>0</v>
      </c>
      <c t="s" s="6" r="I837">
        <v>155</v>
      </c>
      <c t="s" s="6" r="L837">
        <v>156</v>
      </c>
      <c t="s" s="6" r="M837">
        <v>99</v>
      </c>
      <c s="6" r="N837">
        <v>0</v>
      </c>
      <c s="6" r="O837">
        <v>0</v>
      </c>
      <c t="s" s="6" r="R837">
        <v>6339</v>
      </c>
      <c t="s" s="6" r="S837">
        <v>6340</v>
      </c>
      <c t="s" s="6" r="T837">
        <v>5200</v>
      </c>
      <c t="s" s="6" r="U837">
        <v>6341</v>
      </c>
      <c s="6" r="V837">
        <v>1</v>
      </c>
      <c s="6" r="W837">
        <v>1</v>
      </c>
      <c s="6" r="X837">
        <v>0</v>
      </c>
      <c s="6" r="Y837">
        <v>0</v>
      </c>
      <c s="6" r="Z837">
        <v>1</v>
      </c>
      <c t="s" s="6" r="AA837">
        <v>92</v>
      </c>
      <c t="s" s="6" r="AB837">
        <v>92</v>
      </c>
      <c t="s" s="6" r="AC837">
        <v>92</v>
      </c>
      <c t="s" s="6" r="AD837">
        <v>92</v>
      </c>
      <c s="6" r="AE837">
        <v>2</v>
      </c>
      <c t="s" s="6" r="AF837">
        <v>92</v>
      </c>
      <c t="s" s="6" r="AG837">
        <v>92</v>
      </c>
      <c t="s" s="6" r="AH837">
        <v>92</v>
      </c>
      <c t="s" s="6" r="AI837">
        <v>92</v>
      </c>
      <c t="s" s="6" r="AJ837">
        <v>92</v>
      </c>
      <c t="s" s="6" r="AK837">
        <v>92</v>
      </c>
      <c t="s" s="6" r="AL837">
        <v>92</v>
      </c>
      <c t="s" s="6" r="AM837">
        <v>92</v>
      </c>
      <c t="s" s="6" r="AN837">
        <v>92</v>
      </c>
      <c s="6" r="AP837">
        <v>2</v>
      </c>
      <c t="s" s="6" r="AR837">
        <v>6342</v>
      </c>
      <c s="6" r="AS837">
        <v>0</v>
      </c>
      <c s="6" r="AT837">
        <v>0</v>
      </c>
      <c s="6" r="AU837">
        <v>0</v>
      </c>
      <c s="6" r="AV837">
        <v>0</v>
      </c>
      <c s="6" r="AW837">
        <v>0</v>
      </c>
      <c s="6" r="AX837">
        <v>0</v>
      </c>
      <c s="6" r="AY837">
        <v>0</v>
      </c>
      <c s="6" r="AZ837">
        <v>0</v>
      </c>
      <c s="6" r="BA837">
        <v>0</v>
      </c>
      <c s="6" r="BB837">
        <v>0</v>
      </c>
      <c s="6" r="BC837">
        <v>0</v>
      </c>
      <c s="6" r="BD837">
        <v>0</v>
      </c>
      <c s="6" r="BE837">
        <v>0</v>
      </c>
      <c s="6" r="BF837">
        <v>0</v>
      </c>
      <c s="6" r="BG837">
        <v>0</v>
      </c>
      <c s="6" r="BH837">
        <v>0</v>
      </c>
      <c s="6" r="BI837">
        <v>0</v>
      </c>
      <c s="6" r="BJ837">
        <v>0</v>
      </c>
      <c s="6" r="BK837">
        <v>0</v>
      </c>
      <c s="6" r="BL837">
        <v>0</v>
      </c>
      <c s="6" r="BM837">
        <v>0</v>
      </c>
      <c s="6" r="BN837">
        <v>0</v>
      </c>
      <c s="6" r="BO837">
        <v>0</v>
      </c>
      <c s="6" r="BP837">
        <v>0</v>
      </c>
      <c s="6" r="BQ837">
        <v>0</v>
      </c>
      <c t="str" s="6" r="BR837">
        <f>HYPERLINK("http://www.d20pfsrd.com/magic/all-spells/p/protective-spirit","Protective Spirit")</f>
        <v>Protective Spirit</v>
      </c>
      <c s="6" r="BS837">
        <v>847</v>
      </c>
      <c t="s" s="6" r="BT837">
        <v>92</v>
      </c>
      <c s="6" r="BY837">
        <v>0</v>
      </c>
    </row>
    <row customHeight="1" r="838" ht="14.25">
      <c t="s" s="6" r="A838">
        <v>6343</v>
      </c>
      <c t="s" s="6" r="B838">
        <v>78</v>
      </c>
      <c t="s" s="6" r="C838">
        <v>598</v>
      </c>
      <c t="s" s="6" r="E838">
        <v>2085</v>
      </c>
      <c t="s" s="6" r="F838">
        <v>81</v>
      </c>
      <c t="s" s="6" r="G838">
        <v>106</v>
      </c>
      <c s="6" r="H838">
        <v>0</v>
      </c>
      <c t="s" s="6" r="I838">
        <v>107</v>
      </c>
      <c t="s" s="6" r="L838">
        <v>473</v>
      </c>
      <c t="s" s="6" r="M838">
        <v>109</v>
      </c>
      <c s="6" r="N838">
        <v>0</v>
      </c>
      <c s="6" r="O838">
        <v>0</v>
      </c>
      <c t="s" s="6" r="P838">
        <v>421</v>
      </c>
      <c t="s" s="6" r="Q838">
        <v>123</v>
      </c>
      <c t="s" s="6" r="R838">
        <v>6344</v>
      </c>
      <c t="s" s="6" r="S838">
        <v>6345</v>
      </c>
      <c t="s" s="6" r="T838">
        <v>5200</v>
      </c>
      <c t="s" s="6" r="U838">
        <v>6346</v>
      </c>
      <c s="6" r="V838">
        <v>1</v>
      </c>
      <c s="6" r="W838">
        <v>1</v>
      </c>
      <c s="6" r="X838">
        <v>0</v>
      </c>
      <c s="6" r="Y838">
        <v>0</v>
      </c>
      <c s="6" r="Z838">
        <v>0</v>
      </c>
      <c t="s" s="6" r="AA838">
        <v>92</v>
      </c>
      <c t="s" s="6" r="AB838">
        <v>92</v>
      </c>
      <c t="s" s="6" r="AC838">
        <v>92</v>
      </c>
      <c t="s" s="6" r="AD838">
        <v>92</v>
      </c>
      <c t="s" s="6" r="AE838">
        <v>92</v>
      </c>
      <c s="6" r="AF838">
        <v>3</v>
      </c>
      <c t="s" s="6" r="AG838">
        <v>92</v>
      </c>
      <c t="s" s="6" r="AH838">
        <v>92</v>
      </c>
      <c t="s" s="6" r="AI838">
        <v>92</v>
      </c>
      <c t="s" s="6" r="AJ838">
        <v>92</v>
      </c>
      <c t="s" s="6" r="AK838">
        <v>92</v>
      </c>
      <c t="s" s="6" r="AL838">
        <v>92</v>
      </c>
      <c t="s" s="6" r="AM838">
        <v>92</v>
      </c>
      <c t="s" s="6" r="AN838">
        <v>92</v>
      </c>
      <c s="6" r="AP838">
        <v>3</v>
      </c>
      <c t="s" s="6" r="AR838">
        <v>6347</v>
      </c>
      <c s="6" r="AS838">
        <v>0</v>
      </c>
      <c s="6" r="AT838">
        <v>0</v>
      </c>
      <c s="6" r="AU838">
        <v>0</v>
      </c>
      <c s="6" r="AV838">
        <v>0</v>
      </c>
      <c s="6" r="AW838">
        <v>0</v>
      </c>
      <c s="6" r="AX838">
        <v>0</v>
      </c>
      <c s="6" r="AY838">
        <v>0</v>
      </c>
      <c s="6" r="AZ838">
        <v>0</v>
      </c>
      <c s="6" r="BA838">
        <v>0</v>
      </c>
      <c s="6" r="BB838">
        <v>0</v>
      </c>
      <c s="6" r="BC838">
        <v>0</v>
      </c>
      <c s="6" r="BD838">
        <v>0</v>
      </c>
      <c s="6" r="BE838">
        <v>0</v>
      </c>
      <c s="6" r="BF838">
        <v>0</v>
      </c>
      <c s="6" r="BG838">
        <v>0</v>
      </c>
      <c s="6" r="BH838">
        <v>0</v>
      </c>
      <c s="6" r="BI838">
        <v>0</v>
      </c>
      <c s="6" r="BJ838">
        <v>0</v>
      </c>
      <c s="6" r="BK838">
        <v>0</v>
      </c>
      <c s="6" r="BL838">
        <v>0</v>
      </c>
      <c s="6" r="BM838">
        <v>0</v>
      </c>
      <c s="6" r="BN838">
        <v>0</v>
      </c>
      <c s="6" r="BO838">
        <v>0</v>
      </c>
      <c s="6" r="BP838">
        <v>0</v>
      </c>
      <c s="6" r="BQ838">
        <v>0</v>
      </c>
      <c t="str" s="6" r="BR838">
        <f>HYPERLINK("http://www.d20pfsrd.com/magic/all-spells/p/purging-finale","Purging Finale")</f>
        <v>Purging Finale</v>
      </c>
      <c s="6" r="BS838">
        <v>848</v>
      </c>
      <c t="s" s="6" r="BT838">
        <v>92</v>
      </c>
      <c s="6" r="BY838">
        <v>0</v>
      </c>
    </row>
    <row customHeight="1" r="839" ht="14.25">
      <c t="s" s="6" r="A839">
        <v>6348</v>
      </c>
      <c t="s" s="6" r="B839">
        <v>78</v>
      </c>
      <c t="s" s="6" r="C839">
        <v>598</v>
      </c>
      <c t="s" s="6" r="E839">
        <v>5814</v>
      </c>
      <c t="s" s="6" r="F839">
        <v>81</v>
      </c>
      <c t="s" s="6" r="G839">
        <v>6349</v>
      </c>
      <c s="6" r="H839">
        <v>0</v>
      </c>
      <c t="s" s="6" r="I839">
        <v>155</v>
      </c>
      <c t="s" s="6" r="L839">
        <v>156</v>
      </c>
      <c t="s" s="6" r="M839">
        <v>197</v>
      </c>
      <c s="6" r="N839">
        <v>0</v>
      </c>
      <c s="6" r="O839">
        <v>0</v>
      </c>
      <c t="s" s="6" r="R839">
        <v>6350</v>
      </c>
      <c t="s" s="6" r="S839">
        <v>6351</v>
      </c>
      <c t="s" s="6" r="T839">
        <v>5200</v>
      </c>
      <c t="s" s="6" r="U839">
        <v>6352</v>
      </c>
      <c s="6" r="V839">
        <v>1</v>
      </c>
      <c s="6" r="W839">
        <v>1</v>
      </c>
      <c s="6" r="X839">
        <v>1</v>
      </c>
      <c s="6" r="Y839">
        <v>0</v>
      </c>
      <c s="6" r="Z839">
        <v>0</v>
      </c>
      <c t="s" s="6" r="AA839">
        <v>92</v>
      </c>
      <c t="s" s="6" r="AB839">
        <v>92</v>
      </c>
      <c t="s" s="6" r="AC839">
        <v>92</v>
      </c>
      <c t="s" s="6" r="AD839">
        <v>92</v>
      </c>
      <c t="s" s="6" r="AE839">
        <v>92</v>
      </c>
      <c t="s" s="6" r="AF839">
        <v>92</v>
      </c>
      <c t="s" s="6" r="AG839">
        <v>92</v>
      </c>
      <c t="s" s="6" r="AH839">
        <v>92</v>
      </c>
      <c s="6" r="AI839">
        <v>4</v>
      </c>
      <c t="s" s="6" r="AJ839">
        <v>92</v>
      </c>
      <c t="s" s="6" r="AK839">
        <v>92</v>
      </c>
      <c t="s" s="6" r="AL839">
        <v>92</v>
      </c>
      <c t="s" s="6" r="AM839">
        <v>92</v>
      </c>
      <c t="s" s="6" r="AN839">
        <v>92</v>
      </c>
      <c s="6" r="AP839">
        <v>4</v>
      </c>
      <c t="s" s="6" r="AR839">
        <v>6353</v>
      </c>
      <c s="6" r="AS839">
        <v>0</v>
      </c>
      <c s="6" r="AT839">
        <v>0</v>
      </c>
      <c s="6" r="AU839">
        <v>0</v>
      </c>
      <c s="6" r="AV839">
        <v>0</v>
      </c>
      <c s="6" r="AW839">
        <v>0</v>
      </c>
      <c s="6" r="AX839">
        <v>0</v>
      </c>
      <c s="6" r="AY839">
        <v>0</v>
      </c>
      <c s="6" r="AZ839">
        <v>0</v>
      </c>
      <c s="6" r="BA839">
        <v>0</v>
      </c>
      <c s="6" r="BB839">
        <v>0</v>
      </c>
      <c s="6" r="BC839">
        <v>0</v>
      </c>
      <c s="6" r="BD839">
        <v>0</v>
      </c>
      <c s="6" r="BE839">
        <v>0</v>
      </c>
      <c s="6" r="BF839">
        <v>0</v>
      </c>
      <c s="6" r="BG839">
        <v>0</v>
      </c>
      <c s="6" r="BH839">
        <v>0</v>
      </c>
      <c s="6" r="BI839">
        <v>0</v>
      </c>
      <c s="6" r="BJ839">
        <v>0</v>
      </c>
      <c s="6" r="BK839">
        <v>0</v>
      </c>
      <c s="6" r="BL839">
        <v>0</v>
      </c>
      <c s="6" r="BM839">
        <v>0</v>
      </c>
      <c s="6" r="BN839">
        <v>0</v>
      </c>
      <c s="6" r="BO839">
        <v>0</v>
      </c>
      <c s="6" r="BP839">
        <v>0</v>
      </c>
      <c s="6" r="BQ839">
        <v>0</v>
      </c>
      <c t="str" s="6" r="BR839">
        <f>HYPERLINK("http://www.d20pfsrd.com/magic/all-spells/p/purified-calling","Purified Calling")</f>
        <v>Purified Calling</v>
      </c>
      <c s="6" r="BS839">
        <v>849</v>
      </c>
      <c t="s" s="6" r="BT839">
        <v>92</v>
      </c>
      <c s="6" r="BY839">
        <v>0</v>
      </c>
    </row>
    <row customHeight="1" r="840" ht="14.25">
      <c t="s" s="6" r="A840">
        <v>6354</v>
      </c>
      <c t="s" s="6" r="B840">
        <v>131</v>
      </c>
      <c t="s" s="6" r="D840">
        <v>65</v>
      </c>
      <c t="s" s="6" r="E840">
        <v>6355</v>
      </c>
      <c t="s" s="6" r="F840">
        <v>81</v>
      </c>
      <c t="s" s="6" r="G840">
        <v>106</v>
      </c>
      <c s="6" r="H840">
        <v>0</v>
      </c>
      <c t="s" s="6" r="I840">
        <v>273</v>
      </c>
      <c t="s" s="6" r="L840">
        <v>6356</v>
      </c>
      <c t="s" s="6" r="M840">
        <v>109</v>
      </c>
      <c s="6" r="N840">
        <v>0</v>
      </c>
      <c s="6" r="O840">
        <v>0</v>
      </c>
      <c t="s" s="6" r="P840">
        <v>535</v>
      </c>
      <c t="s" s="6" r="Q840">
        <v>536</v>
      </c>
      <c t="s" s="6" r="R840">
        <v>6357</v>
      </c>
      <c t="s" s="6" r="S840">
        <v>6358</v>
      </c>
      <c t="s" s="6" r="T840">
        <v>5200</v>
      </c>
      <c t="s" s="6" r="U840">
        <v>6359</v>
      </c>
      <c s="6" r="V840">
        <v>1</v>
      </c>
      <c s="6" r="W840">
        <v>1</v>
      </c>
      <c s="6" r="X840">
        <v>0</v>
      </c>
      <c s="6" r="Y840">
        <v>0</v>
      </c>
      <c s="6" r="Z840">
        <v>0</v>
      </c>
      <c t="s" s="6" r="AA840">
        <v>92</v>
      </c>
      <c t="s" s="6" r="AB840">
        <v>92</v>
      </c>
      <c t="s" s="6" r="AC840">
        <v>92</v>
      </c>
      <c t="s" s="6" r="AD840">
        <v>92</v>
      </c>
      <c t="s" s="6" r="AE840">
        <v>92</v>
      </c>
      <c t="s" s="6" r="AF840">
        <v>92</v>
      </c>
      <c t="s" s="6" r="AG840">
        <v>92</v>
      </c>
      <c t="s" s="6" r="AH840">
        <v>92</v>
      </c>
      <c t="s" s="6" r="AI840">
        <v>92</v>
      </c>
      <c s="6" r="AJ840">
        <v>0</v>
      </c>
      <c t="s" s="6" r="AK840">
        <v>92</v>
      </c>
      <c t="s" s="6" r="AL840">
        <v>92</v>
      </c>
      <c t="s" s="6" r="AM840">
        <v>92</v>
      </c>
      <c t="s" s="6" r="AN840">
        <v>92</v>
      </c>
      <c s="6" r="AP840">
        <v>0</v>
      </c>
      <c t="s" s="6" r="AR840">
        <v>6360</v>
      </c>
      <c s="6" r="AS840">
        <v>0</v>
      </c>
      <c s="6" r="AT840">
        <v>0</v>
      </c>
      <c s="6" r="AU840">
        <v>0</v>
      </c>
      <c s="6" r="AV840">
        <v>0</v>
      </c>
      <c s="6" r="AW840">
        <v>0</v>
      </c>
      <c s="6" r="AX840">
        <v>0</v>
      </c>
      <c s="6" r="AY840">
        <v>0</v>
      </c>
      <c s="6" r="AZ840">
        <v>0</v>
      </c>
      <c s="6" r="BA840">
        <v>0</v>
      </c>
      <c s="6" r="BB840">
        <v>0</v>
      </c>
      <c s="6" r="BC840">
        <v>0</v>
      </c>
      <c s="6" r="BD840">
        <v>0</v>
      </c>
      <c s="6" r="BE840">
        <v>0</v>
      </c>
      <c s="6" r="BF840">
        <v>0</v>
      </c>
      <c s="6" r="BG840">
        <v>0</v>
      </c>
      <c s="6" r="BH840">
        <v>0</v>
      </c>
      <c s="6" r="BI840">
        <v>0</v>
      </c>
      <c s="6" r="BJ840">
        <v>0</v>
      </c>
      <c s="6" r="BK840">
        <v>0</v>
      </c>
      <c s="6" r="BL840">
        <v>0</v>
      </c>
      <c s="6" r="BM840">
        <v>0</v>
      </c>
      <c s="6" r="BN840">
        <v>1</v>
      </c>
      <c s="6" r="BO840">
        <v>0</v>
      </c>
      <c s="6" r="BP840">
        <v>0</v>
      </c>
      <c s="6" r="BQ840">
        <v>0</v>
      </c>
      <c t="str" s="6" r="BR840">
        <f>HYPERLINK("http://www.d20pfsrd.com/magic/all-spells/p/putrefy-food-and-drink","Putrefy Food and Drink")</f>
        <v>Putrefy Food and Drink</v>
      </c>
      <c s="6" r="BS840">
        <v>850</v>
      </c>
      <c t="s" s="6" r="BT840">
        <v>92</v>
      </c>
      <c s="6" r="BY840">
        <v>0</v>
      </c>
    </row>
    <row customHeight="1" r="841" ht="14.25">
      <c t="s" s="6" r="A841">
        <v>6361</v>
      </c>
      <c t="s" s="6" r="B841">
        <v>115</v>
      </c>
      <c t="s" s="6" r="C841">
        <v>116</v>
      </c>
      <c t="s" s="6" r="D841">
        <v>6362</v>
      </c>
      <c t="s" s="6" r="E841">
        <v>544</v>
      </c>
      <c t="s" s="6" r="F841">
        <v>81</v>
      </c>
      <c t="s" s="6" r="G841">
        <v>119</v>
      </c>
      <c s="6" r="H841">
        <v>0</v>
      </c>
      <c t="s" s="6" r="I841">
        <v>4920</v>
      </c>
      <c t="s" s="6" r="J841">
        <v>6363</v>
      </c>
      <c t="s" s="6" r="M841">
        <v>5513</v>
      </c>
      <c s="6" r="N841">
        <v>1</v>
      </c>
      <c s="6" r="O841">
        <v>0</v>
      </c>
      <c t="s" s="6" r="P841">
        <v>421</v>
      </c>
      <c t="s" s="6" r="Q841">
        <v>123</v>
      </c>
      <c t="s" s="6" r="R841">
        <v>6364</v>
      </c>
      <c t="s" s="6" r="S841">
        <v>6365</v>
      </c>
      <c t="s" s="6" r="T841">
        <v>5200</v>
      </c>
      <c t="s" s="6" r="U841">
        <v>6366</v>
      </c>
      <c s="6" r="V841">
        <v>1</v>
      </c>
      <c s="6" r="W841">
        <v>1</v>
      </c>
      <c s="6" r="X841">
        <v>0</v>
      </c>
      <c s="6" r="Y841">
        <v>0</v>
      </c>
      <c s="6" r="Z841">
        <v>1</v>
      </c>
      <c t="s" s="6" r="AA841">
        <v>92</v>
      </c>
      <c t="s" s="6" r="AB841">
        <v>92</v>
      </c>
      <c t="s" s="6" r="AC841">
        <v>92</v>
      </c>
      <c t="s" s="6" r="AD841">
        <v>92</v>
      </c>
      <c t="s" s="6" r="AE841">
        <v>92</v>
      </c>
      <c t="s" s="6" r="AF841">
        <v>92</v>
      </c>
      <c s="6" r="AG841">
        <v>1</v>
      </c>
      <c t="s" s="6" r="AH841">
        <v>92</v>
      </c>
      <c t="s" s="6" r="AI841">
        <v>92</v>
      </c>
      <c t="s" s="6" r="AJ841">
        <v>92</v>
      </c>
      <c t="s" s="6" r="AK841">
        <v>92</v>
      </c>
      <c t="s" s="6" r="AL841">
        <v>92</v>
      </c>
      <c t="s" s="6" r="AM841">
        <v>92</v>
      </c>
      <c t="s" s="6" r="AN841">
        <v>92</v>
      </c>
      <c s="6" r="AP841">
        <v>1</v>
      </c>
      <c t="s" s="6" r="AR841">
        <v>6367</v>
      </c>
      <c s="6" r="AS841">
        <v>0</v>
      </c>
      <c s="6" r="AT841">
        <v>0</v>
      </c>
      <c s="6" r="AU841">
        <v>0</v>
      </c>
      <c s="6" r="AV841">
        <v>0</v>
      </c>
      <c s="6" r="AW841">
        <v>0</v>
      </c>
      <c s="6" r="AX841">
        <v>0</v>
      </c>
      <c s="6" r="AY841">
        <v>0</v>
      </c>
      <c s="6" r="AZ841">
        <v>0</v>
      </c>
      <c s="6" r="BA841">
        <v>0</v>
      </c>
      <c s="6" r="BB841">
        <v>0</v>
      </c>
      <c s="6" r="BC841">
        <v>1</v>
      </c>
      <c s="6" r="BD841">
        <v>0</v>
      </c>
      <c s="6" r="BE841">
        <v>0</v>
      </c>
      <c s="6" r="BF841">
        <v>0</v>
      </c>
      <c s="6" r="BG841">
        <v>0</v>
      </c>
      <c s="6" r="BH841">
        <v>1</v>
      </c>
      <c s="6" r="BI841">
        <v>0</v>
      </c>
      <c s="6" r="BJ841">
        <v>0</v>
      </c>
      <c s="6" r="BK841">
        <v>0</v>
      </c>
      <c s="6" r="BL841">
        <v>1</v>
      </c>
      <c s="6" r="BM841">
        <v>0</v>
      </c>
      <c s="6" r="BN841">
        <v>0</v>
      </c>
      <c s="6" r="BO841">
        <v>0</v>
      </c>
      <c s="6" r="BP841">
        <v>0</v>
      </c>
      <c s="6" r="BQ841">
        <v>0</v>
      </c>
      <c t="str" s="6" r="BR841">
        <f>HYPERLINK("http://www.d20pfsrd.com/magic/all-spells/r/rally-point","Rally Point")</f>
        <v>Rally Point</v>
      </c>
      <c s="6" r="BS841">
        <v>851</v>
      </c>
      <c t="s" s="6" r="BT841">
        <v>92</v>
      </c>
      <c s="6" r="BY841">
        <v>0</v>
      </c>
    </row>
    <row customHeight="1" r="842" ht="14.25">
      <c t="s" s="6" r="A842">
        <v>6368</v>
      </c>
      <c t="s" s="6" r="B842">
        <v>493</v>
      </c>
      <c t="s" s="6" r="D842">
        <v>67</v>
      </c>
      <c t="s" s="6" r="E842">
        <v>5410</v>
      </c>
      <c t="s" s="6" r="F842">
        <v>81</v>
      </c>
      <c t="s" s="6" r="G842">
        <v>119</v>
      </c>
      <c s="6" r="H842">
        <v>0</v>
      </c>
      <c t="s" s="6" r="I842">
        <v>804</v>
      </c>
      <c t="s" s="6" r="J842">
        <v>6369</v>
      </c>
      <c t="s" s="6" r="M842">
        <v>109</v>
      </c>
      <c s="6" r="N842">
        <v>0</v>
      </c>
      <c s="6" r="O842">
        <v>0</v>
      </c>
      <c t="s" s="6" r="P842">
        <v>1254</v>
      </c>
      <c t="s" s="6" r="Q842">
        <v>188</v>
      </c>
      <c t="s" s="6" r="R842">
        <v>6370</v>
      </c>
      <c t="s" s="6" r="S842">
        <v>6371</v>
      </c>
      <c t="s" s="6" r="T842">
        <v>5200</v>
      </c>
      <c t="s" s="6" r="U842">
        <v>6372</v>
      </c>
      <c s="6" r="V842">
        <v>1</v>
      </c>
      <c s="6" r="W842">
        <v>1</v>
      </c>
      <c s="6" r="X842">
        <v>0</v>
      </c>
      <c s="6" r="Y842">
        <v>0</v>
      </c>
      <c s="6" r="Z842">
        <v>1</v>
      </c>
      <c t="s" s="6" r="AA842">
        <v>92</v>
      </c>
      <c t="s" s="6" r="AB842">
        <v>92</v>
      </c>
      <c t="s" s="6" r="AC842">
        <v>92</v>
      </c>
      <c t="s" s="6" r="AD842">
        <v>92</v>
      </c>
      <c t="s" s="6" r="AE842">
        <v>92</v>
      </c>
      <c t="s" s="6" r="AF842">
        <v>92</v>
      </c>
      <c t="s" s="6" r="AG842">
        <v>92</v>
      </c>
      <c t="s" s="6" r="AH842">
        <v>92</v>
      </c>
      <c t="s" s="6" r="AI842">
        <v>92</v>
      </c>
      <c t="s" s="6" r="AJ842">
        <v>92</v>
      </c>
      <c s="6" r="AK842">
        <v>4</v>
      </c>
      <c t="s" s="6" r="AL842">
        <v>92</v>
      </c>
      <c t="s" s="6" r="AM842">
        <v>92</v>
      </c>
      <c t="s" s="6" r="AN842">
        <v>92</v>
      </c>
      <c s="6" r="AP842">
        <v>4</v>
      </c>
      <c t="s" s="6" r="AR842">
        <v>6373</v>
      </c>
      <c s="6" r="AS842">
        <v>0</v>
      </c>
      <c s="6" r="AT842">
        <v>0</v>
      </c>
      <c s="6" r="AU842">
        <v>0</v>
      </c>
      <c s="6" r="AV842">
        <v>0</v>
      </c>
      <c s="6" r="AW842">
        <v>0</v>
      </c>
      <c s="6" r="AX842">
        <v>0</v>
      </c>
      <c s="6" r="AY842">
        <v>0</v>
      </c>
      <c s="6" r="AZ842">
        <v>0</v>
      </c>
      <c s="6" r="BA842">
        <v>0</v>
      </c>
      <c s="6" r="BB842">
        <v>0</v>
      </c>
      <c s="6" r="BC842">
        <v>0</v>
      </c>
      <c s="6" r="BD842">
        <v>0</v>
      </c>
      <c s="6" r="BE842">
        <v>0</v>
      </c>
      <c s="6" r="BF842">
        <v>0</v>
      </c>
      <c s="6" r="BG842">
        <v>0</v>
      </c>
      <c s="6" r="BH842">
        <v>0</v>
      </c>
      <c s="6" r="BI842">
        <v>0</v>
      </c>
      <c s="6" r="BJ842">
        <v>0</v>
      </c>
      <c s="6" r="BK842">
        <v>0</v>
      </c>
      <c s="6" r="BL842">
        <v>0</v>
      </c>
      <c s="6" r="BM842">
        <v>0</v>
      </c>
      <c s="6" r="BN842">
        <v>0</v>
      </c>
      <c s="6" r="BO842">
        <v>0</v>
      </c>
      <c s="6" r="BP842">
        <v>1</v>
      </c>
      <c s="6" r="BQ842">
        <v>0</v>
      </c>
      <c t="str" s="6" r="BR842">
        <f>HYPERLINK("http://www.d20pfsrd.com/magic/all-spells/r/rebuke","Rebuke")</f>
        <v>Rebuke</v>
      </c>
      <c s="6" r="BS842">
        <v>853</v>
      </c>
      <c t="s" s="6" r="BT842">
        <v>92</v>
      </c>
      <c s="6" r="BY842">
        <v>0</v>
      </c>
    </row>
    <row customHeight="1" r="843" ht="14.25">
      <c t="s" s="6" r="A843">
        <v>6374</v>
      </c>
      <c t="s" s="6" r="B843">
        <v>78</v>
      </c>
      <c t="s" s="6" r="C843">
        <v>79</v>
      </c>
      <c t="s" s="6" r="D843">
        <v>52</v>
      </c>
      <c t="s" s="6" r="E843">
        <v>6375</v>
      </c>
      <c t="s" s="6" r="F843">
        <v>81</v>
      </c>
      <c t="s" s="6" r="G843">
        <v>6376</v>
      </c>
      <c s="6" r="H843">
        <v>0</v>
      </c>
      <c t="s" s="6" r="I843">
        <v>97</v>
      </c>
      <c t="s" s="6" r="K843">
        <v>6377</v>
      </c>
      <c t="s" s="6" r="M843">
        <v>109</v>
      </c>
      <c s="6" r="N843">
        <v>0</v>
      </c>
      <c s="6" r="O843">
        <v>0</v>
      </c>
      <c t="s" s="6" r="P843">
        <v>86</v>
      </c>
      <c t="s" s="6" r="Q843">
        <v>87</v>
      </c>
      <c t="s" s="6" r="R843">
        <v>6378</v>
      </c>
      <c t="s" s="6" r="S843">
        <v>6379</v>
      </c>
      <c t="s" s="6" r="T843">
        <v>5200</v>
      </c>
      <c t="s" s="6" r="U843">
        <v>6380</v>
      </c>
      <c s="6" r="V843">
        <v>1</v>
      </c>
      <c s="6" r="W843">
        <v>1</v>
      </c>
      <c s="6" r="X843">
        <v>1</v>
      </c>
      <c s="6" r="Y843">
        <v>0</v>
      </c>
      <c s="6" r="Z843">
        <v>0</v>
      </c>
      <c s="6" r="AA843">
        <v>7</v>
      </c>
      <c s="6" r="AB843">
        <v>7</v>
      </c>
      <c t="s" s="6" r="AC843">
        <v>92</v>
      </c>
      <c s="6" r="AD843">
        <v>7</v>
      </c>
      <c t="s" s="6" r="AE843">
        <v>92</v>
      </c>
      <c t="s" s="6" r="AF843">
        <v>92</v>
      </c>
      <c t="s" s="6" r="AG843">
        <v>92</v>
      </c>
      <c t="s" s="6" r="AH843">
        <v>92</v>
      </c>
      <c t="s" s="6" r="AI843">
        <v>92</v>
      </c>
      <c t="s" s="6" r="AJ843">
        <v>92</v>
      </c>
      <c t="s" s="6" r="AK843">
        <v>92</v>
      </c>
      <c t="s" s="6" r="AL843">
        <v>92</v>
      </c>
      <c t="s" s="6" r="AM843">
        <v>92</v>
      </c>
      <c t="s" s="6" r="AN843">
        <v>92</v>
      </c>
      <c s="6" r="AP843">
        <v>7</v>
      </c>
      <c t="s" s="6" r="AR843">
        <v>6381</v>
      </c>
      <c s="6" r="AS843">
        <v>0</v>
      </c>
      <c s="6" r="AT843">
        <v>0</v>
      </c>
      <c s="6" r="AU843">
        <v>0</v>
      </c>
      <c s="6" r="AV843">
        <v>0</v>
      </c>
      <c s="6" r="AW843">
        <v>0</v>
      </c>
      <c s="6" r="AX843">
        <v>0</v>
      </c>
      <c s="6" r="AY843">
        <v>0</v>
      </c>
      <c s="6" r="AZ843">
        <v>0</v>
      </c>
      <c s="6" r="BA843">
        <v>1</v>
      </c>
      <c s="6" r="BB843">
        <v>0</v>
      </c>
      <c s="6" r="BC843">
        <v>0</v>
      </c>
      <c s="6" r="BD843">
        <v>0</v>
      </c>
      <c s="6" r="BE843">
        <v>0</v>
      </c>
      <c s="6" r="BF843">
        <v>0</v>
      </c>
      <c s="6" r="BG843">
        <v>0</v>
      </c>
      <c s="6" r="BH843">
        <v>0</v>
      </c>
      <c s="6" r="BI843">
        <v>0</v>
      </c>
      <c s="6" r="BJ843">
        <v>0</v>
      </c>
      <c s="6" r="BK843">
        <v>0</v>
      </c>
      <c s="6" r="BL843">
        <v>0</v>
      </c>
      <c s="6" r="BM843">
        <v>0</v>
      </c>
      <c s="6" r="BN843">
        <v>0</v>
      </c>
      <c s="6" r="BO843">
        <v>0</v>
      </c>
      <c s="6" r="BP843">
        <v>0</v>
      </c>
      <c s="6" r="BQ843">
        <v>0</v>
      </c>
      <c t="str" s="6" r="BR843">
        <f>HYPERLINK("http://www.d20pfsrd.com/magic/all-spells/r/rampart","Rampart")</f>
        <v>Rampart</v>
      </c>
      <c s="6" r="BS843">
        <v>854</v>
      </c>
      <c t="s" s="6" r="BT843">
        <v>92</v>
      </c>
      <c s="6" r="BY843">
        <v>0</v>
      </c>
    </row>
    <row customHeight="1" r="844" ht="14.25">
      <c t="s" s="6" r="A844">
        <v>6382</v>
      </c>
      <c t="s" s="6" r="B844">
        <v>78</v>
      </c>
      <c t="s" s="6" r="C844">
        <v>598</v>
      </c>
      <c t="s" s="6" r="E844">
        <v>6383</v>
      </c>
      <c t="s" s="6" r="F844">
        <v>81</v>
      </c>
      <c t="s" s="6" r="G844">
        <v>5126</v>
      </c>
      <c s="6" r="H844">
        <v>0</v>
      </c>
      <c t="s" s="6" r="I844">
        <v>120</v>
      </c>
      <c t="s" s="6" r="L844">
        <v>6384</v>
      </c>
      <c t="s" s="6" r="M844">
        <v>109</v>
      </c>
      <c s="6" r="N844">
        <v>0</v>
      </c>
      <c s="6" r="O844">
        <v>0</v>
      </c>
      <c t="s" s="6" r="P844">
        <v>86</v>
      </c>
      <c t="s" s="6" r="Q844">
        <v>87</v>
      </c>
      <c t="s" s="6" r="R844">
        <v>6385</v>
      </c>
      <c t="s" s="6" r="S844">
        <v>6386</v>
      </c>
      <c t="s" s="6" r="T844">
        <v>5200</v>
      </c>
      <c t="s" s="6" r="U844">
        <v>6387</v>
      </c>
      <c s="6" r="V844">
        <v>1</v>
      </c>
      <c s="6" r="W844">
        <v>1</v>
      </c>
      <c s="6" r="X844">
        <v>1</v>
      </c>
      <c s="6" r="Y844">
        <v>0</v>
      </c>
      <c s="6" r="Z844">
        <v>0</v>
      </c>
      <c t="s" s="6" r="AA844">
        <v>92</v>
      </c>
      <c t="s" s="6" r="AB844">
        <v>92</v>
      </c>
      <c t="s" s="6" r="AC844">
        <v>92</v>
      </c>
      <c t="s" s="6" r="AD844">
        <v>92</v>
      </c>
      <c t="s" s="6" r="AE844">
        <v>92</v>
      </c>
      <c t="s" s="6" r="AF844">
        <v>92</v>
      </c>
      <c t="s" s="6" r="AG844">
        <v>92</v>
      </c>
      <c t="s" s="6" r="AH844">
        <v>92</v>
      </c>
      <c s="6" r="AI844">
        <v>1</v>
      </c>
      <c t="s" s="6" r="AJ844">
        <v>92</v>
      </c>
      <c t="s" s="6" r="AK844">
        <v>92</v>
      </c>
      <c t="s" s="6" r="AL844">
        <v>92</v>
      </c>
      <c t="s" s="6" r="AM844">
        <v>92</v>
      </c>
      <c t="s" s="6" r="AN844">
        <v>92</v>
      </c>
      <c s="6" r="AP844">
        <v>1</v>
      </c>
      <c t="s" s="6" r="AR844">
        <v>6388</v>
      </c>
      <c s="6" r="AS844">
        <v>0</v>
      </c>
      <c s="6" r="AT844">
        <v>0</v>
      </c>
      <c s="6" r="AU844">
        <v>0</v>
      </c>
      <c s="6" r="AV844">
        <v>0</v>
      </c>
      <c s="6" r="AW844">
        <v>0</v>
      </c>
      <c s="6" r="AX844">
        <v>0</v>
      </c>
      <c s="6" r="AY844">
        <v>0</v>
      </c>
      <c s="6" r="AZ844">
        <v>0</v>
      </c>
      <c s="6" r="BA844">
        <v>0</v>
      </c>
      <c s="6" r="BB844">
        <v>0</v>
      </c>
      <c s="6" r="BC844">
        <v>0</v>
      </c>
      <c s="6" r="BD844">
        <v>0</v>
      </c>
      <c s="6" r="BE844">
        <v>0</v>
      </c>
      <c s="6" r="BF844">
        <v>0</v>
      </c>
      <c s="6" r="BG844">
        <v>0</v>
      </c>
      <c s="6" r="BH844">
        <v>0</v>
      </c>
      <c s="6" r="BI844">
        <v>0</v>
      </c>
      <c s="6" r="BJ844">
        <v>0</v>
      </c>
      <c s="6" r="BK844">
        <v>0</v>
      </c>
      <c s="6" r="BL844">
        <v>0</v>
      </c>
      <c s="6" r="BM844">
        <v>0</v>
      </c>
      <c s="6" r="BN844">
        <v>0</v>
      </c>
      <c s="6" r="BO844">
        <v>0</v>
      </c>
      <c s="6" r="BP844">
        <v>0</v>
      </c>
      <c s="6" r="BQ844">
        <v>0</v>
      </c>
      <c t="str" s="6" r="BR844">
        <f>HYPERLINK("http://www.d20pfsrd.com/magic/all-spells/r/rejuvenate-eidolon,-lesser","Rejuvenate Eidolon, Lesser")</f>
        <v>Rejuvenate Eidolon, Lesser</v>
      </c>
      <c s="6" r="BS844">
        <v>855</v>
      </c>
      <c t="s" s="6" r="BT844">
        <v>92</v>
      </c>
      <c s="6" r="BY844">
        <v>0</v>
      </c>
    </row>
    <row customHeight="1" r="845" ht="14.25">
      <c t="s" s="6" r="A845">
        <v>6389</v>
      </c>
      <c t="s" s="6" r="B845">
        <v>78</v>
      </c>
      <c t="s" s="6" r="C845">
        <v>598</v>
      </c>
      <c t="s" s="6" r="E845">
        <v>5808</v>
      </c>
      <c t="s" s="6" r="F845">
        <v>81</v>
      </c>
      <c t="s" s="6" r="G845">
        <v>5126</v>
      </c>
      <c s="6" r="H845">
        <v>0</v>
      </c>
      <c t="s" s="6" r="I845">
        <v>120</v>
      </c>
      <c t="s" s="6" r="L845">
        <v>6384</v>
      </c>
      <c t="s" s="6" r="M845">
        <v>109</v>
      </c>
      <c s="6" r="N845">
        <v>0</v>
      </c>
      <c s="6" r="O845">
        <v>0</v>
      </c>
      <c t="s" s="6" r="P845">
        <v>86</v>
      </c>
      <c t="s" s="6" r="Q845">
        <v>87</v>
      </c>
      <c t="s" s="6" r="R845">
        <v>6390</v>
      </c>
      <c t="s" s="6" r="S845">
        <v>6391</v>
      </c>
      <c t="s" s="6" r="T845">
        <v>5200</v>
      </c>
      <c t="s" s="6" r="U845">
        <v>6392</v>
      </c>
      <c s="6" r="V845">
        <v>1</v>
      </c>
      <c s="6" r="W845">
        <v>1</v>
      </c>
      <c s="6" r="X845">
        <v>1</v>
      </c>
      <c s="6" r="Y845">
        <v>0</v>
      </c>
      <c s="6" r="Z845">
        <v>0</v>
      </c>
      <c t="s" s="6" r="AA845">
        <v>92</v>
      </c>
      <c t="s" s="6" r="AB845">
        <v>92</v>
      </c>
      <c t="s" s="6" r="AC845">
        <v>92</v>
      </c>
      <c t="s" s="6" r="AD845">
        <v>92</v>
      </c>
      <c t="s" s="6" r="AE845">
        <v>92</v>
      </c>
      <c t="s" s="6" r="AF845">
        <v>92</v>
      </c>
      <c t="s" s="6" r="AG845">
        <v>92</v>
      </c>
      <c t="s" s="6" r="AH845">
        <v>92</v>
      </c>
      <c s="6" r="AI845">
        <v>3</v>
      </c>
      <c t="s" s="6" r="AJ845">
        <v>92</v>
      </c>
      <c t="s" s="6" r="AK845">
        <v>92</v>
      </c>
      <c t="s" s="6" r="AL845">
        <v>92</v>
      </c>
      <c t="s" s="6" r="AM845">
        <v>92</v>
      </c>
      <c t="s" s="6" r="AN845">
        <v>92</v>
      </c>
      <c s="6" r="AP845">
        <v>3</v>
      </c>
      <c t="s" s="6" r="AR845">
        <v>6393</v>
      </c>
      <c s="6" r="AS845">
        <v>0</v>
      </c>
      <c s="6" r="AT845">
        <v>0</v>
      </c>
      <c s="6" r="AU845">
        <v>0</v>
      </c>
      <c s="6" r="AV845">
        <v>0</v>
      </c>
      <c s="6" r="AW845">
        <v>0</v>
      </c>
      <c s="6" r="AX845">
        <v>0</v>
      </c>
      <c s="6" r="AY845">
        <v>0</v>
      </c>
      <c s="6" r="AZ845">
        <v>0</v>
      </c>
      <c s="6" r="BA845">
        <v>0</v>
      </c>
      <c s="6" r="BB845">
        <v>0</v>
      </c>
      <c s="6" r="BC845">
        <v>0</v>
      </c>
      <c s="6" r="BD845">
        <v>0</v>
      </c>
      <c s="6" r="BE845">
        <v>0</v>
      </c>
      <c s="6" r="BF845">
        <v>0</v>
      </c>
      <c s="6" r="BG845">
        <v>0</v>
      </c>
      <c s="6" r="BH845">
        <v>0</v>
      </c>
      <c s="6" r="BI845">
        <v>0</v>
      </c>
      <c s="6" r="BJ845">
        <v>0</v>
      </c>
      <c s="6" r="BK845">
        <v>0</v>
      </c>
      <c s="6" r="BL845">
        <v>0</v>
      </c>
      <c s="6" r="BM845">
        <v>0</v>
      </c>
      <c s="6" r="BN845">
        <v>0</v>
      </c>
      <c s="6" r="BO845">
        <v>0</v>
      </c>
      <c s="6" r="BP845">
        <v>0</v>
      </c>
      <c s="6" r="BQ845">
        <v>0</v>
      </c>
      <c t="str" s="6" r="BR845">
        <f>HYPERLINK("http://www.d20pfsrd.com/magic/all-spells/r/rejuvenate-eidolon","Rejuvenate Eidolon")</f>
        <v>Rejuvenate Eidolon</v>
      </c>
      <c s="6" r="BS845">
        <v>856</v>
      </c>
      <c t="s" s="6" r="BT845">
        <v>92</v>
      </c>
      <c s="6" r="BY845">
        <v>0</v>
      </c>
    </row>
    <row customHeight="1" r="846" ht="14.25">
      <c t="s" s="6" r="A846">
        <v>6394</v>
      </c>
      <c t="s" s="6" r="B846">
        <v>78</v>
      </c>
      <c t="s" s="6" r="C846">
        <v>598</v>
      </c>
      <c t="s" s="6" r="E846">
        <v>6395</v>
      </c>
      <c t="s" s="6" r="F846">
        <v>81</v>
      </c>
      <c t="s" s="6" r="G846">
        <v>5126</v>
      </c>
      <c s="6" r="H846">
        <v>0</v>
      </c>
      <c t="s" s="6" r="I846">
        <v>120</v>
      </c>
      <c t="s" s="6" r="L846">
        <v>6384</v>
      </c>
      <c t="s" s="6" r="M846">
        <v>109</v>
      </c>
      <c s="6" r="N846">
        <v>0</v>
      </c>
      <c s="6" r="O846">
        <v>0</v>
      </c>
      <c t="s" s="6" r="P846">
        <v>86</v>
      </c>
      <c t="s" s="6" r="Q846">
        <v>87</v>
      </c>
      <c t="s" s="6" r="R846">
        <v>6396</v>
      </c>
      <c t="s" s="6" r="S846">
        <v>6397</v>
      </c>
      <c t="s" s="6" r="T846">
        <v>5200</v>
      </c>
      <c t="s" s="6" r="U846">
        <v>6398</v>
      </c>
      <c s="6" r="V846">
        <v>1</v>
      </c>
      <c s="6" r="W846">
        <v>1</v>
      </c>
      <c s="6" r="X846">
        <v>1</v>
      </c>
      <c s="6" r="Y846">
        <v>0</v>
      </c>
      <c s="6" r="Z846">
        <v>0</v>
      </c>
      <c t="s" s="6" r="AA846">
        <v>92</v>
      </c>
      <c t="s" s="6" r="AB846">
        <v>92</v>
      </c>
      <c t="s" s="6" r="AC846">
        <v>92</v>
      </c>
      <c t="s" s="6" r="AD846">
        <v>92</v>
      </c>
      <c t="s" s="6" r="AE846">
        <v>92</v>
      </c>
      <c t="s" s="6" r="AF846">
        <v>92</v>
      </c>
      <c t="s" s="6" r="AG846">
        <v>92</v>
      </c>
      <c t="s" s="6" r="AH846">
        <v>92</v>
      </c>
      <c s="6" r="AI846">
        <v>5</v>
      </c>
      <c t="s" s="6" r="AJ846">
        <v>92</v>
      </c>
      <c t="s" s="6" r="AK846">
        <v>92</v>
      </c>
      <c t="s" s="6" r="AL846">
        <v>92</v>
      </c>
      <c t="s" s="6" r="AM846">
        <v>92</v>
      </c>
      <c t="s" s="6" r="AN846">
        <v>92</v>
      </c>
      <c s="6" r="AP846">
        <v>5</v>
      </c>
      <c t="s" s="6" r="AR846">
        <v>6399</v>
      </c>
      <c s="6" r="AS846">
        <v>0</v>
      </c>
      <c s="6" r="AT846">
        <v>0</v>
      </c>
      <c s="6" r="AU846">
        <v>0</v>
      </c>
      <c s="6" r="AV846">
        <v>0</v>
      </c>
      <c s="6" r="AW846">
        <v>0</v>
      </c>
      <c s="6" r="AX846">
        <v>0</v>
      </c>
      <c s="6" r="AY846">
        <v>0</v>
      </c>
      <c s="6" r="AZ846">
        <v>0</v>
      </c>
      <c s="6" r="BA846">
        <v>0</v>
      </c>
      <c s="6" r="BB846">
        <v>0</v>
      </c>
      <c s="6" r="BC846">
        <v>0</v>
      </c>
      <c s="6" r="BD846">
        <v>0</v>
      </c>
      <c s="6" r="BE846">
        <v>0</v>
      </c>
      <c s="6" r="BF846">
        <v>0</v>
      </c>
      <c s="6" r="BG846">
        <v>0</v>
      </c>
      <c s="6" r="BH846">
        <v>0</v>
      </c>
      <c s="6" r="BI846">
        <v>0</v>
      </c>
      <c s="6" r="BJ846">
        <v>0</v>
      </c>
      <c s="6" r="BK846">
        <v>0</v>
      </c>
      <c s="6" r="BL846">
        <v>0</v>
      </c>
      <c s="6" r="BM846">
        <v>0</v>
      </c>
      <c s="6" r="BN846">
        <v>0</v>
      </c>
      <c s="6" r="BO846">
        <v>0</v>
      </c>
      <c s="6" r="BP846">
        <v>0</v>
      </c>
      <c s="6" r="BQ846">
        <v>0</v>
      </c>
      <c t="str" s="6" r="BR846">
        <f>HYPERLINK("http://www.d20pfsrd.com/magic/all-spells/r/rejuvenate-eidolon,-greater","Rejuvenate Eidolon, Greater")</f>
        <v>Rejuvenate Eidolon, Greater</v>
      </c>
      <c s="6" r="BS846">
        <v>857</v>
      </c>
      <c t="s" s="6" r="BT846">
        <v>92</v>
      </c>
      <c s="6" r="BY846">
        <v>0</v>
      </c>
    </row>
    <row customHeight="1" r="847" ht="14.25">
      <c t="s" s="6" r="A847">
        <v>6400</v>
      </c>
      <c t="s" s="6" r="B847">
        <v>493</v>
      </c>
      <c t="s" s="6" r="D847">
        <v>67</v>
      </c>
      <c t="s" s="6" r="E847">
        <v>6401</v>
      </c>
      <c t="s" s="6" r="F847">
        <v>5881</v>
      </c>
      <c t="s" s="6" r="G847">
        <v>251</v>
      </c>
      <c s="6" r="H847">
        <v>0</v>
      </c>
      <c t="s" s="6" r="I847">
        <v>155</v>
      </c>
      <c t="s" s="6" r="L847">
        <v>156</v>
      </c>
      <c t="s" s="6" r="M847">
        <v>99</v>
      </c>
      <c s="6" r="N847">
        <v>0</v>
      </c>
      <c s="6" r="O847">
        <v>0</v>
      </c>
      <c t="s" s="6" r="P847">
        <v>822</v>
      </c>
      <c t="s" s="6" r="Q847">
        <v>87</v>
      </c>
      <c t="s" s="6" r="R847">
        <v>6402</v>
      </c>
      <c t="s" s="6" r="S847">
        <v>6403</v>
      </c>
      <c t="s" s="6" r="T847">
        <v>5200</v>
      </c>
      <c t="s" s="6" r="U847">
        <v>6404</v>
      </c>
      <c s="6" r="V847">
        <v>1</v>
      </c>
      <c s="6" r="W847">
        <v>0</v>
      </c>
      <c s="6" r="X847">
        <v>0</v>
      </c>
      <c s="6" r="Y847">
        <v>0</v>
      </c>
      <c s="6" r="Z847">
        <v>0</v>
      </c>
      <c t="s" s="6" r="AA847">
        <v>92</v>
      </c>
      <c t="s" s="6" r="AB847">
        <v>92</v>
      </c>
      <c t="s" s="6" r="AC847">
        <v>92</v>
      </c>
      <c t="s" s="6" r="AD847">
        <v>92</v>
      </c>
      <c t="s" s="6" r="AE847">
        <v>92</v>
      </c>
      <c t="s" s="6" r="AF847">
        <v>92</v>
      </c>
      <c s="6" r="AG847">
        <v>4</v>
      </c>
      <c t="s" s="6" r="AH847">
        <v>92</v>
      </c>
      <c t="s" s="6" r="AI847">
        <v>92</v>
      </c>
      <c t="s" s="6" r="AJ847">
        <v>92</v>
      </c>
      <c s="6" r="AK847">
        <v>5</v>
      </c>
      <c t="s" s="6" r="AL847">
        <v>92</v>
      </c>
      <c s="6" r="AM847">
        <v>4</v>
      </c>
      <c t="s" s="6" r="AN847">
        <v>92</v>
      </c>
      <c s="6" r="AP847">
        <v>4</v>
      </c>
      <c t="s" s="6" r="AR847">
        <v>6405</v>
      </c>
      <c s="6" r="AS847">
        <v>0</v>
      </c>
      <c s="6" r="AT847">
        <v>0</v>
      </c>
      <c s="6" r="AU847">
        <v>0</v>
      </c>
      <c s="6" r="AV847">
        <v>0</v>
      </c>
      <c s="6" r="AW847">
        <v>0</v>
      </c>
      <c s="6" r="AX847">
        <v>0</v>
      </c>
      <c s="6" r="AY847">
        <v>0</v>
      </c>
      <c s="6" r="AZ847">
        <v>0</v>
      </c>
      <c s="6" r="BA847">
        <v>0</v>
      </c>
      <c s="6" r="BB847">
        <v>0</v>
      </c>
      <c s="6" r="BC847">
        <v>0</v>
      </c>
      <c s="6" r="BD847">
        <v>0</v>
      </c>
      <c s="6" r="BE847">
        <v>0</v>
      </c>
      <c s="6" r="BF847">
        <v>0</v>
      </c>
      <c s="6" r="BG847">
        <v>0</v>
      </c>
      <c s="6" r="BH847">
        <v>0</v>
      </c>
      <c s="6" r="BI847">
        <v>0</v>
      </c>
      <c s="6" r="BJ847">
        <v>0</v>
      </c>
      <c s="6" r="BK847">
        <v>0</v>
      </c>
      <c s="6" r="BL847">
        <v>0</v>
      </c>
      <c s="6" r="BM847">
        <v>0</v>
      </c>
      <c s="6" r="BN847">
        <v>0</v>
      </c>
      <c s="6" r="BO847">
        <v>0</v>
      </c>
      <c s="6" r="BP847">
        <v>1</v>
      </c>
      <c s="6" r="BQ847">
        <v>0</v>
      </c>
      <c t="str" s="6" r="BR847">
        <f>HYPERLINK("http://www.d20pfsrd.com/magic/all-spells/r/resounding-blow","Resounding Blow")</f>
        <v>Resounding Blow</v>
      </c>
      <c s="6" r="BS847">
        <v>858</v>
      </c>
      <c t="s" s="6" r="BT847">
        <v>92</v>
      </c>
      <c s="6" r="BY847">
        <v>0</v>
      </c>
    </row>
    <row customHeight="1" r="848" ht="14.25">
      <c t="s" s="6" r="A848">
        <v>6406</v>
      </c>
      <c t="s" s="6" r="B848">
        <v>227</v>
      </c>
      <c t="s" s="6" r="D848">
        <v>48</v>
      </c>
      <c t="s" s="6" r="E848">
        <v>6407</v>
      </c>
      <c t="s" s="6" r="F848">
        <v>272</v>
      </c>
      <c t="s" s="6" r="G848">
        <v>6408</v>
      </c>
      <c s="6" r="H848">
        <v>0</v>
      </c>
      <c t="s" s="6" r="I848">
        <v>120</v>
      </c>
      <c t="s" s="6" r="L848">
        <v>6409</v>
      </c>
      <c t="s" s="6" r="M848">
        <v>323</v>
      </c>
      <c s="6" r="N848">
        <v>0</v>
      </c>
      <c s="6" r="O848">
        <v>0</v>
      </c>
      <c t="s" s="6" r="P848">
        <v>86</v>
      </c>
      <c t="s" s="6" r="Q848">
        <v>87</v>
      </c>
      <c t="s" s="6" r="R848">
        <v>6410</v>
      </c>
      <c t="s" s="6" r="S848">
        <v>6411</v>
      </c>
      <c t="s" s="6" r="T848">
        <v>5200</v>
      </c>
      <c t="s" s="6" r="U848">
        <v>6412</v>
      </c>
      <c s="6" r="V848">
        <v>1</v>
      </c>
      <c s="6" r="W848">
        <v>1</v>
      </c>
      <c s="6" r="X848">
        <v>1</v>
      </c>
      <c s="6" r="Y848">
        <v>0</v>
      </c>
      <c s="6" r="Z848">
        <v>1</v>
      </c>
      <c t="s" s="6" r="AA848">
        <v>92</v>
      </c>
      <c t="s" s="6" r="AB848">
        <v>92</v>
      </c>
      <c s="6" r="AC848">
        <v>4</v>
      </c>
      <c s="6" r="AD848">
        <v>5</v>
      </c>
      <c t="s" s="6" r="AE848">
        <v>92</v>
      </c>
      <c t="s" s="6" r="AF848">
        <v>92</v>
      </c>
      <c t="s" s="6" r="AG848">
        <v>92</v>
      </c>
      <c t="s" s="6" r="AH848">
        <v>92</v>
      </c>
      <c t="s" s="6" r="AI848">
        <v>92</v>
      </c>
      <c s="6" r="AJ848">
        <v>5</v>
      </c>
      <c t="s" s="6" r="AK848">
        <v>92</v>
      </c>
      <c s="6" r="AL848">
        <v>4</v>
      </c>
      <c t="s" s="6" r="AM848">
        <v>92</v>
      </c>
      <c t="s" s="6" r="AN848">
        <v>92</v>
      </c>
      <c s="6" r="AP848">
        <v>4</v>
      </c>
      <c t="s" s="6" r="AQ848">
        <v>129</v>
      </c>
      <c t="s" s="6" r="AR848">
        <v>6413</v>
      </c>
      <c s="6" r="AS848">
        <v>0</v>
      </c>
      <c s="6" r="AT848">
        <v>0</v>
      </c>
      <c s="6" r="AU848">
        <v>0</v>
      </c>
      <c s="6" r="AV848">
        <v>0</v>
      </c>
      <c s="6" r="AW848">
        <v>1</v>
      </c>
      <c s="6" r="AX848">
        <v>0</v>
      </c>
      <c s="6" r="AY848">
        <v>0</v>
      </c>
      <c s="6" r="AZ848">
        <v>0</v>
      </c>
      <c s="6" r="BA848">
        <v>0</v>
      </c>
      <c s="6" r="BB848">
        <v>0</v>
      </c>
      <c s="6" r="BC848">
        <v>0</v>
      </c>
      <c s="6" r="BD848">
        <v>0</v>
      </c>
      <c s="6" r="BE848">
        <v>0</v>
      </c>
      <c s="6" r="BF848">
        <v>0</v>
      </c>
      <c s="6" r="BG848">
        <v>0</v>
      </c>
      <c s="6" r="BH848">
        <v>0</v>
      </c>
      <c s="6" r="BI848">
        <v>0</v>
      </c>
      <c s="6" r="BJ848">
        <v>0</v>
      </c>
      <c s="6" r="BK848">
        <v>0</v>
      </c>
      <c s="6" r="BL848">
        <v>0</v>
      </c>
      <c s="6" r="BM848">
        <v>0</v>
      </c>
      <c s="6" r="BN848">
        <v>0</v>
      </c>
      <c s="6" r="BO848">
        <v>0</v>
      </c>
      <c s="6" r="BP848">
        <v>0</v>
      </c>
      <c s="6" r="BQ848">
        <v>0</v>
      </c>
      <c t="str" s="6" r="BR848">
        <f>HYPERLINK("http://www.d20pfsrd.com/magic/all-spells/r/rest-eternal","Rest Eternal")</f>
        <v>Rest Eternal</v>
      </c>
      <c s="6" r="BS848">
        <v>859</v>
      </c>
      <c t="s" s="6" r="BT848">
        <v>92</v>
      </c>
      <c t="s" s="6" r="BV848">
        <v>783</v>
      </c>
      <c s="6" r="BY848">
        <v>0</v>
      </c>
    </row>
    <row customHeight="1" r="849" ht="14.25">
      <c t="s" s="6" r="A849">
        <v>6414</v>
      </c>
      <c t="s" s="6" r="B849">
        <v>227</v>
      </c>
      <c t="s" s="6" r="E849">
        <v>915</v>
      </c>
      <c t="s" s="6" r="F849">
        <v>311</v>
      </c>
      <c t="s" s="6" r="G849">
        <v>6415</v>
      </c>
      <c s="6" r="H849">
        <v>0</v>
      </c>
      <c t="s" s="6" r="I849">
        <v>107</v>
      </c>
      <c t="s" s="6" r="L849">
        <v>620</v>
      </c>
      <c t="s" s="6" r="M849">
        <v>6416</v>
      </c>
      <c s="6" r="N849">
        <v>0</v>
      </c>
      <c s="6" r="O849">
        <v>0</v>
      </c>
      <c t="s" s="6" r="P849">
        <v>1227</v>
      </c>
      <c t="s" s="6" r="Q849">
        <v>123</v>
      </c>
      <c t="s" s="6" r="R849">
        <v>6417</v>
      </c>
      <c t="s" s="6" r="S849">
        <v>6418</v>
      </c>
      <c t="s" s="6" r="T849">
        <v>5200</v>
      </c>
      <c t="s" s="6" r="U849">
        <v>6419</v>
      </c>
      <c s="6" r="V849">
        <v>1</v>
      </c>
      <c s="6" r="W849">
        <v>1</v>
      </c>
      <c s="6" r="X849">
        <v>1</v>
      </c>
      <c s="6" r="Y849">
        <v>0</v>
      </c>
      <c s="6" r="Z849">
        <v>0</v>
      </c>
      <c t="s" s="6" r="AA849">
        <v>92</v>
      </c>
      <c t="s" s="6" r="AB849">
        <v>92</v>
      </c>
      <c t="s" s="6" r="AC849">
        <v>92</v>
      </c>
      <c t="s" s="6" r="AD849">
        <v>92</v>
      </c>
      <c t="s" s="6" r="AE849">
        <v>92</v>
      </c>
      <c s="6" r="AF849">
        <v>1</v>
      </c>
      <c t="s" s="6" r="AG849">
        <v>92</v>
      </c>
      <c t="s" s="6" r="AH849">
        <v>92</v>
      </c>
      <c t="s" s="6" r="AI849">
        <v>92</v>
      </c>
      <c t="s" s="6" r="AJ849">
        <v>92</v>
      </c>
      <c t="s" s="6" r="AK849">
        <v>92</v>
      </c>
      <c t="s" s="6" r="AL849">
        <v>92</v>
      </c>
      <c t="s" s="6" r="AM849">
        <v>92</v>
      </c>
      <c t="s" s="6" r="AN849">
        <v>92</v>
      </c>
      <c s="6" r="AP849">
        <v>1</v>
      </c>
      <c t="s" s="6" r="AR849">
        <v>6420</v>
      </c>
      <c s="6" r="AS849">
        <v>0</v>
      </c>
      <c s="6" r="AT849">
        <v>0</v>
      </c>
      <c s="6" r="AU849">
        <v>0</v>
      </c>
      <c s="6" r="AV849">
        <v>0</v>
      </c>
      <c s="6" r="AW849">
        <v>0</v>
      </c>
      <c s="6" r="AX849">
        <v>0</v>
      </c>
      <c s="6" r="AY849">
        <v>0</v>
      </c>
      <c s="6" r="AZ849">
        <v>0</v>
      </c>
      <c s="6" r="BA849">
        <v>0</v>
      </c>
      <c s="6" r="BB849">
        <v>0</v>
      </c>
      <c s="6" r="BC849">
        <v>0</v>
      </c>
      <c s="6" r="BD849">
        <v>0</v>
      </c>
      <c s="6" r="BE849">
        <v>0</v>
      </c>
      <c s="6" r="BF849">
        <v>0</v>
      </c>
      <c s="6" r="BG849">
        <v>0</v>
      </c>
      <c s="6" r="BH849">
        <v>0</v>
      </c>
      <c s="6" r="BI849">
        <v>0</v>
      </c>
      <c s="6" r="BJ849">
        <v>0</v>
      </c>
      <c s="6" r="BK849">
        <v>0</v>
      </c>
      <c s="6" r="BL849">
        <v>0</v>
      </c>
      <c s="6" r="BM849">
        <v>0</v>
      </c>
      <c s="6" r="BN849">
        <v>0</v>
      </c>
      <c s="6" r="BO849">
        <v>0</v>
      </c>
      <c s="6" r="BP849">
        <v>0</v>
      </c>
      <c s="6" r="BQ849">
        <v>0</v>
      </c>
      <c t="str" s="6" r="BR849">
        <f>HYPERLINK("http://www.d20pfsrd.com/magic/all-spells/r/restful-sleep","Restful Sleep")</f>
        <v>Restful Sleep</v>
      </c>
      <c s="6" r="BS849">
        <v>860</v>
      </c>
      <c t="s" s="6" r="BT849">
        <v>92</v>
      </c>
      <c s="6" r="BY849">
        <v>0</v>
      </c>
    </row>
    <row customHeight="1" r="850" ht="14.25">
      <c t="s" s="6" r="A850">
        <v>6421</v>
      </c>
      <c t="s" s="6" r="B850">
        <v>78</v>
      </c>
      <c t="s" s="6" r="C850">
        <v>598</v>
      </c>
      <c t="s" s="6" r="E850">
        <v>5657</v>
      </c>
      <c t="s" s="6" r="F850">
        <v>81</v>
      </c>
      <c t="s" s="6" r="G850">
        <v>6422</v>
      </c>
      <c s="6" r="H850">
        <v>1</v>
      </c>
      <c t="s" s="6" r="I850">
        <v>155</v>
      </c>
      <c t="s" s="6" r="L850">
        <v>156</v>
      </c>
      <c t="s" s="6" r="M850">
        <v>6423</v>
      </c>
      <c s="6" r="N850">
        <v>0</v>
      </c>
      <c s="6" r="O850">
        <v>0</v>
      </c>
      <c t="s" s="6" r="R850">
        <v>6424</v>
      </c>
      <c t="s" s="6" r="S850">
        <v>6425</v>
      </c>
      <c t="s" s="6" r="T850">
        <v>5200</v>
      </c>
      <c t="s" s="6" r="U850">
        <v>6426</v>
      </c>
      <c s="6" r="V850">
        <v>1</v>
      </c>
      <c s="6" r="W850">
        <v>1</v>
      </c>
      <c s="6" r="X850">
        <v>1</v>
      </c>
      <c s="6" r="Y850">
        <v>0</v>
      </c>
      <c s="6" r="Z850">
        <v>0</v>
      </c>
      <c t="s" s="6" r="AA850">
        <v>92</v>
      </c>
      <c t="s" s="6" r="AB850">
        <v>92</v>
      </c>
      <c t="s" s="6" r="AC850">
        <v>92</v>
      </c>
      <c t="s" s="6" r="AD850">
        <v>92</v>
      </c>
      <c t="s" s="6" r="AE850">
        <v>92</v>
      </c>
      <c t="s" s="6" r="AF850">
        <v>92</v>
      </c>
      <c t="s" s="6" r="AG850">
        <v>92</v>
      </c>
      <c s="6" r="AH850">
        <v>5</v>
      </c>
      <c t="s" s="6" r="AI850">
        <v>92</v>
      </c>
      <c t="s" s="6" r="AJ850">
        <v>92</v>
      </c>
      <c t="s" s="6" r="AK850">
        <v>92</v>
      </c>
      <c t="s" s="6" r="AL850">
        <v>92</v>
      </c>
      <c t="s" s="6" r="AM850">
        <v>92</v>
      </c>
      <c t="s" s="6" r="AN850">
        <v>92</v>
      </c>
      <c s="6" r="AP850">
        <v>5</v>
      </c>
      <c t="s" s="6" r="AR850">
        <v>6427</v>
      </c>
      <c s="6" r="AS850">
        <v>0</v>
      </c>
      <c s="6" r="AT850">
        <v>0</v>
      </c>
      <c s="6" r="AU850">
        <v>0</v>
      </c>
      <c s="6" r="AV850">
        <v>0</v>
      </c>
      <c s="6" r="AW850">
        <v>0</v>
      </c>
      <c s="6" r="AX850">
        <v>0</v>
      </c>
      <c s="6" r="AY850">
        <v>0</v>
      </c>
      <c s="6" r="AZ850">
        <v>0</v>
      </c>
      <c s="6" r="BA850">
        <v>0</v>
      </c>
      <c s="6" r="BB850">
        <v>0</v>
      </c>
      <c s="6" r="BC850">
        <v>0</v>
      </c>
      <c s="6" r="BD850">
        <v>0</v>
      </c>
      <c s="6" r="BE850">
        <v>0</v>
      </c>
      <c s="6" r="BF850">
        <v>0</v>
      </c>
      <c s="6" r="BG850">
        <v>0</v>
      </c>
      <c s="6" r="BH850">
        <v>0</v>
      </c>
      <c s="6" r="BI850">
        <v>0</v>
      </c>
      <c s="6" r="BJ850">
        <v>0</v>
      </c>
      <c s="6" r="BK850">
        <v>0</v>
      </c>
      <c s="6" r="BL850">
        <v>0</v>
      </c>
      <c s="6" r="BM850">
        <v>0</v>
      </c>
      <c s="6" r="BN850">
        <v>0</v>
      </c>
      <c s="6" r="BO850">
        <v>0</v>
      </c>
      <c s="6" r="BP850">
        <v>0</v>
      </c>
      <c s="6" r="BQ850">
        <v>0</v>
      </c>
      <c t="str" s="6" r="BR850">
        <f>HYPERLINK("http://www.d20pfsrd.com/magic/all-spells/r/resurgent-transformation","Resurgent Transformation")</f>
        <v>Resurgent Transformation</v>
      </c>
      <c s="6" r="BS850">
        <v>861</v>
      </c>
      <c s="6" r="BT850">
        <v>100</v>
      </c>
      <c s="6" r="BY850">
        <v>0</v>
      </c>
    </row>
    <row customHeight="1" r="851" ht="14.25">
      <c t="s" s="6" r="A851">
        <v>6428</v>
      </c>
      <c t="s" s="6" r="B851">
        <v>227</v>
      </c>
      <c t="s" s="6" r="D851">
        <v>4381</v>
      </c>
      <c t="s" s="6" r="E851">
        <v>5492</v>
      </c>
      <c t="s" s="6" r="F851">
        <v>81</v>
      </c>
      <c t="s" s="6" r="G851">
        <v>251</v>
      </c>
      <c s="6" r="H851">
        <v>0</v>
      </c>
      <c t="s" s="6" r="I851">
        <v>107</v>
      </c>
      <c t="s" s="6" r="L851">
        <v>6429</v>
      </c>
      <c t="s" s="6" r="M851">
        <v>99</v>
      </c>
      <c s="6" r="N851">
        <v>0</v>
      </c>
      <c s="6" r="O851">
        <v>0</v>
      </c>
      <c t="s" s="6" r="P851">
        <v>1254</v>
      </c>
      <c t="s" s="6" r="Q851">
        <v>188</v>
      </c>
      <c t="s" s="6" r="R851">
        <v>6430</v>
      </c>
      <c t="s" s="6" r="S851">
        <v>6431</v>
      </c>
      <c t="s" s="6" r="T851">
        <v>5200</v>
      </c>
      <c t="s" s="6" r="U851">
        <v>6432</v>
      </c>
      <c s="6" r="V851">
        <v>1</v>
      </c>
      <c s="6" r="W851">
        <v>0</v>
      </c>
      <c s="6" r="X851">
        <v>0</v>
      </c>
      <c s="6" r="Y851">
        <v>0</v>
      </c>
      <c s="6" r="Z851">
        <v>0</v>
      </c>
      <c t="s" s="6" r="AA851">
        <v>92</v>
      </c>
      <c t="s" s="6" r="AB851">
        <v>92</v>
      </c>
      <c t="s" s="6" r="AC851">
        <v>92</v>
      </c>
      <c t="s" s="6" r="AD851">
        <v>92</v>
      </c>
      <c t="s" s="6" r="AE851">
        <v>92</v>
      </c>
      <c t="s" s="6" r="AF851">
        <v>92</v>
      </c>
      <c t="s" s="6" r="AG851">
        <v>92</v>
      </c>
      <c t="s" s="6" r="AH851">
        <v>92</v>
      </c>
      <c t="s" s="6" r="AI851">
        <v>92</v>
      </c>
      <c t="s" s="6" r="AJ851">
        <v>92</v>
      </c>
      <c s="6" r="AK851">
        <v>3</v>
      </c>
      <c t="s" s="6" r="AL851">
        <v>92</v>
      </c>
      <c t="s" s="6" r="AM851">
        <v>92</v>
      </c>
      <c t="s" s="6" r="AN851">
        <v>92</v>
      </c>
      <c s="6" r="AP851">
        <v>3</v>
      </c>
      <c t="s" s="6" r="AR851">
        <v>6433</v>
      </c>
      <c s="6" r="AS851">
        <v>0</v>
      </c>
      <c s="6" r="AT851">
        <v>0</v>
      </c>
      <c s="6" r="AU851">
        <v>0</v>
      </c>
      <c s="6" r="AV851">
        <v>0</v>
      </c>
      <c s="6" r="AW851">
        <v>0</v>
      </c>
      <c s="6" r="AX851">
        <v>0</v>
      </c>
      <c s="6" r="AY851">
        <v>0</v>
      </c>
      <c s="6" r="AZ851">
        <v>0</v>
      </c>
      <c s="6" r="BA851">
        <v>0</v>
      </c>
      <c s="6" r="BB851">
        <v>0</v>
      </c>
      <c s="6" r="BC851">
        <v>0</v>
      </c>
      <c s="6" r="BD851">
        <v>1</v>
      </c>
      <c s="6" r="BE851">
        <v>0</v>
      </c>
      <c s="6" r="BF851">
        <v>0</v>
      </c>
      <c s="6" r="BG851">
        <v>0</v>
      </c>
      <c s="6" r="BH851">
        <v>0</v>
      </c>
      <c s="6" r="BI851">
        <v>0</v>
      </c>
      <c s="6" r="BJ851">
        <v>0</v>
      </c>
      <c s="6" r="BK851">
        <v>0</v>
      </c>
      <c s="6" r="BL851">
        <v>0</v>
      </c>
      <c s="6" r="BM851">
        <v>1</v>
      </c>
      <c s="6" r="BN851">
        <v>0</v>
      </c>
      <c s="6" r="BO851">
        <v>0</v>
      </c>
      <c s="6" r="BP851">
        <v>0</v>
      </c>
      <c s="6" r="BQ851">
        <v>0</v>
      </c>
      <c t="str" s="6" r="BR851">
        <f>HYPERLINK("http://www.d20pfsrd.com/magic/all-spells/r/retribution","Retribution")</f>
        <v>Retribution</v>
      </c>
      <c s="6" r="BS851">
        <v>862</v>
      </c>
      <c t="s" s="6" r="BT851">
        <v>92</v>
      </c>
      <c s="6" r="BY851">
        <v>0</v>
      </c>
    </row>
    <row customHeight="1" r="852" ht="14.25">
      <c t="s" s="6" r="A852">
        <v>6434</v>
      </c>
      <c t="s" s="6" r="B852">
        <v>78</v>
      </c>
      <c t="s" s="6" r="C852">
        <v>598</v>
      </c>
      <c t="s" s="6" r="E852">
        <v>2085</v>
      </c>
      <c t="s" s="6" r="F852">
        <v>5881</v>
      </c>
      <c t="s" s="6" r="G852">
        <v>106</v>
      </c>
      <c s="6" r="H852">
        <v>0</v>
      </c>
      <c t="s" s="6" r="I852">
        <v>804</v>
      </c>
      <c t="s" s="6" r="J852">
        <v>6435</v>
      </c>
      <c t="s" s="6" r="M852">
        <v>109</v>
      </c>
      <c s="6" r="N852">
        <v>0</v>
      </c>
      <c s="6" r="O852">
        <v>0</v>
      </c>
      <c t="s" s="6" r="P852">
        <v>6436</v>
      </c>
      <c t="s" s="6" r="Q852">
        <v>123</v>
      </c>
      <c t="s" s="6" r="R852">
        <v>6437</v>
      </c>
      <c t="s" s="6" r="S852">
        <v>6438</v>
      </c>
      <c t="s" s="6" r="T852">
        <v>5200</v>
      </c>
      <c t="s" s="6" r="U852">
        <v>6439</v>
      </c>
      <c s="6" r="V852">
        <v>1</v>
      </c>
      <c s="6" r="W852">
        <v>1</v>
      </c>
      <c s="6" r="X852">
        <v>0</v>
      </c>
      <c s="6" r="Y852">
        <v>0</v>
      </c>
      <c s="6" r="Z852">
        <v>0</v>
      </c>
      <c t="s" s="6" r="AA852">
        <v>92</v>
      </c>
      <c t="s" s="6" r="AB852">
        <v>92</v>
      </c>
      <c t="s" s="6" r="AC852">
        <v>92</v>
      </c>
      <c t="s" s="6" r="AD852">
        <v>92</v>
      </c>
      <c t="s" s="6" r="AE852">
        <v>92</v>
      </c>
      <c s="6" r="AF852">
        <v>3</v>
      </c>
      <c t="s" s="6" r="AG852">
        <v>92</v>
      </c>
      <c t="s" s="6" r="AH852">
        <v>92</v>
      </c>
      <c t="s" s="6" r="AI852">
        <v>92</v>
      </c>
      <c t="s" s="6" r="AJ852">
        <v>92</v>
      </c>
      <c t="s" s="6" r="AK852">
        <v>92</v>
      </c>
      <c t="s" s="6" r="AL852">
        <v>92</v>
      </c>
      <c t="s" s="6" r="AM852">
        <v>92</v>
      </c>
      <c t="s" s="6" r="AN852">
        <v>92</v>
      </c>
      <c s="6" r="AP852">
        <v>3</v>
      </c>
      <c t="s" s="6" r="AR852">
        <v>6440</v>
      </c>
      <c s="6" r="AS852">
        <v>0</v>
      </c>
      <c s="6" r="AT852">
        <v>0</v>
      </c>
      <c s="6" r="AU852">
        <v>0</v>
      </c>
      <c s="6" r="AV852">
        <v>0</v>
      </c>
      <c s="6" r="AW852">
        <v>0</v>
      </c>
      <c s="6" r="AX852">
        <v>0</v>
      </c>
      <c s="6" r="AY852">
        <v>0</v>
      </c>
      <c s="6" r="AZ852">
        <v>0</v>
      </c>
      <c s="6" r="BA852">
        <v>0</v>
      </c>
      <c s="6" r="BB852">
        <v>0</v>
      </c>
      <c s="6" r="BC852">
        <v>0</v>
      </c>
      <c s="6" r="BD852">
        <v>0</v>
      </c>
      <c s="6" r="BE852">
        <v>0</v>
      </c>
      <c s="6" r="BF852">
        <v>0</v>
      </c>
      <c s="6" r="BG852">
        <v>0</v>
      </c>
      <c s="6" r="BH852">
        <v>0</v>
      </c>
      <c s="6" r="BI852">
        <v>0</v>
      </c>
      <c s="6" r="BJ852">
        <v>0</v>
      </c>
      <c s="6" r="BK852">
        <v>0</v>
      </c>
      <c s="6" r="BL852">
        <v>0</v>
      </c>
      <c s="6" r="BM852">
        <v>0</v>
      </c>
      <c s="6" r="BN852">
        <v>0</v>
      </c>
      <c s="6" r="BO852">
        <v>0</v>
      </c>
      <c s="6" r="BP852">
        <v>0</v>
      </c>
      <c s="6" r="BQ852">
        <v>0</v>
      </c>
      <c t="str" s="6" r="BR852">
        <f>HYPERLINK("http://www.d20pfsrd.com/magic/all-spells/r/reviving-finale","Reviving Finale")</f>
        <v>Reviving Finale</v>
      </c>
      <c s="6" r="BS852">
        <v>863</v>
      </c>
      <c t="s" s="6" r="BT852">
        <v>92</v>
      </c>
      <c s="6" r="BY852">
        <v>0</v>
      </c>
    </row>
    <row customHeight="1" r="853" ht="14.25">
      <c t="s" s="6" r="A853">
        <v>6441</v>
      </c>
      <c t="s" s="6" r="B853">
        <v>115</v>
      </c>
      <c t="s" s="6" r="C853">
        <v>116</v>
      </c>
      <c t="s" s="6" r="D853">
        <v>117</v>
      </c>
      <c t="s" s="6" r="E853">
        <v>6442</v>
      </c>
      <c t="s" s="6" r="F853">
        <v>81</v>
      </c>
      <c t="s" s="6" r="G853">
        <v>119</v>
      </c>
      <c s="6" r="H853">
        <v>0</v>
      </c>
      <c t="s" s="6" r="I853">
        <v>120</v>
      </c>
      <c t="s" s="6" r="L853">
        <v>420</v>
      </c>
      <c t="s" s="6" r="M853">
        <v>99</v>
      </c>
      <c s="6" r="N853">
        <v>0</v>
      </c>
      <c s="6" r="O853">
        <v>0</v>
      </c>
      <c t="s" s="6" r="P853">
        <v>421</v>
      </c>
      <c t="s" s="6" r="Q853">
        <v>123</v>
      </c>
      <c t="s" s="6" r="R853">
        <v>6443</v>
      </c>
      <c t="s" s="6" r="S853">
        <v>6444</v>
      </c>
      <c t="s" s="6" r="T853">
        <v>5200</v>
      </c>
      <c t="s" s="6" r="U853">
        <v>6445</v>
      </c>
      <c s="6" r="V853">
        <v>1</v>
      </c>
      <c s="6" r="W853">
        <v>1</v>
      </c>
      <c s="6" r="X853">
        <v>0</v>
      </c>
      <c s="6" r="Y853">
        <v>0</v>
      </c>
      <c s="6" r="Z853">
        <v>1</v>
      </c>
      <c t="s" s="6" r="AA853">
        <v>92</v>
      </c>
      <c t="s" s="6" r="AB853">
        <v>92</v>
      </c>
      <c t="s" s="6" r="AC853">
        <v>92</v>
      </c>
      <c t="s" s="6" r="AD853">
        <v>92</v>
      </c>
      <c t="s" s="6" r="AE853">
        <v>92</v>
      </c>
      <c t="s" s="6" r="AF853">
        <v>92</v>
      </c>
      <c s="6" r="AG853">
        <v>2</v>
      </c>
      <c t="s" s="6" r="AH853">
        <v>92</v>
      </c>
      <c t="s" s="6" r="AI853">
        <v>92</v>
      </c>
      <c t="s" s="6" r="AJ853">
        <v>92</v>
      </c>
      <c s="6" r="AK853">
        <v>3</v>
      </c>
      <c t="s" s="6" r="AL853">
        <v>92</v>
      </c>
      <c t="s" s="6" r="AM853">
        <v>92</v>
      </c>
      <c t="s" s="6" r="AN853">
        <v>92</v>
      </c>
      <c s="6" r="AP853">
        <v>2</v>
      </c>
      <c t="s" s="6" r="AR853">
        <v>6446</v>
      </c>
      <c s="6" r="AS853">
        <v>0</v>
      </c>
      <c s="6" r="AT853">
        <v>0</v>
      </c>
      <c s="6" r="AU853">
        <v>0</v>
      </c>
      <c s="6" r="AV853">
        <v>0</v>
      </c>
      <c s="6" r="AW853">
        <v>0</v>
      </c>
      <c s="6" r="AX853">
        <v>0</v>
      </c>
      <c s="6" r="AY853">
        <v>0</v>
      </c>
      <c s="6" r="AZ853">
        <v>0</v>
      </c>
      <c s="6" r="BA853">
        <v>0</v>
      </c>
      <c s="6" r="BB853">
        <v>0</v>
      </c>
      <c s="6" r="BC853">
        <v>0</v>
      </c>
      <c s="6" r="BD853">
        <v>0</v>
      </c>
      <c s="6" r="BE853">
        <v>0</v>
      </c>
      <c s="6" r="BF853">
        <v>0</v>
      </c>
      <c s="6" r="BG853">
        <v>0</v>
      </c>
      <c s="6" r="BH853">
        <v>0</v>
      </c>
      <c s="6" r="BI853">
        <v>0</v>
      </c>
      <c s="6" r="BJ853">
        <v>0</v>
      </c>
      <c s="6" r="BK853">
        <v>0</v>
      </c>
      <c s="6" r="BL853">
        <v>1</v>
      </c>
      <c s="6" r="BM853">
        <v>0</v>
      </c>
      <c s="6" r="BN853">
        <v>0</v>
      </c>
      <c s="6" r="BO853">
        <v>0</v>
      </c>
      <c s="6" r="BP853">
        <v>0</v>
      </c>
      <c s="6" r="BQ853">
        <v>0</v>
      </c>
      <c t="str" s="6" r="BR853">
        <f>HYPERLINK("http://www.d20pfsrd.com/magic/all-spells/r/righteous-vigor","Righteous Vigor")</f>
        <v>Righteous Vigor</v>
      </c>
      <c s="6" r="BS853">
        <v>864</v>
      </c>
      <c t="s" s="6" r="BT853">
        <v>92</v>
      </c>
      <c s="6" r="BY853">
        <v>0</v>
      </c>
    </row>
    <row customHeight="1" r="854" ht="14.25">
      <c t="s" s="6" r="A854">
        <v>6447</v>
      </c>
      <c t="s" s="6" r="B854">
        <v>493</v>
      </c>
      <c t="s" s="6" r="D854">
        <v>45</v>
      </c>
      <c t="s" s="6" r="E854">
        <v>5303</v>
      </c>
      <c t="s" s="6" r="F854">
        <v>81</v>
      </c>
      <c t="s" s="6" r="G854">
        <v>106</v>
      </c>
      <c s="6" r="H854">
        <v>0</v>
      </c>
      <c t="s" s="6" r="I854">
        <v>2644</v>
      </c>
      <c t="s" s="6" r="J854">
        <v>2645</v>
      </c>
      <c t="s" s="6" r="M854">
        <v>99</v>
      </c>
      <c s="6" r="N854">
        <v>0</v>
      </c>
      <c s="6" r="O854">
        <v>0</v>
      </c>
      <c t="s" s="6" r="P854">
        <v>1254</v>
      </c>
      <c t="s" s="6" r="Q854">
        <v>188</v>
      </c>
      <c t="s" s="6" r="R854">
        <v>6448</v>
      </c>
      <c t="s" s="6" r="S854">
        <v>6449</v>
      </c>
      <c t="s" s="6" r="T854">
        <v>5200</v>
      </c>
      <c t="s" s="6" r="U854">
        <v>6450</v>
      </c>
      <c s="6" r="V854">
        <v>1</v>
      </c>
      <c s="6" r="W854">
        <v>1</v>
      </c>
      <c s="6" r="X854">
        <v>0</v>
      </c>
      <c s="6" r="Y854">
        <v>0</v>
      </c>
      <c s="6" r="Z854">
        <v>0</v>
      </c>
      <c s="6" r="AA854">
        <v>4</v>
      </c>
      <c s="6" r="AB854">
        <v>4</v>
      </c>
      <c t="s" s="6" r="AC854">
        <v>92</v>
      </c>
      <c s="6" r="AD854">
        <v>4</v>
      </c>
      <c t="s" s="6" r="AE854">
        <v>92</v>
      </c>
      <c t="s" s="6" r="AF854">
        <v>92</v>
      </c>
      <c t="s" s="6" r="AG854">
        <v>92</v>
      </c>
      <c t="s" s="6" r="AH854">
        <v>92</v>
      </c>
      <c t="s" s="6" r="AI854">
        <v>92</v>
      </c>
      <c t="s" s="6" r="AJ854">
        <v>92</v>
      </c>
      <c t="s" s="6" r="AK854">
        <v>92</v>
      </c>
      <c t="s" s="6" r="AL854">
        <v>92</v>
      </c>
      <c t="s" s="6" r="AM854">
        <v>92</v>
      </c>
      <c s="6" r="AN854">
        <v>4</v>
      </c>
      <c s="6" r="AP854">
        <v>4</v>
      </c>
      <c t="s" s="6" r="AR854">
        <v>6451</v>
      </c>
      <c s="6" r="AS854">
        <v>0</v>
      </c>
      <c s="6" r="AT854">
        <v>1</v>
      </c>
      <c s="6" r="AU854">
        <v>0</v>
      </c>
      <c s="6" r="AV854">
        <v>0</v>
      </c>
      <c s="6" r="AW854">
        <v>0</v>
      </c>
      <c s="6" r="AX854">
        <v>0</v>
      </c>
      <c s="6" r="AY854">
        <v>0</v>
      </c>
      <c s="6" r="AZ854">
        <v>0</v>
      </c>
      <c s="6" r="BA854">
        <v>0</v>
      </c>
      <c s="6" r="BB854">
        <v>0</v>
      </c>
      <c s="6" r="BC854">
        <v>0</v>
      </c>
      <c s="6" r="BD854">
        <v>0</v>
      </c>
      <c s="6" r="BE854">
        <v>0</v>
      </c>
      <c s="6" r="BF854">
        <v>0</v>
      </c>
      <c s="6" r="BG854">
        <v>0</v>
      </c>
      <c s="6" r="BH854">
        <v>0</v>
      </c>
      <c s="6" r="BI854">
        <v>0</v>
      </c>
      <c s="6" r="BJ854">
        <v>0</v>
      </c>
      <c s="6" r="BK854">
        <v>0</v>
      </c>
      <c s="6" r="BL854">
        <v>0</v>
      </c>
      <c s="6" r="BM854">
        <v>0</v>
      </c>
      <c s="6" r="BN854">
        <v>0</v>
      </c>
      <c s="6" r="BO854">
        <v>0</v>
      </c>
      <c s="6" r="BP854">
        <v>0</v>
      </c>
      <c s="6" r="BQ854">
        <v>0</v>
      </c>
      <c t="str" s="6" r="BR854">
        <f>HYPERLINK("http://www.d20pfsrd.com/magic/all-spells/r/river-of-wind","River of Wind")</f>
        <v>River of Wind</v>
      </c>
      <c s="6" r="BS854">
        <v>865</v>
      </c>
      <c t="s" s="6" r="BT854">
        <v>92</v>
      </c>
      <c s="6" r="BY854">
        <v>0</v>
      </c>
    </row>
    <row customHeight="1" r="855" ht="14.25">
      <c t="s" s="6" r="A855">
        <v>6452</v>
      </c>
      <c t="s" s="6" r="B855">
        <v>78</v>
      </c>
      <c t="s" s="6" r="C855">
        <v>598</v>
      </c>
      <c t="s" s="6" r="E855">
        <v>6453</v>
      </c>
      <c t="s" s="6" r="F855">
        <v>272</v>
      </c>
      <c t="s" s="6" r="G855">
        <v>6454</v>
      </c>
      <c s="6" r="H855">
        <v>1</v>
      </c>
      <c t="s" s="6" r="I855">
        <v>1675</v>
      </c>
      <c t="s" s="6" r="L855">
        <v>420</v>
      </c>
      <c t="s" s="6" r="M855">
        <v>5954</v>
      </c>
      <c s="6" r="N855">
        <v>1</v>
      </c>
      <c s="6" r="O855">
        <v>0</v>
      </c>
      <c t="s" s="6" r="P855">
        <v>421</v>
      </c>
      <c t="s" s="6" r="Q855">
        <v>123</v>
      </c>
      <c t="s" s="6" r="R855">
        <v>6455</v>
      </c>
      <c t="s" s="6" r="S855">
        <v>6456</v>
      </c>
      <c t="s" s="6" r="T855">
        <v>5200</v>
      </c>
      <c t="s" s="6" r="U855">
        <v>6457</v>
      </c>
      <c s="6" r="V855">
        <v>1</v>
      </c>
      <c s="6" r="W855">
        <v>1</v>
      </c>
      <c s="6" r="X855">
        <v>0</v>
      </c>
      <c s="6" r="Y855">
        <v>0</v>
      </c>
      <c s="6" r="Z855">
        <v>0</v>
      </c>
      <c t="s" s="6" r="AA855">
        <v>92</v>
      </c>
      <c t="s" s="6" r="AB855">
        <v>92</v>
      </c>
      <c s="6" r="AC855">
        <v>3</v>
      </c>
      <c t="s" s="6" r="AD855">
        <v>92</v>
      </c>
      <c t="s" s="6" r="AE855">
        <v>92</v>
      </c>
      <c t="s" s="6" r="AF855">
        <v>92</v>
      </c>
      <c s="6" r="AG855">
        <v>2</v>
      </c>
      <c t="s" s="6" r="AH855">
        <v>92</v>
      </c>
      <c t="s" s="6" r="AI855">
        <v>92</v>
      </c>
      <c t="s" s="6" r="AJ855">
        <v>92</v>
      </c>
      <c s="6" r="AK855">
        <v>2</v>
      </c>
      <c s="6" r="AL855">
        <v>3</v>
      </c>
      <c t="s" s="6" r="AM855">
        <v>92</v>
      </c>
      <c t="s" s="6" r="AN855">
        <v>92</v>
      </c>
      <c s="6" r="AP855">
        <v>3</v>
      </c>
      <c t="s" s="6" r="AR855">
        <v>6458</v>
      </c>
      <c s="6" r="AS855">
        <v>0</v>
      </c>
      <c s="6" r="AT855">
        <v>0</v>
      </c>
      <c s="6" r="AU855">
        <v>0</v>
      </c>
      <c s="6" r="AV855">
        <v>0</v>
      </c>
      <c s="6" r="AW855">
        <v>0</v>
      </c>
      <c s="6" r="AX855">
        <v>0</v>
      </c>
      <c s="6" r="AY855">
        <v>0</v>
      </c>
      <c s="6" r="AZ855">
        <v>0</v>
      </c>
      <c s="6" r="BA855">
        <v>0</v>
      </c>
      <c s="6" r="BB855">
        <v>0</v>
      </c>
      <c s="6" r="BC855">
        <v>0</v>
      </c>
      <c s="6" r="BD855">
        <v>0</v>
      </c>
      <c s="6" r="BE855">
        <v>0</v>
      </c>
      <c s="6" r="BF855">
        <v>0</v>
      </c>
      <c s="6" r="BG855">
        <v>0</v>
      </c>
      <c s="6" r="BH855">
        <v>0</v>
      </c>
      <c s="6" r="BI855">
        <v>0</v>
      </c>
      <c s="6" r="BJ855">
        <v>0</v>
      </c>
      <c s="6" r="BK855">
        <v>0</v>
      </c>
      <c s="6" r="BL855">
        <v>0</v>
      </c>
      <c s="6" r="BM855">
        <v>0</v>
      </c>
      <c s="6" r="BN855">
        <v>0</v>
      </c>
      <c s="6" r="BO855">
        <v>0</v>
      </c>
      <c s="6" r="BP855">
        <v>0</v>
      </c>
      <c s="6" r="BQ855">
        <v>0</v>
      </c>
      <c t="str" s="6" r="BR855">
        <f>HYPERLINK("http://www.d20pfsrd.com/magic/all-spells/s/sacred-bond","Sacred Bond")</f>
        <v>Sacred Bond</v>
      </c>
      <c s="6" r="BS855">
        <v>866</v>
      </c>
      <c s="6" r="BT855">
        <v>100</v>
      </c>
      <c t="s" s="6" r="BW855">
        <v>6459</v>
      </c>
      <c t="s" s="6" r="BX855">
        <v>6460</v>
      </c>
      <c s="6" r="BY855">
        <v>1</v>
      </c>
    </row>
    <row customHeight="1" r="856" ht="14.25">
      <c t="s" s="6" r="A856">
        <v>6461</v>
      </c>
      <c t="s" s="6" r="B856">
        <v>162</v>
      </c>
      <c t="s" s="6" r="E856">
        <v>2367</v>
      </c>
      <c t="s" s="6" r="F856">
        <v>81</v>
      </c>
      <c t="s" s="6" r="G856">
        <v>119</v>
      </c>
      <c s="6" r="H856">
        <v>0</v>
      </c>
      <c t="s" s="6" r="I856">
        <v>120</v>
      </c>
      <c t="s" s="6" r="L856">
        <v>420</v>
      </c>
      <c t="s" s="6" r="M856">
        <v>2718</v>
      </c>
      <c s="6" r="N856">
        <v>0</v>
      </c>
      <c s="6" r="O856">
        <v>0</v>
      </c>
      <c t="s" s="6" r="P856">
        <v>1227</v>
      </c>
      <c t="s" s="6" r="Q856">
        <v>123</v>
      </c>
      <c t="s" s="6" r="R856">
        <v>6462</v>
      </c>
      <c t="s" s="6" r="S856">
        <v>6463</v>
      </c>
      <c t="s" s="6" r="T856">
        <v>5200</v>
      </c>
      <c t="s" s="6" r="U856">
        <v>6464</v>
      </c>
      <c s="6" r="V856">
        <v>1</v>
      </c>
      <c s="6" r="W856">
        <v>1</v>
      </c>
      <c s="6" r="X856">
        <v>0</v>
      </c>
      <c s="6" r="Y856">
        <v>0</v>
      </c>
      <c s="6" r="Z856">
        <v>1</v>
      </c>
      <c t="s" s="6" r="AA856">
        <v>92</v>
      </c>
      <c t="s" s="6" r="AB856">
        <v>92</v>
      </c>
      <c t="s" s="6" r="AC856">
        <v>92</v>
      </c>
      <c t="s" s="6" r="AD856">
        <v>92</v>
      </c>
      <c t="s" s="6" r="AE856">
        <v>92</v>
      </c>
      <c t="s" s="6" r="AF856">
        <v>92</v>
      </c>
      <c s="6" r="AG856">
        <v>4</v>
      </c>
      <c t="s" s="6" r="AH856">
        <v>92</v>
      </c>
      <c t="s" s="6" r="AI856">
        <v>92</v>
      </c>
      <c t="s" s="6" r="AJ856">
        <v>92</v>
      </c>
      <c t="s" s="6" r="AK856">
        <v>92</v>
      </c>
      <c t="s" s="6" r="AL856">
        <v>92</v>
      </c>
      <c t="s" s="6" r="AM856">
        <v>92</v>
      </c>
      <c t="s" s="6" r="AN856">
        <v>92</v>
      </c>
      <c s="6" r="AP856">
        <v>4</v>
      </c>
      <c t="s" s="6" r="AQ856">
        <v>6465</v>
      </c>
      <c t="s" s="6" r="AR856">
        <v>6466</v>
      </c>
      <c s="6" r="AS856">
        <v>0</v>
      </c>
      <c s="6" r="AT856">
        <v>0</v>
      </c>
      <c s="6" r="AU856">
        <v>0</v>
      </c>
      <c s="6" r="AV856">
        <v>0</v>
      </c>
      <c s="6" r="AW856">
        <v>0</v>
      </c>
      <c s="6" r="AX856">
        <v>0</v>
      </c>
      <c s="6" r="AY856">
        <v>0</v>
      </c>
      <c s="6" r="AZ856">
        <v>0</v>
      </c>
      <c s="6" r="BA856">
        <v>0</v>
      </c>
      <c s="6" r="BB856">
        <v>0</v>
      </c>
      <c s="6" r="BC856">
        <v>0</v>
      </c>
      <c s="6" r="BD856">
        <v>0</v>
      </c>
      <c s="6" r="BE856">
        <v>0</v>
      </c>
      <c s="6" r="BF856">
        <v>0</v>
      </c>
      <c s="6" r="BG856">
        <v>0</v>
      </c>
      <c s="6" r="BH856">
        <v>0</v>
      </c>
      <c s="6" r="BI856">
        <v>0</v>
      </c>
      <c s="6" r="BJ856">
        <v>0</v>
      </c>
      <c s="6" r="BK856">
        <v>0</v>
      </c>
      <c s="6" r="BL856">
        <v>0</v>
      </c>
      <c s="6" r="BM856">
        <v>0</v>
      </c>
      <c s="6" r="BN856">
        <v>0</v>
      </c>
      <c s="6" r="BO856">
        <v>0</v>
      </c>
      <c s="6" r="BP856">
        <v>0</v>
      </c>
      <c s="6" r="BQ856">
        <v>0</v>
      </c>
      <c t="str" s="6" r="BR856">
        <f>HYPERLINK("http://www.d20pfsrd.com/magic/all-spells/s/sacrificial-oath","Sacrificial Oath")</f>
        <v>Sacrificial Oath</v>
      </c>
      <c s="6" r="BS856">
        <v>867</v>
      </c>
      <c t="s" s="6" r="BT856">
        <v>92</v>
      </c>
      <c s="6" r="BY856">
        <v>0</v>
      </c>
    </row>
    <row customHeight="1" r="857" ht="14.25">
      <c t="s" s="6" r="A857">
        <v>6467</v>
      </c>
      <c t="s" s="6" r="B857">
        <v>131</v>
      </c>
      <c t="s" s="6" r="E857">
        <v>5295</v>
      </c>
      <c t="s" s="6" r="F857">
        <v>81</v>
      </c>
      <c t="s" s="6" r="G857">
        <v>119</v>
      </c>
      <c s="6" r="H857">
        <v>0</v>
      </c>
      <c t="s" s="6" r="I857">
        <v>155</v>
      </c>
      <c t="s" s="6" r="L857">
        <v>6468</v>
      </c>
      <c t="s" s="6" r="M857">
        <v>6469</v>
      </c>
      <c s="6" r="N857">
        <v>1</v>
      </c>
      <c s="6" r="O857">
        <v>0</v>
      </c>
      <c t="s" s="6" r="R857">
        <v>6470</v>
      </c>
      <c t="s" s="6" r="S857">
        <v>6471</v>
      </c>
      <c t="s" s="6" r="T857">
        <v>5200</v>
      </c>
      <c t="s" s="6" r="U857">
        <v>6472</v>
      </c>
      <c s="6" r="V857">
        <v>1</v>
      </c>
      <c s="6" r="W857">
        <v>1</v>
      </c>
      <c s="6" r="X857">
        <v>0</v>
      </c>
      <c s="6" r="Y857">
        <v>0</v>
      </c>
      <c s="6" r="Z857">
        <v>1</v>
      </c>
      <c t="s" s="6" r="AA857">
        <v>92</v>
      </c>
      <c t="s" s="6" r="AB857">
        <v>92</v>
      </c>
      <c t="s" s="6" r="AC857">
        <v>92</v>
      </c>
      <c t="s" s="6" r="AD857">
        <v>92</v>
      </c>
      <c t="s" s="6" r="AE857">
        <v>92</v>
      </c>
      <c t="s" s="6" r="AF857">
        <v>92</v>
      </c>
      <c s="6" r="AG857">
        <v>2</v>
      </c>
      <c t="s" s="6" r="AH857">
        <v>92</v>
      </c>
      <c t="s" s="6" r="AI857">
        <v>92</v>
      </c>
      <c t="s" s="6" r="AJ857">
        <v>92</v>
      </c>
      <c t="s" s="6" r="AK857">
        <v>92</v>
      </c>
      <c t="s" s="6" r="AL857">
        <v>92</v>
      </c>
      <c t="s" s="6" r="AM857">
        <v>92</v>
      </c>
      <c t="s" s="6" r="AN857">
        <v>92</v>
      </c>
      <c s="6" r="AP857">
        <v>2</v>
      </c>
      <c t="s" s="6" r="AR857">
        <v>6473</v>
      </c>
      <c s="6" r="AS857">
        <v>0</v>
      </c>
      <c s="6" r="AT857">
        <v>0</v>
      </c>
      <c s="6" r="AU857">
        <v>0</v>
      </c>
      <c s="6" r="AV857">
        <v>0</v>
      </c>
      <c s="6" r="AW857">
        <v>0</v>
      </c>
      <c s="6" r="AX857">
        <v>0</v>
      </c>
      <c s="6" r="AY857">
        <v>0</v>
      </c>
      <c s="6" r="AZ857">
        <v>0</v>
      </c>
      <c s="6" r="BA857">
        <v>0</v>
      </c>
      <c s="6" r="BB857">
        <v>0</v>
      </c>
      <c s="6" r="BC857">
        <v>0</v>
      </c>
      <c s="6" r="BD857">
        <v>0</v>
      </c>
      <c s="6" r="BE857">
        <v>0</v>
      </c>
      <c s="6" r="BF857">
        <v>0</v>
      </c>
      <c s="6" r="BG857">
        <v>0</v>
      </c>
      <c s="6" r="BH857">
        <v>0</v>
      </c>
      <c s="6" r="BI857">
        <v>0</v>
      </c>
      <c s="6" r="BJ857">
        <v>0</v>
      </c>
      <c s="6" r="BK857">
        <v>0</v>
      </c>
      <c s="6" r="BL857">
        <v>0</v>
      </c>
      <c s="6" r="BM857">
        <v>0</v>
      </c>
      <c s="6" r="BN857">
        <v>0</v>
      </c>
      <c s="6" r="BO857">
        <v>0</v>
      </c>
      <c s="6" r="BP857">
        <v>0</v>
      </c>
      <c s="6" r="BQ857">
        <v>0</v>
      </c>
      <c t="str" s="6" r="BR857">
        <f>HYPERLINK("http://www.d20pfsrd.com/magic/all-spells/s/saddle-surge","Saddle Surge")</f>
        <v>Saddle Surge</v>
      </c>
      <c s="6" r="BS857">
        <v>868</v>
      </c>
      <c t="s" s="6" r="BT857">
        <v>92</v>
      </c>
      <c s="6" r="BY857">
        <v>0</v>
      </c>
    </row>
    <row customHeight="1" r="858" ht="14.25">
      <c t="s" s="6" r="A858">
        <v>6474</v>
      </c>
      <c t="s" s="6" r="B858">
        <v>162</v>
      </c>
      <c t="s" s="6" r="D858">
        <v>59</v>
      </c>
      <c t="s" s="6" r="E858">
        <v>6475</v>
      </c>
      <c t="s" s="6" r="F858">
        <v>81</v>
      </c>
      <c t="s" s="6" r="G858">
        <v>106</v>
      </c>
      <c s="6" r="H858">
        <v>0</v>
      </c>
      <c t="s" s="6" r="I858">
        <v>120</v>
      </c>
      <c t="s" s="6" r="L858">
        <v>5643</v>
      </c>
      <c t="s" s="6" r="M858">
        <v>2718</v>
      </c>
      <c s="6" r="N858">
        <v>0</v>
      </c>
      <c s="6" r="O858">
        <v>0</v>
      </c>
      <c t="s" s="6" r="P858">
        <v>144</v>
      </c>
      <c t="s" s="6" r="Q858">
        <v>145</v>
      </c>
      <c t="s" s="6" r="R858">
        <v>6476</v>
      </c>
      <c t="s" s="6" r="S858">
        <v>6477</v>
      </c>
      <c t="s" s="6" r="T858">
        <v>5200</v>
      </c>
      <c t="s" s="6" r="U858">
        <v>6478</v>
      </c>
      <c s="6" r="V858">
        <v>1</v>
      </c>
      <c s="6" r="W858">
        <v>1</v>
      </c>
      <c s="6" r="X858">
        <v>0</v>
      </c>
      <c s="6" r="Y858">
        <v>0</v>
      </c>
      <c s="6" r="Z858">
        <v>0</v>
      </c>
      <c t="s" s="6" r="AA858">
        <v>92</v>
      </c>
      <c t="s" s="6" r="AB858">
        <v>92</v>
      </c>
      <c t="s" s="6" r="AC858">
        <v>92</v>
      </c>
      <c t="s" s="6" r="AD858">
        <v>92</v>
      </c>
      <c t="s" s="6" r="AE858">
        <v>92</v>
      </c>
      <c t="s" s="6" r="AF858">
        <v>92</v>
      </c>
      <c s="6" r="AG858">
        <v>3</v>
      </c>
      <c t="s" s="6" r="AH858">
        <v>92</v>
      </c>
      <c t="s" s="6" r="AI858">
        <v>92</v>
      </c>
      <c t="s" s="6" r="AJ858">
        <v>92</v>
      </c>
      <c s="6" r="AK858">
        <v>4</v>
      </c>
      <c t="s" s="6" r="AL858">
        <v>92</v>
      </c>
      <c t="s" s="6" r="AM858">
        <v>92</v>
      </c>
      <c t="s" s="6" r="AN858">
        <v>92</v>
      </c>
      <c s="6" r="AP858">
        <v>3</v>
      </c>
      <c t="s" s="6" r="AR858">
        <v>6479</v>
      </c>
      <c s="6" r="AS858">
        <v>0</v>
      </c>
      <c s="6" r="AT858">
        <v>0</v>
      </c>
      <c s="6" r="AU858">
        <v>0</v>
      </c>
      <c s="6" r="AV858">
        <v>0</v>
      </c>
      <c s="6" r="AW858">
        <v>0</v>
      </c>
      <c s="6" r="AX858">
        <v>0</v>
      </c>
      <c s="6" r="AY858">
        <v>0</v>
      </c>
      <c s="6" r="AZ858">
        <v>0</v>
      </c>
      <c s="6" r="BA858">
        <v>0</v>
      </c>
      <c s="6" r="BB858">
        <v>0</v>
      </c>
      <c s="6" r="BC858">
        <v>0</v>
      </c>
      <c s="6" r="BD858">
        <v>0</v>
      </c>
      <c s="6" r="BE858">
        <v>0</v>
      </c>
      <c s="6" r="BF858">
        <v>0</v>
      </c>
      <c s="6" r="BG858">
        <v>0</v>
      </c>
      <c s="6" r="BH858">
        <v>1</v>
      </c>
      <c s="6" r="BI858">
        <v>0</v>
      </c>
      <c s="6" r="BJ858">
        <v>0</v>
      </c>
      <c s="6" r="BK858">
        <v>0</v>
      </c>
      <c s="6" r="BL858">
        <v>0</v>
      </c>
      <c s="6" r="BM858">
        <v>0</v>
      </c>
      <c s="6" r="BN858">
        <v>0</v>
      </c>
      <c s="6" r="BO858">
        <v>0</v>
      </c>
      <c s="6" r="BP858">
        <v>0</v>
      </c>
      <c s="6" r="BQ858">
        <v>0</v>
      </c>
      <c t="str" s="6" r="BR858">
        <f>HYPERLINK("http://www.d20pfsrd.com/magic/all-spells/s/sanctify-armor","Sanctify Armor")</f>
        <v>Sanctify Armor</v>
      </c>
      <c s="6" r="BS858">
        <v>869</v>
      </c>
      <c t="s" s="6" r="BT858">
        <v>92</v>
      </c>
      <c t="s" s="6" r="BW858">
        <v>6480</v>
      </c>
      <c t="s" s="6" r="BX858">
        <v>6481</v>
      </c>
      <c s="6" r="BY858">
        <v>1</v>
      </c>
    </row>
    <row customHeight="1" r="859" ht="14.25">
      <c t="s" s="6" r="A859">
        <v>6482</v>
      </c>
      <c t="s" s="6" r="B859">
        <v>493</v>
      </c>
      <c t="s" s="6" r="D859">
        <v>117</v>
      </c>
      <c t="s" s="6" r="E859">
        <v>915</v>
      </c>
      <c t="s" s="6" r="F859">
        <v>1743</v>
      </c>
      <c t="s" s="6" r="G859">
        <v>106</v>
      </c>
      <c s="6" r="H859">
        <v>0</v>
      </c>
      <c t="s" s="6" r="I859">
        <v>107</v>
      </c>
      <c t="s" s="6" r="L859">
        <v>473</v>
      </c>
      <c t="s" s="6" r="M859">
        <v>109</v>
      </c>
      <c s="6" r="N859">
        <v>0</v>
      </c>
      <c s="6" r="O859">
        <v>0</v>
      </c>
      <c t="s" s="6" r="P859">
        <v>421</v>
      </c>
      <c t="s" s="6" r="Q859">
        <v>123</v>
      </c>
      <c t="s" s="6" r="R859">
        <v>6483</v>
      </c>
      <c t="s" s="6" r="S859">
        <v>6484</v>
      </c>
      <c t="s" s="6" r="T859">
        <v>5200</v>
      </c>
      <c t="s" s="6" r="U859">
        <v>6485</v>
      </c>
      <c s="6" r="V859">
        <v>1</v>
      </c>
      <c s="6" r="W859">
        <v>1</v>
      </c>
      <c s="6" r="X859">
        <v>0</v>
      </c>
      <c s="6" r="Y859">
        <v>0</v>
      </c>
      <c s="6" r="Z859">
        <v>0</v>
      </c>
      <c t="s" s="6" r="AA859">
        <v>92</v>
      </c>
      <c t="s" s="6" r="AB859">
        <v>92</v>
      </c>
      <c t="s" s="6" r="AC859">
        <v>92</v>
      </c>
      <c t="s" s="6" r="AD859">
        <v>92</v>
      </c>
      <c t="s" s="6" r="AE859">
        <v>92</v>
      </c>
      <c s="6" r="AF859">
        <v>1</v>
      </c>
      <c t="s" s="6" r="AG859">
        <v>92</v>
      </c>
      <c t="s" s="6" r="AH859">
        <v>92</v>
      </c>
      <c t="s" s="6" r="AI859">
        <v>92</v>
      </c>
      <c t="s" s="6" r="AJ859">
        <v>92</v>
      </c>
      <c t="s" s="6" r="AK859">
        <v>92</v>
      </c>
      <c t="s" s="6" r="AL859">
        <v>92</v>
      </c>
      <c t="s" s="6" r="AM859">
        <v>92</v>
      </c>
      <c t="s" s="6" r="AN859">
        <v>92</v>
      </c>
      <c s="6" r="AP859">
        <v>1</v>
      </c>
      <c t="s" s="6" r="AR859">
        <v>6486</v>
      </c>
      <c s="6" r="AS859">
        <v>0</v>
      </c>
      <c s="6" r="AT859">
        <v>0</v>
      </c>
      <c s="6" r="AU859">
        <v>0</v>
      </c>
      <c s="6" r="AV859">
        <v>0</v>
      </c>
      <c s="6" r="AW859">
        <v>0</v>
      </c>
      <c s="6" r="AX859">
        <v>0</v>
      </c>
      <c s="6" r="AY859">
        <v>0</v>
      </c>
      <c s="6" r="AZ859">
        <v>0</v>
      </c>
      <c s="6" r="BA859">
        <v>0</v>
      </c>
      <c s="6" r="BB859">
        <v>0</v>
      </c>
      <c s="6" r="BC859">
        <v>0</v>
      </c>
      <c s="6" r="BD859">
        <v>0</v>
      </c>
      <c s="6" r="BE859">
        <v>0</v>
      </c>
      <c s="6" r="BF859">
        <v>0</v>
      </c>
      <c s="6" r="BG859">
        <v>0</v>
      </c>
      <c s="6" r="BH859">
        <v>0</v>
      </c>
      <c s="6" r="BI859">
        <v>0</v>
      </c>
      <c s="6" r="BJ859">
        <v>0</v>
      </c>
      <c s="6" r="BK859">
        <v>0</v>
      </c>
      <c s="6" r="BL859">
        <v>1</v>
      </c>
      <c s="6" r="BM859">
        <v>0</v>
      </c>
      <c s="6" r="BN859">
        <v>0</v>
      </c>
      <c s="6" r="BO859">
        <v>0</v>
      </c>
      <c s="6" r="BP859">
        <v>0</v>
      </c>
      <c s="6" r="BQ859">
        <v>0</v>
      </c>
      <c t="str" s="6" r="BR859">
        <f>HYPERLINK("http://www.d20pfsrd.com/magic/all-spells/s/saving-finale","Saving Finale")</f>
        <v>Saving Finale</v>
      </c>
      <c s="6" r="BS859">
        <v>870</v>
      </c>
      <c t="s" s="6" r="BT859">
        <v>92</v>
      </c>
      <c t="s" s="6" r="BW859">
        <v>6487</v>
      </c>
      <c s="6" r="BY859">
        <v>1</v>
      </c>
    </row>
    <row customHeight="1" r="860" ht="14.25">
      <c t="s" s="6" r="A860">
        <v>6488</v>
      </c>
      <c t="s" s="6" r="B860">
        <v>131</v>
      </c>
      <c t="s" s="6" r="E860">
        <v>760</v>
      </c>
      <c t="s" s="6" r="F860">
        <v>81</v>
      </c>
      <c t="s" s="6" r="G860">
        <v>6489</v>
      </c>
      <c s="6" r="H860">
        <v>0</v>
      </c>
      <c t="s" s="6" r="I860">
        <v>107</v>
      </c>
      <c t="s" s="6" r="L860">
        <v>620</v>
      </c>
      <c t="s" s="6" r="M860">
        <v>209</v>
      </c>
      <c s="6" r="N860">
        <v>0</v>
      </c>
      <c s="6" r="O860">
        <v>0</v>
      </c>
      <c t="s" s="6" r="P860">
        <v>1227</v>
      </c>
      <c t="s" s="6" r="Q860">
        <v>123</v>
      </c>
      <c t="s" s="6" r="R860">
        <v>6490</v>
      </c>
      <c t="s" s="6" r="S860">
        <v>6491</v>
      </c>
      <c t="s" s="6" r="T860">
        <v>5200</v>
      </c>
      <c t="s" s="6" r="U860">
        <v>6492</v>
      </c>
      <c s="6" r="V860">
        <v>1</v>
      </c>
      <c s="6" r="W860">
        <v>1</v>
      </c>
      <c s="6" r="X860">
        <v>1</v>
      </c>
      <c s="6" r="Y860">
        <v>0</v>
      </c>
      <c s="6" r="Z860">
        <v>0</v>
      </c>
      <c t="s" s="6" r="AA860">
        <v>92</v>
      </c>
      <c t="s" s="6" r="AB860">
        <v>92</v>
      </c>
      <c t="s" s="6" r="AC860">
        <v>92</v>
      </c>
      <c s="6" r="AD860">
        <v>2</v>
      </c>
      <c t="s" s="6" r="AE860">
        <v>92</v>
      </c>
      <c t="s" s="6" r="AF860">
        <v>92</v>
      </c>
      <c t="s" s="6" r="AG860">
        <v>92</v>
      </c>
      <c t="s" s="6" r="AH860">
        <v>92</v>
      </c>
      <c t="s" s="6" r="AI860">
        <v>92</v>
      </c>
      <c t="s" s="6" r="AJ860">
        <v>92</v>
      </c>
      <c t="s" s="6" r="AK860">
        <v>92</v>
      </c>
      <c t="s" s="6" r="AL860">
        <v>92</v>
      </c>
      <c t="s" s="6" r="AM860">
        <v>92</v>
      </c>
      <c t="s" s="6" r="AN860">
        <v>92</v>
      </c>
      <c s="6" r="AP860">
        <v>2</v>
      </c>
      <c t="s" s="6" r="AR860">
        <v>6493</v>
      </c>
      <c s="6" r="AS860">
        <v>0</v>
      </c>
      <c s="6" r="AT860">
        <v>0</v>
      </c>
      <c s="6" r="AU860">
        <v>0</v>
      </c>
      <c s="6" r="AV860">
        <v>0</v>
      </c>
      <c s="6" r="AW860">
        <v>0</v>
      </c>
      <c s="6" r="AX860">
        <v>0</v>
      </c>
      <c s="6" r="AY860">
        <v>0</v>
      </c>
      <c s="6" r="AZ860">
        <v>0</v>
      </c>
      <c s="6" r="BA860">
        <v>0</v>
      </c>
      <c s="6" r="BB860">
        <v>0</v>
      </c>
      <c s="6" r="BC860">
        <v>0</v>
      </c>
      <c s="6" r="BD860">
        <v>0</v>
      </c>
      <c s="6" r="BE860">
        <v>0</v>
      </c>
      <c s="6" r="BF860">
        <v>0</v>
      </c>
      <c s="6" r="BG860">
        <v>0</v>
      </c>
      <c s="6" r="BH860">
        <v>0</v>
      </c>
      <c s="6" r="BI860">
        <v>0</v>
      </c>
      <c s="6" r="BJ860">
        <v>0</v>
      </c>
      <c s="6" r="BK860">
        <v>0</v>
      </c>
      <c s="6" r="BL860">
        <v>0</v>
      </c>
      <c s="6" r="BM860">
        <v>0</v>
      </c>
      <c s="6" r="BN860">
        <v>0</v>
      </c>
      <c s="6" r="BO860">
        <v>0</v>
      </c>
      <c s="6" r="BP860">
        <v>0</v>
      </c>
      <c s="6" r="BQ860">
        <v>0</v>
      </c>
      <c t="str" s="6" r="BR860">
        <f>HYPERLINK("http://www.d20pfsrd.com/magic/all-spells/s/scent-trail","Scent Trail")</f>
        <v>Scent Trail</v>
      </c>
      <c s="6" r="BS860">
        <v>871</v>
      </c>
      <c t="s" s="6" r="BT860">
        <v>92</v>
      </c>
      <c s="6" r="BY860">
        <v>0</v>
      </c>
    </row>
    <row customHeight="1" r="861" ht="14.25">
      <c t="s" s="6" r="A861">
        <v>6494</v>
      </c>
      <c t="s" s="6" r="B861">
        <v>493</v>
      </c>
      <c t="s" s="6" r="D861">
        <v>67</v>
      </c>
      <c t="s" s="6" r="E861">
        <v>6495</v>
      </c>
      <c t="s" s="6" r="F861">
        <v>81</v>
      </c>
      <c t="s" s="6" r="G861">
        <v>251</v>
      </c>
      <c s="6" r="H861">
        <v>0</v>
      </c>
      <c t="s" s="6" r="I861">
        <v>1052</v>
      </c>
      <c t="s" s="6" r="J861">
        <v>5678</v>
      </c>
      <c t="s" s="6" r="M861">
        <v>109</v>
      </c>
      <c s="6" r="N861">
        <v>0</v>
      </c>
      <c s="6" r="O861">
        <v>0</v>
      </c>
      <c t="s" s="6" r="P861">
        <v>187</v>
      </c>
      <c t="s" s="6" r="Q861">
        <v>188</v>
      </c>
      <c t="s" s="6" r="R861">
        <v>6496</v>
      </c>
      <c t="s" s="6" r="S861">
        <v>6497</v>
      </c>
      <c t="s" s="6" r="T861">
        <v>5200</v>
      </c>
      <c t="s" s="6" r="U861">
        <v>6498</v>
      </c>
      <c s="6" r="V861">
        <v>1</v>
      </c>
      <c s="6" r="W861">
        <v>0</v>
      </c>
      <c s="6" r="X861">
        <v>0</v>
      </c>
      <c s="6" r="Y861">
        <v>0</v>
      </c>
      <c s="6" r="Z861">
        <v>0</v>
      </c>
      <c t="s" s="6" r="AA861">
        <v>92</v>
      </c>
      <c t="s" s="6" r="AB861">
        <v>92</v>
      </c>
      <c t="s" s="6" r="AC861">
        <v>92</v>
      </c>
      <c t="s" s="6" r="AD861">
        <v>92</v>
      </c>
      <c t="s" s="6" r="AE861">
        <v>92</v>
      </c>
      <c t="s" s="6" r="AF861">
        <v>92</v>
      </c>
      <c t="s" s="6" r="AG861">
        <v>92</v>
      </c>
      <c t="s" s="6" r="AH861">
        <v>92</v>
      </c>
      <c t="s" s="6" r="AI861">
        <v>92</v>
      </c>
      <c s="6" r="AJ861">
        <v>3</v>
      </c>
      <c t="s" s="6" r="AK861">
        <v>92</v>
      </c>
      <c t="s" s="6" r="AL861">
        <v>92</v>
      </c>
      <c t="s" s="6" r="AM861">
        <v>92</v>
      </c>
      <c t="s" s="6" r="AN861">
        <v>92</v>
      </c>
      <c s="6" r="AP861">
        <v>3</v>
      </c>
      <c t="s" s="6" r="AR861">
        <v>6499</v>
      </c>
      <c s="6" r="AS861">
        <v>0</v>
      </c>
      <c s="6" r="AT861">
        <v>0</v>
      </c>
      <c s="6" r="AU861">
        <v>0</v>
      </c>
      <c s="6" r="AV861">
        <v>0</v>
      </c>
      <c s="6" r="AW861">
        <v>0</v>
      </c>
      <c s="6" r="AX861">
        <v>0</v>
      </c>
      <c s="6" r="AY861">
        <v>0</v>
      </c>
      <c s="6" r="AZ861">
        <v>0</v>
      </c>
      <c s="6" r="BA861">
        <v>0</v>
      </c>
      <c s="6" r="BB861">
        <v>0</v>
      </c>
      <c s="6" r="BC861">
        <v>0</v>
      </c>
      <c s="6" r="BD861">
        <v>0</v>
      </c>
      <c s="6" r="BE861">
        <v>0</v>
      </c>
      <c s="6" r="BF861">
        <v>0</v>
      </c>
      <c s="6" r="BG861">
        <v>0</v>
      </c>
      <c s="6" r="BH861">
        <v>0</v>
      </c>
      <c s="6" r="BI861">
        <v>0</v>
      </c>
      <c s="6" r="BJ861">
        <v>0</v>
      </c>
      <c s="6" r="BK861">
        <v>0</v>
      </c>
      <c s="6" r="BL861">
        <v>0</v>
      </c>
      <c s="6" r="BM861">
        <v>0</v>
      </c>
      <c s="6" r="BN861">
        <v>0</v>
      </c>
      <c s="6" r="BO861">
        <v>0</v>
      </c>
      <c s="6" r="BP861">
        <v>1</v>
      </c>
      <c s="6" r="BQ861">
        <v>0</v>
      </c>
      <c t="str" s="6" r="BR861">
        <f>HYPERLINK("http://www.d20pfsrd.com/magic/all-spells/s/screech","Screech")</f>
        <v>Screech</v>
      </c>
      <c s="6" r="BS861">
        <v>872</v>
      </c>
      <c t="s" s="6" r="BT861">
        <v>92</v>
      </c>
      <c s="6" r="BY861">
        <v>0</v>
      </c>
    </row>
    <row customHeight="1" r="862" ht="14.25">
      <c t="s" s="6" r="A862">
        <v>6500</v>
      </c>
      <c t="s" s="6" r="B862">
        <v>227</v>
      </c>
      <c t="s" s="6" r="E862">
        <v>2346</v>
      </c>
      <c t="s" s="6" r="F862">
        <v>81</v>
      </c>
      <c t="s" s="6" r="G862">
        <v>6501</v>
      </c>
      <c s="6" r="H862">
        <v>0</v>
      </c>
      <c t="s" s="6" r="I862">
        <v>120</v>
      </c>
      <c t="s" s="6" r="L862">
        <v>6409</v>
      </c>
      <c t="s" s="6" r="M862">
        <v>109</v>
      </c>
      <c s="6" r="N862">
        <v>0</v>
      </c>
      <c s="6" r="O862">
        <v>0</v>
      </c>
      <c t="s" s="6" r="P862">
        <v>722</v>
      </c>
      <c t="s" s="6" r="Q862">
        <v>87</v>
      </c>
      <c t="s" s="6" r="R862">
        <v>6502</v>
      </c>
      <c t="s" s="6" r="S862">
        <v>6503</v>
      </c>
      <c t="s" s="6" r="T862">
        <v>5200</v>
      </c>
      <c t="s" s="6" r="U862">
        <v>6504</v>
      </c>
      <c s="6" r="V862">
        <v>1</v>
      </c>
      <c s="6" r="W862">
        <v>1</v>
      </c>
      <c s="6" r="X862">
        <v>1</v>
      </c>
      <c s="6" r="Y862">
        <v>0</v>
      </c>
      <c s="6" r="Z862">
        <v>0</v>
      </c>
      <c s="6" r="AA862">
        <v>1</v>
      </c>
      <c s="6" r="AB862">
        <v>1</v>
      </c>
      <c t="s" s="6" r="AC862">
        <v>92</v>
      </c>
      <c t="s" s="6" r="AD862">
        <v>92</v>
      </c>
      <c t="s" s="6" r="AE862">
        <v>92</v>
      </c>
      <c t="s" s="6" r="AF862">
        <v>92</v>
      </c>
      <c t="s" s="6" r="AG862">
        <v>92</v>
      </c>
      <c t="s" s="6" r="AH862">
        <v>92</v>
      </c>
      <c t="s" s="6" r="AI862">
        <v>92</v>
      </c>
      <c t="s" s="6" r="AJ862">
        <v>92</v>
      </c>
      <c t="s" s="6" r="AK862">
        <v>92</v>
      </c>
      <c t="s" s="6" r="AL862">
        <v>92</v>
      </c>
      <c t="s" s="6" r="AM862">
        <v>92</v>
      </c>
      <c t="s" s="6" r="AN862">
        <v>92</v>
      </c>
      <c s="6" r="AP862">
        <v>1</v>
      </c>
      <c t="s" s="6" r="AR862">
        <v>6505</v>
      </c>
      <c s="6" r="AS862">
        <v>0</v>
      </c>
      <c s="6" r="AT862">
        <v>0</v>
      </c>
      <c s="6" r="AU862">
        <v>0</v>
      </c>
      <c s="6" r="AV862">
        <v>0</v>
      </c>
      <c s="6" r="AW862">
        <v>0</v>
      </c>
      <c s="6" r="AX862">
        <v>0</v>
      </c>
      <c s="6" r="AY862">
        <v>0</v>
      </c>
      <c s="6" r="AZ862">
        <v>0</v>
      </c>
      <c s="6" r="BA862">
        <v>0</v>
      </c>
      <c s="6" r="BB862">
        <v>0</v>
      </c>
      <c s="6" r="BC862">
        <v>0</v>
      </c>
      <c s="6" r="BD862">
        <v>0</v>
      </c>
      <c s="6" r="BE862">
        <v>0</v>
      </c>
      <c s="6" r="BF862">
        <v>0</v>
      </c>
      <c s="6" r="BG862">
        <v>0</v>
      </c>
      <c s="6" r="BH862">
        <v>0</v>
      </c>
      <c s="6" r="BI862">
        <v>0</v>
      </c>
      <c s="6" r="BJ862">
        <v>0</v>
      </c>
      <c s="6" r="BK862">
        <v>0</v>
      </c>
      <c s="6" r="BL862">
        <v>0</v>
      </c>
      <c s="6" r="BM862">
        <v>0</v>
      </c>
      <c s="6" r="BN862">
        <v>0</v>
      </c>
      <c s="6" r="BO862">
        <v>0</v>
      </c>
      <c s="6" r="BP862">
        <v>0</v>
      </c>
      <c s="6" r="BQ862">
        <v>0</v>
      </c>
      <c t="str" s="6" r="BR862">
        <f>HYPERLINK("http://www.d20pfsrd.com/magic/all-spells/s/sculpt-corpse","Sculpt Corpse")</f>
        <v>Sculpt Corpse</v>
      </c>
      <c s="6" r="BS862">
        <v>873</v>
      </c>
      <c t="s" s="6" r="BT862">
        <v>92</v>
      </c>
      <c s="6" r="BY862">
        <v>0</v>
      </c>
    </row>
    <row customHeight="1" r="863" ht="14.25">
      <c t="s" s="6" r="A863">
        <v>6506</v>
      </c>
      <c t="s" s="6" r="B863">
        <v>78</v>
      </c>
      <c t="s" s="6" r="C863">
        <v>79</v>
      </c>
      <c t="s" s="6" r="D863">
        <v>68</v>
      </c>
      <c t="s" s="6" r="E863">
        <v>4350</v>
      </c>
      <c t="s" s="6" r="F863">
        <v>81</v>
      </c>
      <c t="s" s="6" r="G863">
        <v>6507</v>
      </c>
      <c s="6" r="H863">
        <v>0</v>
      </c>
      <c t="s" s="6" r="I863">
        <v>155</v>
      </c>
      <c t="s" s="6" r="L863">
        <v>156</v>
      </c>
      <c t="s" s="6" r="M863">
        <v>2718</v>
      </c>
      <c s="6" r="N863">
        <v>0</v>
      </c>
      <c s="6" r="O863">
        <v>0</v>
      </c>
      <c t="s" s="6" r="R863">
        <v>6508</v>
      </c>
      <c t="s" s="6" r="S863">
        <v>6509</v>
      </c>
      <c t="s" s="6" r="T863">
        <v>5200</v>
      </c>
      <c t="s" s="6" r="U863">
        <v>6510</v>
      </c>
      <c s="6" r="V863">
        <v>1</v>
      </c>
      <c s="6" r="W863">
        <v>1</v>
      </c>
      <c s="6" r="X863">
        <v>1</v>
      </c>
      <c s="6" r="Y863">
        <v>0</v>
      </c>
      <c s="6" r="Z863">
        <v>0</v>
      </c>
      <c s="6" r="AA863">
        <v>8</v>
      </c>
      <c s="6" r="AB863">
        <v>8</v>
      </c>
      <c t="s" s="6" r="AC863">
        <v>92</v>
      </c>
      <c s="6" r="AD863">
        <v>8</v>
      </c>
      <c t="s" s="6" r="AE863">
        <v>92</v>
      </c>
      <c t="s" s="6" r="AF863">
        <v>92</v>
      </c>
      <c t="s" s="6" r="AG863">
        <v>92</v>
      </c>
      <c t="s" s="6" r="AH863">
        <v>92</v>
      </c>
      <c t="s" s="6" r="AI863">
        <v>92</v>
      </c>
      <c t="s" s="6" r="AJ863">
        <v>92</v>
      </c>
      <c t="s" s="6" r="AK863">
        <v>92</v>
      </c>
      <c t="s" s="6" r="AL863">
        <v>92</v>
      </c>
      <c t="s" s="6" r="AM863">
        <v>92</v>
      </c>
      <c t="s" s="6" r="AN863">
        <v>92</v>
      </c>
      <c s="6" r="AP863">
        <v>8</v>
      </c>
      <c t="s" s="6" r="AR863">
        <v>6511</v>
      </c>
      <c s="6" r="AS863">
        <v>0</v>
      </c>
      <c s="6" r="AT863">
        <v>0</v>
      </c>
      <c s="6" r="AU863">
        <v>0</v>
      </c>
      <c s="6" r="AV863">
        <v>0</v>
      </c>
      <c s="6" r="AW863">
        <v>0</v>
      </c>
      <c s="6" r="AX863">
        <v>0</v>
      </c>
      <c s="6" r="AY863">
        <v>0</v>
      </c>
      <c s="6" r="AZ863">
        <v>0</v>
      </c>
      <c s="6" r="BA863">
        <v>0</v>
      </c>
      <c s="6" r="BB863">
        <v>0</v>
      </c>
      <c s="6" r="BC863">
        <v>0</v>
      </c>
      <c s="6" r="BD863">
        <v>0</v>
      </c>
      <c s="6" r="BE863">
        <v>0</v>
      </c>
      <c s="6" r="BF863">
        <v>0</v>
      </c>
      <c s="6" r="BG863">
        <v>0</v>
      </c>
      <c s="6" r="BH863">
        <v>0</v>
      </c>
      <c s="6" r="BI863">
        <v>0</v>
      </c>
      <c s="6" r="BJ863">
        <v>0</v>
      </c>
      <c s="6" r="BK863">
        <v>0</v>
      </c>
      <c s="6" r="BL863">
        <v>0</v>
      </c>
      <c s="6" r="BM863">
        <v>0</v>
      </c>
      <c s="6" r="BN863">
        <v>0</v>
      </c>
      <c s="6" r="BO863">
        <v>0</v>
      </c>
      <c s="6" r="BP863">
        <v>0</v>
      </c>
      <c s="6" r="BQ863">
        <v>1</v>
      </c>
      <c t="str" s="6" r="BR863">
        <f>HYPERLINK("http://www.d20pfsrd.com/magic/all-spells/s/seamantle","Seamantle")</f>
        <v>Seamantle</v>
      </c>
      <c s="6" r="BS863">
        <v>874</v>
      </c>
      <c t="s" s="6" r="BT863">
        <v>92</v>
      </c>
      <c t="s" s="6" r="BU863">
        <v>462</v>
      </c>
      <c t="s" s="6" r="BV863">
        <v>542</v>
      </c>
      <c s="6" r="BY863">
        <v>0</v>
      </c>
    </row>
    <row customHeight="1" r="864" ht="14.25">
      <c t="s" s="6" r="A864">
        <v>6512</v>
      </c>
      <c t="s" s="6" r="B864">
        <v>174</v>
      </c>
      <c t="s" s="6" r="D864">
        <v>117</v>
      </c>
      <c t="s" s="6" r="E864">
        <v>6513</v>
      </c>
      <c t="s" s="6" r="F864">
        <v>81</v>
      </c>
      <c t="s" s="6" r="G864">
        <v>6514</v>
      </c>
      <c s="6" r="H864">
        <v>0</v>
      </c>
      <c t="s" s="6" r="I864">
        <v>508</v>
      </c>
      <c t="s" s="6" r="J864">
        <v>1301</v>
      </c>
      <c t="s" s="6" r="M864">
        <v>5033</v>
      </c>
      <c s="6" r="N864">
        <v>0</v>
      </c>
      <c s="6" r="O864">
        <v>0</v>
      </c>
      <c t="s" s="6" r="P864">
        <v>221</v>
      </c>
      <c t="s" s="6" r="Q864">
        <v>87</v>
      </c>
      <c t="s" s="6" r="R864">
        <v>6515</v>
      </c>
      <c t="s" s="6" r="S864">
        <v>6516</v>
      </c>
      <c t="s" s="6" r="T864">
        <v>5200</v>
      </c>
      <c t="s" s="6" r="U864">
        <v>6517</v>
      </c>
      <c s="6" r="V864">
        <v>1</v>
      </c>
      <c s="6" r="W864">
        <v>1</v>
      </c>
      <c s="6" r="X864">
        <v>1</v>
      </c>
      <c s="6" r="Y864">
        <v>0</v>
      </c>
      <c s="6" r="Z864">
        <v>0</v>
      </c>
      <c s="6" r="AA864">
        <v>3</v>
      </c>
      <c s="6" r="AB864">
        <v>3</v>
      </c>
      <c t="s" s="6" r="AC864">
        <v>92</v>
      </c>
      <c t="s" s="6" r="AD864">
        <v>92</v>
      </c>
      <c t="s" s="6" r="AE864">
        <v>92</v>
      </c>
      <c s="6" r="AF864">
        <v>3</v>
      </c>
      <c t="s" s="6" r="AG864">
        <v>92</v>
      </c>
      <c s="6" r="AH864">
        <v>3</v>
      </c>
      <c s="6" r="AI864">
        <v>3</v>
      </c>
      <c s="6" r="AJ864">
        <v>3</v>
      </c>
      <c s="6" r="AK864">
        <v>3</v>
      </c>
      <c t="s" s="6" r="AL864">
        <v>92</v>
      </c>
      <c t="s" s="6" r="AM864">
        <v>92</v>
      </c>
      <c t="s" s="6" r="AN864">
        <v>92</v>
      </c>
      <c s="6" r="AP864">
        <v>3</v>
      </c>
      <c t="s" s="6" r="AQ864">
        <v>6518</v>
      </c>
      <c t="s" s="6" r="AR864">
        <v>6519</v>
      </c>
      <c s="6" r="AS864">
        <v>0</v>
      </c>
      <c s="6" r="AT864">
        <v>0</v>
      </c>
      <c s="6" r="AU864">
        <v>0</v>
      </c>
      <c s="6" r="AV864">
        <v>0</v>
      </c>
      <c s="6" r="AW864">
        <v>0</v>
      </c>
      <c s="6" r="AX864">
        <v>0</v>
      </c>
      <c s="6" r="AY864">
        <v>0</v>
      </c>
      <c s="6" r="AZ864">
        <v>0</v>
      </c>
      <c s="6" r="BA864">
        <v>0</v>
      </c>
      <c s="6" r="BB864">
        <v>0</v>
      </c>
      <c s="6" r="BC864">
        <v>0</v>
      </c>
      <c s="6" r="BD864">
        <v>0</v>
      </c>
      <c s="6" r="BE864">
        <v>0</v>
      </c>
      <c s="6" r="BF864">
        <v>0</v>
      </c>
      <c s="6" r="BG864">
        <v>0</v>
      </c>
      <c s="6" r="BH864">
        <v>0</v>
      </c>
      <c s="6" r="BI864">
        <v>0</v>
      </c>
      <c s="6" r="BJ864">
        <v>0</v>
      </c>
      <c s="6" r="BK864">
        <v>0</v>
      </c>
      <c s="6" r="BL864">
        <v>1</v>
      </c>
      <c s="6" r="BM864">
        <v>0</v>
      </c>
      <c s="6" r="BN864">
        <v>0</v>
      </c>
      <c s="6" r="BO864">
        <v>0</v>
      </c>
      <c s="6" r="BP864">
        <v>0</v>
      </c>
      <c s="6" r="BQ864">
        <v>0</v>
      </c>
      <c t="str" s="6" r="BR864">
        <f>HYPERLINK("http://www.d20pfsrd.com/magic/all-spells/s/seek-thoughts","Seek Thoughts")</f>
        <v>Seek Thoughts</v>
      </c>
      <c s="6" r="BS864">
        <v>875</v>
      </c>
      <c t="s" s="6" r="BT864">
        <v>92</v>
      </c>
      <c s="6" r="BY864">
        <v>0</v>
      </c>
    </row>
    <row customHeight="1" r="865" ht="14.25">
      <c t="s" s="6" r="A865">
        <v>6520</v>
      </c>
      <c t="s" s="6" r="B865">
        <v>174</v>
      </c>
      <c t="s" s="6" r="E865">
        <v>6521</v>
      </c>
      <c t="s" s="6" r="F865">
        <v>81</v>
      </c>
      <c t="s" s="6" r="G865">
        <v>6522</v>
      </c>
      <c s="6" r="H865">
        <v>0</v>
      </c>
      <c t="s" s="6" r="I865">
        <v>120</v>
      </c>
      <c t="s" s="6" r="L865">
        <v>420</v>
      </c>
      <c t="s" s="6" r="M865">
        <v>379</v>
      </c>
      <c s="6" r="N865">
        <v>0</v>
      </c>
      <c s="6" r="O865">
        <v>0</v>
      </c>
      <c t="s" s="6" r="P865">
        <v>421</v>
      </c>
      <c t="s" s="6" r="Q865">
        <v>123</v>
      </c>
      <c t="s" s="6" r="R865">
        <v>6523</v>
      </c>
      <c t="s" s="6" r="S865">
        <v>6524</v>
      </c>
      <c t="s" s="6" r="T865">
        <v>5200</v>
      </c>
      <c t="s" s="6" r="U865">
        <v>6525</v>
      </c>
      <c s="6" r="V865">
        <v>1</v>
      </c>
      <c s="6" r="W865">
        <v>1</v>
      </c>
      <c s="6" r="X865">
        <v>1</v>
      </c>
      <c s="6" r="Y865">
        <v>0</v>
      </c>
      <c s="6" r="Z865">
        <v>0</v>
      </c>
      <c s="6" r="AA865">
        <v>2</v>
      </c>
      <c s="6" r="AB865">
        <v>2</v>
      </c>
      <c s="6" r="AC865">
        <v>2</v>
      </c>
      <c s="6" r="AD865">
        <v>2</v>
      </c>
      <c t="s" s="6" r="AE865">
        <v>92</v>
      </c>
      <c s="6" r="AF865">
        <v>1</v>
      </c>
      <c t="s" s="6" r="AG865">
        <v>92</v>
      </c>
      <c t="s" s="6" r="AH865">
        <v>92</v>
      </c>
      <c t="s" s="6" r="AI865">
        <v>92</v>
      </c>
      <c t="s" s="6" r="AJ865">
        <v>92</v>
      </c>
      <c t="s" s="6" r="AK865">
        <v>92</v>
      </c>
      <c s="6" r="AL865">
        <v>2</v>
      </c>
      <c t="s" s="6" r="AM865">
        <v>92</v>
      </c>
      <c t="s" s="6" r="AN865">
        <v>92</v>
      </c>
      <c s="6" r="AP865">
        <v>2</v>
      </c>
      <c t="s" s="6" r="AQ865">
        <v>6526</v>
      </c>
      <c t="s" s="6" r="AR865">
        <v>6527</v>
      </c>
      <c s="6" r="AS865">
        <v>0</v>
      </c>
      <c s="6" r="AT865">
        <v>0</v>
      </c>
      <c s="6" r="AU865">
        <v>0</v>
      </c>
      <c s="6" r="AV865">
        <v>0</v>
      </c>
      <c s="6" r="AW865">
        <v>0</v>
      </c>
      <c s="6" r="AX865">
        <v>0</v>
      </c>
      <c s="6" r="AY865">
        <v>0</v>
      </c>
      <c s="6" r="AZ865">
        <v>0</v>
      </c>
      <c s="6" r="BA865">
        <v>0</v>
      </c>
      <c s="6" r="BB865">
        <v>0</v>
      </c>
      <c s="6" r="BC865">
        <v>0</v>
      </c>
      <c s="6" r="BD865">
        <v>0</v>
      </c>
      <c s="6" r="BE865">
        <v>0</v>
      </c>
      <c s="6" r="BF865">
        <v>0</v>
      </c>
      <c s="6" r="BG865">
        <v>0</v>
      </c>
      <c s="6" r="BH865">
        <v>0</v>
      </c>
      <c s="6" r="BI865">
        <v>0</v>
      </c>
      <c s="6" r="BJ865">
        <v>0</v>
      </c>
      <c s="6" r="BK865">
        <v>0</v>
      </c>
      <c s="6" r="BL865">
        <v>0</v>
      </c>
      <c s="6" r="BM865">
        <v>0</v>
      </c>
      <c s="6" r="BN865">
        <v>0</v>
      </c>
      <c s="6" r="BO865">
        <v>0</v>
      </c>
      <c s="6" r="BP865">
        <v>0</v>
      </c>
      <c s="6" r="BQ865">
        <v>0</v>
      </c>
      <c t="str" s="6" r="BR865">
        <f>HYPERLINK("http://www.d20pfsrd.com/magic/all-spells/s/share-language","Share Language")</f>
        <v>Share Language</v>
      </c>
      <c s="6" r="BS865">
        <v>877</v>
      </c>
      <c t="s" s="6" r="BT865">
        <v>92</v>
      </c>
      <c s="6" r="BY865">
        <v>0</v>
      </c>
    </row>
    <row customHeight="1" r="866" ht="14.25">
      <c t="s" s="6" r="A866">
        <v>6528</v>
      </c>
      <c t="s" s="6" r="B866">
        <v>227</v>
      </c>
      <c t="s" s="6" r="D866">
        <v>55</v>
      </c>
      <c t="s" s="6" r="E866">
        <v>2102</v>
      </c>
      <c t="s" s="6" r="F866">
        <v>197</v>
      </c>
      <c t="s" s="6" r="G866">
        <v>2086</v>
      </c>
      <c s="6" r="H866">
        <v>0</v>
      </c>
      <c t="s" s="6" r="I866">
        <v>155</v>
      </c>
      <c t="s" s="6" r="L866">
        <v>156</v>
      </c>
      <c t="s" s="6" r="M866">
        <v>711</v>
      </c>
      <c s="6" r="N866">
        <v>1</v>
      </c>
      <c s="6" r="O866">
        <v>0</v>
      </c>
      <c t="s" s="6" r="R866">
        <v>6529</v>
      </c>
      <c t="s" s="6" r="S866">
        <v>6530</v>
      </c>
      <c t="s" s="6" r="T866">
        <v>5200</v>
      </c>
      <c t="s" s="6" r="U866">
        <v>6531</v>
      </c>
      <c s="6" r="V866">
        <v>0</v>
      </c>
      <c s="6" r="W866">
        <v>1</v>
      </c>
      <c s="6" r="X866">
        <v>0</v>
      </c>
      <c s="6" r="Y866">
        <v>0</v>
      </c>
      <c s="6" r="Z866">
        <v>0</v>
      </c>
      <c s="6" r="AA866">
        <v>4</v>
      </c>
      <c s="6" r="AB866">
        <v>4</v>
      </c>
      <c t="s" s="6" r="AC866">
        <v>92</v>
      </c>
      <c t="s" s="6" r="AD866">
        <v>92</v>
      </c>
      <c t="s" s="6" r="AE866">
        <v>92</v>
      </c>
      <c t="s" s="6" r="AF866">
        <v>92</v>
      </c>
      <c t="s" s="6" r="AG866">
        <v>92</v>
      </c>
      <c t="s" s="6" r="AH866">
        <v>92</v>
      </c>
      <c t="s" s="6" r="AI866">
        <v>92</v>
      </c>
      <c t="s" s="6" r="AJ866">
        <v>92</v>
      </c>
      <c t="s" s="6" r="AK866">
        <v>92</v>
      </c>
      <c t="s" s="6" r="AL866">
        <v>92</v>
      </c>
      <c t="s" s="6" r="AM866">
        <v>92</v>
      </c>
      <c t="s" s="6" r="AN866">
        <v>92</v>
      </c>
      <c s="6" r="AP866">
        <v>4</v>
      </c>
      <c t="s" s="6" r="AR866">
        <v>6532</v>
      </c>
      <c s="6" r="AS866">
        <v>0</v>
      </c>
      <c s="6" r="AT866">
        <v>0</v>
      </c>
      <c s="6" r="AU866">
        <v>0</v>
      </c>
      <c s="6" r="AV866">
        <v>0</v>
      </c>
      <c s="6" r="AW866">
        <v>0</v>
      </c>
      <c s="6" r="AX866">
        <v>0</v>
      </c>
      <c s="6" r="AY866">
        <v>0</v>
      </c>
      <c s="6" r="AZ866">
        <v>0</v>
      </c>
      <c s="6" r="BA866">
        <v>0</v>
      </c>
      <c s="6" r="BB866">
        <v>0</v>
      </c>
      <c s="6" r="BC866">
        <v>0</v>
      </c>
      <c s="6" r="BD866">
        <v>1</v>
      </c>
      <c s="6" r="BE866">
        <v>0</v>
      </c>
      <c s="6" r="BF866">
        <v>0</v>
      </c>
      <c s="6" r="BG866">
        <v>0</v>
      </c>
      <c s="6" r="BH866">
        <v>0</v>
      </c>
      <c s="6" r="BI866">
        <v>0</v>
      </c>
      <c s="6" r="BJ866">
        <v>0</v>
      </c>
      <c s="6" r="BK866">
        <v>0</v>
      </c>
      <c s="6" r="BL866">
        <v>0</v>
      </c>
      <c s="6" r="BM866">
        <v>0</v>
      </c>
      <c s="6" r="BN866">
        <v>0</v>
      </c>
      <c s="6" r="BO866">
        <v>0</v>
      </c>
      <c s="6" r="BP866">
        <v>0</v>
      </c>
      <c s="6" r="BQ866">
        <v>0</v>
      </c>
      <c t="str" s="6" r="BR866">
        <f>HYPERLINK("http://www.d20pfsrd.com/magic/all-spells/s/shadow-projection","Shadow Projection")</f>
        <v>Shadow Projection</v>
      </c>
      <c s="6" r="BS866">
        <v>878</v>
      </c>
      <c t="s" s="6" r="BT866">
        <v>92</v>
      </c>
      <c s="6" r="BY866">
        <v>0</v>
      </c>
    </row>
    <row customHeight="1" r="867" ht="14.25">
      <c t="s" s="6" r="A867">
        <v>6533</v>
      </c>
      <c t="s" s="6" r="B867">
        <v>174</v>
      </c>
      <c t="s" s="6" r="C867">
        <v>309</v>
      </c>
      <c t="s" s="6" r="E867">
        <v>6534</v>
      </c>
      <c t="s" s="6" r="F867">
        <v>4865</v>
      </c>
      <c t="s" s="6" r="G867">
        <v>6535</v>
      </c>
      <c s="6" r="H867">
        <v>0</v>
      </c>
      <c t="s" s="6" r="I867">
        <v>83</v>
      </c>
      <c t="s" s="6" r="L867">
        <v>6536</v>
      </c>
      <c t="s" s="6" r="M867">
        <v>5513</v>
      </c>
      <c s="6" r="N867">
        <v>1</v>
      </c>
      <c s="6" r="O867">
        <v>0</v>
      </c>
      <c t="s" s="6" r="P867">
        <v>421</v>
      </c>
      <c t="s" s="6" r="Q867">
        <v>123</v>
      </c>
      <c t="s" s="6" r="R867">
        <v>6537</v>
      </c>
      <c t="s" s="6" r="S867">
        <v>6538</v>
      </c>
      <c t="s" s="6" r="T867">
        <v>5200</v>
      </c>
      <c t="s" s="6" r="U867">
        <v>6539</v>
      </c>
      <c s="6" r="V867">
        <v>1</v>
      </c>
      <c s="6" r="W867">
        <v>1</v>
      </c>
      <c s="6" r="X867">
        <v>1</v>
      </c>
      <c s="6" r="Y867">
        <v>0</v>
      </c>
      <c s="6" r="Z867">
        <v>0</v>
      </c>
      <c s="6" r="AA867">
        <v>4</v>
      </c>
      <c s="6" r="AB867">
        <v>4</v>
      </c>
      <c t="s" s="6" r="AC867">
        <v>92</v>
      </c>
      <c t="s" s="6" r="AD867">
        <v>92</v>
      </c>
      <c t="s" s="6" r="AE867">
        <v>92</v>
      </c>
      <c t="s" s="6" r="AF867">
        <v>92</v>
      </c>
      <c t="s" s="6" r="AG867">
        <v>92</v>
      </c>
      <c t="s" s="6" r="AH867">
        <v>92</v>
      </c>
      <c t="s" s="6" r="AI867">
        <v>92</v>
      </c>
      <c s="6" r="AJ867">
        <v>3</v>
      </c>
      <c t="s" s="6" r="AK867">
        <v>92</v>
      </c>
      <c t="s" s="6" r="AL867">
        <v>92</v>
      </c>
      <c t="s" s="6" r="AM867">
        <v>92</v>
      </c>
      <c t="s" s="6" r="AN867">
        <v>92</v>
      </c>
      <c s="6" r="AP867">
        <v>4</v>
      </c>
      <c t="s" s="6" r="AR867">
        <v>6540</v>
      </c>
      <c s="6" r="AS867">
        <v>0</v>
      </c>
      <c s="6" r="AT867">
        <v>0</v>
      </c>
      <c s="6" r="AU867">
        <v>0</v>
      </c>
      <c s="6" r="AV867">
        <v>0</v>
      </c>
      <c s="6" r="AW867">
        <v>0</v>
      </c>
      <c s="6" r="AX867">
        <v>0</v>
      </c>
      <c s="6" r="AY867">
        <v>0</v>
      </c>
      <c s="6" r="AZ867">
        <v>0</v>
      </c>
      <c s="6" r="BA867">
        <v>0</v>
      </c>
      <c s="6" r="BB867">
        <v>0</v>
      </c>
      <c s="6" r="BC867">
        <v>0</v>
      </c>
      <c s="6" r="BD867">
        <v>0</v>
      </c>
      <c s="6" r="BE867">
        <v>0</v>
      </c>
      <c s="6" r="BF867">
        <v>0</v>
      </c>
      <c s="6" r="BG867">
        <v>0</v>
      </c>
      <c s="6" r="BH867">
        <v>0</v>
      </c>
      <c s="6" r="BI867">
        <v>0</v>
      </c>
      <c s="6" r="BJ867">
        <v>0</v>
      </c>
      <c s="6" r="BK867">
        <v>0</v>
      </c>
      <c s="6" r="BL867">
        <v>0</v>
      </c>
      <c s="6" r="BM867">
        <v>0</v>
      </c>
      <c s="6" r="BN867">
        <v>0</v>
      </c>
      <c s="6" r="BO867">
        <v>0</v>
      </c>
      <c s="6" r="BP867">
        <v>0</v>
      </c>
      <c s="6" r="BQ867">
        <v>0</v>
      </c>
      <c t="str" s="6" r="BR867">
        <f>HYPERLINK("http://www.d20pfsrd.com/magic/all-spells/s/share-senses","Share Senses")</f>
        <v>Share Senses</v>
      </c>
      <c s="6" r="BS867">
        <v>879</v>
      </c>
      <c t="s" s="6" r="BT867">
        <v>92</v>
      </c>
      <c s="6" r="BY867">
        <v>0</v>
      </c>
    </row>
    <row customHeight="1" r="868" ht="14.25">
      <c t="s" s="6" r="A868">
        <v>6541</v>
      </c>
      <c t="s" s="6" r="B868">
        <v>131</v>
      </c>
      <c t="s" s="6" r="D868">
        <v>52</v>
      </c>
      <c t="s" s="6" r="E868">
        <v>5164</v>
      </c>
      <c t="s" s="6" r="F868">
        <v>81</v>
      </c>
      <c t="s" s="6" r="G868">
        <v>6542</v>
      </c>
      <c s="6" r="H868">
        <v>0</v>
      </c>
      <c t="s" s="6" r="I868">
        <v>97</v>
      </c>
      <c t="s" s="6" r="J868">
        <v>6543</v>
      </c>
      <c t="s" s="6" r="M868">
        <v>483</v>
      </c>
      <c s="6" r="N868">
        <v>1</v>
      </c>
      <c s="6" r="O868">
        <v>0</v>
      </c>
      <c t="s" s="6" r="P868">
        <v>4701</v>
      </c>
      <c t="s" s="6" r="Q868">
        <v>87</v>
      </c>
      <c t="s" s="6" r="R868">
        <v>6544</v>
      </c>
      <c t="s" s="6" r="S868">
        <v>6545</v>
      </c>
      <c t="s" s="6" r="T868">
        <v>5200</v>
      </c>
      <c t="s" s="6" r="U868">
        <v>6546</v>
      </c>
      <c s="6" r="V868">
        <v>1</v>
      </c>
      <c s="6" r="W868">
        <v>1</v>
      </c>
      <c s="6" r="X868">
        <v>1</v>
      </c>
      <c s="6" r="Y868">
        <v>0</v>
      </c>
      <c s="6" r="Z868">
        <v>0</v>
      </c>
      <c s="6" r="AA868">
        <v>3</v>
      </c>
      <c s="6" r="AB868">
        <v>3</v>
      </c>
      <c t="s" s="6" r="AC868">
        <v>92</v>
      </c>
      <c s="6" r="AD868">
        <v>3</v>
      </c>
      <c t="s" s="6" r="AE868">
        <v>92</v>
      </c>
      <c t="s" s="6" r="AF868">
        <v>92</v>
      </c>
      <c t="s" s="6" r="AG868">
        <v>92</v>
      </c>
      <c t="s" s="6" r="AH868">
        <v>92</v>
      </c>
      <c t="s" s="6" r="AI868">
        <v>92</v>
      </c>
      <c t="s" s="6" r="AJ868">
        <v>92</v>
      </c>
      <c t="s" s="6" r="AK868">
        <v>92</v>
      </c>
      <c t="s" s="6" r="AL868">
        <v>92</v>
      </c>
      <c t="s" s="6" r="AM868">
        <v>92</v>
      </c>
      <c t="s" s="6" r="AN868">
        <v>92</v>
      </c>
      <c s="6" r="AP868">
        <v>3</v>
      </c>
      <c t="s" s="6" r="AR868">
        <v>6547</v>
      </c>
      <c s="6" r="AS868">
        <v>0</v>
      </c>
      <c s="6" r="AT868">
        <v>0</v>
      </c>
      <c s="6" r="AU868">
        <v>0</v>
      </c>
      <c s="6" r="AV868">
        <v>0</v>
      </c>
      <c s="6" r="AW868">
        <v>0</v>
      </c>
      <c s="6" r="AX868">
        <v>0</v>
      </c>
      <c s="6" r="AY868">
        <v>0</v>
      </c>
      <c s="6" r="AZ868">
        <v>0</v>
      </c>
      <c s="6" r="BA868">
        <v>1</v>
      </c>
      <c s="6" r="BB868">
        <v>0</v>
      </c>
      <c s="6" r="BC868">
        <v>0</v>
      </c>
      <c s="6" r="BD868">
        <v>0</v>
      </c>
      <c s="6" r="BE868">
        <v>0</v>
      </c>
      <c s="6" r="BF868">
        <v>0</v>
      </c>
      <c s="6" r="BG868">
        <v>0</v>
      </c>
      <c s="6" r="BH868">
        <v>0</v>
      </c>
      <c s="6" r="BI868">
        <v>0</v>
      </c>
      <c s="6" r="BJ868">
        <v>0</v>
      </c>
      <c s="6" r="BK868">
        <v>0</v>
      </c>
      <c s="6" r="BL868">
        <v>0</v>
      </c>
      <c s="6" r="BM868">
        <v>0</v>
      </c>
      <c s="6" r="BN868">
        <v>0</v>
      </c>
      <c s="6" r="BO868">
        <v>0</v>
      </c>
      <c s="6" r="BP868">
        <v>0</v>
      </c>
      <c s="6" r="BQ868">
        <v>0</v>
      </c>
      <c t="str" s="6" r="BR868">
        <f>HYPERLINK("http://www.d20pfsrd.com/magic/all-spells/s/shifting-sand","Shifting Sand")</f>
        <v>Shifting Sand</v>
      </c>
      <c s="6" r="BS868">
        <v>880</v>
      </c>
      <c t="s" s="6" r="BT868">
        <v>92</v>
      </c>
      <c t="s" s="6" r="BU868">
        <v>1554</v>
      </c>
      <c s="6" r="BY868">
        <v>0</v>
      </c>
    </row>
    <row customHeight="1" r="869" ht="14.25">
      <c t="s" s="6" r="A869">
        <v>6548</v>
      </c>
      <c t="s" s="6" r="B869">
        <v>115</v>
      </c>
      <c t="s" s="6" r="C869">
        <v>116</v>
      </c>
      <c t="s" s="6" r="D869">
        <v>291</v>
      </c>
      <c t="s" s="6" r="E869">
        <v>5410</v>
      </c>
      <c t="s" s="6" r="F869">
        <v>81</v>
      </c>
      <c t="s" s="6" r="G869">
        <v>6549</v>
      </c>
      <c s="6" r="H869">
        <v>0</v>
      </c>
      <c t="s" s="6" r="I869">
        <v>107</v>
      </c>
      <c t="s" s="6" r="L869">
        <v>6550</v>
      </c>
      <c t="s" s="6" r="M869">
        <v>197</v>
      </c>
      <c s="6" r="N869">
        <v>0</v>
      </c>
      <c s="6" r="O869">
        <v>0</v>
      </c>
      <c t="s" s="6" r="P869">
        <v>421</v>
      </c>
      <c t="s" s="6" r="Q869">
        <v>123</v>
      </c>
      <c t="s" s="6" r="R869">
        <v>6551</v>
      </c>
      <c t="s" s="6" r="S869">
        <v>6552</v>
      </c>
      <c t="s" s="6" r="T869">
        <v>5200</v>
      </c>
      <c t="s" s="6" r="U869">
        <v>6553</v>
      </c>
      <c s="6" r="V869">
        <v>1</v>
      </c>
      <c s="6" r="W869">
        <v>1</v>
      </c>
      <c s="6" r="X869">
        <v>1</v>
      </c>
      <c s="6" r="Y869">
        <v>0</v>
      </c>
      <c s="6" r="Z869">
        <v>0</v>
      </c>
      <c t="s" s="6" r="AA869">
        <v>92</v>
      </c>
      <c t="s" s="6" r="AB869">
        <v>92</v>
      </c>
      <c t="s" s="6" r="AC869">
        <v>92</v>
      </c>
      <c t="s" s="6" r="AD869">
        <v>92</v>
      </c>
      <c t="s" s="6" r="AE869">
        <v>92</v>
      </c>
      <c t="s" s="6" r="AF869">
        <v>92</v>
      </c>
      <c t="s" s="6" r="AG869">
        <v>92</v>
      </c>
      <c t="s" s="6" r="AH869">
        <v>92</v>
      </c>
      <c t="s" s="6" r="AI869">
        <v>92</v>
      </c>
      <c t="s" s="6" r="AJ869">
        <v>92</v>
      </c>
      <c s="6" r="AK869">
        <v>4</v>
      </c>
      <c t="s" s="6" r="AL869">
        <v>92</v>
      </c>
      <c t="s" s="6" r="AM869">
        <v>92</v>
      </c>
      <c t="s" s="6" r="AN869">
        <v>92</v>
      </c>
      <c s="6" r="AP869">
        <v>4</v>
      </c>
      <c t="s" s="6" r="AR869">
        <v>6554</v>
      </c>
      <c s="6" r="AS869">
        <v>0</v>
      </c>
      <c s="6" r="AT869">
        <v>0</v>
      </c>
      <c s="6" r="AU869">
        <v>0</v>
      </c>
      <c s="6" r="AV869">
        <v>0</v>
      </c>
      <c s="6" r="AW869">
        <v>0</v>
      </c>
      <c s="6" r="AX869">
        <v>0</v>
      </c>
      <c s="6" r="AY869">
        <v>0</v>
      </c>
      <c s="6" r="AZ869">
        <v>0</v>
      </c>
      <c s="6" r="BA869">
        <v>0</v>
      </c>
      <c s="6" r="BB869">
        <v>0</v>
      </c>
      <c s="6" r="BC869">
        <v>1</v>
      </c>
      <c s="6" r="BD869">
        <v>0</v>
      </c>
      <c s="6" r="BE869">
        <v>0</v>
      </c>
      <c s="6" r="BF869">
        <v>0</v>
      </c>
      <c s="6" r="BG869">
        <v>0</v>
      </c>
      <c s="6" r="BH869">
        <v>0</v>
      </c>
      <c s="6" r="BI869">
        <v>0</v>
      </c>
      <c s="6" r="BJ869">
        <v>0</v>
      </c>
      <c s="6" r="BK869">
        <v>0</v>
      </c>
      <c s="6" r="BL869">
        <v>1</v>
      </c>
      <c s="6" r="BM869">
        <v>0</v>
      </c>
      <c s="6" r="BN869">
        <v>0</v>
      </c>
      <c s="6" r="BO869">
        <v>0</v>
      </c>
      <c s="6" r="BP869">
        <v>0</v>
      </c>
      <c s="6" r="BQ869">
        <v>0</v>
      </c>
      <c t="str" s="6" r="BR869">
        <f>HYPERLINK("http://www.d20pfsrd.com/magic/all-spells/s/shared-wrath","Shared Wrath")</f>
        <v>Shared Wrath</v>
      </c>
      <c s="6" r="BS869">
        <v>881</v>
      </c>
      <c t="s" s="6" r="BT869">
        <v>92</v>
      </c>
      <c s="6" r="BY869">
        <v>0</v>
      </c>
    </row>
    <row customHeight="1" r="870" ht="14.25">
      <c t="s" s="6" r="A870">
        <v>6555</v>
      </c>
      <c t="s" s="6" r="B870">
        <v>174</v>
      </c>
      <c t="s" s="6" r="E870">
        <v>6556</v>
      </c>
      <c t="s" s="6" r="F870">
        <v>81</v>
      </c>
      <c t="s" s="6" r="G870">
        <v>106</v>
      </c>
      <c s="6" r="H870">
        <v>0</v>
      </c>
      <c t="s" s="6" r="I870">
        <v>1052</v>
      </c>
      <c t="s" s="6" r="J870">
        <v>6557</v>
      </c>
      <c t="s" s="6" r="M870">
        <v>109</v>
      </c>
      <c s="6" r="N870">
        <v>0</v>
      </c>
      <c s="6" r="O870">
        <v>0</v>
      </c>
      <c t="s" s="6" r="P870">
        <v>86</v>
      </c>
      <c t="s" s="6" r="Q870">
        <v>87</v>
      </c>
      <c t="s" s="6" r="R870">
        <v>6558</v>
      </c>
      <c t="s" s="6" r="S870">
        <v>6559</v>
      </c>
      <c t="s" s="6" r="T870">
        <v>5200</v>
      </c>
      <c t="s" s="6" r="U870">
        <v>6560</v>
      </c>
      <c s="6" r="V870">
        <v>1</v>
      </c>
      <c s="6" r="W870">
        <v>1</v>
      </c>
      <c s="6" r="X870">
        <v>0</v>
      </c>
      <c s="6" r="Y870">
        <v>0</v>
      </c>
      <c s="6" r="Z870">
        <v>0</v>
      </c>
      <c t="s" s="6" r="AA870">
        <v>92</v>
      </c>
      <c t="s" s="6" r="AB870">
        <v>92</v>
      </c>
      <c t="s" s="6" r="AC870">
        <v>92</v>
      </c>
      <c t="s" s="6" r="AD870">
        <v>92</v>
      </c>
      <c t="s" s="6" r="AE870">
        <v>92</v>
      </c>
      <c s="6" r="AF870">
        <v>0</v>
      </c>
      <c t="s" s="6" r="AG870">
        <v>92</v>
      </c>
      <c t="s" s="6" r="AH870">
        <v>92</v>
      </c>
      <c t="s" s="6" r="AI870">
        <v>92</v>
      </c>
      <c t="s" s="6" r="AJ870">
        <v>92</v>
      </c>
      <c s="6" r="AK870">
        <v>0</v>
      </c>
      <c t="s" s="6" r="AL870">
        <v>92</v>
      </c>
      <c t="s" s="6" r="AM870">
        <v>92</v>
      </c>
      <c t="s" s="6" r="AN870">
        <v>92</v>
      </c>
      <c s="6" r="AP870">
        <v>0</v>
      </c>
      <c t="s" s="6" r="AR870">
        <v>6561</v>
      </c>
      <c s="6" r="AS870">
        <v>0</v>
      </c>
      <c s="6" r="AT870">
        <v>0</v>
      </c>
      <c s="6" r="AU870">
        <v>0</v>
      </c>
      <c s="6" r="AV870">
        <v>0</v>
      </c>
      <c s="6" r="AW870">
        <v>0</v>
      </c>
      <c s="6" r="AX870">
        <v>0</v>
      </c>
      <c s="6" r="AY870">
        <v>0</v>
      </c>
      <c s="6" r="AZ870">
        <v>0</v>
      </c>
      <c s="6" r="BA870">
        <v>0</v>
      </c>
      <c s="6" r="BB870">
        <v>0</v>
      </c>
      <c s="6" r="BC870">
        <v>0</v>
      </c>
      <c s="6" r="BD870">
        <v>0</v>
      </c>
      <c s="6" r="BE870">
        <v>0</v>
      </c>
      <c s="6" r="BF870">
        <v>0</v>
      </c>
      <c s="6" r="BG870">
        <v>0</v>
      </c>
      <c s="6" r="BH870">
        <v>0</v>
      </c>
      <c s="6" r="BI870">
        <v>0</v>
      </c>
      <c s="6" r="BJ870">
        <v>0</v>
      </c>
      <c s="6" r="BK870">
        <v>0</v>
      </c>
      <c s="6" r="BL870">
        <v>0</v>
      </c>
      <c s="6" r="BM870">
        <v>0</v>
      </c>
      <c s="6" r="BN870">
        <v>0</v>
      </c>
      <c s="6" r="BO870">
        <v>0</v>
      </c>
      <c s="6" r="BP870">
        <v>0</v>
      </c>
      <c s="6" r="BQ870">
        <v>0</v>
      </c>
      <c t="str" s="6" r="BR870">
        <f>HYPERLINK("http://www.d20pfsrd.com/magic/all-spells/s/sift","Sift")</f>
        <v>Sift</v>
      </c>
      <c s="6" r="BS870">
        <v>882</v>
      </c>
      <c t="s" s="6" r="BT870">
        <v>92</v>
      </c>
      <c s="6" r="BY870">
        <v>0</v>
      </c>
    </row>
    <row customHeight="1" r="871" ht="14.25">
      <c t="s" s="6" r="A871">
        <v>6562</v>
      </c>
      <c t="s" s="6" r="B871">
        <v>493</v>
      </c>
      <c t="s" s="6" r="D871">
        <v>6563</v>
      </c>
      <c t="s" s="6" r="E871">
        <v>6564</v>
      </c>
      <c t="s" s="6" r="F871">
        <v>81</v>
      </c>
      <c t="s" s="6" r="G871">
        <v>6565</v>
      </c>
      <c s="6" r="H871">
        <v>0</v>
      </c>
      <c t="s" s="6" r="I871">
        <v>97</v>
      </c>
      <c t="s" s="6" r="J871">
        <v>6566</v>
      </c>
      <c t="s" s="6" r="M871">
        <v>483</v>
      </c>
      <c s="6" r="N871">
        <v>1</v>
      </c>
      <c s="6" r="O871">
        <v>0</v>
      </c>
      <c t="s" s="6" r="P871">
        <v>5165</v>
      </c>
      <c t="s" s="6" r="Q871">
        <v>188</v>
      </c>
      <c t="s" s="6" r="R871">
        <v>6567</v>
      </c>
      <c t="s" s="6" r="S871">
        <v>6568</v>
      </c>
      <c t="s" s="6" r="T871">
        <v>5200</v>
      </c>
      <c t="s" s="6" r="U871">
        <v>6569</v>
      </c>
      <c s="6" r="V871">
        <v>1</v>
      </c>
      <c s="6" r="W871">
        <v>1</v>
      </c>
      <c s="6" r="X871">
        <v>1</v>
      </c>
      <c s="6" r="Y871">
        <v>0</v>
      </c>
      <c s="6" r="Z871">
        <v>1</v>
      </c>
      <c s="6" r="AA871">
        <v>6</v>
      </c>
      <c s="6" r="AB871">
        <v>6</v>
      </c>
      <c t="s" s="6" r="AC871">
        <v>92</v>
      </c>
      <c s="6" r="AD871">
        <v>6</v>
      </c>
      <c t="s" s="6" r="AE871">
        <v>92</v>
      </c>
      <c t="s" s="6" r="AF871">
        <v>92</v>
      </c>
      <c t="s" s="6" r="AG871">
        <v>92</v>
      </c>
      <c t="s" s="6" r="AH871">
        <v>92</v>
      </c>
      <c t="s" s="6" r="AI871">
        <v>92</v>
      </c>
      <c t="s" s="6" r="AJ871">
        <v>92</v>
      </c>
      <c t="s" s="6" r="AK871">
        <v>92</v>
      </c>
      <c t="s" s="6" r="AL871">
        <v>92</v>
      </c>
      <c t="s" s="6" r="AM871">
        <v>92</v>
      </c>
      <c s="6" r="AN871">
        <v>6</v>
      </c>
      <c s="6" r="AP871">
        <v>6</v>
      </c>
      <c t="s" s="6" r="AQ871">
        <v>653</v>
      </c>
      <c t="s" s="6" r="AR871">
        <v>6570</v>
      </c>
      <c s="6" r="AS871">
        <v>0</v>
      </c>
      <c s="6" r="AT871">
        <v>1</v>
      </c>
      <c s="6" r="AU871">
        <v>0</v>
      </c>
      <c s="6" r="AV871">
        <v>0</v>
      </c>
      <c s="6" r="AW871">
        <v>0</v>
      </c>
      <c s="6" r="AX871">
        <v>0</v>
      </c>
      <c s="6" r="AY871">
        <v>0</v>
      </c>
      <c s="6" r="AZ871">
        <v>0</v>
      </c>
      <c s="6" r="BA871">
        <v>0</v>
      </c>
      <c s="6" r="BB871">
        <v>0</v>
      </c>
      <c s="6" r="BC871">
        <v>0</v>
      </c>
      <c s="6" r="BD871">
        <v>0</v>
      </c>
      <c s="6" r="BE871">
        <v>0</v>
      </c>
      <c s="6" r="BF871">
        <v>1</v>
      </c>
      <c s="6" r="BG871">
        <v>0</v>
      </c>
      <c s="6" r="BH871">
        <v>0</v>
      </c>
      <c s="6" r="BI871">
        <v>0</v>
      </c>
      <c s="6" r="BJ871">
        <v>0</v>
      </c>
      <c s="6" r="BK871">
        <v>0</v>
      </c>
      <c s="6" r="BL871">
        <v>0</v>
      </c>
      <c s="6" r="BM871">
        <v>0</v>
      </c>
      <c s="6" r="BN871">
        <v>0</v>
      </c>
      <c s="6" r="BO871">
        <v>0</v>
      </c>
      <c s="6" r="BP871">
        <v>0</v>
      </c>
      <c s="6" r="BQ871">
        <v>0</v>
      </c>
      <c t="str" s="6" r="BR871">
        <f>HYPERLINK("http://www.d20pfsrd.com/magic/all-spells/s/sirocco","Sirocco")</f>
        <v>Sirocco</v>
      </c>
      <c s="6" r="BS871">
        <v>883</v>
      </c>
      <c t="s" s="6" r="BT871">
        <v>92</v>
      </c>
      <c t="s" s="6" r="BV871">
        <v>966</v>
      </c>
      <c s="6" r="BY871">
        <v>0</v>
      </c>
    </row>
    <row customHeight="1" r="872" ht="14.25">
      <c t="s" s="6" r="A872">
        <v>6571</v>
      </c>
      <c t="s" s="6" r="B872">
        <v>115</v>
      </c>
      <c t="s" s="6" r="C872">
        <v>116</v>
      </c>
      <c t="s" s="6" r="D872">
        <v>117</v>
      </c>
      <c t="s" s="6" r="E872">
        <v>6572</v>
      </c>
      <c t="s" s="6" r="F872">
        <v>272</v>
      </c>
      <c t="s" s="6" r="G872">
        <v>6573</v>
      </c>
      <c s="6" r="H872">
        <v>1</v>
      </c>
      <c t="s" s="6" r="I872">
        <v>120</v>
      </c>
      <c t="s" s="6" r="L872">
        <v>6574</v>
      </c>
      <c t="s" s="6" r="M872">
        <v>711</v>
      </c>
      <c s="6" r="N872">
        <v>1</v>
      </c>
      <c s="6" r="O872">
        <v>0</v>
      </c>
      <c t="s" s="6" r="P872">
        <v>474</v>
      </c>
      <c t="s" s="6" r="Q872">
        <v>188</v>
      </c>
      <c t="s" s="6" r="R872">
        <v>6575</v>
      </c>
      <c t="s" s="6" r="S872">
        <v>6576</v>
      </c>
      <c t="s" s="6" r="T872">
        <v>5200</v>
      </c>
      <c t="s" s="6" r="U872">
        <v>6577</v>
      </c>
      <c s="6" r="V872">
        <v>1</v>
      </c>
      <c s="6" r="W872">
        <v>1</v>
      </c>
      <c s="6" r="X872">
        <v>1</v>
      </c>
      <c s="6" r="Y872">
        <v>0</v>
      </c>
      <c s="6" r="Z872">
        <v>0</v>
      </c>
      <c t="s" s="6" r="AA872">
        <v>92</v>
      </c>
      <c t="s" s="6" r="AB872">
        <v>92</v>
      </c>
      <c t="s" s="6" r="AC872">
        <v>92</v>
      </c>
      <c t="s" s="6" r="AD872">
        <v>92</v>
      </c>
      <c t="s" s="6" r="AE872">
        <v>92</v>
      </c>
      <c t="s" s="6" r="AF872">
        <v>92</v>
      </c>
      <c t="s" s="6" r="AG872">
        <v>92</v>
      </c>
      <c t="s" s="6" r="AH872">
        <v>92</v>
      </c>
      <c t="s" s="6" r="AI872">
        <v>92</v>
      </c>
      <c s="6" r="AJ872">
        <v>4</v>
      </c>
      <c s="6" r="AK872">
        <v>4</v>
      </c>
      <c t="s" s="6" r="AL872">
        <v>92</v>
      </c>
      <c t="s" s="6" r="AM872">
        <v>92</v>
      </c>
      <c t="s" s="6" r="AN872">
        <v>92</v>
      </c>
      <c s="6" r="AP872">
        <v>4</v>
      </c>
      <c t="s" s="6" r="AR872">
        <v>6578</v>
      </c>
      <c s="6" r="AS872">
        <v>0</v>
      </c>
      <c s="6" r="AT872">
        <v>0</v>
      </c>
      <c s="6" r="AU872">
        <v>0</v>
      </c>
      <c s="6" r="AV872">
        <v>0</v>
      </c>
      <c s="6" r="AW872">
        <v>0</v>
      </c>
      <c s="6" r="AX872">
        <v>0</v>
      </c>
      <c s="6" r="AY872">
        <v>0</v>
      </c>
      <c s="6" r="AZ872">
        <v>0</v>
      </c>
      <c s="6" r="BA872">
        <v>0</v>
      </c>
      <c s="6" r="BB872">
        <v>0</v>
      </c>
      <c s="6" r="BC872">
        <v>0</v>
      </c>
      <c s="6" r="BD872">
        <v>0</v>
      </c>
      <c s="6" r="BE872">
        <v>0</v>
      </c>
      <c s="6" r="BF872">
        <v>0</v>
      </c>
      <c s="6" r="BG872">
        <v>0</v>
      </c>
      <c s="6" r="BH872">
        <v>0</v>
      </c>
      <c s="6" r="BI872">
        <v>0</v>
      </c>
      <c s="6" r="BJ872">
        <v>0</v>
      </c>
      <c s="6" r="BK872">
        <v>0</v>
      </c>
      <c s="6" r="BL872">
        <v>1</v>
      </c>
      <c s="6" r="BM872">
        <v>0</v>
      </c>
      <c s="6" r="BN872">
        <v>0</v>
      </c>
      <c s="6" r="BO872">
        <v>0</v>
      </c>
      <c s="6" r="BP872">
        <v>0</v>
      </c>
      <c s="6" r="BQ872">
        <v>0</v>
      </c>
      <c t="str" s="6" r="BR872">
        <f>HYPERLINK("http://www.d20pfsrd.com/magic/all-spells/s/sleepwalk","Sleepwalk")</f>
        <v>Sleepwalk</v>
      </c>
      <c s="6" r="BS872">
        <v>884</v>
      </c>
      <c s="6" r="BT872">
        <v>100</v>
      </c>
      <c s="6" r="BY872">
        <v>0</v>
      </c>
    </row>
    <row customHeight="1" r="873" ht="14.25">
      <c t="s" s="6" r="A873">
        <v>6579</v>
      </c>
      <c t="s" s="6" r="B873">
        <v>78</v>
      </c>
      <c t="s" s="6" r="C873">
        <v>79</v>
      </c>
      <c t="s" s="6" r="D873">
        <v>68</v>
      </c>
      <c t="s" s="6" r="E873">
        <v>5204</v>
      </c>
      <c t="s" s="6" r="F873">
        <v>81</v>
      </c>
      <c t="s" s="6" r="G873">
        <v>6580</v>
      </c>
      <c s="6" r="H873">
        <v>0</v>
      </c>
      <c t="s" s="6" r="I873">
        <v>120</v>
      </c>
      <c t="s" s="6" r="L873">
        <v>420</v>
      </c>
      <c t="s" s="6" r="M873">
        <v>5954</v>
      </c>
      <c s="6" r="N873">
        <v>1</v>
      </c>
      <c s="6" r="O873">
        <v>0</v>
      </c>
      <c t="s" s="6" r="P873">
        <v>6581</v>
      </c>
      <c t="s" s="6" r="Q873">
        <v>87</v>
      </c>
      <c t="s" s="6" r="R873">
        <v>6582</v>
      </c>
      <c t="s" s="6" r="S873">
        <v>6583</v>
      </c>
      <c t="s" s="6" r="T873">
        <v>5200</v>
      </c>
      <c t="s" s="6" r="U873">
        <v>6584</v>
      </c>
      <c s="6" r="V873">
        <v>1</v>
      </c>
      <c s="6" r="W873">
        <v>1</v>
      </c>
      <c s="6" r="X873">
        <v>1</v>
      </c>
      <c s="6" r="Y873">
        <v>0</v>
      </c>
      <c s="6" r="Z873">
        <v>1</v>
      </c>
      <c s="6" r="AA873">
        <v>2</v>
      </c>
      <c s="6" r="AB873">
        <v>2</v>
      </c>
      <c t="s" s="6" r="AC873">
        <v>92</v>
      </c>
      <c s="6" r="AD873">
        <v>2</v>
      </c>
      <c s="6" r="AE873">
        <v>2</v>
      </c>
      <c t="s" s="6" r="AF873">
        <v>92</v>
      </c>
      <c t="s" s="6" r="AG873">
        <v>92</v>
      </c>
      <c t="s" s="6" r="AH873">
        <v>92</v>
      </c>
      <c t="s" s="6" r="AI873">
        <v>92</v>
      </c>
      <c t="s" s="6" r="AJ873">
        <v>92</v>
      </c>
      <c t="s" s="6" r="AK873">
        <v>92</v>
      </c>
      <c t="s" s="6" r="AL873">
        <v>92</v>
      </c>
      <c t="s" s="6" r="AM873">
        <v>92</v>
      </c>
      <c t="s" s="6" r="AN873">
        <v>92</v>
      </c>
      <c s="6" r="AP873">
        <v>2</v>
      </c>
      <c t="s" s="6" r="AQ873">
        <v>4746</v>
      </c>
      <c t="s" s="6" r="AR873">
        <v>6585</v>
      </c>
      <c s="6" r="AS873">
        <v>0</v>
      </c>
      <c s="6" r="AT873">
        <v>0</v>
      </c>
      <c s="6" r="AU873">
        <v>0</v>
      </c>
      <c s="6" r="AV873">
        <v>0</v>
      </c>
      <c s="6" r="AW873">
        <v>0</v>
      </c>
      <c s="6" r="AX873">
        <v>0</v>
      </c>
      <c s="6" r="AY873">
        <v>0</v>
      </c>
      <c s="6" r="AZ873">
        <v>0</v>
      </c>
      <c s="6" r="BA873">
        <v>0</v>
      </c>
      <c s="6" r="BB873">
        <v>0</v>
      </c>
      <c s="6" r="BC873">
        <v>0</v>
      </c>
      <c s="6" r="BD873">
        <v>0</v>
      </c>
      <c s="6" r="BE873">
        <v>0</v>
      </c>
      <c s="6" r="BF873">
        <v>0</v>
      </c>
      <c s="6" r="BG873">
        <v>0</v>
      </c>
      <c s="6" r="BH873">
        <v>0</v>
      </c>
      <c s="6" r="BI873">
        <v>0</v>
      </c>
      <c s="6" r="BJ873">
        <v>0</v>
      </c>
      <c s="6" r="BK873">
        <v>0</v>
      </c>
      <c s="6" r="BL873">
        <v>0</v>
      </c>
      <c s="6" r="BM873">
        <v>0</v>
      </c>
      <c s="6" r="BN873">
        <v>0</v>
      </c>
      <c s="6" r="BO873">
        <v>0</v>
      </c>
      <c s="6" r="BP873">
        <v>0</v>
      </c>
      <c s="6" r="BQ873">
        <v>1</v>
      </c>
      <c t="str" s="6" r="BR873">
        <f>HYPERLINK("http://www.d20pfsrd.com/magic/all-spells/s/slipstream","Slipstream")</f>
        <v>Slipstream</v>
      </c>
      <c s="6" r="BS873">
        <v>885</v>
      </c>
      <c t="s" s="6" r="BT873">
        <v>92</v>
      </c>
      <c t="s" s="6" r="BU873">
        <v>462</v>
      </c>
      <c t="s" s="6" r="BV873">
        <v>542</v>
      </c>
      <c s="6" r="BY873">
        <v>0</v>
      </c>
    </row>
    <row customHeight="1" r="874" ht="14.25">
      <c t="s" s="6" r="A874">
        <v>6586</v>
      </c>
      <c t="s" s="6" r="B874">
        <v>131</v>
      </c>
      <c t="s" s="6" r="E874">
        <v>6587</v>
      </c>
      <c t="s" s="6" r="F874">
        <v>81</v>
      </c>
      <c t="s" s="6" r="G874">
        <v>6588</v>
      </c>
      <c s="6" r="H874">
        <v>0</v>
      </c>
      <c t="s" s="6" r="I874">
        <v>97</v>
      </c>
      <c t="s" s="6" r="L874">
        <v>6589</v>
      </c>
      <c t="s" s="6" r="M874">
        <v>99</v>
      </c>
      <c s="6" r="N874">
        <v>0</v>
      </c>
      <c s="6" r="O874">
        <v>0</v>
      </c>
      <c t="s" s="6" r="P874">
        <v>535</v>
      </c>
      <c t="s" s="6" r="Q874">
        <v>536</v>
      </c>
      <c t="s" s="6" r="R874">
        <v>6590</v>
      </c>
      <c t="s" s="6" r="S874">
        <v>6591</v>
      </c>
      <c t="s" s="6" r="T874">
        <v>5200</v>
      </c>
      <c t="s" s="6" r="U874">
        <v>6592</v>
      </c>
      <c s="6" r="V874">
        <v>1</v>
      </c>
      <c s="6" r="W874">
        <v>1</v>
      </c>
      <c s="6" r="X874">
        <v>1</v>
      </c>
      <c s="6" r="Y874">
        <v>0</v>
      </c>
      <c s="6" r="Z874">
        <v>0</v>
      </c>
      <c t="s" s="6" r="AA874">
        <v>92</v>
      </c>
      <c t="s" s="6" r="AB874">
        <v>92</v>
      </c>
      <c s="6" r="AC874">
        <v>5</v>
      </c>
      <c s="6" r="AD874">
        <v>5</v>
      </c>
      <c t="s" s="6" r="AE874">
        <v>92</v>
      </c>
      <c t="s" s="6" r="AF874">
        <v>92</v>
      </c>
      <c t="s" s="6" r="AG874">
        <v>92</v>
      </c>
      <c t="s" s="6" r="AH874">
        <v>92</v>
      </c>
      <c t="s" s="6" r="AI874">
        <v>92</v>
      </c>
      <c t="s" s="6" r="AJ874">
        <v>92</v>
      </c>
      <c t="s" s="6" r="AK874">
        <v>92</v>
      </c>
      <c s="6" r="AL874">
        <v>5</v>
      </c>
      <c t="s" s="6" r="AM874">
        <v>92</v>
      </c>
      <c t="s" s="6" r="AN874">
        <v>92</v>
      </c>
      <c s="6" r="AP874">
        <v>5</v>
      </c>
      <c t="s" s="6" r="AR874">
        <v>6593</v>
      </c>
      <c s="6" r="AS874">
        <v>0</v>
      </c>
      <c s="6" r="AT874">
        <v>0</v>
      </c>
      <c s="6" r="AU874">
        <v>0</v>
      </c>
      <c s="6" r="AV874">
        <v>0</v>
      </c>
      <c s="6" r="AW874">
        <v>0</v>
      </c>
      <c s="6" r="AX874">
        <v>0</v>
      </c>
      <c s="6" r="AY874">
        <v>0</v>
      </c>
      <c s="6" r="AZ874">
        <v>0</v>
      </c>
      <c s="6" r="BA874">
        <v>0</v>
      </c>
      <c s="6" r="BB874">
        <v>0</v>
      </c>
      <c s="6" r="BC874">
        <v>0</v>
      </c>
      <c s="6" r="BD874">
        <v>0</v>
      </c>
      <c s="6" r="BE874">
        <v>0</v>
      </c>
      <c s="6" r="BF874">
        <v>0</v>
      </c>
      <c s="6" r="BG874">
        <v>0</v>
      </c>
      <c s="6" r="BH874">
        <v>0</v>
      </c>
      <c s="6" r="BI874">
        <v>0</v>
      </c>
      <c s="6" r="BJ874">
        <v>0</v>
      </c>
      <c s="6" r="BK874">
        <v>0</v>
      </c>
      <c s="6" r="BL874">
        <v>0</v>
      </c>
      <c s="6" r="BM874">
        <v>0</v>
      </c>
      <c s="6" r="BN874">
        <v>0</v>
      </c>
      <c s="6" r="BO874">
        <v>0</v>
      </c>
      <c s="6" r="BP874">
        <v>0</v>
      </c>
      <c s="6" r="BQ874">
        <v>0</v>
      </c>
      <c t="str" s="6" r="BR874">
        <f>HYPERLINK("http://www.d20pfsrd.com/magic/all-spells/s/snake-staff","Snake Staff")</f>
        <v>Snake Staff</v>
      </c>
      <c s="6" r="BS874">
        <v>886</v>
      </c>
      <c t="s" s="6" r="BT874">
        <v>92</v>
      </c>
      <c t="s" s="6" r="BV874">
        <v>489</v>
      </c>
      <c s="6" r="BY874">
        <v>0</v>
      </c>
    </row>
    <row customHeight="1" r="875" ht="14.25">
      <c t="s" s="6" r="A875">
        <v>6594</v>
      </c>
      <c t="s" s="6" r="B875">
        <v>78</v>
      </c>
      <c t="s" s="6" r="C875">
        <v>79</v>
      </c>
      <c t="s" s="6" r="E875">
        <v>915</v>
      </c>
      <c t="s" s="6" r="F875">
        <v>81</v>
      </c>
      <c t="s" s="6" r="G875">
        <v>251</v>
      </c>
      <c s="6" r="H875">
        <v>0</v>
      </c>
      <c t="s" s="6" r="I875">
        <v>107</v>
      </c>
      <c t="s" s="6" r="K875">
        <v>6595</v>
      </c>
      <c t="s" s="6" r="M875">
        <v>2696</v>
      </c>
      <c s="6" r="N875">
        <v>0</v>
      </c>
      <c s="6" r="O875">
        <v>0</v>
      </c>
      <c t="s" s="6" r="P875">
        <v>86</v>
      </c>
      <c t="s" s="6" r="Q875">
        <v>87</v>
      </c>
      <c t="s" s="6" r="R875">
        <v>6596</v>
      </c>
      <c t="s" s="6" r="S875">
        <v>6597</v>
      </c>
      <c t="s" s="6" r="T875">
        <v>5200</v>
      </c>
      <c t="s" s="6" r="U875">
        <v>6598</v>
      </c>
      <c s="6" r="V875">
        <v>1</v>
      </c>
      <c s="6" r="W875">
        <v>0</v>
      </c>
      <c s="6" r="X875">
        <v>0</v>
      </c>
      <c s="6" r="Y875">
        <v>0</v>
      </c>
      <c s="6" r="Z875">
        <v>0</v>
      </c>
      <c t="s" s="6" r="AA875">
        <v>92</v>
      </c>
      <c t="s" s="6" r="AB875">
        <v>92</v>
      </c>
      <c t="s" s="6" r="AC875">
        <v>92</v>
      </c>
      <c t="s" s="6" r="AD875">
        <v>92</v>
      </c>
      <c t="s" s="6" r="AE875">
        <v>92</v>
      </c>
      <c s="6" r="AF875">
        <v>1</v>
      </c>
      <c t="s" s="6" r="AG875">
        <v>92</v>
      </c>
      <c t="s" s="6" r="AH875">
        <v>92</v>
      </c>
      <c t="s" s="6" r="AI875">
        <v>92</v>
      </c>
      <c t="s" s="6" r="AJ875">
        <v>92</v>
      </c>
      <c t="s" s="6" r="AK875">
        <v>92</v>
      </c>
      <c t="s" s="6" r="AL875">
        <v>92</v>
      </c>
      <c t="s" s="6" r="AM875">
        <v>92</v>
      </c>
      <c t="s" s="6" r="AN875">
        <v>92</v>
      </c>
      <c s="6" r="AP875">
        <v>1</v>
      </c>
      <c t="s" s="6" r="AR875">
        <v>6599</v>
      </c>
      <c s="6" r="AS875">
        <v>0</v>
      </c>
      <c s="6" r="AT875">
        <v>0</v>
      </c>
      <c s="6" r="AU875">
        <v>0</v>
      </c>
      <c s="6" r="AV875">
        <v>0</v>
      </c>
      <c s="6" r="AW875">
        <v>0</v>
      </c>
      <c s="6" r="AX875">
        <v>0</v>
      </c>
      <c s="6" r="AY875">
        <v>0</v>
      </c>
      <c s="6" r="AZ875">
        <v>0</v>
      </c>
      <c s="6" r="BA875">
        <v>0</v>
      </c>
      <c s="6" r="BB875">
        <v>0</v>
      </c>
      <c s="6" r="BC875">
        <v>0</v>
      </c>
      <c s="6" r="BD875">
        <v>0</v>
      </c>
      <c s="6" r="BE875">
        <v>0</v>
      </c>
      <c s="6" r="BF875">
        <v>0</v>
      </c>
      <c s="6" r="BG875">
        <v>0</v>
      </c>
      <c s="6" r="BH875">
        <v>0</v>
      </c>
      <c s="6" r="BI875">
        <v>0</v>
      </c>
      <c s="6" r="BJ875">
        <v>0</v>
      </c>
      <c s="6" r="BK875">
        <v>0</v>
      </c>
      <c s="6" r="BL875">
        <v>0</v>
      </c>
      <c s="6" r="BM875">
        <v>0</v>
      </c>
      <c s="6" r="BN875">
        <v>0</v>
      </c>
      <c s="6" r="BO875">
        <v>0</v>
      </c>
      <c s="6" r="BP875">
        <v>0</v>
      </c>
      <c s="6" r="BQ875">
        <v>0</v>
      </c>
      <c t="str" s="6" r="BR875">
        <f>HYPERLINK("http://www.d20pfsrd.com/magic/all-spells/s/solid-note","Solid Note")</f>
        <v>Solid Note</v>
      </c>
      <c s="6" r="BS875">
        <v>887</v>
      </c>
      <c t="s" s="6" r="BT875">
        <v>92</v>
      </c>
      <c s="6" r="BY875">
        <v>0</v>
      </c>
    </row>
    <row customHeight="1" r="876" ht="14.25">
      <c t="s" s="6" r="A876">
        <v>6600</v>
      </c>
      <c t="s" s="6" r="B876">
        <v>493</v>
      </c>
      <c t="s" s="6" r="D876">
        <v>57</v>
      </c>
      <c t="s" s="6" r="E876">
        <v>6601</v>
      </c>
      <c t="s" s="6" r="F876">
        <v>81</v>
      </c>
      <c t="s" s="6" r="G876">
        <v>6602</v>
      </c>
      <c s="6" r="H876">
        <v>0</v>
      </c>
      <c t="s" s="6" r="I876">
        <v>107</v>
      </c>
      <c t="s" s="6" r="L876">
        <v>6603</v>
      </c>
      <c t="s" s="6" r="M876">
        <v>109</v>
      </c>
      <c s="6" r="N876">
        <v>0</v>
      </c>
      <c s="6" r="O876">
        <v>0</v>
      </c>
      <c t="s" s="6" r="P876">
        <v>5197</v>
      </c>
      <c t="s" s="6" r="Q876">
        <v>536</v>
      </c>
      <c t="s" s="6" r="R876">
        <v>6604</v>
      </c>
      <c t="s" s="6" r="S876">
        <v>6605</v>
      </c>
      <c t="s" s="6" r="T876">
        <v>5200</v>
      </c>
      <c t="s" s="6" r="U876">
        <v>6606</v>
      </c>
      <c s="6" r="V876">
        <v>1</v>
      </c>
      <c s="6" r="W876">
        <v>1</v>
      </c>
      <c s="6" r="X876">
        <v>0</v>
      </c>
      <c s="6" r="Y876">
        <v>0</v>
      </c>
      <c s="6" r="Z876">
        <v>0</v>
      </c>
      <c s="6" r="AA876">
        <v>0</v>
      </c>
      <c s="6" r="AB876">
        <v>0</v>
      </c>
      <c s="6" r="AC876">
        <v>0</v>
      </c>
      <c s="6" r="AD876">
        <v>0</v>
      </c>
      <c t="s" s="6" r="AE876">
        <v>92</v>
      </c>
      <c s="6" r="AF876">
        <v>0</v>
      </c>
      <c t="s" s="6" r="AG876">
        <v>92</v>
      </c>
      <c t="s" s="6" r="AH876">
        <v>92</v>
      </c>
      <c t="s" s="6" r="AI876">
        <v>92</v>
      </c>
      <c s="6" r="AJ876">
        <v>0</v>
      </c>
      <c t="s" s="6" r="AK876">
        <v>92</v>
      </c>
      <c s="6" r="AL876">
        <v>0</v>
      </c>
      <c t="s" s="6" r="AM876">
        <v>92</v>
      </c>
      <c s="6" r="AN876">
        <v>0</v>
      </c>
      <c s="6" r="AP876">
        <v>0</v>
      </c>
      <c t="s" s="6" r="AR876">
        <v>6607</v>
      </c>
      <c s="6" r="AS876">
        <v>0</v>
      </c>
      <c s="6" r="AT876">
        <v>0</v>
      </c>
      <c s="6" r="AU876">
        <v>0</v>
      </c>
      <c s="6" r="AV876">
        <v>0</v>
      </c>
      <c s="6" r="AW876">
        <v>0</v>
      </c>
      <c s="6" r="AX876">
        <v>0</v>
      </c>
      <c s="6" r="AY876">
        <v>0</v>
      </c>
      <c s="6" r="AZ876">
        <v>0</v>
      </c>
      <c s="6" r="BA876">
        <v>0</v>
      </c>
      <c s="6" r="BB876">
        <v>0</v>
      </c>
      <c s="6" r="BC876">
        <v>0</v>
      </c>
      <c s="6" r="BD876">
        <v>0</v>
      </c>
      <c s="6" r="BE876">
        <v>0</v>
      </c>
      <c s="6" r="BF876">
        <v>1</v>
      </c>
      <c s="6" r="BG876">
        <v>0</v>
      </c>
      <c s="6" r="BH876">
        <v>0</v>
      </c>
      <c s="6" r="BI876">
        <v>0</v>
      </c>
      <c s="6" r="BJ876">
        <v>0</v>
      </c>
      <c s="6" r="BK876">
        <v>0</v>
      </c>
      <c s="6" r="BL876">
        <v>0</v>
      </c>
      <c s="6" r="BM876">
        <v>0</v>
      </c>
      <c s="6" r="BN876">
        <v>0</v>
      </c>
      <c s="6" r="BO876">
        <v>0</v>
      </c>
      <c s="6" r="BP876">
        <v>0</v>
      </c>
      <c s="6" r="BQ876">
        <v>0</v>
      </c>
      <c t="str" s="6" r="BR876">
        <f>HYPERLINK("http://www.d20pfsrd.com/magic/all-spells/s/spark","Spark")</f>
        <v>Spark</v>
      </c>
      <c s="6" r="BS876">
        <v>888</v>
      </c>
      <c t="s" s="6" r="BT876">
        <v>92</v>
      </c>
      <c s="6" r="BY876">
        <v>0</v>
      </c>
    </row>
    <row customHeight="1" r="877" ht="14.25">
      <c t="s" s="6" r="A877">
        <v>6608</v>
      </c>
      <c t="s" s="6" r="B877">
        <v>78</v>
      </c>
      <c t="s" s="6" r="C877">
        <v>79</v>
      </c>
      <c t="s" s="6" r="E877">
        <v>5685</v>
      </c>
      <c t="s" s="6" r="F877">
        <v>81</v>
      </c>
      <c t="s" s="6" r="G877">
        <v>5600</v>
      </c>
      <c s="6" r="H877">
        <v>1</v>
      </c>
      <c t="s" s="6" r="I877">
        <v>97</v>
      </c>
      <c t="s" s="6" r="K877">
        <v>5213</v>
      </c>
      <c t="s" s="6" r="M877">
        <v>5214</v>
      </c>
      <c s="6" r="N877">
        <v>0</v>
      </c>
      <c s="6" r="O877">
        <v>0</v>
      </c>
      <c t="s" s="6" r="P877">
        <v>1865</v>
      </c>
      <c t="s" s="6" r="Q877">
        <v>87</v>
      </c>
      <c t="s" s="6" r="R877">
        <v>6609</v>
      </c>
      <c t="s" s="6" r="S877">
        <v>6610</v>
      </c>
      <c t="s" s="6" r="T877">
        <v>5200</v>
      </c>
      <c t="s" s="6" r="U877">
        <v>6611</v>
      </c>
      <c s="6" r="V877">
        <v>1</v>
      </c>
      <c s="6" r="W877">
        <v>1</v>
      </c>
      <c s="6" r="X877">
        <v>0</v>
      </c>
      <c s="6" r="Y877">
        <v>0</v>
      </c>
      <c s="6" r="Z877">
        <v>0</v>
      </c>
      <c s="6" r="AA877">
        <v>3</v>
      </c>
      <c s="6" r="AB877">
        <v>3</v>
      </c>
      <c t="s" s="6" r="AC877">
        <v>92</v>
      </c>
      <c t="s" s="6" r="AD877">
        <v>92</v>
      </c>
      <c t="s" s="6" r="AE877">
        <v>92</v>
      </c>
      <c t="s" s="6" r="AF877">
        <v>92</v>
      </c>
      <c t="s" s="6" r="AG877">
        <v>92</v>
      </c>
      <c t="s" s="6" r="AH877">
        <v>92</v>
      </c>
      <c s="6" r="AI877">
        <v>3</v>
      </c>
      <c t="s" s="6" r="AJ877">
        <v>92</v>
      </c>
      <c t="s" s="6" r="AK877">
        <v>92</v>
      </c>
      <c t="s" s="6" r="AL877">
        <v>92</v>
      </c>
      <c t="s" s="6" r="AM877">
        <v>92</v>
      </c>
      <c t="s" s="6" r="AN877">
        <v>92</v>
      </c>
      <c s="6" r="AP877">
        <v>3</v>
      </c>
      <c t="s" s="6" r="AQ877">
        <v>5604</v>
      </c>
      <c t="s" s="6" r="AR877">
        <v>6612</v>
      </c>
      <c s="6" r="AS877">
        <v>0</v>
      </c>
      <c s="6" r="AT877">
        <v>0</v>
      </c>
      <c s="6" r="AU877">
        <v>0</v>
      </c>
      <c s="6" r="AV877">
        <v>0</v>
      </c>
      <c s="6" r="AW877">
        <v>0</v>
      </c>
      <c s="6" r="AX877">
        <v>0</v>
      </c>
      <c s="6" r="AY877">
        <v>0</v>
      </c>
      <c s="6" r="AZ877">
        <v>0</v>
      </c>
      <c s="6" r="BA877">
        <v>0</v>
      </c>
      <c s="6" r="BB877">
        <v>0</v>
      </c>
      <c s="6" r="BC877">
        <v>0</v>
      </c>
      <c s="6" r="BD877">
        <v>0</v>
      </c>
      <c s="6" r="BE877">
        <v>0</v>
      </c>
      <c s="6" r="BF877">
        <v>0</v>
      </c>
      <c s="6" r="BG877">
        <v>0</v>
      </c>
      <c s="6" r="BH877">
        <v>0</v>
      </c>
      <c s="6" r="BI877">
        <v>0</v>
      </c>
      <c s="6" r="BJ877">
        <v>0</v>
      </c>
      <c s="6" r="BK877">
        <v>0</v>
      </c>
      <c s="6" r="BL877">
        <v>0</v>
      </c>
      <c s="6" r="BM877">
        <v>0</v>
      </c>
      <c s="6" r="BN877">
        <v>0</v>
      </c>
      <c s="6" r="BO877">
        <v>0</v>
      </c>
      <c s="6" r="BP877">
        <v>0</v>
      </c>
      <c s="6" r="BQ877">
        <v>0</v>
      </c>
      <c t="str" s="6" r="BR877">
        <f>HYPERLINK("http://www.d20pfsrd.com/magic/all-spells/s/spiked-pit","Spiked Pit")</f>
        <v>Spiked Pit</v>
      </c>
      <c s="6" r="BS877">
        <v>889</v>
      </c>
      <c s="6" r="BT877">
        <v>10</v>
      </c>
      <c s="6" r="BY877">
        <v>0</v>
      </c>
    </row>
    <row customHeight="1" r="878" ht="14.25">
      <c t="s" s="6" r="A878">
        <v>6613</v>
      </c>
      <c t="s" s="6" r="B878">
        <v>493</v>
      </c>
      <c t="s" s="6" r="D878">
        <v>58</v>
      </c>
      <c t="s" s="6" r="E878">
        <v>2442</v>
      </c>
      <c t="s" s="6" r="F878">
        <v>81</v>
      </c>
      <c t="s" s="6" r="G878">
        <v>119</v>
      </c>
      <c s="6" r="H878">
        <v>0</v>
      </c>
      <c t="s" s="6" r="I878">
        <v>97</v>
      </c>
      <c t="s" s="6" r="K878">
        <v>6614</v>
      </c>
      <c t="s" s="6" r="M878">
        <v>483</v>
      </c>
      <c s="6" r="N878">
        <v>1</v>
      </c>
      <c s="6" r="O878">
        <v>0</v>
      </c>
      <c t="s" s="6" r="P878">
        <v>86</v>
      </c>
      <c t="s" s="6" r="Q878">
        <v>188</v>
      </c>
      <c t="s" s="6" r="R878">
        <v>6615</v>
      </c>
      <c t="s" s="6" r="S878">
        <v>6616</v>
      </c>
      <c t="s" s="6" r="T878">
        <v>5200</v>
      </c>
      <c t="s" s="6" r="U878">
        <v>6617</v>
      </c>
      <c s="6" r="V878">
        <v>1</v>
      </c>
      <c s="6" r="W878">
        <v>1</v>
      </c>
      <c s="6" r="X878">
        <v>0</v>
      </c>
      <c s="6" r="Y878">
        <v>0</v>
      </c>
      <c s="6" r="Z878">
        <v>1</v>
      </c>
      <c t="s" s="6" r="AA878">
        <v>92</v>
      </c>
      <c t="s" s="6" r="AB878">
        <v>92</v>
      </c>
      <c s="6" r="AC878">
        <v>4</v>
      </c>
      <c t="s" s="6" r="AD878">
        <v>92</v>
      </c>
      <c t="s" s="6" r="AE878">
        <v>92</v>
      </c>
      <c t="s" s="6" r="AF878">
        <v>92</v>
      </c>
      <c t="s" s="6" r="AG878">
        <v>92</v>
      </c>
      <c t="s" s="6" r="AH878">
        <v>92</v>
      </c>
      <c t="s" s="6" r="AI878">
        <v>92</v>
      </c>
      <c t="s" s="6" r="AJ878">
        <v>92</v>
      </c>
      <c t="s" s="6" r="AK878">
        <v>92</v>
      </c>
      <c s="6" r="AL878">
        <v>4</v>
      </c>
      <c t="s" s="6" r="AM878">
        <v>92</v>
      </c>
      <c t="s" s="6" r="AN878">
        <v>92</v>
      </c>
      <c s="6" r="AP878">
        <v>4</v>
      </c>
      <c t="s" s="6" r="AR878">
        <v>6618</v>
      </c>
      <c s="6" r="AS878">
        <v>0</v>
      </c>
      <c s="6" r="AT878">
        <v>0</v>
      </c>
      <c s="6" r="AU878">
        <v>0</v>
      </c>
      <c s="6" r="AV878">
        <v>0</v>
      </c>
      <c s="6" r="AW878">
        <v>0</v>
      </c>
      <c s="6" r="AX878">
        <v>0</v>
      </c>
      <c s="6" r="AY878">
        <v>0</v>
      </c>
      <c s="6" r="AZ878">
        <v>0</v>
      </c>
      <c s="6" r="BA878">
        <v>0</v>
      </c>
      <c s="6" r="BB878">
        <v>0</v>
      </c>
      <c s="6" r="BC878">
        <v>0</v>
      </c>
      <c s="6" r="BD878">
        <v>0</v>
      </c>
      <c s="6" r="BE878">
        <v>0</v>
      </c>
      <c s="6" r="BF878">
        <v>0</v>
      </c>
      <c s="6" r="BG878">
        <v>1</v>
      </c>
      <c s="6" r="BH878">
        <v>0</v>
      </c>
      <c s="6" r="BI878">
        <v>0</v>
      </c>
      <c s="6" r="BJ878">
        <v>0</v>
      </c>
      <c s="6" r="BK878">
        <v>0</v>
      </c>
      <c s="6" r="BL878">
        <v>0</v>
      </c>
      <c s="6" r="BM878">
        <v>0</v>
      </c>
      <c s="6" r="BN878">
        <v>0</v>
      </c>
      <c s="6" r="BO878">
        <v>0</v>
      </c>
      <c s="6" r="BP878">
        <v>0</v>
      </c>
      <c s="6" r="BQ878">
        <v>0</v>
      </c>
      <c t="str" s="6" r="BR878">
        <f>HYPERLINK("http://www.d20pfsrd.com/magic/all-spells/s/spiritual-ally","Spiritual Ally")</f>
        <v>Spiritual Ally</v>
      </c>
      <c s="6" r="BS878">
        <v>890</v>
      </c>
      <c t="s" s="6" r="BT878">
        <v>92</v>
      </c>
      <c t="s" s="6" r="BV878">
        <v>1681</v>
      </c>
      <c s="6" r="BY878">
        <v>0</v>
      </c>
    </row>
    <row customHeight="1" r="879" ht="14.25">
      <c t="s" s="6" r="A879">
        <v>6619</v>
      </c>
      <c t="s" s="6" r="B879">
        <v>162</v>
      </c>
      <c t="s" s="6" r="E879">
        <v>6620</v>
      </c>
      <c t="s" s="6" r="F879">
        <v>272</v>
      </c>
      <c t="s" s="6" r="G879">
        <v>6621</v>
      </c>
      <c s="6" r="H879">
        <v>1</v>
      </c>
      <c t="s" s="6" r="I879">
        <v>155</v>
      </c>
      <c t="s" s="6" r="L879">
        <v>156</v>
      </c>
      <c t="s" s="6" r="M879">
        <v>6622</v>
      </c>
      <c s="6" r="N879">
        <v>1</v>
      </c>
      <c s="6" r="O879">
        <v>0</v>
      </c>
      <c t="s" s="6" r="R879">
        <v>6623</v>
      </c>
      <c t="s" s="6" r="S879">
        <v>6624</v>
      </c>
      <c t="s" s="6" r="T879">
        <v>5200</v>
      </c>
      <c t="s" s="6" r="U879">
        <v>6625</v>
      </c>
      <c s="6" r="V879">
        <v>1</v>
      </c>
      <c s="6" r="W879">
        <v>1</v>
      </c>
      <c s="6" r="X879">
        <v>1</v>
      </c>
      <c s="6" r="Y879">
        <v>0</v>
      </c>
      <c s="6" r="Z879">
        <v>0</v>
      </c>
      <c t="s" s="6" r="AA879">
        <v>92</v>
      </c>
      <c t="s" s="6" r="AB879">
        <v>92</v>
      </c>
      <c t="s" s="6" r="AC879">
        <v>92</v>
      </c>
      <c t="s" s="6" r="AD879">
        <v>92</v>
      </c>
      <c t="s" s="6" r="AE879">
        <v>92</v>
      </c>
      <c t="s" s="6" r="AF879">
        <v>92</v>
      </c>
      <c t="s" s="6" r="AG879">
        <v>92</v>
      </c>
      <c t="s" s="6" r="AH879">
        <v>92</v>
      </c>
      <c t="s" s="6" r="AI879">
        <v>92</v>
      </c>
      <c s="6" r="AJ879">
        <v>4</v>
      </c>
      <c t="s" s="6" r="AK879">
        <v>92</v>
      </c>
      <c t="s" s="6" r="AL879">
        <v>92</v>
      </c>
      <c t="s" s="6" r="AM879">
        <v>92</v>
      </c>
      <c t="s" s="6" r="AN879">
        <v>92</v>
      </c>
      <c s="6" r="AP879">
        <v>4</v>
      </c>
      <c t="s" s="6" r="AR879">
        <v>6626</v>
      </c>
      <c s="6" r="AS879">
        <v>0</v>
      </c>
      <c s="6" r="AT879">
        <v>0</v>
      </c>
      <c s="6" r="AU879">
        <v>0</v>
      </c>
      <c s="6" r="AV879">
        <v>0</v>
      </c>
      <c s="6" r="AW879">
        <v>0</v>
      </c>
      <c s="6" r="AX879">
        <v>0</v>
      </c>
      <c s="6" r="AY879">
        <v>0</v>
      </c>
      <c s="6" r="AZ879">
        <v>0</v>
      </c>
      <c s="6" r="BA879">
        <v>0</v>
      </c>
      <c s="6" r="BB879">
        <v>0</v>
      </c>
      <c s="6" r="BC879">
        <v>0</v>
      </c>
      <c s="6" r="BD879">
        <v>0</v>
      </c>
      <c s="6" r="BE879">
        <v>0</v>
      </c>
      <c s="6" r="BF879">
        <v>0</v>
      </c>
      <c s="6" r="BG879">
        <v>0</v>
      </c>
      <c s="6" r="BH879">
        <v>0</v>
      </c>
      <c s="6" r="BI879">
        <v>0</v>
      </c>
      <c s="6" r="BJ879">
        <v>0</v>
      </c>
      <c s="6" r="BK879">
        <v>0</v>
      </c>
      <c s="6" r="BL879">
        <v>0</v>
      </c>
      <c s="6" r="BM879">
        <v>0</v>
      </c>
      <c s="6" r="BN879">
        <v>0</v>
      </c>
      <c s="6" r="BO879">
        <v>0</v>
      </c>
      <c s="6" r="BP879">
        <v>0</v>
      </c>
      <c s="6" r="BQ879">
        <v>0</v>
      </c>
      <c t="str" s="6" r="BR879">
        <f>HYPERLINK("http://www.d20pfsrd.com/magic/all-spells/s/spite","Spite")</f>
        <v>Spite</v>
      </c>
      <c s="6" r="BS879">
        <v>891</v>
      </c>
      <c s="6" r="BT879">
        <v>250</v>
      </c>
      <c s="6" r="BY879">
        <v>0</v>
      </c>
    </row>
    <row customHeight="1" r="880" ht="14.25">
      <c t="s" s="6" r="A880">
        <v>6627</v>
      </c>
      <c t="s" s="6" r="B880">
        <v>115</v>
      </c>
      <c t="s" s="6" r="C880">
        <v>116</v>
      </c>
      <c t="s" s="6" r="D880">
        <v>117</v>
      </c>
      <c t="s" s="6" r="E880">
        <v>2367</v>
      </c>
      <c t="s" s="6" r="F880">
        <v>1743</v>
      </c>
      <c t="s" s="6" r="G880">
        <v>119</v>
      </c>
      <c s="6" r="H880">
        <v>0</v>
      </c>
      <c t="s" s="6" r="I880">
        <v>97</v>
      </c>
      <c t="s" s="6" r="L880">
        <v>1235</v>
      </c>
      <c t="s" s="6" r="M880">
        <v>6628</v>
      </c>
      <c s="6" r="N880">
        <v>0</v>
      </c>
      <c s="6" r="O880">
        <v>0</v>
      </c>
      <c t="s" s="6" r="P880">
        <v>296</v>
      </c>
      <c t="s" s="6" r="Q880">
        <v>188</v>
      </c>
      <c t="s" s="6" r="R880">
        <v>6629</v>
      </c>
      <c t="s" s="6" r="S880">
        <v>6630</v>
      </c>
      <c t="s" s="6" r="T880">
        <v>5200</v>
      </c>
      <c t="s" s="6" r="U880">
        <v>6631</v>
      </c>
      <c s="6" r="V880">
        <v>1</v>
      </c>
      <c s="6" r="W880">
        <v>1</v>
      </c>
      <c s="6" r="X880">
        <v>0</v>
      </c>
      <c s="6" r="Y880">
        <v>0</v>
      </c>
      <c s="6" r="Z880">
        <v>1</v>
      </c>
      <c t="s" s="6" r="AA880">
        <v>92</v>
      </c>
      <c t="s" s="6" r="AB880">
        <v>92</v>
      </c>
      <c t="s" s="6" r="AC880">
        <v>92</v>
      </c>
      <c t="s" s="6" r="AD880">
        <v>92</v>
      </c>
      <c t="s" s="6" r="AE880">
        <v>92</v>
      </c>
      <c t="s" s="6" r="AF880">
        <v>92</v>
      </c>
      <c s="6" r="AG880">
        <v>4</v>
      </c>
      <c t="s" s="6" r="AH880">
        <v>92</v>
      </c>
      <c t="s" s="6" r="AI880">
        <v>92</v>
      </c>
      <c t="s" s="6" r="AJ880">
        <v>92</v>
      </c>
      <c t="s" s="6" r="AK880">
        <v>92</v>
      </c>
      <c t="s" s="6" r="AL880">
        <v>92</v>
      </c>
      <c t="s" s="6" r="AM880">
        <v>92</v>
      </c>
      <c t="s" s="6" r="AN880">
        <v>92</v>
      </c>
      <c s="6" r="AP880">
        <v>4</v>
      </c>
      <c t="s" s="6" r="AR880">
        <v>6632</v>
      </c>
      <c s="6" r="AS880">
        <v>0</v>
      </c>
      <c s="6" r="AT880">
        <v>0</v>
      </c>
      <c s="6" r="AU880">
        <v>0</v>
      </c>
      <c s="6" r="AV880">
        <v>0</v>
      </c>
      <c s="6" r="AW880">
        <v>0</v>
      </c>
      <c s="6" r="AX880">
        <v>0</v>
      </c>
      <c s="6" r="AY880">
        <v>0</v>
      </c>
      <c s="6" r="AZ880">
        <v>0</v>
      </c>
      <c s="6" r="BA880">
        <v>0</v>
      </c>
      <c s="6" r="BB880">
        <v>0</v>
      </c>
      <c s="6" r="BC880">
        <v>0</v>
      </c>
      <c s="6" r="BD880">
        <v>0</v>
      </c>
      <c s="6" r="BE880">
        <v>0</v>
      </c>
      <c s="6" r="BF880">
        <v>0</v>
      </c>
      <c s="6" r="BG880">
        <v>0</v>
      </c>
      <c s="6" r="BH880">
        <v>0</v>
      </c>
      <c s="6" r="BI880">
        <v>0</v>
      </c>
      <c s="6" r="BJ880">
        <v>0</v>
      </c>
      <c s="6" r="BK880">
        <v>0</v>
      </c>
      <c s="6" r="BL880">
        <v>1</v>
      </c>
      <c s="6" r="BM880">
        <v>0</v>
      </c>
      <c s="6" r="BN880">
        <v>0</v>
      </c>
      <c s="6" r="BO880">
        <v>0</v>
      </c>
      <c s="6" r="BP880">
        <v>0</v>
      </c>
      <c s="6" r="BQ880">
        <v>0</v>
      </c>
      <c t="str" s="6" r="BR880">
        <f>HYPERLINK("http://www.d20pfsrd.com/magic/all-spells/s/stay-the-hand","Stay the Hand")</f>
        <v>Stay the Hand</v>
      </c>
      <c s="6" r="BS880">
        <v>892</v>
      </c>
      <c t="s" s="6" r="BT880">
        <v>92</v>
      </c>
      <c s="6" r="BY880">
        <v>0</v>
      </c>
    </row>
    <row customHeight="1" r="881" ht="14.25">
      <c t="s" s="6" r="A881">
        <v>6633</v>
      </c>
      <c t="s" s="6" r="B881">
        <v>78</v>
      </c>
      <c t="s" s="6" r="C881">
        <v>79</v>
      </c>
      <c t="s" s="6" r="D881">
        <v>52</v>
      </c>
      <c t="s" s="6" r="E881">
        <v>6634</v>
      </c>
      <c t="s" s="6" r="F881">
        <v>81</v>
      </c>
      <c t="s" s="6" r="G881">
        <v>119</v>
      </c>
      <c s="6" r="H881">
        <v>0</v>
      </c>
      <c t="s" s="6" r="I881">
        <v>97</v>
      </c>
      <c t="s" s="6" r="J881">
        <v>4001</v>
      </c>
      <c t="s" s="6" r="M881">
        <v>99</v>
      </c>
      <c s="6" r="N881">
        <v>0</v>
      </c>
      <c s="6" r="O881">
        <v>0</v>
      </c>
      <c t="s" s="6" r="P881">
        <v>86</v>
      </c>
      <c t="s" s="6" r="Q881">
        <v>87</v>
      </c>
      <c t="s" s="6" r="R881">
        <v>6635</v>
      </c>
      <c t="s" s="6" r="S881">
        <v>6636</v>
      </c>
      <c t="s" s="6" r="T881">
        <v>5200</v>
      </c>
      <c t="s" s="6" r="U881">
        <v>6637</v>
      </c>
      <c s="6" r="V881">
        <v>1</v>
      </c>
      <c s="6" r="W881">
        <v>1</v>
      </c>
      <c s="6" r="X881">
        <v>0</v>
      </c>
      <c s="6" r="Y881">
        <v>0</v>
      </c>
      <c s="6" r="Z881">
        <v>1</v>
      </c>
      <c s="6" r="AA881">
        <v>2</v>
      </c>
      <c s="6" r="AB881">
        <v>2</v>
      </c>
      <c t="s" s="6" r="AC881">
        <v>92</v>
      </c>
      <c s="6" r="AD881">
        <v>2</v>
      </c>
      <c s="6" r="AE881">
        <v>2</v>
      </c>
      <c t="s" s="6" r="AF881">
        <v>92</v>
      </c>
      <c t="s" s="6" r="AG881">
        <v>92</v>
      </c>
      <c t="s" s="6" r="AH881">
        <v>92</v>
      </c>
      <c t="s" s="6" r="AI881">
        <v>92</v>
      </c>
      <c t="s" s="6" r="AJ881">
        <v>92</v>
      </c>
      <c t="s" s="6" r="AK881">
        <v>92</v>
      </c>
      <c t="s" s="6" r="AL881">
        <v>92</v>
      </c>
      <c t="s" s="6" r="AM881">
        <v>92</v>
      </c>
      <c s="6" r="AN881">
        <v>2</v>
      </c>
      <c s="6" r="AP881">
        <v>2</v>
      </c>
      <c t="s" s="6" r="AR881">
        <v>6638</v>
      </c>
      <c s="6" r="AS881">
        <v>0</v>
      </c>
      <c s="6" r="AT881">
        <v>0</v>
      </c>
      <c s="6" r="AU881">
        <v>0</v>
      </c>
      <c s="6" r="AV881">
        <v>0</v>
      </c>
      <c s="6" r="AW881">
        <v>0</v>
      </c>
      <c s="6" r="AX881">
        <v>0</v>
      </c>
      <c s="6" r="AY881">
        <v>0</v>
      </c>
      <c s="6" r="AZ881">
        <v>0</v>
      </c>
      <c s="6" r="BA881">
        <v>1</v>
      </c>
      <c s="6" r="BB881">
        <v>0</v>
      </c>
      <c s="6" r="BC881">
        <v>0</v>
      </c>
      <c s="6" r="BD881">
        <v>0</v>
      </c>
      <c s="6" r="BE881">
        <v>0</v>
      </c>
      <c s="6" r="BF881">
        <v>0</v>
      </c>
      <c s="6" r="BG881">
        <v>0</v>
      </c>
      <c s="6" r="BH881">
        <v>0</v>
      </c>
      <c s="6" r="BI881">
        <v>0</v>
      </c>
      <c s="6" r="BJ881">
        <v>0</v>
      </c>
      <c s="6" r="BK881">
        <v>0</v>
      </c>
      <c s="6" r="BL881">
        <v>0</v>
      </c>
      <c s="6" r="BM881">
        <v>0</v>
      </c>
      <c s="6" r="BN881">
        <v>0</v>
      </c>
      <c s="6" r="BO881">
        <v>0</v>
      </c>
      <c s="6" r="BP881">
        <v>0</v>
      </c>
      <c s="6" r="BQ881">
        <v>0</v>
      </c>
      <c t="str" s="6" r="BR881">
        <f>HYPERLINK("http://www.d20pfsrd.com/magic/all-spells/s/stone-call","Stone Call")</f>
        <v>Stone Call</v>
      </c>
      <c s="6" r="BS881">
        <v>893</v>
      </c>
      <c t="s" s="6" r="BT881">
        <v>92</v>
      </c>
      <c s="6" r="BY881">
        <v>0</v>
      </c>
    </row>
    <row customHeight="1" r="882" ht="14.25">
      <c t="s" s="6" r="A882">
        <v>6639</v>
      </c>
      <c t="s" s="6" r="B882">
        <v>131</v>
      </c>
      <c t="s" s="6" r="D882">
        <v>52</v>
      </c>
      <c t="s" s="6" r="E882">
        <v>6640</v>
      </c>
      <c t="s" s="6" r="F882">
        <v>81</v>
      </c>
      <c t="s" s="6" r="G882">
        <v>6641</v>
      </c>
      <c s="6" r="H882">
        <v>0</v>
      </c>
      <c t="s" s="6" r="I882">
        <v>155</v>
      </c>
      <c t="s" s="6" r="L882">
        <v>156</v>
      </c>
      <c t="s" s="6" r="M882">
        <v>5513</v>
      </c>
      <c s="6" r="N882">
        <v>1</v>
      </c>
      <c s="6" r="O882">
        <v>0</v>
      </c>
      <c t="s" s="6" r="R882">
        <v>6642</v>
      </c>
      <c t="s" s="6" r="S882">
        <v>6643</v>
      </c>
      <c t="s" s="6" r="T882">
        <v>5200</v>
      </c>
      <c t="s" s="6" r="U882">
        <v>6644</v>
      </c>
      <c s="6" r="V882">
        <v>1</v>
      </c>
      <c s="6" r="W882">
        <v>1</v>
      </c>
      <c s="6" r="X882">
        <v>1</v>
      </c>
      <c s="6" r="Y882">
        <v>0</v>
      </c>
      <c s="6" r="Z882">
        <v>0</v>
      </c>
      <c s="6" r="AA882">
        <v>1</v>
      </c>
      <c s="6" r="AB882">
        <v>1</v>
      </c>
      <c t="s" s="6" r="AC882">
        <v>92</v>
      </c>
      <c s="6" r="AD882">
        <v>1</v>
      </c>
      <c t="s" s="6" r="AE882">
        <v>92</v>
      </c>
      <c t="s" s="6" r="AF882">
        <v>92</v>
      </c>
      <c t="s" s="6" r="AG882">
        <v>92</v>
      </c>
      <c s="6" r="AH882">
        <v>1</v>
      </c>
      <c t="s" s="6" r="AI882">
        <v>92</v>
      </c>
      <c t="s" s="6" r="AJ882">
        <v>92</v>
      </c>
      <c t="s" s="6" r="AK882">
        <v>92</v>
      </c>
      <c t="s" s="6" r="AL882">
        <v>92</v>
      </c>
      <c t="s" s="6" r="AM882">
        <v>92</v>
      </c>
      <c s="6" r="AN882">
        <v>1</v>
      </c>
      <c s="6" r="AP882">
        <v>1</v>
      </c>
      <c t="s" s="6" r="AR882">
        <v>6645</v>
      </c>
      <c s="6" r="AS882">
        <v>0</v>
      </c>
      <c s="6" r="AT882">
        <v>0</v>
      </c>
      <c s="6" r="AU882">
        <v>0</v>
      </c>
      <c s="6" r="AV882">
        <v>0</v>
      </c>
      <c s="6" r="AW882">
        <v>0</v>
      </c>
      <c s="6" r="AX882">
        <v>0</v>
      </c>
      <c s="6" r="AY882">
        <v>0</v>
      </c>
      <c s="6" r="AZ882">
        <v>0</v>
      </c>
      <c s="6" r="BA882">
        <v>1</v>
      </c>
      <c s="6" r="BB882">
        <v>0</v>
      </c>
      <c s="6" r="BC882">
        <v>0</v>
      </c>
      <c s="6" r="BD882">
        <v>0</v>
      </c>
      <c s="6" r="BE882">
        <v>0</v>
      </c>
      <c s="6" r="BF882">
        <v>0</v>
      </c>
      <c s="6" r="BG882">
        <v>0</v>
      </c>
      <c s="6" r="BH882">
        <v>0</v>
      </c>
      <c s="6" r="BI882">
        <v>0</v>
      </c>
      <c s="6" r="BJ882">
        <v>0</v>
      </c>
      <c s="6" r="BK882">
        <v>0</v>
      </c>
      <c s="6" r="BL882">
        <v>0</v>
      </c>
      <c s="6" r="BM882">
        <v>0</v>
      </c>
      <c s="6" r="BN882">
        <v>0</v>
      </c>
      <c s="6" r="BO882">
        <v>0</v>
      </c>
      <c s="6" r="BP882">
        <v>0</v>
      </c>
      <c s="6" r="BQ882">
        <v>0</v>
      </c>
      <c t="str" s="6" r="BR882">
        <f>HYPERLINK("http://www.d20pfsrd.com/magic/all-spells/s/stone-fist","Stone Fist")</f>
        <v>Stone Fist</v>
      </c>
      <c s="6" r="BS882">
        <v>894</v>
      </c>
      <c t="s" s="6" r="BT882">
        <v>92</v>
      </c>
      <c s="6" r="BY882">
        <v>0</v>
      </c>
    </row>
    <row customHeight="1" r="883" ht="14.25">
      <c t="s" s="6" r="A883">
        <v>6646</v>
      </c>
      <c t="s" s="6" r="B883">
        <v>493</v>
      </c>
      <c t="s" s="6" r="D883">
        <v>53</v>
      </c>
      <c t="s" s="6" r="E883">
        <v>6647</v>
      </c>
      <c t="s" s="6" r="F883">
        <v>81</v>
      </c>
      <c t="s" s="6" r="G883">
        <v>6648</v>
      </c>
      <c s="6" r="H883">
        <v>0</v>
      </c>
      <c t="s" s="6" r="I883">
        <v>1052</v>
      </c>
      <c t="s" s="6" r="J883">
        <v>6649</v>
      </c>
      <c t="s" s="6" r="M883">
        <v>109</v>
      </c>
      <c s="6" r="N883">
        <v>0</v>
      </c>
      <c s="6" r="O883">
        <v>0</v>
      </c>
      <c t="s" s="6" r="P883">
        <v>1254</v>
      </c>
      <c t="s" s="6" r="Q883">
        <v>188</v>
      </c>
      <c t="s" s="6" r="R883">
        <v>6650</v>
      </c>
      <c t="s" s="6" r="S883">
        <v>6651</v>
      </c>
      <c t="s" s="6" r="T883">
        <v>5200</v>
      </c>
      <c t="s" s="6" r="U883">
        <v>6652</v>
      </c>
      <c s="6" r="V883">
        <v>1</v>
      </c>
      <c s="6" r="W883">
        <v>1</v>
      </c>
      <c s="6" r="X883">
        <v>1</v>
      </c>
      <c s="6" r="Y883">
        <v>0</v>
      </c>
      <c s="6" r="Z883">
        <v>1</v>
      </c>
      <c s="6" r="AA883">
        <v>8</v>
      </c>
      <c s="6" r="AB883">
        <v>8</v>
      </c>
      <c s="6" r="AC883">
        <v>8</v>
      </c>
      <c s="6" r="AD883">
        <v>8</v>
      </c>
      <c t="s" s="6" r="AE883">
        <v>92</v>
      </c>
      <c t="s" s="6" r="AF883">
        <v>92</v>
      </c>
      <c t="s" s="6" r="AG883">
        <v>92</v>
      </c>
      <c t="s" s="6" r="AH883">
        <v>92</v>
      </c>
      <c t="s" s="6" r="AI883">
        <v>92</v>
      </c>
      <c s="6" r="AJ883">
        <v>8</v>
      </c>
      <c t="s" s="6" r="AK883">
        <v>92</v>
      </c>
      <c s="6" r="AL883">
        <v>8</v>
      </c>
      <c t="s" s="6" r="AM883">
        <v>92</v>
      </c>
      <c t="s" s="6" r="AN883">
        <v>92</v>
      </c>
      <c s="6" r="AP883">
        <v>8</v>
      </c>
      <c t="s" s="6" r="AR883">
        <v>6653</v>
      </c>
      <c s="6" r="AS883">
        <v>0</v>
      </c>
      <c s="6" r="AT883">
        <v>0</v>
      </c>
      <c s="6" r="AU883">
        <v>0</v>
      </c>
      <c s="6" r="AV883">
        <v>0</v>
      </c>
      <c s="6" r="AW883">
        <v>0</v>
      </c>
      <c s="6" r="AX883">
        <v>0</v>
      </c>
      <c s="6" r="AY883">
        <v>0</v>
      </c>
      <c s="6" r="AZ883">
        <v>0</v>
      </c>
      <c s="6" r="BA883">
        <v>0</v>
      </c>
      <c s="6" r="BB883">
        <v>1</v>
      </c>
      <c s="6" r="BC883">
        <v>0</v>
      </c>
      <c s="6" r="BD883">
        <v>0</v>
      </c>
      <c s="6" r="BE883">
        <v>0</v>
      </c>
      <c s="6" r="BF883">
        <v>0</v>
      </c>
      <c s="6" r="BG883">
        <v>0</v>
      </c>
      <c s="6" r="BH883">
        <v>0</v>
      </c>
      <c s="6" r="BI883">
        <v>0</v>
      </c>
      <c s="6" r="BJ883">
        <v>0</v>
      </c>
      <c s="6" r="BK883">
        <v>0</v>
      </c>
      <c s="6" r="BL883">
        <v>0</v>
      </c>
      <c s="6" r="BM883">
        <v>0</v>
      </c>
      <c s="6" r="BN883">
        <v>0</v>
      </c>
      <c s="6" r="BO883">
        <v>0</v>
      </c>
      <c s="6" r="BP883">
        <v>0</v>
      </c>
      <c s="6" r="BQ883">
        <v>0</v>
      </c>
      <c t="str" s="6" r="BR883">
        <f>HYPERLINK("http://www.d20pfsrd.com/magic/all-spells/s/stormbolts","Stormbolts")</f>
        <v>Stormbolts</v>
      </c>
      <c s="6" r="BS883">
        <v>896</v>
      </c>
      <c t="s" s="6" r="BT883">
        <v>92</v>
      </c>
      <c s="6" r="BY883">
        <v>0</v>
      </c>
    </row>
    <row customHeight="1" r="884" ht="14.25">
      <c t="s" s="6" r="A884">
        <v>6654</v>
      </c>
      <c t="s" s="6" r="B884">
        <v>131</v>
      </c>
      <c t="s" s="6" r="E884">
        <v>859</v>
      </c>
      <c t="s" s="6" r="F884">
        <v>81</v>
      </c>
      <c t="s" s="6" r="G884">
        <v>106</v>
      </c>
      <c s="6" r="H884">
        <v>0</v>
      </c>
      <c t="s" s="6" r="I884">
        <v>120</v>
      </c>
      <c t="s" s="6" r="L884">
        <v>420</v>
      </c>
      <c t="s" s="6" r="M884">
        <v>2718</v>
      </c>
      <c s="6" r="N884">
        <v>0</v>
      </c>
      <c s="6" r="O884">
        <v>0</v>
      </c>
      <c t="s" s="6" r="P884">
        <v>1227</v>
      </c>
      <c t="s" s="6" r="Q884">
        <v>123</v>
      </c>
      <c t="s" s="6" r="R884">
        <v>6655</v>
      </c>
      <c t="s" s="6" r="S884">
        <v>6656</v>
      </c>
      <c t="s" s="6" r="T884">
        <v>5200</v>
      </c>
      <c t="s" s="6" r="U884">
        <v>6657</v>
      </c>
      <c s="6" r="V884">
        <v>1</v>
      </c>
      <c s="6" r="W884">
        <v>1</v>
      </c>
      <c s="6" r="X884">
        <v>0</v>
      </c>
      <c s="6" r="Y884">
        <v>0</v>
      </c>
      <c s="6" r="Z884">
        <v>0</v>
      </c>
      <c t="s" s="6" r="AA884">
        <v>92</v>
      </c>
      <c t="s" s="6" r="AB884">
        <v>92</v>
      </c>
      <c t="s" s="6" r="AC884">
        <v>92</v>
      </c>
      <c s="6" r="AD884">
        <v>4</v>
      </c>
      <c s="6" r="AE884">
        <v>3</v>
      </c>
      <c t="s" s="6" r="AF884">
        <v>92</v>
      </c>
      <c t="s" s="6" r="AG884">
        <v>92</v>
      </c>
      <c t="s" s="6" r="AH884">
        <v>92</v>
      </c>
      <c t="s" s="6" r="AI884">
        <v>92</v>
      </c>
      <c t="s" s="6" r="AJ884">
        <v>92</v>
      </c>
      <c t="s" s="6" r="AK884">
        <v>92</v>
      </c>
      <c t="s" s="6" r="AL884">
        <v>92</v>
      </c>
      <c t="s" s="6" r="AM884">
        <v>92</v>
      </c>
      <c t="s" s="6" r="AN884">
        <v>92</v>
      </c>
      <c s="6" r="AP884">
        <v>4</v>
      </c>
      <c t="s" s="6" r="AR884">
        <v>6658</v>
      </c>
      <c s="6" r="AS884">
        <v>0</v>
      </c>
      <c s="6" r="AT884">
        <v>0</v>
      </c>
      <c s="6" r="AU884">
        <v>0</v>
      </c>
      <c s="6" r="AV884">
        <v>0</v>
      </c>
      <c s="6" r="AW884">
        <v>0</v>
      </c>
      <c s="6" r="AX884">
        <v>0</v>
      </c>
      <c s="6" r="AY884">
        <v>0</v>
      </c>
      <c s="6" r="AZ884">
        <v>0</v>
      </c>
      <c s="6" r="BA884">
        <v>0</v>
      </c>
      <c s="6" r="BB884">
        <v>0</v>
      </c>
      <c s="6" r="BC884">
        <v>0</v>
      </c>
      <c s="6" r="BD884">
        <v>0</v>
      </c>
      <c s="6" r="BE884">
        <v>0</v>
      </c>
      <c s="6" r="BF884">
        <v>0</v>
      </c>
      <c s="6" r="BG884">
        <v>0</v>
      </c>
      <c s="6" r="BH884">
        <v>0</v>
      </c>
      <c s="6" r="BI884">
        <v>0</v>
      </c>
      <c s="6" r="BJ884">
        <v>0</v>
      </c>
      <c s="6" r="BK884">
        <v>0</v>
      </c>
      <c s="6" r="BL884">
        <v>0</v>
      </c>
      <c s="6" r="BM884">
        <v>0</v>
      </c>
      <c s="6" r="BN884">
        <v>0</v>
      </c>
      <c s="6" r="BO884">
        <v>0</v>
      </c>
      <c s="6" r="BP884">
        <v>0</v>
      </c>
      <c s="6" r="BQ884">
        <v>0</v>
      </c>
      <c t="str" s="6" r="BR884">
        <f>HYPERLINK("http://www.d20pfsrd.com/magic/all-spells/s/strong-jaw","Strong Jaw")</f>
        <v>Strong Jaw</v>
      </c>
      <c s="6" r="BS884">
        <v>897</v>
      </c>
      <c t="s" s="6" r="BT884">
        <v>92</v>
      </c>
      <c s="6" r="BY884">
        <v>0</v>
      </c>
    </row>
    <row customHeight="1" r="885" ht="14.25">
      <c t="s" s="6" r="A885">
        <v>6659</v>
      </c>
      <c t="s" s="6" r="B885">
        <v>78</v>
      </c>
      <c t="s" s="6" r="C885">
        <v>79</v>
      </c>
      <c t="s" s="6" r="E885">
        <v>2346</v>
      </c>
      <c t="s" s="6" r="F885">
        <v>81</v>
      </c>
      <c t="s" s="6" r="G885">
        <v>5600</v>
      </c>
      <c s="6" r="H885">
        <v>1</v>
      </c>
      <c t="s" s="6" r="I885">
        <v>107</v>
      </c>
      <c t="s" s="6" r="K885">
        <v>141</v>
      </c>
      <c t="s" s="6" r="M885">
        <v>5214</v>
      </c>
      <c s="6" r="N885">
        <v>0</v>
      </c>
      <c s="6" r="O885">
        <v>0</v>
      </c>
      <c t="s" s="6" r="P885">
        <v>4129</v>
      </c>
      <c t="s" s="6" r="Q885">
        <v>87</v>
      </c>
      <c t="s" s="6" r="R885">
        <v>6660</v>
      </c>
      <c t="s" s="6" r="S885">
        <v>6661</v>
      </c>
      <c t="s" s="6" r="T885">
        <v>5200</v>
      </c>
      <c t="s" s="6" r="U885">
        <v>6662</v>
      </c>
      <c s="6" r="V885">
        <v>1</v>
      </c>
      <c s="6" r="W885">
        <v>1</v>
      </c>
      <c s="6" r="X885">
        <v>0</v>
      </c>
      <c s="6" r="Y885">
        <v>0</v>
      </c>
      <c s="6" r="Z885">
        <v>0</v>
      </c>
      <c s="6" r="AA885">
        <v>1</v>
      </c>
      <c s="6" r="AB885">
        <v>1</v>
      </c>
      <c t="s" s="6" r="AC885">
        <v>92</v>
      </c>
      <c t="s" s="6" r="AD885">
        <v>92</v>
      </c>
      <c t="s" s="6" r="AE885">
        <v>92</v>
      </c>
      <c t="s" s="6" r="AF885">
        <v>92</v>
      </c>
      <c t="s" s="6" r="AG885">
        <v>92</v>
      </c>
      <c t="s" s="6" r="AH885">
        <v>92</v>
      </c>
      <c t="s" s="6" r="AI885">
        <v>92</v>
      </c>
      <c t="s" s="6" r="AJ885">
        <v>92</v>
      </c>
      <c t="s" s="6" r="AK885">
        <v>92</v>
      </c>
      <c t="s" s="6" r="AL885">
        <v>92</v>
      </c>
      <c t="s" s="6" r="AM885">
        <v>92</v>
      </c>
      <c t="s" s="6" r="AN885">
        <v>92</v>
      </c>
      <c s="6" r="AP885">
        <v>1</v>
      </c>
      <c t="s" s="6" r="AR885">
        <v>6663</v>
      </c>
      <c s="6" r="AS885">
        <v>0</v>
      </c>
      <c s="6" r="AT885">
        <v>0</v>
      </c>
      <c s="6" r="AU885">
        <v>0</v>
      </c>
      <c s="6" r="AV885">
        <v>0</v>
      </c>
      <c s="6" r="AW885">
        <v>0</v>
      </c>
      <c s="6" r="AX885">
        <v>0</v>
      </c>
      <c s="6" r="AY885">
        <v>0</v>
      </c>
      <c s="6" r="AZ885">
        <v>0</v>
      </c>
      <c s="6" r="BA885">
        <v>0</v>
      </c>
      <c s="6" r="BB885">
        <v>0</v>
      </c>
      <c s="6" r="BC885">
        <v>0</v>
      </c>
      <c s="6" r="BD885">
        <v>0</v>
      </c>
      <c s="6" r="BE885">
        <v>0</v>
      </c>
      <c s="6" r="BF885">
        <v>0</v>
      </c>
      <c s="6" r="BG885">
        <v>0</v>
      </c>
      <c s="6" r="BH885">
        <v>0</v>
      </c>
      <c s="6" r="BI885">
        <v>0</v>
      </c>
      <c s="6" r="BJ885">
        <v>0</v>
      </c>
      <c s="6" r="BK885">
        <v>0</v>
      </c>
      <c s="6" r="BL885">
        <v>0</v>
      </c>
      <c s="6" r="BM885">
        <v>0</v>
      </c>
      <c s="6" r="BN885">
        <v>0</v>
      </c>
      <c s="6" r="BO885">
        <v>0</v>
      </c>
      <c s="6" r="BP885">
        <v>0</v>
      </c>
      <c s="6" r="BQ885">
        <v>0</v>
      </c>
      <c t="str" s="6" r="BR885">
        <f>HYPERLINK("http://www.d20pfsrd.com/magic/all-spells/s/stumble-gap","Stumble Gap")</f>
        <v>Stumble Gap</v>
      </c>
      <c s="6" r="BS885">
        <v>898</v>
      </c>
      <c s="6" r="BT885">
        <v>10</v>
      </c>
      <c s="6" r="BY885">
        <v>0</v>
      </c>
    </row>
    <row customHeight="1" r="886" ht="14.25">
      <c t="s" s="6" r="A886">
        <v>6664</v>
      </c>
      <c t="s" s="6" r="B886">
        <v>115</v>
      </c>
      <c t="s" s="6" r="C886">
        <v>116</v>
      </c>
      <c t="s" s="6" r="D886">
        <v>117</v>
      </c>
      <c t="s" s="6" r="E886">
        <v>4038</v>
      </c>
      <c t="s" s="6" r="F886">
        <v>81</v>
      </c>
      <c t="s" s="6" r="G886">
        <v>106</v>
      </c>
      <c s="6" r="H886">
        <v>0</v>
      </c>
      <c t="s" s="6" r="I886">
        <v>107</v>
      </c>
      <c t="s" s="6" r="L886">
        <v>5636</v>
      </c>
      <c t="s" s="6" r="M886">
        <v>272</v>
      </c>
      <c s="6" r="N886">
        <v>0</v>
      </c>
      <c s="6" r="O886">
        <v>0</v>
      </c>
      <c t="s" s="6" r="P886">
        <v>822</v>
      </c>
      <c t="s" s="6" r="Q886">
        <v>188</v>
      </c>
      <c t="s" s="6" r="R886">
        <v>6665</v>
      </c>
      <c t="s" s="6" r="S886">
        <v>6666</v>
      </c>
      <c t="s" s="6" r="T886">
        <v>5200</v>
      </c>
      <c t="s" s="6" r="U886">
        <v>6667</v>
      </c>
      <c s="6" r="V886">
        <v>1</v>
      </c>
      <c s="6" r="W886">
        <v>1</v>
      </c>
      <c s="6" r="X886">
        <v>0</v>
      </c>
      <c s="6" r="Y886">
        <v>0</v>
      </c>
      <c s="6" r="Z886">
        <v>0</v>
      </c>
      <c t="s" s="6" r="AA886">
        <v>92</v>
      </c>
      <c t="s" s="6" r="AB886">
        <v>92</v>
      </c>
      <c t="s" s="6" r="AC886">
        <v>92</v>
      </c>
      <c t="s" s="6" r="AD886">
        <v>92</v>
      </c>
      <c t="s" s="6" r="AE886">
        <v>92</v>
      </c>
      <c s="6" r="AF886">
        <v>5</v>
      </c>
      <c t="s" s="6" r="AG886">
        <v>92</v>
      </c>
      <c t="s" s="6" r="AH886">
        <v>92</v>
      </c>
      <c t="s" s="6" r="AI886">
        <v>92</v>
      </c>
      <c t="s" s="6" r="AJ886">
        <v>92</v>
      </c>
      <c t="s" s="6" r="AK886">
        <v>92</v>
      </c>
      <c t="s" s="6" r="AL886">
        <v>92</v>
      </c>
      <c t="s" s="6" r="AM886">
        <v>92</v>
      </c>
      <c t="s" s="6" r="AN886">
        <v>92</v>
      </c>
      <c s="6" r="AP886">
        <v>5</v>
      </c>
      <c t="s" s="6" r="AR886">
        <v>6668</v>
      </c>
      <c s="6" r="AS886">
        <v>0</v>
      </c>
      <c s="6" r="AT886">
        <v>0</v>
      </c>
      <c s="6" r="AU886">
        <v>0</v>
      </c>
      <c s="6" r="AV886">
        <v>0</v>
      </c>
      <c s="6" r="AW886">
        <v>0</v>
      </c>
      <c s="6" r="AX886">
        <v>0</v>
      </c>
      <c s="6" r="AY886">
        <v>0</v>
      </c>
      <c s="6" r="AZ886">
        <v>0</v>
      </c>
      <c s="6" r="BA886">
        <v>0</v>
      </c>
      <c s="6" r="BB886">
        <v>0</v>
      </c>
      <c s="6" r="BC886">
        <v>0</v>
      </c>
      <c s="6" r="BD886">
        <v>0</v>
      </c>
      <c s="6" r="BE886">
        <v>0</v>
      </c>
      <c s="6" r="BF886">
        <v>0</v>
      </c>
      <c s="6" r="BG886">
        <v>0</v>
      </c>
      <c s="6" r="BH886">
        <v>0</v>
      </c>
      <c s="6" r="BI886">
        <v>0</v>
      </c>
      <c s="6" r="BJ886">
        <v>0</v>
      </c>
      <c s="6" r="BK886">
        <v>0</v>
      </c>
      <c s="6" r="BL886">
        <v>1</v>
      </c>
      <c s="6" r="BM886">
        <v>0</v>
      </c>
      <c s="6" r="BN886">
        <v>0</v>
      </c>
      <c s="6" r="BO886">
        <v>0</v>
      </c>
      <c s="6" r="BP886">
        <v>0</v>
      </c>
      <c s="6" r="BQ886">
        <v>0</v>
      </c>
      <c t="str" s="6" r="BR886">
        <f>HYPERLINK("http://www.d20pfsrd.com/magic/all-spells/s/stunning-finale","Stunning Finale")</f>
        <v>Stunning Finale</v>
      </c>
      <c s="6" r="BS886">
        <v>899</v>
      </c>
      <c t="s" s="6" r="BT886">
        <v>92</v>
      </c>
      <c s="6" r="BY886">
        <v>0</v>
      </c>
    </row>
    <row customHeight="1" r="887" ht="14.25">
      <c t="s" s="6" r="A887">
        <v>6669</v>
      </c>
      <c t="s" s="6" r="B887">
        <v>227</v>
      </c>
      <c t="s" s="6" r="E887">
        <v>1755</v>
      </c>
      <c t="s" s="6" r="F887">
        <v>81</v>
      </c>
      <c t="s" s="6" r="G887">
        <v>6670</v>
      </c>
      <c s="6" r="H887">
        <v>0</v>
      </c>
      <c t="s" s="6" r="I887">
        <v>107</v>
      </c>
      <c t="s" s="6" r="L887">
        <v>473</v>
      </c>
      <c t="s" s="6" r="M887">
        <v>1764</v>
      </c>
      <c s="6" r="N887">
        <v>0</v>
      </c>
      <c s="6" r="O887">
        <v>0</v>
      </c>
      <c t="s" s="6" r="P887">
        <v>1254</v>
      </c>
      <c t="s" s="6" r="Q887">
        <v>188</v>
      </c>
      <c t="s" s="6" r="R887">
        <v>6671</v>
      </c>
      <c t="s" s="6" r="S887">
        <v>6672</v>
      </c>
      <c t="s" s="6" r="T887">
        <v>5200</v>
      </c>
      <c t="s" s="6" r="U887">
        <v>6673</v>
      </c>
      <c s="6" r="V887">
        <v>1</v>
      </c>
      <c s="6" r="W887">
        <v>1</v>
      </c>
      <c s="6" r="X887">
        <v>1</v>
      </c>
      <c s="6" r="Y887">
        <v>0</v>
      </c>
      <c s="6" r="Z887">
        <v>0</v>
      </c>
      <c s="6" r="AA887">
        <v>5</v>
      </c>
      <c s="6" r="AB887">
        <v>5</v>
      </c>
      <c t="s" s="6" r="AC887">
        <v>92</v>
      </c>
      <c t="s" s="6" r="AD887">
        <v>92</v>
      </c>
      <c t="s" s="6" r="AE887">
        <v>92</v>
      </c>
      <c t="s" s="6" r="AF887">
        <v>92</v>
      </c>
      <c t="s" s="6" r="AG887">
        <v>92</v>
      </c>
      <c t="s" s="6" r="AH887">
        <v>92</v>
      </c>
      <c t="s" s="6" r="AI887">
        <v>92</v>
      </c>
      <c s="6" r="AJ887">
        <v>5</v>
      </c>
      <c t="s" s="6" r="AK887">
        <v>92</v>
      </c>
      <c t="s" s="6" r="AL887">
        <v>92</v>
      </c>
      <c t="s" s="6" r="AM887">
        <v>92</v>
      </c>
      <c t="s" s="6" r="AN887">
        <v>92</v>
      </c>
      <c s="6" r="AP887">
        <v>5</v>
      </c>
      <c t="s" s="6" r="AQ887">
        <v>2604</v>
      </c>
      <c t="s" s="6" r="AR887">
        <v>6674</v>
      </c>
      <c s="6" r="AS887">
        <v>0</v>
      </c>
      <c s="6" r="AT887">
        <v>0</v>
      </c>
      <c s="6" r="AU887">
        <v>0</v>
      </c>
      <c s="6" r="AV887">
        <v>0</v>
      </c>
      <c s="6" r="AW887">
        <v>0</v>
      </c>
      <c s="6" r="AX887">
        <v>0</v>
      </c>
      <c s="6" r="AY887">
        <v>0</v>
      </c>
      <c s="6" r="AZ887">
        <v>0</v>
      </c>
      <c s="6" r="BA887">
        <v>0</v>
      </c>
      <c s="6" r="BB887">
        <v>0</v>
      </c>
      <c s="6" r="BC887">
        <v>0</v>
      </c>
      <c s="6" r="BD887">
        <v>0</v>
      </c>
      <c s="6" r="BE887">
        <v>0</v>
      </c>
      <c s="6" r="BF887">
        <v>0</v>
      </c>
      <c s="6" r="BG887">
        <v>0</v>
      </c>
      <c s="6" r="BH887">
        <v>0</v>
      </c>
      <c s="6" r="BI887">
        <v>0</v>
      </c>
      <c s="6" r="BJ887">
        <v>0</v>
      </c>
      <c s="6" r="BK887">
        <v>0</v>
      </c>
      <c s="6" r="BL887">
        <v>0</v>
      </c>
      <c s="6" r="BM887">
        <v>0</v>
      </c>
      <c s="6" r="BN887">
        <v>0</v>
      </c>
      <c s="6" r="BO887">
        <v>0</v>
      </c>
      <c s="6" r="BP887">
        <v>0</v>
      </c>
      <c s="6" r="BQ887">
        <v>0</v>
      </c>
      <c t="str" s="6" r="BR887">
        <f>HYPERLINK("http://www.d20pfsrd.com/magic/all-spells/s/suffocation","Suffocation")</f>
        <v>Suffocation</v>
      </c>
      <c s="6" r="BS887">
        <v>900</v>
      </c>
      <c t="s" s="6" r="BT887">
        <v>92</v>
      </c>
      <c t="s" s="6" r="BV887">
        <v>783</v>
      </c>
      <c s="6" r="BY887">
        <v>0</v>
      </c>
    </row>
    <row customHeight="1" r="888" ht="14.25">
      <c t="s" s="6" r="A888">
        <v>6675</v>
      </c>
      <c t="s" s="6" r="B888">
        <v>227</v>
      </c>
      <c t="s" s="6" r="E888">
        <v>2334</v>
      </c>
      <c t="s" s="6" r="F888">
        <v>81</v>
      </c>
      <c t="s" s="6" r="G888">
        <v>6670</v>
      </c>
      <c s="6" r="H888">
        <v>0</v>
      </c>
      <c t="s" s="6" r="I888">
        <v>107</v>
      </c>
      <c t="s" s="6" r="L888">
        <v>6676</v>
      </c>
      <c t="s" s="6" r="M888">
        <v>99</v>
      </c>
      <c s="6" r="N888">
        <v>0</v>
      </c>
      <c s="6" r="O888">
        <v>0</v>
      </c>
      <c t="s" s="6" r="P888">
        <v>1254</v>
      </c>
      <c t="s" s="6" r="Q888">
        <v>188</v>
      </c>
      <c t="s" s="6" r="R888">
        <v>6677</v>
      </c>
      <c t="s" s="6" r="S888">
        <v>6678</v>
      </c>
      <c t="s" s="6" r="T888">
        <v>5200</v>
      </c>
      <c t="s" s="6" r="U888">
        <v>6679</v>
      </c>
      <c s="6" r="V888">
        <v>1</v>
      </c>
      <c s="6" r="W888">
        <v>1</v>
      </c>
      <c s="6" r="X888">
        <v>1</v>
      </c>
      <c s="6" r="Y888">
        <v>0</v>
      </c>
      <c s="6" r="Z888">
        <v>0</v>
      </c>
      <c s="6" r="AA888">
        <v>9</v>
      </c>
      <c s="6" r="AB888">
        <v>9</v>
      </c>
      <c t="s" s="6" r="AC888">
        <v>92</v>
      </c>
      <c t="s" s="6" r="AD888">
        <v>92</v>
      </c>
      <c t="s" s="6" r="AE888">
        <v>92</v>
      </c>
      <c t="s" s="6" r="AF888">
        <v>92</v>
      </c>
      <c t="s" s="6" r="AG888">
        <v>92</v>
      </c>
      <c t="s" s="6" r="AH888">
        <v>92</v>
      </c>
      <c t="s" s="6" r="AI888">
        <v>92</v>
      </c>
      <c s="6" r="AJ888">
        <v>9</v>
      </c>
      <c t="s" s="6" r="AK888">
        <v>92</v>
      </c>
      <c t="s" s="6" r="AL888">
        <v>92</v>
      </c>
      <c t="s" s="6" r="AM888">
        <v>92</v>
      </c>
      <c t="s" s="6" r="AN888">
        <v>92</v>
      </c>
      <c s="6" r="AP888">
        <v>9</v>
      </c>
      <c t="s" s="6" r="AQ888">
        <v>2604</v>
      </c>
      <c t="s" s="6" r="AR888">
        <v>6680</v>
      </c>
      <c s="6" r="AS888">
        <v>0</v>
      </c>
      <c s="6" r="AT888">
        <v>0</v>
      </c>
      <c s="6" r="AU888">
        <v>0</v>
      </c>
      <c s="6" r="AV888">
        <v>0</v>
      </c>
      <c s="6" r="AW888">
        <v>0</v>
      </c>
      <c s="6" r="AX888">
        <v>0</v>
      </c>
      <c s="6" r="AY888">
        <v>0</v>
      </c>
      <c s="6" r="AZ888">
        <v>0</v>
      </c>
      <c s="6" r="BA888">
        <v>0</v>
      </c>
      <c s="6" r="BB888">
        <v>0</v>
      </c>
      <c s="6" r="BC888">
        <v>0</v>
      </c>
      <c s="6" r="BD888">
        <v>0</v>
      </c>
      <c s="6" r="BE888">
        <v>0</v>
      </c>
      <c s="6" r="BF888">
        <v>0</v>
      </c>
      <c s="6" r="BG888">
        <v>0</v>
      </c>
      <c s="6" r="BH888">
        <v>0</v>
      </c>
      <c s="6" r="BI888">
        <v>0</v>
      </c>
      <c s="6" r="BJ888">
        <v>0</v>
      </c>
      <c s="6" r="BK888">
        <v>0</v>
      </c>
      <c s="6" r="BL888">
        <v>0</v>
      </c>
      <c s="6" r="BM888">
        <v>0</v>
      </c>
      <c s="6" r="BN888">
        <v>0</v>
      </c>
      <c s="6" r="BO888">
        <v>0</v>
      </c>
      <c s="6" r="BP888">
        <v>0</v>
      </c>
      <c s="6" r="BQ888">
        <v>0</v>
      </c>
      <c t="str" s="6" r="BR888">
        <f>HYPERLINK("http://www.d20pfsrd.com/magic/all-spells/s/suffocation,-mass","Suffocation, Mass")</f>
        <v>Suffocation, Mass</v>
      </c>
      <c s="6" r="BS888">
        <v>901</v>
      </c>
      <c t="s" s="6" r="BT888">
        <v>92</v>
      </c>
      <c s="6" r="BY888">
        <v>0</v>
      </c>
    </row>
    <row customHeight="1" r="889" ht="14.25">
      <c t="s" s="6" r="A889">
        <v>6681</v>
      </c>
      <c t="s" s="6" r="B889">
        <v>78</v>
      </c>
      <c t="s" s="6" r="C889">
        <v>1042</v>
      </c>
      <c t="s" s="6" r="E889">
        <v>5801</v>
      </c>
      <c t="s" s="6" r="F889">
        <v>272</v>
      </c>
      <c t="s" s="6" r="G889">
        <v>6682</v>
      </c>
      <c s="6" r="H889">
        <v>0</v>
      </c>
      <c t="s" s="6" r="I889">
        <v>107</v>
      </c>
      <c t="s" s="6" r="L889">
        <v>5687</v>
      </c>
      <c t="s" s="6" r="M889">
        <v>5513</v>
      </c>
      <c s="6" r="N889">
        <v>1</v>
      </c>
      <c s="6" r="O889">
        <v>0</v>
      </c>
      <c t="s" s="6" r="P889">
        <v>86</v>
      </c>
      <c t="s" s="6" r="Q889">
        <v>87</v>
      </c>
      <c t="s" s="6" r="R889">
        <v>6683</v>
      </c>
      <c t="s" s="6" r="S889">
        <v>6684</v>
      </c>
      <c t="s" s="6" r="T889">
        <v>5200</v>
      </c>
      <c t="s" s="6" r="U889">
        <v>6685</v>
      </c>
      <c s="6" r="V889">
        <v>1</v>
      </c>
      <c s="6" r="W889">
        <v>1</v>
      </c>
      <c s="6" r="X889">
        <v>1</v>
      </c>
      <c s="6" r="Y889">
        <v>0</v>
      </c>
      <c s="6" r="Z889">
        <v>0</v>
      </c>
      <c t="s" s="6" r="AA889">
        <v>92</v>
      </c>
      <c t="s" s="6" r="AB889">
        <v>92</v>
      </c>
      <c t="s" s="6" r="AC889">
        <v>92</v>
      </c>
      <c t="s" s="6" r="AD889">
        <v>92</v>
      </c>
      <c t="s" s="6" r="AE889">
        <v>92</v>
      </c>
      <c t="s" s="6" r="AF889">
        <v>92</v>
      </c>
      <c t="s" s="6" r="AG889">
        <v>92</v>
      </c>
      <c t="s" s="6" r="AH889">
        <v>92</v>
      </c>
      <c s="6" r="AI889">
        <v>2</v>
      </c>
      <c t="s" s="6" r="AJ889">
        <v>92</v>
      </c>
      <c t="s" s="6" r="AK889">
        <v>92</v>
      </c>
      <c t="s" s="6" r="AL889">
        <v>92</v>
      </c>
      <c t="s" s="6" r="AM889">
        <v>92</v>
      </c>
      <c t="s" s="6" r="AN889">
        <v>92</v>
      </c>
      <c s="6" r="AP889">
        <v>2</v>
      </c>
      <c t="s" s="6" r="AR889">
        <v>6686</v>
      </c>
      <c s="6" r="AS889">
        <v>0</v>
      </c>
      <c s="6" r="AT889">
        <v>0</v>
      </c>
      <c s="6" r="AU889">
        <v>0</v>
      </c>
      <c s="6" r="AV889">
        <v>0</v>
      </c>
      <c s="6" r="AW889">
        <v>0</v>
      </c>
      <c s="6" r="AX889">
        <v>0</v>
      </c>
      <c s="6" r="AY889">
        <v>0</v>
      </c>
      <c s="6" r="AZ889">
        <v>0</v>
      </c>
      <c s="6" r="BA889">
        <v>0</v>
      </c>
      <c s="6" r="BB889">
        <v>0</v>
      </c>
      <c s="6" r="BC889">
        <v>0</v>
      </c>
      <c s="6" r="BD889">
        <v>0</v>
      </c>
      <c s="6" r="BE889">
        <v>0</v>
      </c>
      <c s="6" r="BF889">
        <v>0</v>
      </c>
      <c s="6" r="BG889">
        <v>0</v>
      </c>
      <c s="6" r="BH889">
        <v>0</v>
      </c>
      <c s="6" r="BI889">
        <v>0</v>
      </c>
      <c s="6" r="BJ889">
        <v>0</v>
      </c>
      <c s="6" r="BK889">
        <v>0</v>
      </c>
      <c s="6" r="BL889">
        <v>0</v>
      </c>
      <c s="6" r="BM889">
        <v>0</v>
      </c>
      <c s="6" r="BN889">
        <v>0</v>
      </c>
      <c s="6" r="BO889">
        <v>0</v>
      </c>
      <c s="6" r="BP889">
        <v>0</v>
      </c>
      <c s="6" r="BQ889">
        <v>0</v>
      </c>
      <c t="str" s="6" r="BR889">
        <f>HYPERLINK("http://www.d20pfsrd.com/magic/all-spells/s/summon-eidolon","Summon Eidolon")</f>
        <v>Summon Eidolon</v>
      </c>
      <c s="6" r="BS889">
        <v>902</v>
      </c>
      <c t="s" s="6" r="BT889">
        <v>92</v>
      </c>
      <c s="6" r="BY889">
        <v>0</v>
      </c>
    </row>
    <row customHeight="1" r="890" ht="14.25">
      <c t="s" s="6" r="A890">
        <v>6687</v>
      </c>
      <c t="s" s="6" r="B890">
        <v>131</v>
      </c>
      <c t="s" s="6" r="E890">
        <v>6688</v>
      </c>
      <c t="s" s="6" r="F890">
        <v>81</v>
      </c>
      <c t="s" s="6" r="G890">
        <v>6689</v>
      </c>
      <c s="6" r="H890">
        <v>0</v>
      </c>
      <c t="s" s="6" r="I890">
        <v>155</v>
      </c>
      <c t="s" s="6" r="L890">
        <v>156</v>
      </c>
      <c t="s" s="6" r="M890">
        <v>141</v>
      </c>
      <c s="6" r="N890">
        <v>0</v>
      </c>
      <c s="6" r="O890">
        <v>0</v>
      </c>
      <c t="s" s="6" r="R890">
        <v>6690</v>
      </c>
      <c t="s" s="6" r="S890">
        <v>6691</v>
      </c>
      <c t="s" s="6" r="T890">
        <v>5200</v>
      </c>
      <c t="s" s="6" r="U890">
        <v>6692</v>
      </c>
      <c s="6" r="V890">
        <v>1</v>
      </c>
      <c s="6" r="W890">
        <v>1</v>
      </c>
      <c s="6" r="X890">
        <v>1</v>
      </c>
      <c s="6" r="Y890">
        <v>0</v>
      </c>
      <c s="6" r="Z890">
        <v>1</v>
      </c>
      <c t="s" s="6" r="AA890">
        <v>92</v>
      </c>
      <c t="s" s="6" r="AB890">
        <v>92</v>
      </c>
      <c t="s" s="6" r="AC890">
        <v>92</v>
      </c>
      <c s="6" r="AD890">
        <v>6</v>
      </c>
      <c t="s" s="6" r="AE890">
        <v>92</v>
      </c>
      <c t="s" s="6" r="AF890">
        <v>92</v>
      </c>
      <c t="s" s="6" r="AG890">
        <v>92</v>
      </c>
      <c t="s" s="6" r="AH890">
        <v>92</v>
      </c>
      <c t="s" s="6" r="AI890">
        <v>92</v>
      </c>
      <c s="6" r="AJ890">
        <v>6</v>
      </c>
      <c t="s" s="6" r="AK890">
        <v>92</v>
      </c>
      <c t="s" s="6" r="AL890">
        <v>92</v>
      </c>
      <c t="s" s="6" r="AM890">
        <v>92</v>
      </c>
      <c t="s" s="6" r="AN890">
        <v>92</v>
      </c>
      <c s="6" r="AP890">
        <v>6</v>
      </c>
      <c t="s" s="6" r="AR890">
        <v>6693</v>
      </c>
      <c s="6" r="AS890">
        <v>0</v>
      </c>
      <c s="6" r="AT890">
        <v>0</v>
      </c>
      <c s="6" r="AU890">
        <v>0</v>
      </c>
      <c s="6" r="AV890">
        <v>0</v>
      </c>
      <c s="6" r="AW890">
        <v>0</v>
      </c>
      <c s="6" r="AX890">
        <v>0</v>
      </c>
      <c s="6" r="AY890">
        <v>0</v>
      </c>
      <c s="6" r="AZ890">
        <v>0</v>
      </c>
      <c s="6" r="BA890">
        <v>0</v>
      </c>
      <c s="6" r="BB890">
        <v>0</v>
      </c>
      <c s="6" r="BC890">
        <v>0</v>
      </c>
      <c s="6" r="BD890">
        <v>0</v>
      </c>
      <c s="6" r="BE890">
        <v>0</v>
      </c>
      <c s="6" r="BF890">
        <v>0</v>
      </c>
      <c s="6" r="BG890">
        <v>0</v>
      </c>
      <c s="6" r="BH890">
        <v>0</v>
      </c>
      <c s="6" r="BI890">
        <v>0</v>
      </c>
      <c s="6" r="BJ890">
        <v>0</v>
      </c>
      <c s="6" r="BK890">
        <v>0</v>
      </c>
      <c s="6" r="BL890">
        <v>0</v>
      </c>
      <c s="6" r="BM890">
        <v>0</v>
      </c>
      <c s="6" r="BN890">
        <v>0</v>
      </c>
      <c s="6" r="BO890">
        <v>0</v>
      </c>
      <c s="6" r="BP890">
        <v>0</v>
      </c>
      <c s="6" r="BQ890">
        <v>0</v>
      </c>
      <c t="str" s="6" r="BR890">
        <f>HYPERLINK("http://www.d20pfsrd.com/magic/all-spells/s/swarm-skin","Swarm Skin")</f>
        <v>Swarm Skin</v>
      </c>
      <c s="6" r="BS890">
        <v>903</v>
      </c>
      <c t="s" s="6" r="BT890">
        <v>92</v>
      </c>
      <c s="6" r="BY890">
        <v>0</v>
      </c>
    </row>
    <row customHeight="1" r="891" ht="14.25">
      <c t="s" s="6" r="A891">
        <v>6694</v>
      </c>
      <c t="s" s="6" r="B891">
        <v>131</v>
      </c>
      <c t="s" s="6" r="E891">
        <v>6695</v>
      </c>
      <c t="s" s="6" r="F891">
        <v>81</v>
      </c>
      <c t="s" s="6" r="G891">
        <v>119</v>
      </c>
      <c s="6" r="H891">
        <v>0</v>
      </c>
      <c t="s" s="6" r="I891">
        <v>155</v>
      </c>
      <c t="s" s="6" r="L891">
        <v>156</v>
      </c>
      <c t="s" s="6" r="M891">
        <v>99</v>
      </c>
      <c s="6" r="N891">
        <v>0</v>
      </c>
      <c s="6" r="O891">
        <v>0</v>
      </c>
      <c t="s" s="6" r="R891">
        <v>6696</v>
      </c>
      <c t="s" s="6" r="S891">
        <v>6697</v>
      </c>
      <c t="s" s="6" r="T891">
        <v>5200</v>
      </c>
      <c t="s" s="6" r="U891">
        <v>6698</v>
      </c>
      <c s="6" r="V891">
        <v>1</v>
      </c>
      <c s="6" r="W891">
        <v>1</v>
      </c>
      <c s="6" r="X891">
        <v>0</v>
      </c>
      <c s="6" r="Y891">
        <v>0</v>
      </c>
      <c s="6" r="Z891">
        <v>1</v>
      </c>
      <c t="s" s="6" r="AA891">
        <v>92</v>
      </c>
      <c t="s" s="6" r="AB891">
        <v>92</v>
      </c>
      <c t="s" s="6" r="AC891">
        <v>92</v>
      </c>
      <c s="6" r="AD891">
        <v>4</v>
      </c>
      <c t="s" s="6" r="AE891">
        <v>92</v>
      </c>
      <c t="s" s="6" r="AF891">
        <v>92</v>
      </c>
      <c t="s" s="6" r="AG891">
        <v>92</v>
      </c>
      <c s="6" r="AH891">
        <v>3</v>
      </c>
      <c t="s" s="6" r="AI891">
        <v>92</v>
      </c>
      <c t="s" s="6" r="AJ891">
        <v>92</v>
      </c>
      <c t="s" s="6" r="AK891">
        <v>92</v>
      </c>
      <c t="s" s="6" r="AL891">
        <v>92</v>
      </c>
      <c t="s" s="6" r="AM891">
        <v>92</v>
      </c>
      <c t="s" s="6" r="AN891">
        <v>92</v>
      </c>
      <c s="6" r="AP891">
        <v>4</v>
      </c>
      <c t="s" s="6" r="AR891">
        <v>6699</v>
      </c>
      <c s="6" r="AS891">
        <v>0</v>
      </c>
      <c s="6" r="AT891">
        <v>0</v>
      </c>
      <c s="6" r="AU891">
        <v>0</v>
      </c>
      <c s="6" r="AV891">
        <v>0</v>
      </c>
      <c s="6" r="AW891">
        <v>0</v>
      </c>
      <c s="6" r="AX891">
        <v>0</v>
      </c>
      <c s="6" r="AY891">
        <v>0</v>
      </c>
      <c s="6" r="AZ891">
        <v>0</v>
      </c>
      <c s="6" r="BA891">
        <v>0</v>
      </c>
      <c s="6" r="BB891">
        <v>0</v>
      </c>
      <c s="6" r="BC891">
        <v>0</v>
      </c>
      <c s="6" r="BD891">
        <v>0</v>
      </c>
      <c s="6" r="BE891">
        <v>0</v>
      </c>
      <c s="6" r="BF891">
        <v>0</v>
      </c>
      <c s="6" r="BG891">
        <v>0</v>
      </c>
      <c s="6" r="BH891">
        <v>0</v>
      </c>
      <c s="6" r="BI891">
        <v>0</v>
      </c>
      <c s="6" r="BJ891">
        <v>0</v>
      </c>
      <c s="6" r="BK891">
        <v>0</v>
      </c>
      <c s="6" r="BL891">
        <v>0</v>
      </c>
      <c s="6" r="BM891">
        <v>0</v>
      </c>
      <c s="6" r="BN891">
        <v>0</v>
      </c>
      <c s="6" r="BO891">
        <v>0</v>
      </c>
      <c s="6" r="BP891">
        <v>0</v>
      </c>
      <c s="6" r="BQ891">
        <v>0</v>
      </c>
      <c t="str" s="6" r="BR891">
        <f>HYPERLINK("http://www.d20pfsrd.com/magic/all-spells/t/thorn-body","Thorn Body")</f>
        <v>Thorn Body</v>
      </c>
      <c s="6" r="BS891">
        <v>904</v>
      </c>
      <c t="s" s="6" r="BT891">
        <v>92</v>
      </c>
      <c s="6" r="BY891">
        <v>0</v>
      </c>
    </row>
    <row customHeight="1" r="892" ht="14.25">
      <c t="s" s="6" r="A892">
        <v>6700</v>
      </c>
      <c t="s" s="6" r="B892">
        <v>131</v>
      </c>
      <c t="s" s="6" r="E892">
        <v>6701</v>
      </c>
      <c t="s" s="6" r="F892">
        <v>81</v>
      </c>
      <c t="s" s="6" r="G892">
        <v>6702</v>
      </c>
      <c s="6" r="H892">
        <v>1</v>
      </c>
      <c t="s" s="6" r="I892">
        <v>155</v>
      </c>
      <c t="s" s="6" r="L892">
        <v>156</v>
      </c>
      <c t="s" s="6" r="M892">
        <v>6703</v>
      </c>
      <c s="6" r="N892">
        <v>1</v>
      </c>
      <c s="6" r="O892">
        <v>0</v>
      </c>
      <c t="s" s="6" r="R892">
        <v>6704</v>
      </c>
      <c t="s" s="6" r="S892">
        <v>6705</v>
      </c>
      <c t="s" s="6" r="T892">
        <v>5200</v>
      </c>
      <c t="s" s="6" r="U892">
        <v>6706</v>
      </c>
      <c s="6" r="V892">
        <v>1</v>
      </c>
      <c s="6" r="W892">
        <v>1</v>
      </c>
      <c s="6" r="X892">
        <v>0</v>
      </c>
      <c s="6" r="Y892">
        <v>0</v>
      </c>
      <c s="6" r="Z892">
        <v>0</v>
      </c>
      <c t="s" s="6" r="AA892">
        <v>92</v>
      </c>
      <c t="s" s="6" r="AB892">
        <v>92</v>
      </c>
      <c t="s" s="6" r="AC892">
        <v>92</v>
      </c>
      <c s="6" r="AD892">
        <v>5</v>
      </c>
      <c t="s" s="6" r="AE892">
        <v>92</v>
      </c>
      <c t="s" s="6" r="AF892">
        <v>92</v>
      </c>
      <c t="s" s="6" r="AG892">
        <v>92</v>
      </c>
      <c t="s" s="6" r="AH892">
        <v>92</v>
      </c>
      <c t="s" s="6" r="AI892">
        <v>92</v>
      </c>
      <c s="6" r="AJ892">
        <v>4</v>
      </c>
      <c t="s" s="6" r="AK892">
        <v>92</v>
      </c>
      <c t="s" s="6" r="AL892">
        <v>92</v>
      </c>
      <c t="s" s="6" r="AM892">
        <v>92</v>
      </c>
      <c t="s" s="6" r="AN892">
        <v>92</v>
      </c>
      <c s="6" r="AP892">
        <v>5</v>
      </c>
      <c t="s" s="6" r="AR892">
        <v>6707</v>
      </c>
      <c s="6" r="AS892">
        <v>0</v>
      </c>
      <c s="6" r="AT892">
        <v>0</v>
      </c>
      <c s="6" r="AU892">
        <v>0</v>
      </c>
      <c s="6" r="AV892">
        <v>0</v>
      </c>
      <c s="6" r="AW892">
        <v>0</v>
      </c>
      <c s="6" r="AX892">
        <v>0</v>
      </c>
      <c s="6" r="AY892">
        <v>0</v>
      </c>
      <c s="6" r="AZ892">
        <v>0</v>
      </c>
      <c s="6" r="BA892">
        <v>0</v>
      </c>
      <c s="6" r="BB892">
        <v>0</v>
      </c>
      <c s="6" r="BC892">
        <v>0</v>
      </c>
      <c s="6" r="BD892">
        <v>0</v>
      </c>
      <c s="6" r="BE892">
        <v>0</v>
      </c>
      <c s="6" r="BF892">
        <v>0</v>
      </c>
      <c s="6" r="BG892">
        <v>0</v>
      </c>
      <c s="6" r="BH892">
        <v>0</v>
      </c>
      <c s="6" r="BI892">
        <v>0</v>
      </c>
      <c s="6" r="BJ892">
        <v>0</v>
      </c>
      <c s="6" r="BK892">
        <v>0</v>
      </c>
      <c s="6" r="BL892">
        <v>0</v>
      </c>
      <c s="6" r="BM892">
        <v>0</v>
      </c>
      <c s="6" r="BN892">
        <v>0</v>
      </c>
      <c s="6" r="BO892">
        <v>0</v>
      </c>
      <c s="6" r="BP892">
        <v>0</v>
      </c>
      <c s="6" r="BQ892">
        <v>0</v>
      </c>
      <c t="str" s="6" r="BR892">
        <f>HYPERLINK("http://www.d20pfsrd.com/magic/all-spells/t/threefold-aspect","Threefold Aspect")</f>
        <v>Threefold Aspect</v>
      </c>
      <c s="6" r="BS892">
        <v>905</v>
      </c>
      <c s="6" r="BT892">
        <v>5</v>
      </c>
      <c t="s" s="6" r="BU892">
        <v>857</v>
      </c>
      <c t="s" s="6" r="BV892">
        <v>1399</v>
      </c>
      <c s="6" r="BY892">
        <v>0</v>
      </c>
    </row>
    <row customHeight="1" r="893" ht="14.25">
      <c t="s" s="6" r="A893">
        <v>6708</v>
      </c>
      <c t="s" s="6" r="B893">
        <v>493</v>
      </c>
      <c t="s" s="6" r="D893">
        <v>67</v>
      </c>
      <c t="s" s="6" r="E893">
        <v>2085</v>
      </c>
      <c t="s" s="6" r="F893">
        <v>81</v>
      </c>
      <c t="s" s="6" r="G893">
        <v>106</v>
      </c>
      <c s="6" r="H893">
        <v>0</v>
      </c>
      <c t="s" s="6" r="I893">
        <v>629</v>
      </c>
      <c t="s" s="6" r="J893">
        <v>630</v>
      </c>
      <c t="s" s="6" r="M893">
        <v>109</v>
      </c>
      <c s="6" r="N893">
        <v>0</v>
      </c>
      <c s="6" r="O893">
        <v>0</v>
      </c>
      <c t="s" s="6" r="P893">
        <v>1254</v>
      </c>
      <c t="s" s="6" r="Q893">
        <v>188</v>
      </c>
      <c t="s" s="6" r="R893">
        <v>6709</v>
      </c>
      <c t="s" s="6" r="S893">
        <v>6710</v>
      </c>
      <c t="s" s="6" r="T893">
        <v>5200</v>
      </c>
      <c t="s" s="6" r="U893">
        <v>6711</v>
      </c>
      <c s="6" r="V893">
        <v>1</v>
      </c>
      <c s="6" r="W893">
        <v>1</v>
      </c>
      <c s="6" r="X893">
        <v>0</v>
      </c>
      <c s="6" r="Y893">
        <v>0</v>
      </c>
      <c s="6" r="Z893">
        <v>0</v>
      </c>
      <c t="s" s="6" r="AA893">
        <v>92</v>
      </c>
      <c t="s" s="6" r="AB893">
        <v>92</v>
      </c>
      <c t="s" s="6" r="AC893">
        <v>92</v>
      </c>
      <c t="s" s="6" r="AD893">
        <v>92</v>
      </c>
      <c t="s" s="6" r="AE893">
        <v>92</v>
      </c>
      <c s="6" r="AF893">
        <v>3</v>
      </c>
      <c t="s" s="6" r="AG893">
        <v>92</v>
      </c>
      <c t="s" s="6" r="AH893">
        <v>92</v>
      </c>
      <c t="s" s="6" r="AI893">
        <v>92</v>
      </c>
      <c t="s" s="6" r="AJ893">
        <v>92</v>
      </c>
      <c t="s" s="6" r="AK893">
        <v>92</v>
      </c>
      <c t="s" s="6" r="AL893">
        <v>92</v>
      </c>
      <c t="s" s="6" r="AM893">
        <v>92</v>
      </c>
      <c t="s" s="6" r="AN893">
        <v>92</v>
      </c>
      <c s="6" r="AP893">
        <v>3</v>
      </c>
      <c t="s" s="6" r="AR893">
        <v>6712</v>
      </c>
      <c s="6" r="AS893">
        <v>0</v>
      </c>
      <c s="6" r="AT893">
        <v>0</v>
      </c>
      <c s="6" r="AU893">
        <v>0</v>
      </c>
      <c s="6" r="AV893">
        <v>0</v>
      </c>
      <c s="6" r="AW893">
        <v>0</v>
      </c>
      <c s="6" r="AX893">
        <v>0</v>
      </c>
      <c s="6" r="AY893">
        <v>0</v>
      </c>
      <c s="6" r="AZ893">
        <v>0</v>
      </c>
      <c s="6" r="BA893">
        <v>0</v>
      </c>
      <c s="6" r="BB893">
        <v>0</v>
      </c>
      <c s="6" r="BC893">
        <v>0</v>
      </c>
      <c s="6" r="BD893">
        <v>0</v>
      </c>
      <c s="6" r="BE893">
        <v>0</v>
      </c>
      <c s="6" r="BF893">
        <v>0</v>
      </c>
      <c s="6" r="BG893">
        <v>0</v>
      </c>
      <c s="6" r="BH893">
        <v>0</v>
      </c>
      <c s="6" r="BI893">
        <v>0</v>
      </c>
      <c s="6" r="BJ893">
        <v>0</v>
      </c>
      <c s="6" r="BK893">
        <v>0</v>
      </c>
      <c s="6" r="BL893">
        <v>0</v>
      </c>
      <c s="6" r="BM893">
        <v>0</v>
      </c>
      <c s="6" r="BN893">
        <v>0</v>
      </c>
      <c s="6" r="BO893">
        <v>0</v>
      </c>
      <c s="6" r="BP893">
        <v>1</v>
      </c>
      <c s="6" r="BQ893">
        <v>0</v>
      </c>
      <c t="str" s="6" r="BR893">
        <f>HYPERLINK("http://www.d20pfsrd.com/magic/all-spells/t/thundering-drums","Thundering Drums")</f>
        <v>Thundering Drums</v>
      </c>
      <c s="6" r="BS893">
        <v>906</v>
      </c>
      <c t="s" s="6" r="BT893">
        <v>92</v>
      </c>
      <c s="6" r="BY893">
        <v>0</v>
      </c>
    </row>
    <row customHeight="1" r="894" ht="14.25">
      <c t="s" s="6" r="A894">
        <v>6713</v>
      </c>
      <c t="s" s="6" r="B894">
        <v>174</v>
      </c>
      <c t="s" s="6" r="E894">
        <v>915</v>
      </c>
      <c t="s" s="6" r="F894">
        <v>1743</v>
      </c>
      <c t="s" s="6" r="G894">
        <v>251</v>
      </c>
      <c s="6" r="H894">
        <v>0</v>
      </c>
      <c t="s" s="6" r="I894">
        <v>107</v>
      </c>
      <c t="s" s="6" r="L894">
        <v>1235</v>
      </c>
      <c t="s" s="6" r="M894">
        <v>109</v>
      </c>
      <c s="6" r="N894">
        <v>0</v>
      </c>
      <c s="6" r="O894">
        <v>0</v>
      </c>
      <c t="s" s="6" r="P894">
        <v>421</v>
      </c>
      <c t="s" s="6" r="Q894">
        <v>123</v>
      </c>
      <c t="s" s="6" r="R894">
        <v>6714</v>
      </c>
      <c t="s" s="6" r="S894">
        <v>6715</v>
      </c>
      <c t="s" s="6" r="T894">
        <v>5200</v>
      </c>
      <c t="s" s="6" r="U894">
        <v>6716</v>
      </c>
      <c s="6" r="V894">
        <v>1</v>
      </c>
      <c s="6" r="W894">
        <v>0</v>
      </c>
      <c s="6" r="X894">
        <v>0</v>
      </c>
      <c s="6" r="Y894">
        <v>0</v>
      </c>
      <c s="6" r="Z894">
        <v>0</v>
      </c>
      <c t="s" s="6" r="AA894">
        <v>92</v>
      </c>
      <c t="s" s="6" r="AB894">
        <v>92</v>
      </c>
      <c t="s" s="6" r="AC894">
        <v>92</v>
      </c>
      <c t="s" s="6" r="AD894">
        <v>92</v>
      </c>
      <c t="s" s="6" r="AE894">
        <v>92</v>
      </c>
      <c s="6" r="AF894">
        <v>1</v>
      </c>
      <c t="s" s="6" r="AG894">
        <v>92</v>
      </c>
      <c t="s" s="6" r="AH894">
        <v>92</v>
      </c>
      <c t="s" s="6" r="AI894">
        <v>92</v>
      </c>
      <c t="s" s="6" r="AJ894">
        <v>92</v>
      </c>
      <c t="s" s="6" r="AK894">
        <v>92</v>
      </c>
      <c t="s" s="6" r="AL894">
        <v>92</v>
      </c>
      <c t="s" s="6" r="AM894">
        <v>92</v>
      </c>
      <c t="s" s="6" r="AN894">
        <v>92</v>
      </c>
      <c s="6" r="AP894">
        <v>1</v>
      </c>
      <c t="s" s="6" r="AR894">
        <v>6717</v>
      </c>
      <c s="6" r="AS894">
        <v>0</v>
      </c>
      <c s="6" r="AT894">
        <v>0</v>
      </c>
      <c s="6" r="AU894">
        <v>0</v>
      </c>
      <c s="6" r="AV894">
        <v>0</v>
      </c>
      <c s="6" r="AW894">
        <v>0</v>
      </c>
      <c s="6" r="AX894">
        <v>0</v>
      </c>
      <c s="6" r="AY894">
        <v>0</v>
      </c>
      <c s="6" r="AZ894">
        <v>0</v>
      </c>
      <c s="6" r="BA894">
        <v>0</v>
      </c>
      <c s="6" r="BB894">
        <v>0</v>
      </c>
      <c s="6" r="BC894">
        <v>0</v>
      </c>
      <c s="6" r="BD894">
        <v>0</v>
      </c>
      <c s="6" r="BE894">
        <v>0</v>
      </c>
      <c s="6" r="BF894">
        <v>0</v>
      </c>
      <c s="6" r="BG894">
        <v>0</v>
      </c>
      <c s="6" r="BH894">
        <v>0</v>
      </c>
      <c s="6" r="BI894">
        <v>0</v>
      </c>
      <c s="6" r="BJ894">
        <v>0</v>
      </c>
      <c s="6" r="BK894">
        <v>0</v>
      </c>
      <c s="6" r="BL894">
        <v>0</v>
      </c>
      <c s="6" r="BM894">
        <v>0</v>
      </c>
      <c s="6" r="BN894">
        <v>0</v>
      </c>
      <c s="6" r="BO894">
        <v>0</v>
      </c>
      <c s="6" r="BP894">
        <v>0</v>
      </c>
      <c s="6" r="BQ894">
        <v>0</v>
      </c>
      <c t="str" s="6" r="BR894">
        <f>HYPERLINK("http://www.d20pfsrd.com/magic/all-spells/t/timely-inspiration","Timely Inspiration")</f>
        <v>Timely Inspiration</v>
      </c>
      <c s="6" r="BS894">
        <v>907</v>
      </c>
      <c t="s" s="6" r="BT894">
        <v>92</v>
      </c>
      <c s="6" r="BY894">
        <v>0</v>
      </c>
    </row>
    <row customHeight="1" r="895" ht="14.25">
      <c t="s" s="6" r="A895">
        <v>6718</v>
      </c>
      <c t="s" s="6" r="B895">
        <v>131</v>
      </c>
      <c t="s" s="6" r="E895">
        <v>6719</v>
      </c>
      <c t="s" s="6" r="F895">
        <v>81</v>
      </c>
      <c t="s" s="6" r="G895">
        <v>6720</v>
      </c>
      <c s="6" r="H895">
        <v>0</v>
      </c>
      <c t="s" s="6" r="I895">
        <v>155</v>
      </c>
      <c t="s" s="6" r="L895">
        <v>156</v>
      </c>
      <c t="s" s="6" r="M895">
        <v>711</v>
      </c>
      <c s="6" r="N895">
        <v>1</v>
      </c>
      <c s="6" r="O895">
        <v>0</v>
      </c>
      <c t="s" s="6" r="R895">
        <v>6721</v>
      </c>
      <c t="s" s="6" r="S895">
        <v>6722</v>
      </c>
      <c t="s" s="6" r="T895">
        <v>5200</v>
      </c>
      <c t="s" s="6" r="U895">
        <v>6723</v>
      </c>
      <c s="6" r="V895">
        <v>1</v>
      </c>
      <c s="6" r="W895">
        <v>1</v>
      </c>
      <c s="6" r="X895">
        <v>1</v>
      </c>
      <c s="6" r="Y895">
        <v>0</v>
      </c>
      <c s="6" r="Z895">
        <v>0</v>
      </c>
      <c t="s" s="6" r="AA895">
        <v>92</v>
      </c>
      <c t="s" s="6" r="AB895">
        <v>92</v>
      </c>
      <c t="s" s="6" r="AC895">
        <v>92</v>
      </c>
      <c t="s" s="6" r="AD895">
        <v>92</v>
      </c>
      <c s="6" r="AE895">
        <v>1</v>
      </c>
      <c t="s" s="6" r="AF895">
        <v>92</v>
      </c>
      <c t="s" s="6" r="AG895">
        <v>92</v>
      </c>
      <c t="s" s="6" r="AH895">
        <v>92</v>
      </c>
      <c t="s" s="6" r="AI895">
        <v>92</v>
      </c>
      <c t="s" s="6" r="AJ895">
        <v>92</v>
      </c>
      <c s="6" r="AK895">
        <v>1</v>
      </c>
      <c t="s" s="6" r="AL895">
        <v>92</v>
      </c>
      <c t="s" s="6" r="AM895">
        <v>92</v>
      </c>
      <c t="s" s="6" r="AN895">
        <v>92</v>
      </c>
      <c s="6" r="AP895">
        <v>1</v>
      </c>
      <c t="s" s="6" r="AR895">
        <v>6724</v>
      </c>
      <c s="6" r="AS895">
        <v>0</v>
      </c>
      <c s="6" r="AT895">
        <v>0</v>
      </c>
      <c s="6" r="AU895">
        <v>0</v>
      </c>
      <c s="6" r="AV895">
        <v>0</v>
      </c>
      <c s="6" r="AW895">
        <v>0</v>
      </c>
      <c s="6" r="AX895">
        <v>0</v>
      </c>
      <c s="6" r="AY895">
        <v>0</v>
      </c>
      <c s="6" r="AZ895">
        <v>0</v>
      </c>
      <c s="6" r="BA895">
        <v>0</v>
      </c>
      <c s="6" r="BB895">
        <v>0</v>
      </c>
      <c s="6" r="BC895">
        <v>0</v>
      </c>
      <c s="6" r="BD895">
        <v>0</v>
      </c>
      <c s="6" r="BE895">
        <v>0</v>
      </c>
      <c s="6" r="BF895">
        <v>0</v>
      </c>
      <c s="6" r="BG895">
        <v>0</v>
      </c>
      <c s="6" r="BH895">
        <v>0</v>
      </c>
      <c s="6" r="BI895">
        <v>0</v>
      </c>
      <c s="6" r="BJ895">
        <v>0</v>
      </c>
      <c s="6" r="BK895">
        <v>0</v>
      </c>
      <c s="6" r="BL895">
        <v>0</v>
      </c>
      <c s="6" r="BM895">
        <v>0</v>
      </c>
      <c s="6" r="BN895">
        <v>0</v>
      </c>
      <c s="6" r="BO895">
        <v>0</v>
      </c>
      <c s="6" r="BP895">
        <v>0</v>
      </c>
      <c s="6" r="BQ895">
        <v>0</v>
      </c>
      <c t="str" s="6" r="BR895">
        <f>HYPERLINK("http://www.d20pfsrd.com/magic/all-spells/t/tireless-pursuit","Tireless Pursuit")</f>
        <v>Tireless Pursuit</v>
      </c>
      <c s="6" r="BS895">
        <v>908</v>
      </c>
      <c t="s" s="6" r="BT895">
        <v>92</v>
      </c>
      <c s="6" r="BY895">
        <v>0</v>
      </c>
    </row>
    <row customHeight="1" r="896" ht="14.25">
      <c t="s" s="6" r="A896">
        <v>6725</v>
      </c>
      <c t="s" s="6" r="B896">
        <v>131</v>
      </c>
      <c t="s" s="6" r="E896">
        <v>6726</v>
      </c>
      <c t="s" s="6" r="F896">
        <v>81</v>
      </c>
      <c t="s" s="6" r="G896">
        <v>6727</v>
      </c>
      <c s="6" r="H896">
        <v>0</v>
      </c>
      <c t="s" s="6" r="I896">
        <v>120</v>
      </c>
      <c t="s" s="6" r="L896">
        <v>6728</v>
      </c>
      <c t="s" s="6" r="M896">
        <v>711</v>
      </c>
      <c s="6" r="N896">
        <v>1</v>
      </c>
      <c s="6" r="O896">
        <v>0</v>
      </c>
      <c t="s" s="6" r="P896">
        <v>1227</v>
      </c>
      <c t="s" s="6" r="Q896">
        <v>123</v>
      </c>
      <c t="s" s="6" r="R896">
        <v>6729</v>
      </c>
      <c t="s" s="6" r="S896">
        <v>6730</v>
      </c>
      <c t="s" s="6" r="T896">
        <v>5200</v>
      </c>
      <c t="s" s="6" r="U896">
        <v>6731</v>
      </c>
      <c s="6" r="V896">
        <v>1</v>
      </c>
      <c s="6" r="W896">
        <v>1</v>
      </c>
      <c s="6" r="X896">
        <v>1</v>
      </c>
      <c s="6" r="Y896">
        <v>0</v>
      </c>
      <c s="6" r="Z896">
        <v>0</v>
      </c>
      <c t="s" s="6" r="AA896">
        <v>92</v>
      </c>
      <c t="s" s="6" r="AB896">
        <v>92</v>
      </c>
      <c t="s" s="6" r="AC896">
        <v>92</v>
      </c>
      <c t="s" s="6" r="AD896">
        <v>92</v>
      </c>
      <c s="6" r="AE896">
        <v>3</v>
      </c>
      <c t="s" s="6" r="AF896">
        <v>92</v>
      </c>
      <c t="s" s="6" r="AG896">
        <v>92</v>
      </c>
      <c t="s" s="6" r="AH896">
        <v>92</v>
      </c>
      <c t="s" s="6" r="AI896">
        <v>92</v>
      </c>
      <c t="s" s="6" r="AJ896">
        <v>92</v>
      </c>
      <c s="6" r="AK896">
        <v>4</v>
      </c>
      <c t="s" s="6" r="AL896">
        <v>92</v>
      </c>
      <c t="s" s="6" r="AM896">
        <v>92</v>
      </c>
      <c t="s" s="6" r="AN896">
        <v>92</v>
      </c>
      <c s="6" r="AP896">
        <v>3</v>
      </c>
      <c t="s" s="6" r="AR896">
        <v>6732</v>
      </c>
      <c s="6" r="AS896">
        <v>0</v>
      </c>
      <c s="6" r="AT896">
        <v>0</v>
      </c>
      <c s="6" r="AU896">
        <v>0</v>
      </c>
      <c s="6" r="AV896">
        <v>0</v>
      </c>
      <c s="6" r="AW896">
        <v>0</v>
      </c>
      <c s="6" r="AX896">
        <v>0</v>
      </c>
      <c s="6" r="AY896">
        <v>0</v>
      </c>
      <c s="6" r="AZ896">
        <v>0</v>
      </c>
      <c s="6" r="BA896">
        <v>0</v>
      </c>
      <c s="6" r="BB896">
        <v>0</v>
      </c>
      <c s="6" r="BC896">
        <v>0</v>
      </c>
      <c s="6" r="BD896">
        <v>0</v>
      </c>
      <c s="6" r="BE896">
        <v>0</v>
      </c>
      <c s="6" r="BF896">
        <v>0</v>
      </c>
      <c s="6" r="BG896">
        <v>0</v>
      </c>
      <c s="6" r="BH896">
        <v>0</v>
      </c>
      <c s="6" r="BI896">
        <v>0</v>
      </c>
      <c s="6" r="BJ896">
        <v>0</v>
      </c>
      <c s="6" r="BK896">
        <v>0</v>
      </c>
      <c s="6" r="BL896">
        <v>0</v>
      </c>
      <c s="6" r="BM896">
        <v>0</v>
      </c>
      <c s="6" r="BN896">
        <v>0</v>
      </c>
      <c s="6" r="BO896">
        <v>0</v>
      </c>
      <c s="6" r="BP896">
        <v>0</v>
      </c>
      <c s="6" r="BQ896">
        <v>0</v>
      </c>
      <c t="str" s="6" r="BR896">
        <f>HYPERLINK("http://www.d20pfsrd.com/magic/all-spells/t/tireless-pursuers","Tireless Pursuers")</f>
        <v>Tireless Pursuers</v>
      </c>
      <c s="6" r="BS896">
        <v>909</v>
      </c>
      <c t="s" s="6" r="BT896">
        <v>92</v>
      </c>
      <c s="6" r="BY896">
        <v>0</v>
      </c>
    </row>
    <row customHeight="1" r="897" ht="14.25">
      <c t="s" s="6" r="A897">
        <v>6733</v>
      </c>
      <c t="s" s="6" r="B897">
        <v>131</v>
      </c>
      <c t="s" s="6" r="E897">
        <v>262</v>
      </c>
      <c t="s" s="6" r="F897">
        <v>81</v>
      </c>
      <c t="s" s="6" r="G897">
        <v>106</v>
      </c>
      <c s="6" r="H897">
        <v>0</v>
      </c>
      <c t="s" s="6" r="I897">
        <v>120</v>
      </c>
      <c t="s" s="6" r="L897">
        <v>420</v>
      </c>
      <c t="s" s="6" r="M897">
        <v>99</v>
      </c>
      <c s="6" r="N897">
        <v>0</v>
      </c>
      <c s="6" r="O897">
        <v>0</v>
      </c>
      <c t="s" s="6" r="P897">
        <v>1254</v>
      </c>
      <c t="s" s="6" r="Q897">
        <v>188</v>
      </c>
      <c t="s" s="6" r="R897">
        <v>6734</v>
      </c>
      <c t="s" s="6" r="S897">
        <v>6735</v>
      </c>
      <c t="s" s="6" r="T897">
        <v>5200</v>
      </c>
      <c t="s" s="6" r="U897">
        <v>6736</v>
      </c>
      <c s="6" r="V897">
        <v>1</v>
      </c>
      <c s="6" r="W897">
        <v>1</v>
      </c>
      <c s="6" r="X897">
        <v>0</v>
      </c>
      <c s="6" r="Y897">
        <v>0</v>
      </c>
      <c s="6" r="Z897">
        <v>0</v>
      </c>
      <c s="6" r="AA897">
        <v>1</v>
      </c>
      <c s="6" r="AB897">
        <v>1</v>
      </c>
      <c t="s" s="6" r="AC897">
        <v>92</v>
      </c>
      <c t="s" s="6" r="AD897">
        <v>92</v>
      </c>
      <c t="s" s="6" r="AE897">
        <v>92</v>
      </c>
      <c s="6" r="AF897">
        <v>1</v>
      </c>
      <c t="s" s="6" r="AG897">
        <v>92</v>
      </c>
      <c t="s" s="6" r="AH897">
        <v>92</v>
      </c>
      <c t="s" s="6" r="AI897">
        <v>92</v>
      </c>
      <c t="s" s="6" r="AJ897">
        <v>92</v>
      </c>
      <c t="s" s="6" r="AK897">
        <v>92</v>
      </c>
      <c t="s" s="6" r="AL897">
        <v>92</v>
      </c>
      <c t="s" s="6" r="AM897">
        <v>92</v>
      </c>
      <c t="s" s="6" r="AN897">
        <v>92</v>
      </c>
      <c s="6" r="AP897">
        <v>1</v>
      </c>
      <c t="s" s="6" r="AR897">
        <v>6737</v>
      </c>
      <c s="6" r="AS897">
        <v>0</v>
      </c>
      <c s="6" r="AT897">
        <v>0</v>
      </c>
      <c s="6" r="AU897">
        <v>0</v>
      </c>
      <c s="6" r="AV897">
        <v>0</v>
      </c>
      <c s="6" r="AW897">
        <v>0</v>
      </c>
      <c s="6" r="AX897">
        <v>0</v>
      </c>
      <c s="6" r="AY897">
        <v>0</v>
      </c>
      <c s="6" r="AZ897">
        <v>0</v>
      </c>
      <c s="6" r="BA897">
        <v>0</v>
      </c>
      <c s="6" r="BB897">
        <v>0</v>
      </c>
      <c s="6" r="BC897">
        <v>0</v>
      </c>
      <c s="6" r="BD897">
        <v>0</v>
      </c>
      <c s="6" r="BE897">
        <v>0</v>
      </c>
      <c s="6" r="BF897">
        <v>0</v>
      </c>
      <c s="6" r="BG897">
        <v>0</v>
      </c>
      <c s="6" r="BH897">
        <v>0</v>
      </c>
      <c s="6" r="BI897">
        <v>0</v>
      </c>
      <c s="6" r="BJ897">
        <v>0</v>
      </c>
      <c s="6" r="BK897">
        <v>0</v>
      </c>
      <c s="6" r="BL897">
        <v>0</v>
      </c>
      <c s="6" r="BM897">
        <v>0</v>
      </c>
      <c s="6" r="BN897">
        <v>0</v>
      </c>
      <c s="6" r="BO897">
        <v>0</v>
      </c>
      <c s="6" r="BP897">
        <v>0</v>
      </c>
      <c s="6" r="BQ897">
        <v>0</v>
      </c>
      <c t="str" s="6" r="BR897">
        <f>HYPERLINK("http://www.d20pfsrd.com/magic/all-spells/t/touch-of-gracelessness","Touch of Gracelessness")</f>
        <v>Touch of Gracelessness</v>
      </c>
      <c s="6" r="BS897">
        <v>910</v>
      </c>
      <c t="s" s="6" r="BT897">
        <v>92</v>
      </c>
      <c s="6" r="BY897">
        <v>0</v>
      </c>
    </row>
    <row customHeight="1" r="898" ht="14.25">
      <c t="s" s="6" r="A898">
        <v>6738</v>
      </c>
      <c t="s" s="6" r="B898">
        <v>131</v>
      </c>
      <c t="s" s="6" r="E898">
        <v>6739</v>
      </c>
      <c t="s" s="6" r="F898">
        <v>81</v>
      </c>
      <c t="s" s="6" r="G898">
        <v>6740</v>
      </c>
      <c s="6" r="H898">
        <v>0</v>
      </c>
      <c t="s" s="6" r="I898">
        <v>120</v>
      </c>
      <c t="s" s="6" r="L898">
        <v>420</v>
      </c>
      <c t="s" s="6" r="M898">
        <v>2718</v>
      </c>
      <c s="6" r="N898">
        <v>0</v>
      </c>
      <c s="6" r="O898">
        <v>0</v>
      </c>
      <c t="s" s="6" r="P898">
        <v>1227</v>
      </c>
      <c t="s" s="6" r="Q898">
        <v>123</v>
      </c>
      <c t="s" s="6" r="R898">
        <v>6741</v>
      </c>
      <c t="s" s="6" r="S898">
        <v>6742</v>
      </c>
      <c t="s" s="6" r="T898">
        <v>5200</v>
      </c>
      <c t="s" s="6" r="U898">
        <v>6743</v>
      </c>
      <c s="6" r="V898">
        <v>1</v>
      </c>
      <c s="6" r="W898">
        <v>1</v>
      </c>
      <c s="6" r="X898">
        <v>1</v>
      </c>
      <c s="6" r="Y898">
        <v>0</v>
      </c>
      <c s="6" r="Z898">
        <v>0</v>
      </c>
      <c s="6" r="AA898">
        <v>1</v>
      </c>
      <c s="6" r="AB898">
        <v>1</v>
      </c>
      <c t="s" s="6" r="AC898">
        <v>92</v>
      </c>
      <c s="6" r="AD898">
        <v>1</v>
      </c>
      <c t="s" s="6" r="AE898">
        <v>92</v>
      </c>
      <c t="s" s="6" r="AF898">
        <v>92</v>
      </c>
      <c t="s" s="6" r="AG898">
        <v>92</v>
      </c>
      <c s="6" r="AH898">
        <v>1</v>
      </c>
      <c t="s" s="6" r="AI898">
        <v>92</v>
      </c>
      <c t="s" s="6" r="AJ898">
        <v>92</v>
      </c>
      <c t="s" s="6" r="AK898">
        <v>92</v>
      </c>
      <c t="s" s="6" r="AL898">
        <v>92</v>
      </c>
      <c t="s" s="6" r="AM898">
        <v>92</v>
      </c>
      <c t="s" s="6" r="AN898">
        <v>92</v>
      </c>
      <c s="6" r="AP898">
        <v>1</v>
      </c>
      <c t="s" s="6" r="AR898">
        <v>6744</v>
      </c>
      <c s="6" r="AS898">
        <v>0</v>
      </c>
      <c s="6" r="AT898">
        <v>0</v>
      </c>
      <c s="6" r="AU898">
        <v>0</v>
      </c>
      <c s="6" r="AV898">
        <v>0</v>
      </c>
      <c s="6" r="AW898">
        <v>0</v>
      </c>
      <c s="6" r="AX898">
        <v>0</v>
      </c>
      <c s="6" r="AY898">
        <v>0</v>
      </c>
      <c s="6" r="AZ898">
        <v>0</v>
      </c>
      <c s="6" r="BA898">
        <v>0</v>
      </c>
      <c s="6" r="BB898">
        <v>0</v>
      </c>
      <c s="6" r="BC898">
        <v>0</v>
      </c>
      <c s="6" r="BD898">
        <v>0</v>
      </c>
      <c s="6" r="BE898">
        <v>0</v>
      </c>
      <c s="6" r="BF898">
        <v>0</v>
      </c>
      <c s="6" r="BG898">
        <v>0</v>
      </c>
      <c s="6" r="BH898">
        <v>0</v>
      </c>
      <c s="6" r="BI898">
        <v>0</v>
      </c>
      <c s="6" r="BJ898">
        <v>0</v>
      </c>
      <c s="6" r="BK898">
        <v>0</v>
      </c>
      <c s="6" r="BL898">
        <v>0</v>
      </c>
      <c s="6" r="BM898">
        <v>0</v>
      </c>
      <c s="6" r="BN898">
        <v>0</v>
      </c>
      <c s="6" r="BO898">
        <v>0</v>
      </c>
      <c s="6" r="BP898">
        <v>0</v>
      </c>
      <c s="6" r="BQ898">
        <v>0</v>
      </c>
      <c t="str" s="6" r="BR898">
        <f>HYPERLINK("http://www.d20pfsrd.com/magic/all-spells/t/touch-of-the-sea","Touch of the Sea")</f>
        <v>Touch of the Sea</v>
      </c>
      <c s="6" r="BS898">
        <v>911</v>
      </c>
      <c t="s" s="6" r="BT898">
        <v>92</v>
      </c>
      <c s="6" r="BY898">
        <v>0</v>
      </c>
    </row>
    <row customHeight="1" r="899" ht="14.25">
      <c t="s" s="6" r="A899">
        <v>6745</v>
      </c>
      <c t="s" s="6" r="B899">
        <v>131</v>
      </c>
      <c t="s" s="6" r="E899">
        <v>5814</v>
      </c>
      <c t="s" s="6" r="F899">
        <v>293</v>
      </c>
      <c t="s" s="6" r="G899">
        <v>6746</v>
      </c>
      <c s="6" r="H899">
        <v>1</v>
      </c>
      <c t="s" s="6" r="I899">
        <v>120</v>
      </c>
      <c t="s" s="6" r="L899">
        <v>5802</v>
      </c>
      <c t="s" s="6" r="M899">
        <v>109</v>
      </c>
      <c s="6" r="N899">
        <v>0</v>
      </c>
      <c s="6" r="O899">
        <v>0</v>
      </c>
      <c t="s" s="6" r="P899">
        <v>421</v>
      </c>
      <c t="s" s="6" r="Q899">
        <v>87</v>
      </c>
      <c t="s" s="6" r="R899">
        <v>6747</v>
      </c>
      <c t="s" s="6" r="S899">
        <v>6748</v>
      </c>
      <c t="s" s="6" r="T899">
        <v>5200</v>
      </c>
      <c t="s" s="6" r="U899">
        <v>6749</v>
      </c>
      <c s="6" r="V899">
        <v>1</v>
      </c>
      <c s="6" r="W899">
        <v>1</v>
      </c>
      <c s="6" r="X899">
        <v>1</v>
      </c>
      <c s="6" r="Y899">
        <v>0</v>
      </c>
      <c s="6" r="Z899">
        <v>0</v>
      </c>
      <c t="s" s="6" r="AA899">
        <v>92</v>
      </c>
      <c t="s" s="6" r="AB899">
        <v>92</v>
      </c>
      <c t="s" s="6" r="AC899">
        <v>92</v>
      </c>
      <c t="s" s="6" r="AD899">
        <v>92</v>
      </c>
      <c t="s" s="6" r="AE899">
        <v>92</v>
      </c>
      <c t="s" s="6" r="AF899">
        <v>92</v>
      </c>
      <c t="s" s="6" r="AG899">
        <v>92</v>
      </c>
      <c t="s" s="6" r="AH899">
        <v>92</v>
      </c>
      <c s="6" r="AI899">
        <v>4</v>
      </c>
      <c t="s" s="6" r="AJ899">
        <v>92</v>
      </c>
      <c t="s" s="6" r="AK899">
        <v>92</v>
      </c>
      <c t="s" s="6" r="AL899">
        <v>92</v>
      </c>
      <c t="s" s="6" r="AM899">
        <v>92</v>
      </c>
      <c t="s" s="6" r="AN899">
        <v>92</v>
      </c>
      <c s="6" r="AP899">
        <v>4</v>
      </c>
      <c t="s" s="6" r="AR899">
        <v>6750</v>
      </c>
      <c s="6" r="AS899">
        <v>0</v>
      </c>
      <c s="6" r="AT899">
        <v>0</v>
      </c>
      <c s="6" r="AU899">
        <v>0</v>
      </c>
      <c s="6" r="AV899">
        <v>0</v>
      </c>
      <c s="6" r="AW899">
        <v>0</v>
      </c>
      <c s="6" r="AX899">
        <v>0</v>
      </c>
      <c s="6" r="AY899">
        <v>0</v>
      </c>
      <c s="6" r="AZ899">
        <v>0</v>
      </c>
      <c s="6" r="BA899">
        <v>0</v>
      </c>
      <c s="6" r="BB899">
        <v>0</v>
      </c>
      <c s="6" r="BC899">
        <v>0</v>
      </c>
      <c s="6" r="BD899">
        <v>0</v>
      </c>
      <c s="6" r="BE899">
        <v>0</v>
      </c>
      <c s="6" r="BF899">
        <v>0</v>
      </c>
      <c s="6" r="BG899">
        <v>0</v>
      </c>
      <c s="6" r="BH899">
        <v>0</v>
      </c>
      <c s="6" r="BI899">
        <v>0</v>
      </c>
      <c s="6" r="BJ899">
        <v>0</v>
      </c>
      <c s="6" r="BK899">
        <v>0</v>
      </c>
      <c s="6" r="BL899">
        <v>0</v>
      </c>
      <c s="6" r="BM899">
        <v>0</v>
      </c>
      <c s="6" r="BN899">
        <v>0</v>
      </c>
      <c s="6" r="BO899">
        <v>0</v>
      </c>
      <c s="6" r="BP899">
        <v>0</v>
      </c>
      <c s="6" r="BQ899">
        <v>0</v>
      </c>
      <c t="str" s="6" r="BR899">
        <f>HYPERLINK("http://www.d20pfsrd.com/magic/all-spells/t/transmogrify","Transmogrify")</f>
        <v>Transmogrify</v>
      </c>
      <c s="6" r="BS899">
        <v>912</v>
      </c>
      <c s="6" r="BT899">
        <v>1000</v>
      </c>
      <c s="6" r="BY899">
        <v>0</v>
      </c>
    </row>
    <row customHeight="1" r="900" ht="14.25">
      <c t="s" s="6" r="A900">
        <v>6751</v>
      </c>
      <c t="s" s="6" r="B900">
        <v>131</v>
      </c>
      <c t="s" s="6" r="D900">
        <v>65</v>
      </c>
      <c t="s" s="6" r="E900">
        <v>5220</v>
      </c>
      <c t="s" s="6" r="F900">
        <v>81</v>
      </c>
      <c t="s" s="6" r="G900">
        <v>2086</v>
      </c>
      <c s="6" r="H900">
        <v>0</v>
      </c>
      <c t="s" s="6" r="I900">
        <v>155</v>
      </c>
      <c t="s" s="6" r="L900">
        <v>156</v>
      </c>
      <c t="s" s="6" r="M900">
        <v>6752</v>
      </c>
      <c s="6" r="N900">
        <v>0</v>
      </c>
      <c s="6" r="O900">
        <v>0</v>
      </c>
      <c t="s" s="6" r="R900">
        <v>6753</v>
      </c>
      <c t="s" s="6" r="S900">
        <v>6754</v>
      </c>
      <c t="s" s="6" r="T900">
        <v>5200</v>
      </c>
      <c t="s" s="6" r="U900">
        <v>6755</v>
      </c>
      <c s="6" r="V900">
        <v>0</v>
      </c>
      <c s="6" r="W900">
        <v>1</v>
      </c>
      <c s="6" r="X900">
        <v>0</v>
      </c>
      <c s="6" r="Y900">
        <v>0</v>
      </c>
      <c s="6" r="Z900">
        <v>0</v>
      </c>
      <c t="s" s="6" r="AA900">
        <v>92</v>
      </c>
      <c t="s" s="6" r="AB900">
        <v>92</v>
      </c>
      <c t="s" s="6" r="AC900">
        <v>92</v>
      </c>
      <c t="s" s="6" r="AD900">
        <v>92</v>
      </c>
      <c t="s" s="6" r="AE900">
        <v>92</v>
      </c>
      <c t="s" s="6" r="AF900">
        <v>92</v>
      </c>
      <c t="s" s="6" r="AG900">
        <v>92</v>
      </c>
      <c s="6" r="AH900">
        <v>2</v>
      </c>
      <c t="s" s="6" r="AI900">
        <v>92</v>
      </c>
      <c t="s" s="6" r="AJ900">
        <v>92</v>
      </c>
      <c t="s" s="6" r="AK900">
        <v>92</v>
      </c>
      <c t="s" s="6" r="AL900">
        <v>92</v>
      </c>
      <c t="s" s="6" r="AM900">
        <v>92</v>
      </c>
      <c t="s" s="6" r="AN900">
        <v>92</v>
      </c>
      <c s="6" r="AP900">
        <v>2</v>
      </c>
      <c t="s" s="6" r="AR900">
        <v>6756</v>
      </c>
      <c s="6" r="AS900">
        <v>0</v>
      </c>
      <c s="6" r="AT900">
        <v>0</v>
      </c>
      <c s="6" r="AU900">
        <v>0</v>
      </c>
      <c s="6" r="AV900">
        <v>0</v>
      </c>
      <c s="6" r="AW900">
        <v>0</v>
      </c>
      <c s="6" r="AX900">
        <v>0</v>
      </c>
      <c s="6" r="AY900">
        <v>0</v>
      </c>
      <c s="6" r="AZ900">
        <v>0</v>
      </c>
      <c s="6" r="BA900">
        <v>0</v>
      </c>
      <c s="6" r="BB900">
        <v>0</v>
      </c>
      <c s="6" r="BC900">
        <v>0</v>
      </c>
      <c s="6" r="BD900">
        <v>0</v>
      </c>
      <c s="6" r="BE900">
        <v>0</v>
      </c>
      <c s="6" r="BF900">
        <v>0</v>
      </c>
      <c s="6" r="BG900">
        <v>0</v>
      </c>
      <c s="6" r="BH900">
        <v>0</v>
      </c>
      <c s="6" r="BI900">
        <v>0</v>
      </c>
      <c s="6" r="BJ900">
        <v>0</v>
      </c>
      <c s="6" r="BK900">
        <v>0</v>
      </c>
      <c s="6" r="BL900">
        <v>0</v>
      </c>
      <c s="6" r="BM900">
        <v>0</v>
      </c>
      <c s="6" r="BN900">
        <v>1</v>
      </c>
      <c s="6" r="BO900">
        <v>0</v>
      </c>
      <c s="6" r="BP900">
        <v>0</v>
      </c>
      <c s="6" r="BQ900">
        <v>0</v>
      </c>
      <c t="str" s="6" r="BR900">
        <f>HYPERLINK("http://www.d20pfsrd.com/magic/all-spells/t/transmute-potion-to-poison","Transmute Potion to Poison")</f>
        <v>Transmute Potion to Poison</v>
      </c>
      <c s="6" r="BS900">
        <v>913</v>
      </c>
      <c t="s" s="6" r="BT900">
        <v>92</v>
      </c>
      <c s="6" r="BY900">
        <v>0</v>
      </c>
    </row>
    <row customHeight="1" r="901" ht="14.25">
      <c t="s" s="6" r="A901">
        <v>6757</v>
      </c>
      <c t="s" s="6" r="B901">
        <v>131</v>
      </c>
      <c t="s" s="6" r="E901">
        <v>6758</v>
      </c>
      <c t="s" s="6" r="F901">
        <v>81</v>
      </c>
      <c t="s" s="6" r="G901">
        <v>6759</v>
      </c>
      <c s="6" r="H901">
        <v>1</v>
      </c>
      <c t="s" s="6" r="I901">
        <v>107</v>
      </c>
      <c t="s" s="6" r="L901">
        <v>6760</v>
      </c>
      <c t="s" s="6" r="M901">
        <v>5196</v>
      </c>
      <c s="6" r="N901">
        <v>1</v>
      </c>
      <c s="6" r="O901">
        <v>0</v>
      </c>
      <c t="s" s="6" r="P901">
        <v>5197</v>
      </c>
      <c t="s" s="6" r="Q901">
        <v>536</v>
      </c>
      <c t="s" s="6" r="R901">
        <v>6761</v>
      </c>
      <c t="s" s="6" r="S901">
        <v>6762</v>
      </c>
      <c t="s" s="6" r="T901">
        <v>5200</v>
      </c>
      <c t="s" s="6" r="U901">
        <v>6763</v>
      </c>
      <c s="6" r="V901">
        <v>1</v>
      </c>
      <c s="6" r="W901">
        <v>1</v>
      </c>
      <c s="6" r="X901">
        <v>1</v>
      </c>
      <c s="6" r="Y901">
        <v>0</v>
      </c>
      <c s="6" r="Z901">
        <v>0</v>
      </c>
      <c s="6" r="AA901">
        <v>5</v>
      </c>
      <c s="6" r="AB901">
        <v>5</v>
      </c>
      <c s="6" r="AC901">
        <v>5</v>
      </c>
      <c t="s" s="6" r="AD901">
        <v>92</v>
      </c>
      <c t="s" s="6" r="AE901">
        <v>92</v>
      </c>
      <c s="6" r="AF901">
        <v>4</v>
      </c>
      <c t="s" s="6" r="AG901">
        <v>92</v>
      </c>
      <c t="s" s="6" r="AH901">
        <v>92</v>
      </c>
      <c t="s" s="6" r="AI901">
        <v>92</v>
      </c>
      <c t="s" s="6" r="AJ901">
        <v>92</v>
      </c>
      <c t="s" s="6" r="AK901">
        <v>92</v>
      </c>
      <c s="6" r="AL901">
        <v>5</v>
      </c>
      <c t="s" s="6" r="AM901">
        <v>92</v>
      </c>
      <c t="s" s="6" r="AN901">
        <v>92</v>
      </c>
      <c s="6" r="AP901">
        <v>5</v>
      </c>
      <c t="s" s="6" r="AR901">
        <v>6764</v>
      </c>
      <c s="6" r="AS901">
        <v>0</v>
      </c>
      <c s="6" r="AT901">
        <v>0</v>
      </c>
      <c s="6" r="AU901">
        <v>0</v>
      </c>
      <c s="6" r="AV901">
        <v>0</v>
      </c>
      <c s="6" r="AW901">
        <v>0</v>
      </c>
      <c s="6" r="AX901">
        <v>0</v>
      </c>
      <c s="6" r="AY901">
        <v>0</v>
      </c>
      <c s="6" r="AZ901">
        <v>0</v>
      </c>
      <c s="6" r="BA901">
        <v>0</v>
      </c>
      <c s="6" r="BB901">
        <v>0</v>
      </c>
      <c s="6" r="BC901">
        <v>0</v>
      </c>
      <c s="6" r="BD901">
        <v>0</v>
      </c>
      <c s="6" r="BE901">
        <v>0</v>
      </c>
      <c s="6" r="BF901">
        <v>0</v>
      </c>
      <c s="6" r="BG901">
        <v>0</v>
      </c>
      <c s="6" r="BH901">
        <v>0</v>
      </c>
      <c s="6" r="BI901">
        <v>0</v>
      </c>
      <c s="6" r="BJ901">
        <v>0</v>
      </c>
      <c s="6" r="BK901">
        <v>0</v>
      </c>
      <c s="6" r="BL901">
        <v>0</v>
      </c>
      <c s="6" r="BM901">
        <v>0</v>
      </c>
      <c s="6" r="BN901">
        <v>0</v>
      </c>
      <c s="6" r="BO901">
        <v>0</v>
      </c>
      <c s="6" r="BP901">
        <v>0</v>
      </c>
      <c s="6" r="BQ901">
        <v>0</v>
      </c>
      <c t="str" s="6" r="BR901">
        <f>HYPERLINK("http://www.d20pfsrd.com/magic/all-spells/t/treasure-stitching","Treasure Stitching")</f>
        <v>Treasure Stitching</v>
      </c>
      <c s="6" r="BS901">
        <v>914</v>
      </c>
      <c s="6" r="BT901">
        <v>100</v>
      </c>
      <c s="6" r="BY901">
        <v>0</v>
      </c>
    </row>
    <row customHeight="1" r="902" ht="14.25">
      <c t="s" s="6" r="A902">
        <v>6765</v>
      </c>
      <c t="s" s="6" r="B902">
        <v>162</v>
      </c>
      <c t="s" s="6" r="E902">
        <v>6766</v>
      </c>
      <c t="s" s="6" r="F902">
        <v>81</v>
      </c>
      <c t="s" s="6" r="G902">
        <v>106</v>
      </c>
      <c s="6" r="H902">
        <v>0</v>
      </c>
      <c t="s" s="6" r="I902">
        <v>97</v>
      </c>
      <c t="s" s="6" r="L902">
        <v>6767</v>
      </c>
      <c t="s" s="6" r="M902">
        <v>99</v>
      </c>
      <c s="6" r="N902">
        <v>0</v>
      </c>
      <c s="6" r="O902">
        <v>0</v>
      </c>
      <c t="s" s="6" r="P902">
        <v>221</v>
      </c>
      <c t="s" s="6" r="Q902">
        <v>188</v>
      </c>
      <c t="s" s="6" r="R902">
        <v>6768</v>
      </c>
      <c t="s" s="6" r="S902">
        <v>6769</v>
      </c>
      <c t="s" s="6" r="T902">
        <v>5200</v>
      </c>
      <c t="s" s="6" r="U902">
        <v>6770</v>
      </c>
      <c s="6" r="V902">
        <v>1</v>
      </c>
      <c s="6" r="W902">
        <v>1</v>
      </c>
      <c s="6" r="X902">
        <v>0</v>
      </c>
      <c s="6" r="Y902">
        <v>0</v>
      </c>
      <c s="6" r="Z902">
        <v>0</v>
      </c>
      <c s="6" r="AA902">
        <v>4</v>
      </c>
      <c s="6" r="AB902">
        <v>4</v>
      </c>
      <c t="s" s="6" r="AC902">
        <v>92</v>
      </c>
      <c s="6" r="AD902">
        <v>4</v>
      </c>
      <c t="s" s="6" r="AE902">
        <v>92</v>
      </c>
      <c t="s" s="6" r="AF902">
        <v>92</v>
      </c>
      <c t="s" s="6" r="AG902">
        <v>92</v>
      </c>
      <c t="s" s="6" r="AH902">
        <v>92</v>
      </c>
      <c t="s" s="6" r="AI902">
        <v>92</v>
      </c>
      <c t="s" s="6" r="AJ902">
        <v>92</v>
      </c>
      <c t="s" s="6" r="AK902">
        <v>92</v>
      </c>
      <c t="s" s="6" r="AL902">
        <v>92</v>
      </c>
      <c t="s" s="6" r="AM902">
        <v>92</v>
      </c>
      <c t="s" s="6" r="AN902">
        <v>92</v>
      </c>
      <c s="6" r="AP902">
        <v>4</v>
      </c>
      <c t="s" s="6" r="AR902">
        <v>6771</v>
      </c>
      <c s="6" r="AS902">
        <v>0</v>
      </c>
      <c s="6" r="AT902">
        <v>0</v>
      </c>
      <c s="6" r="AU902">
        <v>0</v>
      </c>
      <c s="6" r="AV902">
        <v>0</v>
      </c>
      <c s="6" r="AW902">
        <v>0</v>
      </c>
      <c s="6" r="AX902">
        <v>0</v>
      </c>
      <c s="6" r="AY902">
        <v>0</v>
      </c>
      <c s="6" r="AZ902">
        <v>0</v>
      </c>
      <c s="6" r="BA902">
        <v>0</v>
      </c>
      <c s="6" r="BB902">
        <v>0</v>
      </c>
      <c s="6" r="BC902">
        <v>0</v>
      </c>
      <c s="6" r="BD902">
        <v>0</v>
      </c>
      <c s="6" r="BE902">
        <v>0</v>
      </c>
      <c s="6" r="BF902">
        <v>0</v>
      </c>
      <c s="6" r="BG902">
        <v>0</v>
      </c>
      <c s="6" r="BH902">
        <v>0</v>
      </c>
      <c s="6" r="BI902">
        <v>0</v>
      </c>
      <c s="6" r="BJ902">
        <v>0</v>
      </c>
      <c s="6" r="BK902">
        <v>0</v>
      </c>
      <c s="6" r="BL902">
        <v>0</v>
      </c>
      <c s="6" r="BM902">
        <v>0</v>
      </c>
      <c s="6" r="BN902">
        <v>0</v>
      </c>
      <c s="6" r="BO902">
        <v>0</v>
      </c>
      <c s="6" r="BP902">
        <v>0</v>
      </c>
      <c s="6" r="BQ902">
        <v>0</v>
      </c>
      <c t="str" s="6" r="BR902">
        <f>HYPERLINK("http://www.d20pfsrd.com/magic/all-spells/t/true-form","True Form")</f>
        <v>True Form</v>
      </c>
      <c s="6" r="BS902">
        <v>915</v>
      </c>
      <c t="s" s="6" r="BT902">
        <v>92</v>
      </c>
      <c t="s" s="6" r="BW902">
        <v>6772</v>
      </c>
      <c t="s" s="6" r="BX902">
        <v>6773</v>
      </c>
      <c s="6" r="BY902">
        <v>1</v>
      </c>
    </row>
    <row customHeight="1" r="903" ht="14.25">
      <c t="s" s="6" r="A903">
        <v>6774</v>
      </c>
      <c t="s" s="6" r="B903">
        <v>78</v>
      </c>
      <c t="s" s="6" r="C903">
        <v>79</v>
      </c>
      <c t="s" s="6" r="D903">
        <v>68</v>
      </c>
      <c t="s" s="6" r="E903">
        <v>3874</v>
      </c>
      <c t="s" s="6" r="F903">
        <v>81</v>
      </c>
      <c t="s" s="6" r="G903">
        <v>106</v>
      </c>
      <c s="6" r="H903">
        <v>0</v>
      </c>
      <c t="s" s="6" r="I903">
        <v>83</v>
      </c>
      <c t="s" s="6" r="K903">
        <v>6775</v>
      </c>
      <c t="s" s="6" r="M903">
        <v>6776</v>
      </c>
      <c s="6" r="N903">
        <v>0</v>
      </c>
      <c s="6" r="O903">
        <v>0</v>
      </c>
      <c t="s" s="6" r="P903">
        <v>141</v>
      </c>
      <c t="s" s="6" r="Q903">
        <v>87</v>
      </c>
      <c t="s" s="6" r="R903">
        <v>6777</v>
      </c>
      <c t="s" s="6" r="S903">
        <v>6778</v>
      </c>
      <c t="s" s="6" r="T903">
        <v>5200</v>
      </c>
      <c t="s" s="6" r="U903">
        <v>6779</v>
      </c>
      <c s="6" r="V903">
        <v>1</v>
      </c>
      <c s="6" r="W903">
        <v>1</v>
      </c>
      <c s="6" r="X903">
        <v>0</v>
      </c>
      <c s="6" r="Y903">
        <v>0</v>
      </c>
      <c s="6" r="Z903">
        <v>0</v>
      </c>
      <c s="6" r="AA903">
        <v>9</v>
      </c>
      <c s="6" r="AB903">
        <v>9</v>
      </c>
      <c t="s" s="6" r="AC903">
        <v>92</v>
      </c>
      <c s="6" r="AD903">
        <v>9</v>
      </c>
      <c t="s" s="6" r="AE903">
        <v>92</v>
      </c>
      <c t="s" s="6" r="AF903">
        <v>92</v>
      </c>
      <c t="s" s="6" r="AG903">
        <v>92</v>
      </c>
      <c t="s" s="6" r="AH903">
        <v>92</v>
      </c>
      <c t="s" s="6" r="AI903">
        <v>92</v>
      </c>
      <c t="s" s="6" r="AJ903">
        <v>92</v>
      </c>
      <c t="s" s="6" r="AK903">
        <v>92</v>
      </c>
      <c t="s" s="6" r="AL903">
        <v>92</v>
      </c>
      <c t="s" s="6" r="AM903">
        <v>92</v>
      </c>
      <c t="s" s="6" r="AN903">
        <v>92</v>
      </c>
      <c s="6" r="AP903">
        <v>9</v>
      </c>
      <c t="s" s="6" r="AQ903">
        <v>4746</v>
      </c>
      <c t="s" s="6" r="AR903">
        <v>6780</v>
      </c>
      <c s="6" r="AS903">
        <v>0</v>
      </c>
      <c s="6" r="AT903">
        <v>0</v>
      </c>
      <c s="6" r="AU903">
        <v>0</v>
      </c>
      <c s="6" r="AV903">
        <v>0</v>
      </c>
      <c s="6" r="AW903">
        <v>0</v>
      </c>
      <c s="6" r="AX903">
        <v>0</v>
      </c>
      <c s="6" r="AY903">
        <v>0</v>
      </c>
      <c s="6" r="AZ903">
        <v>0</v>
      </c>
      <c s="6" r="BA903">
        <v>0</v>
      </c>
      <c s="6" r="BB903">
        <v>0</v>
      </c>
      <c s="6" r="BC903">
        <v>0</v>
      </c>
      <c s="6" r="BD903">
        <v>0</v>
      </c>
      <c s="6" r="BE903">
        <v>0</v>
      </c>
      <c s="6" r="BF903">
        <v>0</v>
      </c>
      <c s="6" r="BG903">
        <v>0</v>
      </c>
      <c s="6" r="BH903">
        <v>0</v>
      </c>
      <c s="6" r="BI903">
        <v>0</v>
      </c>
      <c s="6" r="BJ903">
        <v>0</v>
      </c>
      <c s="6" r="BK903">
        <v>0</v>
      </c>
      <c s="6" r="BL903">
        <v>0</v>
      </c>
      <c s="6" r="BM903">
        <v>0</v>
      </c>
      <c s="6" r="BN903">
        <v>0</v>
      </c>
      <c s="6" r="BO903">
        <v>0</v>
      </c>
      <c s="6" r="BP903">
        <v>0</v>
      </c>
      <c s="6" r="BQ903">
        <v>1</v>
      </c>
      <c t="str" s="6" r="BR903">
        <f>HYPERLINK("http://www.d20pfsrd.com/magic/all-spells/t/tsunami","Tsunami")</f>
        <v>Tsunami</v>
      </c>
      <c s="6" r="BS903">
        <v>916</v>
      </c>
      <c t="s" s="6" r="BT903">
        <v>92</v>
      </c>
      <c t="s" s="6" r="BV903">
        <v>542</v>
      </c>
      <c t="s" s="6" r="BW903">
        <v>6781</v>
      </c>
      <c t="s" s="6" r="BX903">
        <v>6782</v>
      </c>
      <c s="6" r="BY903">
        <v>1</v>
      </c>
    </row>
    <row customHeight="1" r="904" ht="14.25">
      <c t="s" s="6" r="A904">
        <v>6783</v>
      </c>
      <c t="s" s="6" r="B904">
        <v>493</v>
      </c>
      <c t="s" s="6" r="D904">
        <v>58</v>
      </c>
      <c t="s" s="6" r="E904">
        <v>6274</v>
      </c>
      <c t="s" s="6" r="F904">
        <v>81</v>
      </c>
      <c t="s" s="6" r="G904">
        <v>6784</v>
      </c>
      <c s="6" r="H904">
        <v>0</v>
      </c>
      <c t="s" s="6" r="I904">
        <v>107</v>
      </c>
      <c t="s" s="6" r="K904">
        <v>6785</v>
      </c>
      <c t="s" s="6" r="M904">
        <v>483</v>
      </c>
      <c s="6" r="N904">
        <v>1</v>
      </c>
      <c s="6" r="O904">
        <v>0</v>
      </c>
      <c t="s" s="6" r="P904">
        <v>86</v>
      </c>
      <c t="s" s="6" r="Q904">
        <v>188</v>
      </c>
      <c t="s" s="6" r="R904">
        <v>6786</v>
      </c>
      <c t="s" s="6" r="S904">
        <v>6787</v>
      </c>
      <c t="s" s="6" r="T904">
        <v>5200</v>
      </c>
      <c t="s" s="6" r="U904">
        <v>6788</v>
      </c>
      <c s="6" r="V904">
        <v>1</v>
      </c>
      <c s="6" r="W904">
        <v>1</v>
      </c>
      <c s="6" r="X904">
        <v>0</v>
      </c>
      <c s="6" r="Y904">
        <v>0</v>
      </c>
      <c s="6" r="Z904">
        <v>0</v>
      </c>
      <c s="6" r="AA904">
        <v>3</v>
      </c>
      <c s="6" r="AB904">
        <v>3</v>
      </c>
      <c t="s" s="6" r="AC904">
        <v>92</v>
      </c>
      <c t="s" s="6" r="AD904">
        <v>92</v>
      </c>
      <c t="s" s="6" r="AE904">
        <v>92</v>
      </c>
      <c t="s" s="6" r="AF904">
        <v>92</v>
      </c>
      <c t="s" s="6" r="AG904">
        <v>92</v>
      </c>
      <c t="s" s="6" r="AH904">
        <v>92</v>
      </c>
      <c t="s" s="6" r="AI904">
        <v>92</v>
      </c>
      <c s="6" r="AJ904">
        <v>3</v>
      </c>
      <c t="s" s="6" r="AK904">
        <v>92</v>
      </c>
      <c t="s" s="6" r="AL904">
        <v>92</v>
      </c>
      <c t="s" s="6" r="AM904">
        <v>92</v>
      </c>
      <c t="s" s="6" r="AN904">
        <v>92</v>
      </c>
      <c s="6" r="AP904">
        <v>3</v>
      </c>
      <c t="s" s="6" r="AR904">
        <v>6789</v>
      </c>
      <c s="6" r="AS904">
        <v>0</v>
      </c>
      <c s="6" r="AT904">
        <v>0</v>
      </c>
      <c s="6" r="AU904">
        <v>0</v>
      </c>
      <c s="6" r="AV904">
        <v>0</v>
      </c>
      <c s="6" r="AW904">
        <v>0</v>
      </c>
      <c s="6" r="AX904">
        <v>0</v>
      </c>
      <c s="6" r="AY904">
        <v>0</v>
      </c>
      <c s="6" r="AZ904">
        <v>0</v>
      </c>
      <c s="6" r="BA904">
        <v>0</v>
      </c>
      <c s="6" r="BB904">
        <v>0</v>
      </c>
      <c s="6" r="BC904">
        <v>0</v>
      </c>
      <c s="6" r="BD904">
        <v>0</v>
      </c>
      <c s="6" r="BE904">
        <v>0</v>
      </c>
      <c s="6" r="BF904">
        <v>0</v>
      </c>
      <c s="6" r="BG904">
        <v>1</v>
      </c>
      <c s="6" r="BH904">
        <v>0</v>
      </c>
      <c s="6" r="BI904">
        <v>0</v>
      </c>
      <c s="6" r="BJ904">
        <v>0</v>
      </c>
      <c s="6" r="BK904">
        <v>0</v>
      </c>
      <c s="6" r="BL904">
        <v>0</v>
      </c>
      <c s="6" r="BM904">
        <v>0</v>
      </c>
      <c s="6" r="BN904">
        <v>0</v>
      </c>
      <c s="6" r="BO904">
        <v>0</v>
      </c>
      <c s="6" r="BP904">
        <v>0</v>
      </c>
      <c s="6" r="BQ904">
        <v>0</v>
      </c>
      <c t="str" s="6" r="BR904">
        <f>HYPERLINK("http://www.d20pfsrd.com/magic/all-spells/t/twilight-knife","Twilight Knife")</f>
        <v>Twilight Knife</v>
      </c>
      <c s="6" r="BS904">
        <v>917</v>
      </c>
      <c t="s" s="6" r="BT904">
        <v>92</v>
      </c>
      <c t="s" s="6" r="BV904">
        <v>489</v>
      </c>
      <c s="6" r="BY904">
        <v>0</v>
      </c>
    </row>
    <row customHeight="1" r="905" ht="14.25">
      <c t="s" s="6" r="A905">
        <v>6790</v>
      </c>
      <c t="s" s="6" r="B905">
        <v>131</v>
      </c>
      <c t="s" s="6" r="E905">
        <v>6791</v>
      </c>
      <c t="s" s="6" r="F905">
        <v>81</v>
      </c>
      <c t="s" s="6" r="G905">
        <v>6792</v>
      </c>
      <c s="6" r="H905">
        <v>0</v>
      </c>
      <c t="s" s="6" r="I905">
        <v>155</v>
      </c>
      <c t="s" s="6" r="L905">
        <v>156</v>
      </c>
      <c t="s" s="6" r="M905">
        <v>6793</v>
      </c>
      <c s="6" r="N905">
        <v>1</v>
      </c>
      <c s="6" r="O905">
        <v>0</v>
      </c>
      <c t="s" s="6" r="R905">
        <v>6794</v>
      </c>
      <c t="s" s="6" r="S905">
        <v>6795</v>
      </c>
      <c t="s" s="6" r="T905">
        <v>5200</v>
      </c>
      <c t="s" s="6" r="U905">
        <v>6796</v>
      </c>
      <c s="6" r="V905">
        <v>1</v>
      </c>
      <c s="6" r="W905">
        <v>1</v>
      </c>
      <c s="6" r="X905">
        <v>1</v>
      </c>
      <c s="6" r="Y905">
        <v>0</v>
      </c>
      <c s="6" r="Z905">
        <v>0</v>
      </c>
      <c t="s" s="6" r="AA905">
        <v>92</v>
      </c>
      <c t="s" s="6" r="AB905">
        <v>92</v>
      </c>
      <c t="s" s="6" r="AC905">
        <v>92</v>
      </c>
      <c t="s" s="6" r="AD905">
        <v>92</v>
      </c>
      <c t="s" s="6" r="AE905">
        <v>92</v>
      </c>
      <c t="s" s="6" r="AF905">
        <v>92</v>
      </c>
      <c t="s" s="6" r="AG905">
        <v>92</v>
      </c>
      <c s="6" r="AH905">
        <v>6</v>
      </c>
      <c t="s" s="6" r="AI905">
        <v>92</v>
      </c>
      <c t="s" s="6" r="AJ905">
        <v>92</v>
      </c>
      <c t="s" s="6" r="AK905">
        <v>92</v>
      </c>
      <c t="s" s="6" r="AL905">
        <v>92</v>
      </c>
      <c t="s" s="6" r="AM905">
        <v>92</v>
      </c>
      <c t="s" s="6" r="AN905">
        <v>92</v>
      </c>
      <c s="6" r="AP905">
        <v>6</v>
      </c>
      <c t="s" s="6" r="AR905">
        <v>6797</v>
      </c>
      <c s="6" r="AS905">
        <v>0</v>
      </c>
      <c s="6" r="AT905">
        <v>0</v>
      </c>
      <c s="6" r="AU905">
        <v>0</v>
      </c>
      <c s="6" r="AV905">
        <v>0</v>
      </c>
      <c s="6" r="AW905">
        <v>0</v>
      </c>
      <c s="6" r="AX905">
        <v>0</v>
      </c>
      <c s="6" r="AY905">
        <v>0</v>
      </c>
      <c s="6" r="AZ905">
        <v>0</v>
      </c>
      <c s="6" r="BA905">
        <v>0</v>
      </c>
      <c s="6" r="BB905">
        <v>0</v>
      </c>
      <c s="6" r="BC905">
        <v>0</v>
      </c>
      <c s="6" r="BD905">
        <v>0</v>
      </c>
      <c s="6" r="BE905">
        <v>0</v>
      </c>
      <c s="6" r="BF905">
        <v>0</v>
      </c>
      <c s="6" r="BG905">
        <v>0</v>
      </c>
      <c s="6" r="BH905">
        <v>0</v>
      </c>
      <c s="6" r="BI905">
        <v>0</v>
      </c>
      <c s="6" r="BJ905">
        <v>0</v>
      </c>
      <c s="6" r="BK905">
        <v>0</v>
      </c>
      <c s="6" r="BL905">
        <v>0</v>
      </c>
      <c s="6" r="BM905">
        <v>0</v>
      </c>
      <c s="6" r="BN905">
        <v>0</v>
      </c>
      <c s="6" r="BO905">
        <v>0</v>
      </c>
      <c s="6" r="BP905">
        <v>0</v>
      </c>
      <c s="6" r="BQ905">
        <v>0</v>
      </c>
      <c t="str" s="6" r="BR905">
        <f>HYPERLINK("http://www.d20pfsrd.com/magic/all-spells/t/twin-form","Twin Form")</f>
        <v>Twin Form</v>
      </c>
      <c s="6" r="BS905">
        <v>918</v>
      </c>
      <c t="s" s="6" r="BT905">
        <v>92</v>
      </c>
      <c s="6" r="BY905">
        <v>0</v>
      </c>
    </row>
    <row customHeight="1" r="906" ht="14.25">
      <c t="s" s="6" r="A906">
        <v>6798</v>
      </c>
      <c t="s" s="6" r="B906">
        <v>131</v>
      </c>
      <c t="s" s="6" r="E906">
        <v>6383</v>
      </c>
      <c t="s" s="6" r="F906">
        <v>81</v>
      </c>
      <c t="s" s="6" r="G906">
        <v>6799</v>
      </c>
      <c s="6" r="H906">
        <v>0</v>
      </c>
      <c t="s" s="6" r="I906">
        <v>97</v>
      </c>
      <c t="s" s="6" r="L906">
        <v>5802</v>
      </c>
      <c t="s" s="6" r="M906">
        <v>5005</v>
      </c>
      <c s="6" r="N906">
        <v>0</v>
      </c>
      <c s="6" r="O906">
        <v>0</v>
      </c>
      <c t="s" s="6" r="P906">
        <v>421</v>
      </c>
      <c t="s" s="6" r="Q906">
        <v>87</v>
      </c>
      <c t="s" s="6" r="R906">
        <v>6800</v>
      </c>
      <c t="s" s="6" r="S906">
        <v>6801</v>
      </c>
      <c t="s" s="6" r="T906">
        <v>5200</v>
      </c>
      <c t="s" s="6" r="U906">
        <v>6802</v>
      </c>
      <c s="6" r="V906">
        <v>1</v>
      </c>
      <c s="6" r="W906">
        <v>1</v>
      </c>
      <c s="6" r="X906">
        <v>1</v>
      </c>
      <c s="6" r="Y906">
        <v>0</v>
      </c>
      <c s="6" r="Z906">
        <v>0</v>
      </c>
      <c t="s" s="6" r="AA906">
        <v>92</v>
      </c>
      <c t="s" s="6" r="AB906">
        <v>92</v>
      </c>
      <c t="s" s="6" r="AC906">
        <v>92</v>
      </c>
      <c t="s" s="6" r="AD906">
        <v>92</v>
      </c>
      <c t="s" s="6" r="AE906">
        <v>92</v>
      </c>
      <c t="s" s="6" r="AF906">
        <v>92</v>
      </c>
      <c t="s" s="6" r="AG906">
        <v>92</v>
      </c>
      <c t="s" s="6" r="AH906">
        <v>92</v>
      </c>
      <c s="6" r="AI906">
        <v>1</v>
      </c>
      <c t="s" s="6" r="AJ906">
        <v>92</v>
      </c>
      <c t="s" s="6" r="AK906">
        <v>92</v>
      </c>
      <c t="s" s="6" r="AL906">
        <v>92</v>
      </c>
      <c t="s" s="6" r="AM906">
        <v>92</v>
      </c>
      <c t="s" s="6" r="AN906">
        <v>92</v>
      </c>
      <c s="6" r="AP906">
        <v>1</v>
      </c>
      <c t="s" s="6" r="AR906">
        <v>6803</v>
      </c>
      <c s="6" r="AS906">
        <v>0</v>
      </c>
      <c s="6" r="AT906">
        <v>0</v>
      </c>
      <c s="6" r="AU906">
        <v>0</v>
      </c>
      <c s="6" r="AV906">
        <v>0</v>
      </c>
      <c s="6" r="AW906">
        <v>0</v>
      </c>
      <c s="6" r="AX906">
        <v>0</v>
      </c>
      <c s="6" r="AY906">
        <v>0</v>
      </c>
      <c s="6" r="AZ906">
        <v>0</v>
      </c>
      <c s="6" r="BA906">
        <v>0</v>
      </c>
      <c s="6" r="BB906">
        <v>0</v>
      </c>
      <c s="6" r="BC906">
        <v>0</v>
      </c>
      <c s="6" r="BD906">
        <v>0</v>
      </c>
      <c s="6" r="BE906">
        <v>0</v>
      </c>
      <c s="6" r="BF906">
        <v>0</v>
      </c>
      <c s="6" r="BG906">
        <v>0</v>
      </c>
      <c s="6" r="BH906">
        <v>0</v>
      </c>
      <c s="6" r="BI906">
        <v>0</v>
      </c>
      <c s="6" r="BJ906">
        <v>0</v>
      </c>
      <c s="6" r="BK906">
        <v>0</v>
      </c>
      <c s="6" r="BL906">
        <v>0</v>
      </c>
      <c s="6" r="BM906">
        <v>0</v>
      </c>
      <c s="6" r="BN906">
        <v>0</v>
      </c>
      <c s="6" r="BO906">
        <v>0</v>
      </c>
      <c s="6" r="BP906">
        <v>0</v>
      </c>
      <c s="6" r="BQ906">
        <v>0</v>
      </c>
      <c t="str" s="6" r="BR906">
        <f>HYPERLINK("http://www.d20pfsrd.com/magic/all-spells/u/unfett-er","Unfett er")</f>
        <v>Unfett er</v>
      </c>
      <c s="6" r="BS906">
        <v>919</v>
      </c>
      <c t="s" s="6" r="BT906">
        <v>92</v>
      </c>
      <c s="6" r="BY906">
        <v>0</v>
      </c>
    </row>
    <row customHeight="1" r="907" ht="14.25">
      <c t="s" s="6" r="A907">
        <v>6804</v>
      </c>
      <c t="s" s="6" r="B907">
        <v>131</v>
      </c>
      <c t="s" s="6" r="E907">
        <v>6805</v>
      </c>
      <c t="s" s="6" r="F907">
        <v>81</v>
      </c>
      <c t="s" s="6" r="G907">
        <v>6806</v>
      </c>
      <c s="6" r="H907">
        <v>1</v>
      </c>
      <c t="s" s="6" r="I907">
        <v>155</v>
      </c>
      <c t="s" s="6" r="L907">
        <v>156</v>
      </c>
      <c t="s" s="6" r="M907">
        <v>109</v>
      </c>
      <c s="6" r="N907">
        <v>0</v>
      </c>
      <c s="6" r="O907">
        <v>0</v>
      </c>
      <c t="s" s="6" r="R907">
        <v>6807</v>
      </c>
      <c t="s" s="6" r="S907">
        <v>6808</v>
      </c>
      <c t="s" s="6" r="T907">
        <v>5200</v>
      </c>
      <c t="s" s="6" r="U907">
        <v>6809</v>
      </c>
      <c s="6" r="V907">
        <v>1</v>
      </c>
      <c s="6" r="W907">
        <v>1</v>
      </c>
      <c s="6" r="X907">
        <v>1</v>
      </c>
      <c s="6" r="Y907">
        <v>0</v>
      </c>
      <c s="6" r="Z907">
        <v>0</v>
      </c>
      <c t="s" s="6" r="AA907">
        <v>92</v>
      </c>
      <c t="s" s="6" r="AB907">
        <v>92</v>
      </c>
      <c t="s" s="6" r="AC907">
        <v>92</v>
      </c>
      <c t="s" s="6" r="AD907">
        <v>92</v>
      </c>
      <c t="s" s="6" r="AE907">
        <v>92</v>
      </c>
      <c t="s" s="6" r="AF907">
        <v>92</v>
      </c>
      <c t="s" s="6" r="AG907">
        <v>92</v>
      </c>
      <c s="6" r="AH907">
        <v>4</v>
      </c>
      <c t="s" s="6" r="AI907">
        <v>92</v>
      </c>
      <c t="s" s="6" r="AJ907">
        <v>92</v>
      </c>
      <c t="s" s="6" r="AK907">
        <v>92</v>
      </c>
      <c t="s" s="6" r="AL907">
        <v>92</v>
      </c>
      <c t="s" s="6" r="AM907">
        <v>92</v>
      </c>
      <c t="s" s="6" r="AN907">
        <v>92</v>
      </c>
      <c s="6" r="AP907">
        <v>4</v>
      </c>
      <c t="s" s="6" r="AR907">
        <v>6810</v>
      </c>
      <c s="6" r="AS907">
        <v>0</v>
      </c>
      <c s="6" r="AT907">
        <v>0</v>
      </c>
      <c s="6" r="AU907">
        <v>0</v>
      </c>
      <c s="6" r="AV907">
        <v>0</v>
      </c>
      <c s="6" r="AW907">
        <v>0</v>
      </c>
      <c s="6" r="AX907">
        <v>0</v>
      </c>
      <c s="6" r="AY907">
        <v>0</v>
      </c>
      <c s="6" r="AZ907">
        <v>0</v>
      </c>
      <c s="6" r="BA907">
        <v>0</v>
      </c>
      <c s="6" r="BB907">
        <v>0</v>
      </c>
      <c s="6" r="BC907">
        <v>0</v>
      </c>
      <c s="6" r="BD907">
        <v>0</v>
      </c>
      <c s="6" r="BE907">
        <v>0</v>
      </c>
      <c s="6" r="BF907">
        <v>0</v>
      </c>
      <c s="6" r="BG907">
        <v>0</v>
      </c>
      <c s="6" r="BH907">
        <v>0</v>
      </c>
      <c s="6" r="BI907">
        <v>0</v>
      </c>
      <c s="6" r="BJ907">
        <v>0</v>
      </c>
      <c s="6" r="BK907">
        <v>0</v>
      </c>
      <c s="6" r="BL907">
        <v>0</v>
      </c>
      <c s="6" r="BM907">
        <v>0</v>
      </c>
      <c s="6" r="BN907">
        <v>0</v>
      </c>
      <c s="6" r="BO907">
        <v>0</v>
      </c>
      <c s="6" r="BP907">
        <v>0</v>
      </c>
      <c s="6" r="BQ907">
        <v>0</v>
      </c>
      <c t="str" s="6" r="BR907">
        <f>HYPERLINK("http://www.d20pfsrd.com/magic/all-spells/u/universal-formula","Universal Formula")</f>
        <v>Universal Formula</v>
      </c>
      <c s="6" r="BS907">
        <v>920</v>
      </c>
      <c s="6" r="BT907">
        <v>100</v>
      </c>
      <c s="6" r="BY907">
        <v>0</v>
      </c>
    </row>
    <row customHeight="1" r="908" ht="14.25">
      <c t="s" s="6" r="A908">
        <v>6811</v>
      </c>
      <c t="s" s="6" r="B908">
        <v>227</v>
      </c>
      <c t="s" s="6" r="E908">
        <v>6812</v>
      </c>
      <c t="s" s="6" r="F908">
        <v>81</v>
      </c>
      <c t="s" s="6" r="G908">
        <v>6813</v>
      </c>
      <c s="6" r="H908">
        <v>1</v>
      </c>
      <c t="s" s="6" r="I908">
        <v>107</v>
      </c>
      <c t="s" s="6" r="L908">
        <v>1235</v>
      </c>
      <c t="s" s="6" r="M908">
        <v>483</v>
      </c>
      <c s="6" r="N908">
        <v>1</v>
      </c>
      <c s="6" r="O908">
        <v>0</v>
      </c>
      <c t="s" s="6" r="P908">
        <v>221</v>
      </c>
      <c t="s" s="6" r="Q908">
        <v>188</v>
      </c>
      <c t="s" s="6" r="R908">
        <v>6814</v>
      </c>
      <c t="s" s="6" r="S908">
        <v>6815</v>
      </c>
      <c t="s" s="6" r="T908">
        <v>5200</v>
      </c>
      <c t="s" s="6" r="U908">
        <v>6816</v>
      </c>
      <c s="6" r="V908">
        <v>1</v>
      </c>
      <c s="6" r="W908">
        <v>1</v>
      </c>
      <c s="6" r="X908">
        <v>1</v>
      </c>
      <c s="6" r="Y908">
        <v>0</v>
      </c>
      <c s="6" r="Z908">
        <v>0</v>
      </c>
      <c s="6" r="AA908">
        <v>6</v>
      </c>
      <c s="6" r="AB908">
        <v>6</v>
      </c>
      <c t="s" s="6" r="AC908">
        <v>92</v>
      </c>
      <c t="s" s="6" r="AD908">
        <v>92</v>
      </c>
      <c t="s" s="6" r="AE908">
        <v>92</v>
      </c>
      <c s="6" r="AF908">
        <v>5</v>
      </c>
      <c t="s" s="6" r="AG908">
        <v>92</v>
      </c>
      <c t="s" s="6" r="AH908">
        <v>92</v>
      </c>
      <c t="s" s="6" r="AI908">
        <v>92</v>
      </c>
      <c s="6" r="AJ908">
        <v>6</v>
      </c>
      <c s="6" r="AK908">
        <v>5</v>
      </c>
      <c t="s" s="6" r="AL908">
        <v>92</v>
      </c>
      <c t="s" s="6" r="AM908">
        <v>92</v>
      </c>
      <c t="s" s="6" r="AN908">
        <v>92</v>
      </c>
      <c s="6" r="AP908">
        <v>6</v>
      </c>
      <c t="s" s="6" r="AR908">
        <v>6817</v>
      </c>
      <c s="6" r="AS908">
        <v>0</v>
      </c>
      <c s="6" r="AT908">
        <v>0</v>
      </c>
      <c s="6" r="AU908">
        <v>0</v>
      </c>
      <c s="6" r="AV908">
        <v>0</v>
      </c>
      <c s="6" r="AW908">
        <v>0</v>
      </c>
      <c s="6" r="AX908">
        <v>0</v>
      </c>
      <c s="6" r="AY908">
        <v>0</v>
      </c>
      <c s="6" r="AZ908">
        <v>0</v>
      </c>
      <c s="6" r="BA908">
        <v>0</v>
      </c>
      <c s="6" r="BB908">
        <v>0</v>
      </c>
      <c s="6" r="BC908">
        <v>0</v>
      </c>
      <c s="6" r="BD908">
        <v>0</v>
      </c>
      <c s="6" r="BE908">
        <v>0</v>
      </c>
      <c s="6" r="BF908">
        <v>0</v>
      </c>
      <c s="6" r="BG908">
        <v>0</v>
      </c>
      <c s="6" r="BH908">
        <v>0</v>
      </c>
      <c s="6" r="BI908">
        <v>0</v>
      </c>
      <c s="6" r="BJ908">
        <v>0</v>
      </c>
      <c s="6" r="BK908">
        <v>0</v>
      </c>
      <c s="6" r="BL908">
        <v>0</v>
      </c>
      <c s="6" r="BM908">
        <v>0</v>
      </c>
      <c s="6" r="BN908">
        <v>0</v>
      </c>
      <c s="6" r="BO908">
        <v>0</v>
      </c>
      <c s="6" r="BP908">
        <v>0</v>
      </c>
      <c s="6" r="BQ908">
        <v>0</v>
      </c>
      <c t="str" s="6" r="BR908">
        <f>HYPERLINK("http://www.d20pfsrd.com/magic/all-spells/u/unwilling-shield","Unwilling Shield")</f>
        <v>Unwilling Shield</v>
      </c>
      <c s="6" r="BS908">
        <v>921</v>
      </c>
      <c s="6" r="BT908">
        <v>250</v>
      </c>
      <c s="6" r="BY908">
        <v>0</v>
      </c>
    </row>
    <row customHeight="1" r="909" ht="14.25">
      <c t="s" s="6" r="A909">
        <v>6818</v>
      </c>
      <c t="s" s="6" r="B909">
        <v>115</v>
      </c>
      <c t="s" s="6" r="C909">
        <v>729</v>
      </c>
      <c t="s" s="6" r="D909">
        <v>117</v>
      </c>
      <c t="s" s="6" r="E909">
        <v>2694</v>
      </c>
      <c t="s" s="6" r="F909">
        <v>81</v>
      </c>
      <c t="s" s="6" r="G909">
        <v>106</v>
      </c>
      <c s="6" r="H909">
        <v>0</v>
      </c>
      <c t="s" s="6" r="I909">
        <v>107</v>
      </c>
      <c t="s" s="6" r="L909">
        <v>473</v>
      </c>
      <c t="s" s="6" r="M909">
        <v>272</v>
      </c>
      <c s="6" r="N909">
        <v>0</v>
      </c>
      <c s="6" r="O909">
        <v>0</v>
      </c>
      <c t="s" s="6" r="P909">
        <v>221</v>
      </c>
      <c t="s" s="6" r="Q909">
        <v>188</v>
      </c>
      <c t="s" s="6" r="R909">
        <v>6819</v>
      </c>
      <c t="s" s="6" r="S909">
        <v>6820</v>
      </c>
      <c t="s" s="6" r="T909">
        <v>5200</v>
      </c>
      <c t="s" s="6" r="U909">
        <v>6821</v>
      </c>
      <c s="6" r="V909">
        <v>1</v>
      </c>
      <c s="6" r="W909">
        <v>1</v>
      </c>
      <c s="6" r="X909">
        <v>0</v>
      </c>
      <c s="6" r="Y909">
        <v>0</v>
      </c>
      <c s="6" r="Z909">
        <v>0</v>
      </c>
      <c t="s" s="6" r="AA909">
        <v>92</v>
      </c>
      <c t="s" s="6" r="AB909">
        <v>92</v>
      </c>
      <c t="s" s="6" r="AC909">
        <v>92</v>
      </c>
      <c t="s" s="6" r="AD909">
        <v>92</v>
      </c>
      <c t="s" s="6" r="AE909">
        <v>92</v>
      </c>
      <c s="6" r="AF909">
        <v>0</v>
      </c>
      <c t="s" s="6" r="AG909">
        <v>92</v>
      </c>
      <c t="s" s="6" r="AH909">
        <v>92</v>
      </c>
      <c t="s" s="6" r="AI909">
        <v>92</v>
      </c>
      <c t="s" s="6" r="AJ909">
        <v>92</v>
      </c>
      <c t="s" s="6" r="AK909">
        <v>92</v>
      </c>
      <c t="s" s="6" r="AL909">
        <v>92</v>
      </c>
      <c t="s" s="6" r="AM909">
        <v>92</v>
      </c>
      <c t="s" s="6" r="AN909">
        <v>92</v>
      </c>
      <c s="6" r="AP909">
        <v>0</v>
      </c>
      <c t="s" s="6" r="AR909">
        <v>6822</v>
      </c>
      <c s="6" r="AS909">
        <v>0</v>
      </c>
      <c s="6" r="AT909">
        <v>0</v>
      </c>
      <c s="6" r="AU909">
        <v>0</v>
      </c>
      <c s="6" r="AV909">
        <v>0</v>
      </c>
      <c s="6" r="AW909">
        <v>0</v>
      </c>
      <c s="6" r="AX909">
        <v>0</v>
      </c>
      <c s="6" r="AY909">
        <v>0</v>
      </c>
      <c s="6" r="AZ909">
        <v>0</v>
      </c>
      <c s="6" r="BA909">
        <v>0</v>
      </c>
      <c s="6" r="BB909">
        <v>0</v>
      </c>
      <c s="6" r="BC909">
        <v>0</v>
      </c>
      <c s="6" r="BD909">
        <v>0</v>
      </c>
      <c s="6" r="BE909">
        <v>0</v>
      </c>
      <c s="6" r="BF909">
        <v>0</v>
      </c>
      <c s="6" r="BG909">
        <v>0</v>
      </c>
      <c s="6" r="BH909">
        <v>0</v>
      </c>
      <c s="6" r="BI909">
        <v>0</v>
      </c>
      <c s="6" r="BJ909">
        <v>0</v>
      </c>
      <c s="6" r="BK909">
        <v>0</v>
      </c>
      <c s="6" r="BL909">
        <v>1</v>
      </c>
      <c s="6" r="BM909">
        <v>0</v>
      </c>
      <c s="6" r="BN909">
        <v>0</v>
      </c>
      <c s="6" r="BO909">
        <v>0</v>
      </c>
      <c s="6" r="BP909">
        <v>0</v>
      </c>
      <c s="6" r="BQ909">
        <v>0</v>
      </c>
      <c t="str" s="6" r="BR909">
        <f>HYPERLINK("http://www.d20pfsrd.com/magic/all-spells/u/unwitting-ally","Unwitting Ally")</f>
        <v>Unwitting Ally</v>
      </c>
      <c s="6" r="BS909">
        <v>922</v>
      </c>
      <c t="s" s="6" r="BT909">
        <v>92</v>
      </c>
      <c s="6" r="BY909">
        <v>0</v>
      </c>
    </row>
    <row customHeight="1" r="910" ht="14.25">
      <c t="s" s="6" r="A910">
        <v>6823</v>
      </c>
      <c t="s" s="6" r="B910">
        <v>579</v>
      </c>
      <c t="s" s="6" r="C910">
        <v>580</v>
      </c>
      <c t="s" s="6" r="E910">
        <v>3970</v>
      </c>
      <c t="s" s="6" r="F910">
        <v>81</v>
      </c>
      <c t="s" s="6" r="G910">
        <v>106</v>
      </c>
      <c s="6" r="H910">
        <v>0</v>
      </c>
      <c t="s" s="6" r="I910">
        <v>120</v>
      </c>
      <c t="s" s="6" r="L910">
        <v>420</v>
      </c>
      <c t="s" s="6" r="M910">
        <v>6824</v>
      </c>
      <c s="6" r="N910">
        <v>1</v>
      </c>
      <c s="6" r="O910">
        <v>0</v>
      </c>
      <c t="s" s="6" r="P910">
        <v>421</v>
      </c>
      <c t="s" s="6" r="Q910">
        <v>123</v>
      </c>
      <c t="s" s="6" r="R910">
        <v>6825</v>
      </c>
      <c t="s" s="6" r="S910">
        <v>6826</v>
      </c>
      <c t="s" s="6" r="T910">
        <v>5200</v>
      </c>
      <c t="s" s="6" r="U910">
        <v>6827</v>
      </c>
      <c s="6" r="V910">
        <v>1</v>
      </c>
      <c s="6" r="W910">
        <v>1</v>
      </c>
      <c s="6" r="X910">
        <v>0</v>
      </c>
      <c s="6" r="Y910">
        <v>0</v>
      </c>
      <c s="6" r="Z910">
        <v>0</v>
      </c>
      <c s="6" r="AA910">
        <v>1</v>
      </c>
      <c s="6" r="AB910">
        <v>1</v>
      </c>
      <c t="s" s="6" r="AC910">
        <v>92</v>
      </c>
      <c t="s" s="6" r="AD910">
        <v>92</v>
      </c>
      <c t="s" s="6" r="AE910">
        <v>92</v>
      </c>
      <c s="6" r="AF910">
        <v>1</v>
      </c>
      <c t="s" s="6" r="AG910">
        <v>92</v>
      </c>
      <c t="s" s="6" r="AH910">
        <v>92</v>
      </c>
      <c t="s" s="6" r="AI910">
        <v>92</v>
      </c>
      <c t="s" s="6" r="AJ910">
        <v>92</v>
      </c>
      <c t="s" s="6" r="AK910">
        <v>92</v>
      </c>
      <c t="s" s="6" r="AL910">
        <v>92</v>
      </c>
      <c t="s" s="6" r="AM910">
        <v>92</v>
      </c>
      <c s="6" r="AN910">
        <v>1</v>
      </c>
      <c s="6" r="AP910">
        <v>1</v>
      </c>
      <c t="s" s="6" r="AR910">
        <v>6828</v>
      </c>
      <c s="6" r="AS910">
        <v>0</v>
      </c>
      <c s="6" r="AT910">
        <v>0</v>
      </c>
      <c s="6" r="AU910">
        <v>0</v>
      </c>
      <c s="6" r="AV910">
        <v>0</v>
      </c>
      <c s="6" r="AW910">
        <v>0</v>
      </c>
      <c s="6" r="AX910">
        <v>0</v>
      </c>
      <c s="6" r="AY910">
        <v>0</v>
      </c>
      <c s="6" r="AZ910">
        <v>0</v>
      </c>
      <c s="6" r="BA910">
        <v>0</v>
      </c>
      <c s="6" r="BB910">
        <v>0</v>
      </c>
      <c s="6" r="BC910">
        <v>0</v>
      </c>
      <c s="6" r="BD910">
        <v>0</v>
      </c>
      <c s="6" r="BE910">
        <v>0</v>
      </c>
      <c s="6" r="BF910">
        <v>0</v>
      </c>
      <c s="6" r="BG910">
        <v>0</v>
      </c>
      <c s="6" r="BH910">
        <v>0</v>
      </c>
      <c s="6" r="BI910">
        <v>0</v>
      </c>
      <c s="6" r="BJ910">
        <v>0</v>
      </c>
      <c s="6" r="BK910">
        <v>0</v>
      </c>
      <c s="6" r="BL910">
        <v>0</v>
      </c>
      <c s="6" r="BM910">
        <v>0</v>
      </c>
      <c s="6" r="BN910">
        <v>0</v>
      </c>
      <c s="6" r="BO910">
        <v>0</v>
      </c>
      <c s="6" r="BP910">
        <v>0</v>
      </c>
      <c s="6" r="BQ910">
        <v>0</v>
      </c>
      <c t="str" s="6" r="BR910">
        <f>HYPERLINK("http://www.d20pfsrd.com/magic/all-spells/v/vanish","Vanish")</f>
        <v>Vanish</v>
      </c>
      <c s="6" r="BS910">
        <v>923</v>
      </c>
      <c t="s" s="6" r="BT910">
        <v>92</v>
      </c>
      <c s="6" r="BY910">
        <v>0</v>
      </c>
    </row>
    <row customHeight="1" r="911" ht="14.25">
      <c t="s" s="6" r="A911">
        <v>6829</v>
      </c>
      <c t="s" s="6" r="B911">
        <v>162</v>
      </c>
      <c t="s" s="6" r="D911">
        <v>59</v>
      </c>
      <c t="s" s="6" r="E911">
        <v>544</v>
      </c>
      <c t="s" s="6" r="F911">
        <v>81</v>
      </c>
      <c t="s" s="6" r="G911">
        <v>119</v>
      </c>
      <c s="6" r="H911">
        <v>0</v>
      </c>
      <c t="s" s="6" r="I911">
        <v>6830</v>
      </c>
      <c t="s" s="6" r="L911">
        <v>6831</v>
      </c>
      <c t="s" s="6" r="M911">
        <v>5954</v>
      </c>
      <c s="6" r="N911">
        <v>1</v>
      </c>
      <c s="6" r="O911">
        <v>0</v>
      </c>
      <c t="s" s="6" r="R911">
        <v>6832</v>
      </c>
      <c t="s" s="6" r="S911">
        <v>6833</v>
      </c>
      <c t="s" s="6" r="T911">
        <v>5200</v>
      </c>
      <c t="s" s="6" r="U911">
        <v>6834</v>
      </c>
      <c s="6" r="V911">
        <v>1</v>
      </c>
      <c s="6" r="W911">
        <v>1</v>
      </c>
      <c s="6" r="X911">
        <v>0</v>
      </c>
      <c s="6" r="Y911">
        <v>0</v>
      </c>
      <c s="6" r="Z911">
        <v>1</v>
      </c>
      <c t="s" s="6" r="AA911">
        <v>92</v>
      </c>
      <c t="s" s="6" r="AB911">
        <v>92</v>
      </c>
      <c t="s" s="6" r="AC911">
        <v>92</v>
      </c>
      <c t="s" s="6" r="AD911">
        <v>92</v>
      </c>
      <c t="s" s="6" r="AE911">
        <v>92</v>
      </c>
      <c t="s" s="6" r="AF911">
        <v>92</v>
      </c>
      <c s="6" r="AG911">
        <v>1</v>
      </c>
      <c t="s" s="6" r="AH911">
        <v>92</v>
      </c>
      <c t="s" s="6" r="AI911">
        <v>92</v>
      </c>
      <c t="s" s="6" r="AJ911">
        <v>92</v>
      </c>
      <c t="s" s="6" r="AK911">
        <v>92</v>
      </c>
      <c t="s" s="6" r="AL911">
        <v>92</v>
      </c>
      <c t="s" s="6" r="AM911">
        <v>92</v>
      </c>
      <c t="s" s="6" r="AN911">
        <v>92</v>
      </c>
      <c s="6" r="AP911">
        <v>1</v>
      </c>
      <c t="s" s="6" r="AR911">
        <v>6835</v>
      </c>
      <c s="6" r="AS911">
        <v>0</v>
      </c>
      <c s="6" r="AT911">
        <v>0</v>
      </c>
      <c s="6" r="AU911">
        <v>0</v>
      </c>
      <c s="6" r="AV911">
        <v>0</v>
      </c>
      <c s="6" r="AW911">
        <v>0</v>
      </c>
      <c s="6" r="AX911">
        <v>0</v>
      </c>
      <c s="6" r="AY911">
        <v>0</v>
      </c>
      <c s="6" r="AZ911">
        <v>0</v>
      </c>
      <c s="6" r="BA911">
        <v>0</v>
      </c>
      <c s="6" r="BB911">
        <v>0</v>
      </c>
      <c s="6" r="BC911">
        <v>0</v>
      </c>
      <c s="6" r="BD911">
        <v>0</v>
      </c>
      <c s="6" r="BE911">
        <v>0</v>
      </c>
      <c s="6" r="BF911">
        <v>0</v>
      </c>
      <c s="6" r="BG911">
        <v>0</v>
      </c>
      <c s="6" r="BH911">
        <v>1</v>
      </c>
      <c s="6" r="BI911">
        <v>0</v>
      </c>
      <c s="6" r="BJ911">
        <v>0</v>
      </c>
      <c s="6" r="BK911">
        <v>0</v>
      </c>
      <c s="6" r="BL911">
        <v>0</v>
      </c>
      <c s="6" r="BM911">
        <v>0</v>
      </c>
      <c s="6" r="BN911">
        <v>0</v>
      </c>
      <c s="6" r="BO911">
        <v>0</v>
      </c>
      <c s="6" r="BP911">
        <v>0</v>
      </c>
      <c s="6" r="BQ911">
        <v>0</v>
      </c>
      <c t="str" s="6" r="BR911">
        <f>HYPERLINK("http://www.d20pfsrd.com/magic/all-spells/v/veil-of-positive-energy","Veil of Positive Energy")</f>
        <v>Veil of Positive Energy</v>
      </c>
      <c s="6" r="BS911">
        <v>924</v>
      </c>
      <c t="s" s="6" r="BT911">
        <v>92</v>
      </c>
      <c s="6" r="BY911">
        <v>0</v>
      </c>
    </row>
    <row customHeight="1" r="912" ht="14.25">
      <c t="s" s="6" r="A912">
        <v>6836</v>
      </c>
      <c t="s" s="6" r="B912">
        <v>227</v>
      </c>
      <c t="s" s="6" r="D912">
        <v>65</v>
      </c>
      <c t="s" s="6" r="E912">
        <v>6135</v>
      </c>
      <c t="s" s="6" r="F912">
        <v>5881</v>
      </c>
      <c t="s" s="6" r="G912">
        <v>106</v>
      </c>
      <c s="6" r="H912">
        <v>0</v>
      </c>
      <c t="s" s="6" r="I912">
        <v>813</v>
      </c>
      <c t="s" s="6" r="L912">
        <v>6837</v>
      </c>
      <c t="s" s="6" r="M912">
        <v>109</v>
      </c>
      <c s="6" r="N912">
        <v>0</v>
      </c>
      <c s="6" r="O912">
        <v>0</v>
      </c>
      <c t="s" s="6" r="P912">
        <v>3271</v>
      </c>
      <c t="s" s="6" r="Q912">
        <v>188</v>
      </c>
      <c t="s" s="6" r="R912">
        <v>6838</v>
      </c>
      <c t="s" s="6" r="S912">
        <v>6839</v>
      </c>
      <c t="s" s="6" r="T912">
        <v>5200</v>
      </c>
      <c t="s" s="6" r="U912">
        <v>6840</v>
      </c>
      <c s="6" r="V912">
        <v>1</v>
      </c>
      <c s="6" r="W912">
        <v>1</v>
      </c>
      <c s="6" r="X912">
        <v>0</v>
      </c>
      <c s="6" r="Y912">
        <v>0</v>
      </c>
      <c s="6" r="Z912">
        <v>0</v>
      </c>
      <c t="s" s="6" r="AA912">
        <v>92</v>
      </c>
      <c t="s" s="6" r="AB912">
        <v>92</v>
      </c>
      <c t="s" s="6" r="AC912">
        <v>92</v>
      </c>
      <c t="s" s="6" r="AD912">
        <v>92</v>
      </c>
      <c s="6" r="AE912">
        <v>3</v>
      </c>
      <c t="s" s="6" r="AF912">
        <v>92</v>
      </c>
      <c t="s" s="6" r="AG912">
        <v>92</v>
      </c>
      <c t="s" s="6" r="AH912">
        <v>92</v>
      </c>
      <c t="s" s="6" r="AI912">
        <v>92</v>
      </c>
      <c t="s" s="6" r="AJ912">
        <v>92</v>
      </c>
      <c t="s" s="6" r="AK912">
        <v>92</v>
      </c>
      <c t="s" s="6" r="AL912">
        <v>92</v>
      </c>
      <c t="s" s="6" r="AM912">
        <v>92</v>
      </c>
      <c t="s" s="6" r="AN912">
        <v>92</v>
      </c>
      <c s="6" r="AP912">
        <v>3</v>
      </c>
      <c t="s" s="6" r="AR912">
        <v>6841</v>
      </c>
      <c s="6" r="AS912">
        <v>0</v>
      </c>
      <c s="6" r="AT912">
        <v>0</v>
      </c>
      <c s="6" r="AU912">
        <v>0</v>
      </c>
      <c s="6" r="AV912">
        <v>0</v>
      </c>
      <c s="6" r="AW912">
        <v>0</v>
      </c>
      <c s="6" r="AX912">
        <v>0</v>
      </c>
      <c s="6" r="AY912">
        <v>0</v>
      </c>
      <c s="6" r="AZ912">
        <v>0</v>
      </c>
      <c s="6" r="BA912">
        <v>0</v>
      </c>
      <c s="6" r="BB912">
        <v>0</v>
      </c>
      <c s="6" r="BC912">
        <v>0</v>
      </c>
      <c s="6" r="BD912">
        <v>0</v>
      </c>
      <c s="6" r="BE912">
        <v>0</v>
      </c>
      <c s="6" r="BF912">
        <v>0</v>
      </c>
      <c s="6" r="BG912">
        <v>0</v>
      </c>
      <c s="6" r="BH912">
        <v>0</v>
      </c>
      <c s="6" r="BI912">
        <v>0</v>
      </c>
      <c s="6" r="BJ912">
        <v>0</v>
      </c>
      <c s="6" r="BK912">
        <v>0</v>
      </c>
      <c s="6" r="BL912">
        <v>0</v>
      </c>
      <c s="6" r="BM912">
        <v>0</v>
      </c>
      <c s="6" r="BN912">
        <v>1</v>
      </c>
      <c s="6" r="BO912">
        <v>0</v>
      </c>
      <c s="6" r="BP912">
        <v>0</v>
      </c>
      <c s="6" r="BQ912">
        <v>0</v>
      </c>
      <c t="str" s="6" r="BR912">
        <f>HYPERLINK("http://www.d20pfsrd.com/magic/all-spells/v/venomous-bolt","Venomous Bolt")</f>
        <v>Venomous Bolt</v>
      </c>
      <c s="6" r="BS912">
        <v>925</v>
      </c>
      <c t="s" s="6" r="BT912">
        <v>92</v>
      </c>
      <c s="6" r="BY912">
        <v>0</v>
      </c>
    </row>
    <row customHeight="1" r="913" ht="14.25">
      <c t="s" s="6" r="A913">
        <v>6842</v>
      </c>
      <c t="s" s="6" r="B913">
        <v>131</v>
      </c>
      <c t="s" s="6" r="E913">
        <v>6843</v>
      </c>
      <c t="s" s="6" r="F913">
        <v>81</v>
      </c>
      <c t="s" s="6" r="G913">
        <v>5020</v>
      </c>
      <c s="6" r="H913">
        <v>0</v>
      </c>
      <c t="s" s="6" r="I913">
        <v>107</v>
      </c>
      <c t="s" s="6" r="L913">
        <v>2600</v>
      </c>
      <c t="s" s="6" r="M913">
        <v>2718</v>
      </c>
      <c s="6" r="N913">
        <v>0</v>
      </c>
      <c s="6" r="O913">
        <v>0</v>
      </c>
      <c t="s" s="6" r="P913">
        <v>144</v>
      </c>
      <c t="s" s="6" r="Q913">
        <v>145</v>
      </c>
      <c t="s" s="6" r="R913">
        <v>6844</v>
      </c>
      <c t="s" s="6" r="S913">
        <v>6845</v>
      </c>
      <c t="s" s="6" r="T913">
        <v>5200</v>
      </c>
      <c t="s" s="6" r="U913">
        <v>6846</v>
      </c>
      <c s="6" r="V913">
        <v>1</v>
      </c>
      <c s="6" r="W913">
        <v>1</v>
      </c>
      <c s="6" r="X913">
        <v>1</v>
      </c>
      <c s="6" r="Y913">
        <v>0</v>
      </c>
      <c s="6" r="Z913">
        <v>0</v>
      </c>
      <c s="6" r="AA913">
        <v>3</v>
      </c>
      <c s="6" r="AB913">
        <v>3</v>
      </c>
      <c t="s" s="6" r="AC913">
        <v>92</v>
      </c>
      <c t="s" s="6" r="AD913">
        <v>92</v>
      </c>
      <c s="6" r="AE913">
        <v>2</v>
      </c>
      <c s="6" r="AF913">
        <v>2</v>
      </c>
      <c t="s" s="6" r="AG913">
        <v>92</v>
      </c>
      <c t="s" s="6" r="AH913">
        <v>92</v>
      </c>
      <c t="s" s="6" r="AI913">
        <v>92</v>
      </c>
      <c t="s" s="6" r="AJ913">
        <v>92</v>
      </c>
      <c t="s" s="6" r="AK913">
        <v>92</v>
      </c>
      <c t="s" s="6" r="AL913">
        <v>92</v>
      </c>
      <c t="s" s="6" r="AM913">
        <v>92</v>
      </c>
      <c s="6" r="AN913">
        <v>3</v>
      </c>
      <c s="6" r="AP913">
        <v>3</v>
      </c>
      <c t="s" s="6" r="AR913">
        <v>6847</v>
      </c>
      <c s="6" r="AS913">
        <v>0</v>
      </c>
      <c s="6" r="AT913">
        <v>0</v>
      </c>
      <c s="6" r="AU913">
        <v>0</v>
      </c>
      <c s="6" r="AV913">
        <v>0</v>
      </c>
      <c s="6" r="AW913">
        <v>0</v>
      </c>
      <c s="6" r="AX913">
        <v>0</v>
      </c>
      <c s="6" r="AY913">
        <v>0</v>
      </c>
      <c s="6" r="AZ913">
        <v>0</v>
      </c>
      <c s="6" r="BA913">
        <v>0</v>
      </c>
      <c s="6" r="BB913">
        <v>0</v>
      </c>
      <c s="6" r="BC913">
        <v>0</v>
      </c>
      <c s="6" r="BD913">
        <v>0</v>
      </c>
      <c s="6" r="BE913">
        <v>0</v>
      </c>
      <c s="6" r="BF913">
        <v>0</v>
      </c>
      <c s="6" r="BG913">
        <v>0</v>
      </c>
      <c s="6" r="BH913">
        <v>0</v>
      </c>
      <c s="6" r="BI913">
        <v>0</v>
      </c>
      <c s="6" r="BJ913">
        <v>0</v>
      </c>
      <c s="6" r="BK913">
        <v>0</v>
      </c>
      <c s="6" r="BL913">
        <v>0</v>
      </c>
      <c s="6" r="BM913">
        <v>0</v>
      </c>
      <c s="6" r="BN913">
        <v>0</v>
      </c>
      <c s="6" r="BO913">
        <v>0</v>
      </c>
      <c s="6" r="BP913">
        <v>0</v>
      </c>
      <c s="6" r="BQ913">
        <v>0</v>
      </c>
      <c t="str" s="6" r="BR913">
        <f>HYPERLINK("http://www.d20pfsrd.com/magic/all-spells/v/versatile-weapon","Versatile Weapon")</f>
        <v>Versatile Weapon</v>
      </c>
      <c s="6" r="BS913">
        <v>926</v>
      </c>
      <c t="s" s="6" r="BT913">
        <v>92</v>
      </c>
      <c s="6" r="BY913">
        <v>0</v>
      </c>
    </row>
    <row customHeight="1" r="914" ht="14.25">
      <c t="s" s="6" r="A914">
        <v>6848</v>
      </c>
      <c t="s" s="6" r="B914">
        <v>78</v>
      </c>
      <c t="s" s="6" r="C914">
        <v>1042</v>
      </c>
      <c t="s" s="6" r="E914">
        <v>6849</v>
      </c>
      <c t="s" s="6" r="F914">
        <v>81</v>
      </c>
      <c t="s" s="6" r="G914">
        <v>2086</v>
      </c>
      <c s="6" r="H914">
        <v>0</v>
      </c>
      <c t="s" s="6" r="I914">
        <v>155</v>
      </c>
      <c t="s" s="6" r="K914">
        <v>6850</v>
      </c>
      <c t="s" s="6" r="M914">
        <v>99</v>
      </c>
      <c s="6" r="N914">
        <v>0</v>
      </c>
      <c s="6" r="O914">
        <v>0</v>
      </c>
      <c t="s" s="6" r="R914">
        <v>6851</v>
      </c>
      <c t="s" s="6" r="S914">
        <v>6852</v>
      </c>
      <c t="s" s="6" r="T914">
        <v>5200</v>
      </c>
      <c t="s" s="6" r="U914">
        <v>6853</v>
      </c>
      <c s="6" r="V914">
        <v>0</v>
      </c>
      <c s="6" r="W914">
        <v>1</v>
      </c>
      <c s="6" r="X914">
        <v>0</v>
      </c>
      <c s="6" r="Y914">
        <v>0</v>
      </c>
      <c s="6" r="Z914">
        <v>0</v>
      </c>
      <c t="s" s="6" r="AA914">
        <v>92</v>
      </c>
      <c t="s" s="6" r="AB914">
        <v>92</v>
      </c>
      <c t="s" s="6" r="AC914">
        <v>92</v>
      </c>
      <c t="s" s="6" r="AD914">
        <v>92</v>
      </c>
      <c t="s" s="6" r="AE914">
        <v>92</v>
      </c>
      <c t="s" s="6" r="AF914">
        <v>92</v>
      </c>
      <c t="s" s="6" r="AG914">
        <v>92</v>
      </c>
      <c s="6" r="AH914">
        <v>2</v>
      </c>
      <c t="s" s="6" r="AI914">
        <v>92</v>
      </c>
      <c s="6" r="AJ914">
        <v>2</v>
      </c>
      <c t="s" s="6" r="AK914">
        <v>92</v>
      </c>
      <c t="s" s="6" r="AL914">
        <v>92</v>
      </c>
      <c t="s" s="6" r="AM914">
        <v>92</v>
      </c>
      <c t="s" s="6" r="AN914">
        <v>92</v>
      </c>
      <c s="6" r="AP914">
        <v>2</v>
      </c>
      <c t="s" s="6" r="AR914">
        <v>6854</v>
      </c>
      <c s="6" r="AS914">
        <v>0</v>
      </c>
      <c s="6" r="AT914">
        <v>0</v>
      </c>
      <c s="6" r="AU914">
        <v>0</v>
      </c>
      <c s="6" r="AV914">
        <v>0</v>
      </c>
      <c s="6" r="AW914">
        <v>0</v>
      </c>
      <c s="6" r="AX914">
        <v>0</v>
      </c>
      <c s="6" r="AY914">
        <v>0</v>
      </c>
      <c s="6" r="AZ914">
        <v>0</v>
      </c>
      <c s="6" r="BA914">
        <v>0</v>
      </c>
      <c s="6" r="BB914">
        <v>0</v>
      </c>
      <c s="6" r="BC914">
        <v>0</v>
      </c>
      <c s="6" r="BD914">
        <v>0</v>
      </c>
      <c s="6" r="BE914">
        <v>0</v>
      </c>
      <c s="6" r="BF914">
        <v>0</v>
      </c>
      <c s="6" r="BG914">
        <v>0</v>
      </c>
      <c s="6" r="BH914">
        <v>0</v>
      </c>
      <c s="6" r="BI914">
        <v>0</v>
      </c>
      <c s="6" r="BJ914">
        <v>0</v>
      </c>
      <c s="6" r="BK914">
        <v>0</v>
      </c>
      <c s="6" r="BL914">
        <v>0</v>
      </c>
      <c s="6" r="BM914">
        <v>0</v>
      </c>
      <c s="6" r="BN914">
        <v>0</v>
      </c>
      <c s="6" r="BO914">
        <v>0</v>
      </c>
      <c s="6" r="BP914">
        <v>0</v>
      </c>
      <c s="6" r="BQ914">
        <v>0</v>
      </c>
      <c t="str" s="6" r="BR914">
        <f>HYPERLINK("http://www.d20pfsrd.com/magic/all-spells/v/vomit-swarm","Vomit Swarm")</f>
        <v>Vomit Swarm</v>
      </c>
      <c s="6" r="BS914">
        <v>927</v>
      </c>
      <c t="s" s="6" r="BT914">
        <v>92</v>
      </c>
      <c s="6" r="BY914">
        <v>0</v>
      </c>
    </row>
    <row customHeight="1" r="915" ht="14.25">
      <c t="s" s="6" r="A915">
        <v>6855</v>
      </c>
      <c t="s" s="6" r="B915">
        <v>493</v>
      </c>
      <c t="s" s="6" r="D915">
        <v>68</v>
      </c>
      <c t="s" s="6" r="E915">
        <v>6375</v>
      </c>
      <c t="s" s="6" r="F915">
        <v>81</v>
      </c>
      <c t="s" s="6" r="G915">
        <v>6856</v>
      </c>
      <c s="6" r="H915">
        <v>0</v>
      </c>
      <c t="s" s="6" r="I915">
        <v>83</v>
      </c>
      <c t="s" s="6" r="K915">
        <v>6857</v>
      </c>
      <c t="s" s="6" r="M915">
        <v>483</v>
      </c>
      <c s="6" r="N915">
        <v>1</v>
      </c>
      <c s="6" r="O915">
        <v>0</v>
      </c>
      <c t="s" s="6" r="P915">
        <v>6858</v>
      </c>
      <c t="s" s="6" r="Q915">
        <v>188</v>
      </c>
      <c t="s" s="6" r="R915">
        <v>6859</v>
      </c>
      <c t="s" s="6" r="S915">
        <v>6860</v>
      </c>
      <c t="s" s="6" r="T915">
        <v>5200</v>
      </c>
      <c t="s" s="6" r="U915">
        <v>6861</v>
      </c>
      <c s="6" r="V915">
        <v>1</v>
      </c>
      <c s="6" r="W915">
        <v>1</v>
      </c>
      <c s="6" r="X915">
        <v>1</v>
      </c>
      <c s="6" r="Y915">
        <v>0</v>
      </c>
      <c s="6" r="Z915">
        <v>1</v>
      </c>
      <c s="6" r="AA915">
        <v>7</v>
      </c>
      <c s="6" r="AB915">
        <v>7</v>
      </c>
      <c t="s" s="6" r="AC915">
        <v>92</v>
      </c>
      <c s="6" r="AD915">
        <v>7</v>
      </c>
      <c t="s" s="6" r="AE915">
        <v>92</v>
      </c>
      <c t="s" s="6" r="AF915">
        <v>92</v>
      </c>
      <c t="s" s="6" r="AG915">
        <v>92</v>
      </c>
      <c t="s" s="6" r="AH915">
        <v>92</v>
      </c>
      <c t="s" s="6" r="AI915">
        <v>92</v>
      </c>
      <c t="s" s="6" r="AJ915">
        <v>92</v>
      </c>
      <c t="s" s="6" r="AK915">
        <v>92</v>
      </c>
      <c t="s" s="6" r="AL915">
        <v>92</v>
      </c>
      <c t="s" s="6" r="AM915">
        <v>92</v>
      </c>
      <c t="s" s="6" r="AN915">
        <v>92</v>
      </c>
      <c s="6" r="AP915">
        <v>7</v>
      </c>
      <c t="s" s="6" r="AR915">
        <v>6862</v>
      </c>
      <c s="6" r="AS915">
        <v>0</v>
      </c>
      <c s="6" r="AT915">
        <v>0</v>
      </c>
      <c s="6" r="AU915">
        <v>0</v>
      </c>
      <c s="6" r="AV915">
        <v>0</v>
      </c>
      <c s="6" r="AW915">
        <v>0</v>
      </c>
      <c s="6" r="AX915">
        <v>0</v>
      </c>
      <c s="6" r="AY915">
        <v>0</v>
      </c>
      <c s="6" r="AZ915">
        <v>0</v>
      </c>
      <c s="6" r="BA915">
        <v>0</v>
      </c>
      <c s="6" r="BB915">
        <v>0</v>
      </c>
      <c s="6" r="BC915">
        <v>0</v>
      </c>
      <c s="6" r="BD915">
        <v>0</v>
      </c>
      <c s="6" r="BE915">
        <v>0</v>
      </c>
      <c s="6" r="BF915">
        <v>0</v>
      </c>
      <c s="6" r="BG915">
        <v>0</v>
      </c>
      <c s="6" r="BH915">
        <v>0</v>
      </c>
      <c s="6" r="BI915">
        <v>0</v>
      </c>
      <c s="6" r="BJ915">
        <v>0</v>
      </c>
      <c s="6" r="BK915">
        <v>0</v>
      </c>
      <c s="6" r="BL915">
        <v>0</v>
      </c>
      <c s="6" r="BM915">
        <v>0</v>
      </c>
      <c s="6" r="BN915">
        <v>0</v>
      </c>
      <c s="6" r="BO915">
        <v>0</v>
      </c>
      <c s="6" r="BP915">
        <v>0</v>
      </c>
      <c s="6" r="BQ915">
        <v>1</v>
      </c>
      <c t="str" s="6" r="BR915">
        <f>HYPERLINK("http://www.d20pfsrd.com/magic/all-spells/v/vortex","Vortex")</f>
        <v>Vortex</v>
      </c>
      <c s="6" r="BS915">
        <v>928</v>
      </c>
      <c t="s" s="6" r="BT915">
        <v>92</v>
      </c>
      <c t="s" s="6" r="BV915">
        <v>1816</v>
      </c>
      <c s="6" r="BY915">
        <v>0</v>
      </c>
    </row>
    <row customHeight="1" r="916" ht="14.25">
      <c t="s" s="6" r="A916">
        <v>6863</v>
      </c>
      <c t="s" s="6" r="B916">
        <v>493</v>
      </c>
      <c t="s" s="6" r="D916">
        <v>59</v>
      </c>
      <c t="s" s="6" r="E916">
        <v>5295</v>
      </c>
      <c t="s" s="6" r="F916">
        <v>81</v>
      </c>
      <c t="s" s="6" r="G916">
        <v>119</v>
      </c>
      <c s="6" r="H916">
        <v>0</v>
      </c>
      <c t="s" s="6" r="I916">
        <v>2644</v>
      </c>
      <c t="s" s="6" r="K916">
        <v>6864</v>
      </c>
      <c t="s" s="6" r="M916">
        <v>99</v>
      </c>
      <c s="6" r="N916">
        <v>0</v>
      </c>
      <c s="6" r="O916">
        <v>0</v>
      </c>
      <c t="s" s="6" r="P916">
        <v>86</v>
      </c>
      <c t="s" s="6" r="Q916">
        <v>188</v>
      </c>
      <c t="s" s="6" r="R916">
        <v>6865</v>
      </c>
      <c t="s" s="6" r="S916">
        <v>6866</v>
      </c>
      <c t="s" s="6" r="T916">
        <v>5200</v>
      </c>
      <c t="s" s="6" r="U916">
        <v>6867</v>
      </c>
      <c s="6" r="V916">
        <v>1</v>
      </c>
      <c s="6" r="W916">
        <v>1</v>
      </c>
      <c s="6" r="X916">
        <v>0</v>
      </c>
      <c s="6" r="Y916">
        <v>0</v>
      </c>
      <c s="6" r="Z916">
        <v>1</v>
      </c>
      <c t="s" s="6" r="AA916">
        <v>92</v>
      </c>
      <c t="s" s="6" r="AB916">
        <v>92</v>
      </c>
      <c t="s" s="6" r="AC916">
        <v>92</v>
      </c>
      <c t="s" s="6" r="AD916">
        <v>92</v>
      </c>
      <c t="s" s="6" r="AE916">
        <v>92</v>
      </c>
      <c t="s" s="6" r="AF916">
        <v>92</v>
      </c>
      <c s="6" r="AG916">
        <v>2</v>
      </c>
      <c t="s" s="6" r="AH916">
        <v>92</v>
      </c>
      <c t="s" s="6" r="AI916">
        <v>92</v>
      </c>
      <c t="s" s="6" r="AJ916">
        <v>92</v>
      </c>
      <c t="s" s="6" r="AK916">
        <v>92</v>
      </c>
      <c t="s" s="6" r="AL916">
        <v>92</v>
      </c>
      <c t="s" s="6" r="AM916">
        <v>92</v>
      </c>
      <c t="s" s="6" r="AN916">
        <v>92</v>
      </c>
      <c s="6" r="AP916">
        <v>2</v>
      </c>
      <c t="s" s="6" r="AR916">
        <v>6868</v>
      </c>
      <c s="6" r="AS916">
        <v>0</v>
      </c>
      <c s="6" r="AT916">
        <v>0</v>
      </c>
      <c s="6" r="AU916">
        <v>0</v>
      </c>
      <c s="6" r="AV916">
        <v>0</v>
      </c>
      <c s="6" r="AW916">
        <v>0</v>
      </c>
      <c s="6" r="AX916">
        <v>0</v>
      </c>
      <c s="6" r="AY916">
        <v>0</v>
      </c>
      <c s="6" r="AZ916">
        <v>0</v>
      </c>
      <c s="6" r="BA916">
        <v>0</v>
      </c>
      <c s="6" r="BB916">
        <v>0</v>
      </c>
      <c s="6" r="BC916">
        <v>0</v>
      </c>
      <c s="6" r="BD916">
        <v>0</v>
      </c>
      <c s="6" r="BE916">
        <v>0</v>
      </c>
      <c s="6" r="BF916">
        <v>0</v>
      </c>
      <c s="6" r="BG916">
        <v>0</v>
      </c>
      <c s="6" r="BH916">
        <v>1</v>
      </c>
      <c s="6" r="BI916">
        <v>0</v>
      </c>
      <c s="6" r="BJ916">
        <v>0</v>
      </c>
      <c s="6" r="BK916">
        <v>0</v>
      </c>
      <c s="6" r="BL916">
        <v>0</v>
      </c>
      <c s="6" r="BM916">
        <v>0</v>
      </c>
      <c s="6" r="BN916">
        <v>0</v>
      </c>
      <c s="6" r="BO916">
        <v>0</v>
      </c>
      <c s="6" r="BP916">
        <v>0</v>
      </c>
      <c s="6" r="BQ916">
        <v>0</v>
      </c>
      <c t="str" s="6" r="BR916">
        <f>HYPERLINK("http://www.d20pfsrd.com/magic/all-spells/w/wake-of-light","Wake of Light")</f>
        <v>Wake of Light</v>
      </c>
      <c s="6" r="BS916">
        <v>929</v>
      </c>
      <c t="s" s="6" r="BT916">
        <v>92</v>
      </c>
      <c s="6" r="BY916">
        <v>0</v>
      </c>
    </row>
    <row customHeight="1" r="917" ht="14.25">
      <c t="s" s="6" r="A917">
        <v>6869</v>
      </c>
      <c t="s" s="6" r="B917">
        <v>78</v>
      </c>
      <c t="s" s="6" r="C917">
        <v>79</v>
      </c>
      <c t="s" s="6" r="D917">
        <v>6870</v>
      </c>
      <c t="s" s="6" r="E917">
        <v>4350</v>
      </c>
      <c t="s" s="6" r="F917">
        <v>81</v>
      </c>
      <c t="s" s="6" r="G917">
        <v>6871</v>
      </c>
      <c s="6" r="H917">
        <v>0</v>
      </c>
      <c t="s" s="6" r="I917">
        <v>97</v>
      </c>
      <c t="s" s="6" r="L917">
        <v>6872</v>
      </c>
      <c t="s" s="6" r="M917">
        <v>483</v>
      </c>
      <c s="6" r="N917">
        <v>1</v>
      </c>
      <c s="6" r="O917">
        <v>0</v>
      </c>
      <c t="s" s="6" r="P917">
        <v>141</v>
      </c>
      <c t="s" s="6" r="Q917">
        <v>87</v>
      </c>
      <c t="s" s="6" r="R917">
        <v>6873</v>
      </c>
      <c t="s" s="6" r="S917">
        <v>6874</v>
      </c>
      <c t="s" s="6" r="T917">
        <v>5200</v>
      </c>
      <c t="s" s="6" r="U917">
        <v>6875</v>
      </c>
      <c s="6" r="V917">
        <v>1</v>
      </c>
      <c s="6" r="W917">
        <v>1</v>
      </c>
      <c s="6" r="X917">
        <v>1</v>
      </c>
      <c s="6" r="Y917">
        <v>0</v>
      </c>
      <c s="6" r="Z917">
        <v>1</v>
      </c>
      <c s="6" r="AA917">
        <v>8</v>
      </c>
      <c s="6" r="AB917">
        <v>8</v>
      </c>
      <c t="s" s="6" r="AC917">
        <v>92</v>
      </c>
      <c s="6" r="AD917">
        <v>8</v>
      </c>
      <c t="s" s="6" r="AE917">
        <v>92</v>
      </c>
      <c t="s" s="6" r="AF917">
        <v>92</v>
      </c>
      <c t="s" s="6" r="AG917">
        <v>92</v>
      </c>
      <c t="s" s="6" r="AH917">
        <v>92</v>
      </c>
      <c t="s" s="6" r="AI917">
        <v>92</v>
      </c>
      <c t="s" s="6" r="AJ917">
        <v>92</v>
      </c>
      <c t="s" s="6" r="AK917">
        <v>92</v>
      </c>
      <c t="s" s="6" r="AL917">
        <v>92</v>
      </c>
      <c t="s" s="6" r="AM917">
        <v>92</v>
      </c>
      <c t="s" s="6" r="AN917">
        <v>92</v>
      </c>
      <c s="6" r="AP917">
        <v>8</v>
      </c>
      <c t="s" s="6" r="AR917">
        <v>6876</v>
      </c>
      <c s="6" r="AS917">
        <v>0</v>
      </c>
      <c s="6" r="AT917">
        <v>0</v>
      </c>
      <c s="6" r="AU917">
        <v>0</v>
      </c>
      <c s="6" r="AV917">
        <v>0</v>
      </c>
      <c s="6" r="AW917">
        <v>0</v>
      </c>
      <c s="6" r="AX917">
        <v>0</v>
      </c>
      <c s="6" r="AY917">
        <v>0</v>
      </c>
      <c s="6" r="AZ917">
        <v>0</v>
      </c>
      <c s="6" r="BA917">
        <v>1</v>
      </c>
      <c s="6" r="BB917">
        <v>0</v>
      </c>
      <c s="6" r="BC917">
        <v>0</v>
      </c>
      <c s="6" r="BD917">
        <v>0</v>
      </c>
      <c s="6" r="BE917">
        <v>0</v>
      </c>
      <c s="6" r="BF917">
        <v>1</v>
      </c>
      <c s="6" r="BG917">
        <v>0</v>
      </c>
      <c s="6" r="BH917">
        <v>0</v>
      </c>
      <c s="6" r="BI917">
        <v>0</v>
      </c>
      <c s="6" r="BJ917">
        <v>0</v>
      </c>
      <c s="6" r="BK917">
        <v>0</v>
      </c>
      <c s="6" r="BL917">
        <v>0</v>
      </c>
      <c s="6" r="BM917">
        <v>0</v>
      </c>
      <c s="6" r="BN917">
        <v>0</v>
      </c>
      <c s="6" r="BO917">
        <v>0</v>
      </c>
      <c s="6" r="BP917">
        <v>0</v>
      </c>
      <c s="6" r="BQ917">
        <v>0</v>
      </c>
      <c t="str" s="6" r="BR917">
        <f>HYPERLINK("http://www.d20pfsrd.com/magic/all-spells/w/wall-of-lava","Wall of Lava")</f>
        <v>Wall of Lava</v>
      </c>
      <c s="6" r="BS917">
        <v>930</v>
      </c>
      <c t="s" s="6" r="BT917">
        <v>92</v>
      </c>
      <c s="6" r="BY917">
        <v>0</v>
      </c>
    </row>
    <row customHeight="1" r="918" ht="14.25">
      <c t="s" s="6" r="A918">
        <v>6877</v>
      </c>
      <c t="s" s="6" r="B918">
        <v>162</v>
      </c>
      <c t="s" s="6" r="E918">
        <v>1058</v>
      </c>
      <c t="s" s="6" r="F918">
        <v>81</v>
      </c>
      <c t="s" s="6" r="G918">
        <v>6878</v>
      </c>
      <c s="6" r="H918">
        <v>1</v>
      </c>
      <c t="s" s="6" r="I918">
        <v>97</v>
      </c>
      <c t="s" s="6" r="K918">
        <v>6879</v>
      </c>
      <c t="s" s="6" r="M918">
        <v>6880</v>
      </c>
      <c s="6" r="N918">
        <v>0</v>
      </c>
      <c s="6" r="O918">
        <v>0</v>
      </c>
      <c t="s" s="6" r="P918">
        <v>86</v>
      </c>
      <c t="s" s="6" r="Q918">
        <v>87</v>
      </c>
      <c t="s" s="6" r="R918">
        <v>6881</v>
      </c>
      <c t="s" s="6" r="S918">
        <v>6882</v>
      </c>
      <c t="s" s="6" r="T918">
        <v>5200</v>
      </c>
      <c t="s" s="6" r="U918">
        <v>6883</v>
      </c>
      <c s="6" r="V918">
        <v>1</v>
      </c>
      <c s="6" r="W918">
        <v>1</v>
      </c>
      <c s="6" r="X918">
        <v>1</v>
      </c>
      <c s="6" r="Y918">
        <v>0</v>
      </c>
      <c s="6" r="Z918">
        <v>0</v>
      </c>
      <c s="6" r="AA918">
        <v>9</v>
      </c>
      <c s="6" r="AB918">
        <v>9</v>
      </c>
      <c t="s" s="6" r="AC918">
        <v>92</v>
      </c>
      <c t="s" s="6" r="AD918">
        <v>92</v>
      </c>
      <c t="s" s="6" r="AE918">
        <v>92</v>
      </c>
      <c t="s" s="6" r="AF918">
        <v>92</v>
      </c>
      <c t="s" s="6" r="AG918">
        <v>92</v>
      </c>
      <c t="s" s="6" r="AH918">
        <v>92</v>
      </c>
      <c t="s" s="6" r="AI918">
        <v>92</v>
      </c>
      <c t="s" s="6" r="AJ918">
        <v>92</v>
      </c>
      <c t="s" s="6" r="AK918">
        <v>92</v>
      </c>
      <c t="s" s="6" r="AL918">
        <v>92</v>
      </c>
      <c t="s" s="6" r="AM918">
        <v>92</v>
      </c>
      <c t="s" s="6" r="AN918">
        <v>92</v>
      </c>
      <c s="6" r="AP918">
        <v>9</v>
      </c>
      <c t="s" s="6" r="AR918">
        <v>6884</v>
      </c>
      <c s="6" r="AS918">
        <v>0</v>
      </c>
      <c s="6" r="AT918">
        <v>0</v>
      </c>
      <c s="6" r="AU918">
        <v>0</v>
      </c>
      <c s="6" r="AV918">
        <v>0</v>
      </c>
      <c s="6" r="AW918">
        <v>0</v>
      </c>
      <c s="6" r="AX918">
        <v>0</v>
      </c>
      <c s="6" r="AY918">
        <v>0</v>
      </c>
      <c s="6" r="AZ918">
        <v>0</v>
      </c>
      <c s="6" r="BA918">
        <v>0</v>
      </c>
      <c s="6" r="BB918">
        <v>0</v>
      </c>
      <c s="6" r="BC918">
        <v>0</v>
      </c>
      <c s="6" r="BD918">
        <v>0</v>
      </c>
      <c s="6" r="BE918">
        <v>0</v>
      </c>
      <c s="6" r="BF918">
        <v>0</v>
      </c>
      <c s="6" r="BG918">
        <v>0</v>
      </c>
      <c s="6" r="BH918">
        <v>0</v>
      </c>
      <c s="6" r="BI918">
        <v>0</v>
      </c>
      <c s="6" r="BJ918">
        <v>0</v>
      </c>
      <c s="6" r="BK918">
        <v>0</v>
      </c>
      <c s="6" r="BL918">
        <v>0</v>
      </c>
      <c s="6" r="BM918">
        <v>0</v>
      </c>
      <c s="6" r="BN918">
        <v>0</v>
      </c>
      <c s="6" r="BO918">
        <v>0</v>
      </c>
      <c s="6" r="BP918">
        <v>0</v>
      </c>
      <c s="6" r="BQ918">
        <v>0</v>
      </c>
      <c t="s" s="6" r="BR918">
        <v>92</v>
      </c>
      <c s="6" r="BS918">
        <v>931</v>
      </c>
      <c s="6" r="BT918">
        <v>1000</v>
      </c>
      <c s="6" r="BY918">
        <v>0</v>
      </c>
    </row>
    <row customHeight="1" r="919" ht="14.25">
      <c t="s" s="6" r="A919">
        <v>6885</v>
      </c>
      <c t="s" s="6" r="B919">
        <v>579</v>
      </c>
      <c t="s" s="6" r="C919">
        <v>831</v>
      </c>
      <c t="s" s="6" r="D919">
        <v>6886</v>
      </c>
      <c t="s" s="6" r="E919">
        <v>3785</v>
      </c>
      <c t="s" s="6" r="F919">
        <v>81</v>
      </c>
      <c t="s" s="6" r="G919">
        <v>6887</v>
      </c>
      <c s="6" r="H919">
        <v>0</v>
      </c>
      <c t="s" s="6" r="I919">
        <v>107</v>
      </c>
      <c t="s" s="6" r="L919">
        <v>6888</v>
      </c>
      <c t="s" s="6" r="M919">
        <v>6889</v>
      </c>
      <c s="6" r="N919">
        <v>0</v>
      </c>
      <c s="6" r="O919">
        <v>0</v>
      </c>
      <c t="s" s="6" r="P919">
        <v>474</v>
      </c>
      <c t="s" s="6" r="Q919">
        <v>188</v>
      </c>
      <c t="s" s="6" r="R919">
        <v>6890</v>
      </c>
      <c t="s" s="6" r="S919">
        <v>6891</v>
      </c>
      <c t="s" s="6" r="T919">
        <v>5200</v>
      </c>
      <c t="s" s="6" r="U919">
        <v>6892</v>
      </c>
      <c s="6" r="V919">
        <v>1</v>
      </c>
      <c s="6" r="W919">
        <v>1</v>
      </c>
      <c s="6" r="X919">
        <v>1</v>
      </c>
      <c s="6" r="Y919">
        <v>0</v>
      </c>
      <c s="6" r="Z919">
        <v>0</v>
      </c>
      <c s="6" r="AA919">
        <v>4</v>
      </c>
      <c s="6" r="AB919">
        <v>4</v>
      </c>
      <c t="s" s="6" r="AC919">
        <v>92</v>
      </c>
      <c t="s" s="6" r="AD919">
        <v>92</v>
      </c>
      <c t="s" s="6" r="AE919">
        <v>92</v>
      </c>
      <c s="6" r="AF919">
        <v>4</v>
      </c>
      <c t="s" s="6" r="AG919">
        <v>92</v>
      </c>
      <c t="s" s="6" r="AH919">
        <v>92</v>
      </c>
      <c t="s" s="6" r="AI919">
        <v>92</v>
      </c>
      <c s="6" r="AJ919">
        <v>4</v>
      </c>
      <c t="s" s="6" r="AK919">
        <v>92</v>
      </c>
      <c t="s" s="6" r="AL919">
        <v>92</v>
      </c>
      <c t="s" s="6" r="AM919">
        <v>92</v>
      </c>
      <c t="s" s="6" r="AN919">
        <v>92</v>
      </c>
      <c s="6" r="AP919">
        <v>4</v>
      </c>
      <c t="s" s="6" r="AR919">
        <v>6893</v>
      </c>
      <c s="6" r="AS919">
        <v>0</v>
      </c>
      <c s="6" r="AT919">
        <v>0</v>
      </c>
      <c s="6" r="AU919">
        <v>0</v>
      </c>
      <c s="6" r="AV919">
        <v>0</v>
      </c>
      <c s="6" r="AW919">
        <v>0</v>
      </c>
      <c s="6" r="AX919">
        <v>0</v>
      </c>
      <c s="6" r="AY919">
        <v>0</v>
      </c>
      <c s="6" r="AZ919">
        <v>0</v>
      </c>
      <c s="6" r="BA919">
        <v>0</v>
      </c>
      <c s="6" r="BB919">
        <v>0</v>
      </c>
      <c s="6" r="BC919">
        <v>0</v>
      </c>
      <c s="6" r="BD919">
        <v>0</v>
      </c>
      <c s="6" r="BE919">
        <v>0</v>
      </c>
      <c s="6" r="BF919">
        <v>0</v>
      </c>
      <c s="6" r="BG919">
        <v>0</v>
      </c>
      <c s="6" r="BH919">
        <v>0</v>
      </c>
      <c s="6" r="BI919">
        <v>0</v>
      </c>
      <c s="6" r="BJ919">
        <v>0</v>
      </c>
      <c s="6" r="BK919">
        <v>1</v>
      </c>
      <c s="6" r="BL919">
        <v>1</v>
      </c>
      <c s="6" r="BM919">
        <v>0</v>
      </c>
      <c s="6" r="BN919">
        <v>0</v>
      </c>
      <c s="6" r="BO919">
        <v>0</v>
      </c>
      <c s="6" r="BP919">
        <v>0</v>
      </c>
      <c s="6" r="BQ919">
        <v>0</v>
      </c>
      <c t="str" s="6" r="BR919">
        <f>HYPERLINK("http://www.d20pfsrd.com/magic/all-spells/w/wandering-star-motes","Wandering Star Motes")</f>
        <v>Wandering Star Motes</v>
      </c>
      <c s="6" r="BS919">
        <v>932</v>
      </c>
      <c t="s" s="6" r="BT919">
        <v>92</v>
      </c>
      <c t="s" s="6" r="BV919">
        <v>360</v>
      </c>
      <c s="6" r="BY919">
        <v>0</v>
      </c>
    </row>
    <row customHeight="1" r="920" ht="14.25">
      <c t="s" s="6" r="A920">
        <v>6894</v>
      </c>
      <c t="s" s="6" r="B920">
        <v>162</v>
      </c>
      <c t="s" s="6" r="E920">
        <v>5492</v>
      </c>
      <c t="s" s="6" r="F920">
        <v>81</v>
      </c>
      <c t="s" s="6" r="G920">
        <v>119</v>
      </c>
      <c s="6" r="H920">
        <v>0</v>
      </c>
      <c t="s" s="6" r="I920">
        <v>120</v>
      </c>
      <c t="s" s="6" r="J920">
        <v>2770</v>
      </c>
      <c t="s" s="6" r="M920">
        <v>5005</v>
      </c>
      <c s="6" r="N920">
        <v>0</v>
      </c>
      <c s="6" r="O920">
        <v>0</v>
      </c>
      <c t="s" s="6" r="P920">
        <v>421</v>
      </c>
      <c t="s" s="6" r="Q920">
        <v>87</v>
      </c>
      <c t="s" s="6" r="R920">
        <v>6895</v>
      </c>
      <c t="s" s="6" r="S920">
        <v>6896</v>
      </c>
      <c t="s" s="6" r="T920">
        <v>5200</v>
      </c>
      <c t="s" s="6" r="U920">
        <v>6897</v>
      </c>
      <c s="6" r="V920">
        <v>1</v>
      </c>
      <c s="6" r="W920">
        <v>1</v>
      </c>
      <c s="6" r="X920">
        <v>0</v>
      </c>
      <c s="6" r="Y920">
        <v>0</v>
      </c>
      <c s="6" r="Z920">
        <v>1</v>
      </c>
      <c t="s" s="6" r="AA920">
        <v>92</v>
      </c>
      <c t="s" s="6" r="AB920">
        <v>92</v>
      </c>
      <c t="s" s="6" r="AC920">
        <v>92</v>
      </c>
      <c t="s" s="6" r="AD920">
        <v>92</v>
      </c>
      <c t="s" s="6" r="AE920">
        <v>92</v>
      </c>
      <c t="s" s="6" r="AF920">
        <v>92</v>
      </c>
      <c t="s" s="6" r="AG920">
        <v>92</v>
      </c>
      <c t="s" s="6" r="AH920">
        <v>92</v>
      </c>
      <c t="s" s="6" r="AI920">
        <v>92</v>
      </c>
      <c t="s" s="6" r="AJ920">
        <v>92</v>
      </c>
      <c s="6" r="AK920">
        <v>3</v>
      </c>
      <c t="s" s="6" r="AL920">
        <v>92</v>
      </c>
      <c t="s" s="6" r="AM920">
        <v>92</v>
      </c>
      <c t="s" s="6" r="AN920">
        <v>92</v>
      </c>
      <c s="6" r="AP920">
        <v>3</v>
      </c>
      <c t="s" s="6" r="AR920">
        <v>6898</v>
      </c>
      <c s="6" r="AS920">
        <v>0</v>
      </c>
      <c s="6" r="AT920">
        <v>0</v>
      </c>
      <c s="6" r="AU920">
        <v>0</v>
      </c>
      <c s="6" r="AV920">
        <v>0</v>
      </c>
      <c s="6" r="AW920">
        <v>0</v>
      </c>
      <c s="6" r="AX920">
        <v>0</v>
      </c>
      <c s="6" r="AY920">
        <v>0</v>
      </c>
      <c s="6" r="AZ920">
        <v>0</v>
      </c>
      <c s="6" r="BA920">
        <v>0</v>
      </c>
      <c s="6" r="BB920">
        <v>0</v>
      </c>
      <c s="6" r="BC920">
        <v>0</v>
      </c>
      <c s="6" r="BD920">
        <v>0</v>
      </c>
      <c s="6" r="BE920">
        <v>0</v>
      </c>
      <c s="6" r="BF920">
        <v>0</v>
      </c>
      <c s="6" r="BG920">
        <v>0</v>
      </c>
      <c s="6" r="BH920">
        <v>0</v>
      </c>
      <c s="6" r="BI920">
        <v>0</v>
      </c>
      <c s="6" r="BJ920">
        <v>0</v>
      </c>
      <c s="6" r="BK920">
        <v>0</v>
      </c>
      <c s="6" r="BL920">
        <v>0</v>
      </c>
      <c s="6" r="BM920">
        <v>0</v>
      </c>
      <c s="6" r="BN920">
        <v>0</v>
      </c>
      <c s="6" r="BO920">
        <v>0</v>
      </c>
      <c s="6" r="BP920">
        <v>0</v>
      </c>
      <c s="6" r="BQ920">
        <v>0</v>
      </c>
      <c t="str" s="6" r="BR920">
        <f>HYPERLINK("http://www.d20pfsrd.com/magic/all-spells/w/ward-the-faithful","Ward the Faithful")</f>
        <v>Ward the Faithful</v>
      </c>
      <c s="6" r="BS920">
        <v>933</v>
      </c>
      <c t="s" s="6" r="BT920">
        <v>92</v>
      </c>
      <c s="6" r="BY920">
        <v>0</v>
      </c>
    </row>
    <row customHeight="1" r="921" ht="14.25">
      <c t="s" s="6" r="A921">
        <v>6899</v>
      </c>
      <c t="s" s="6" r="B921">
        <v>131</v>
      </c>
      <c t="s" s="6" r="D921">
        <v>54</v>
      </c>
      <c t="s" s="6" r="E921">
        <v>6900</v>
      </c>
      <c t="s" s="6" r="F921">
        <v>81</v>
      </c>
      <c t="s" s="6" r="G921">
        <v>119</v>
      </c>
      <c s="6" r="H921">
        <v>0</v>
      </c>
      <c t="s" s="6" r="I921">
        <v>120</v>
      </c>
      <c t="s" s="6" r="L921">
        <v>545</v>
      </c>
      <c t="s" s="6" r="M921">
        <v>2718</v>
      </c>
      <c s="6" r="N921">
        <v>0</v>
      </c>
      <c s="6" r="O921">
        <v>0</v>
      </c>
      <c t="s" s="6" r="P921">
        <v>144</v>
      </c>
      <c t="s" s="6" r="Q921">
        <v>145</v>
      </c>
      <c t="s" s="6" r="R921">
        <v>6901</v>
      </c>
      <c t="s" s="6" r="S921">
        <v>6902</v>
      </c>
      <c t="s" s="6" r="T921">
        <v>5200</v>
      </c>
      <c t="s" s="6" r="U921">
        <v>6903</v>
      </c>
      <c s="6" r="V921">
        <v>1</v>
      </c>
      <c s="6" r="W921">
        <v>1</v>
      </c>
      <c s="6" r="X921">
        <v>0</v>
      </c>
      <c s="6" r="Y921">
        <v>0</v>
      </c>
      <c s="6" r="Z921">
        <v>1</v>
      </c>
      <c t="s" s="6" r="AA921">
        <v>92</v>
      </c>
      <c t="s" s="6" r="AB921">
        <v>92</v>
      </c>
      <c s="6" r="AC921">
        <v>2</v>
      </c>
      <c t="s" s="6" r="AD921">
        <v>92</v>
      </c>
      <c t="s" s="6" r="AE921">
        <v>92</v>
      </c>
      <c t="s" s="6" r="AF921">
        <v>92</v>
      </c>
      <c s="6" r="AG921">
        <v>2</v>
      </c>
      <c t="s" s="6" r="AH921">
        <v>92</v>
      </c>
      <c t="s" s="6" r="AI921">
        <v>92</v>
      </c>
      <c t="s" s="6" r="AJ921">
        <v>92</v>
      </c>
      <c s="6" r="AK921">
        <v>2</v>
      </c>
      <c s="6" r="AL921">
        <v>2</v>
      </c>
      <c t="s" s="6" r="AM921">
        <v>92</v>
      </c>
      <c t="s" s="6" r="AN921">
        <v>92</v>
      </c>
      <c s="6" r="AP921">
        <v>2</v>
      </c>
      <c t="s" s="6" r="AR921">
        <v>6904</v>
      </c>
      <c s="6" r="AS921">
        <v>0</v>
      </c>
      <c s="6" r="AT921">
        <v>0</v>
      </c>
      <c s="6" r="AU921">
        <v>0</v>
      </c>
      <c s="6" r="AV921">
        <v>0</v>
      </c>
      <c s="6" r="AW921">
        <v>0</v>
      </c>
      <c s="6" r="AX921">
        <v>0</v>
      </c>
      <c s="6" r="AY921">
        <v>0</v>
      </c>
      <c s="6" r="AZ921">
        <v>0</v>
      </c>
      <c s="6" r="BA921">
        <v>0</v>
      </c>
      <c s="6" r="BB921">
        <v>0</v>
      </c>
      <c s="6" r="BC921">
        <v>1</v>
      </c>
      <c s="6" r="BD921">
        <v>0</v>
      </c>
      <c s="6" r="BE921">
        <v>0</v>
      </c>
      <c s="6" r="BF921">
        <v>0</v>
      </c>
      <c s="6" r="BG921">
        <v>0</v>
      </c>
      <c s="6" r="BH921">
        <v>0</v>
      </c>
      <c s="6" r="BI921">
        <v>0</v>
      </c>
      <c s="6" r="BJ921">
        <v>0</v>
      </c>
      <c s="6" r="BK921">
        <v>0</v>
      </c>
      <c s="6" r="BL921">
        <v>0</v>
      </c>
      <c s="6" r="BM921">
        <v>0</v>
      </c>
      <c s="6" r="BN921">
        <v>0</v>
      </c>
      <c s="6" r="BO921">
        <v>0</v>
      </c>
      <c s="6" r="BP921">
        <v>0</v>
      </c>
      <c s="6" r="BQ921">
        <v>0</v>
      </c>
      <c t="str" s="6" r="BR921">
        <f>HYPERLINK("http://www.d20pfsrd.com/magic/all-spells/w/weapon-of-awe","Weapon of Awe")</f>
        <v>Weapon of Awe</v>
      </c>
      <c s="6" r="BS921">
        <v>934</v>
      </c>
      <c t="s" s="6" r="BT921">
        <v>92</v>
      </c>
      <c s="6" r="BY921">
        <v>0</v>
      </c>
    </row>
    <row customHeight="1" r="922" ht="14.25">
      <c t="s" s="6" r="A922">
        <v>6905</v>
      </c>
      <c t="s" s="6" r="B922">
        <v>493</v>
      </c>
      <c t="s" s="6" r="D922">
        <v>45</v>
      </c>
      <c t="s" s="6" r="E922">
        <v>6906</v>
      </c>
      <c t="s" s="6" r="F922">
        <v>81</v>
      </c>
      <c t="s" s="6" r="G922">
        <v>119</v>
      </c>
      <c s="6" r="H922">
        <v>0</v>
      </c>
      <c t="s" s="6" r="I922">
        <v>155</v>
      </c>
      <c t="s" s="6" r="L922">
        <v>156</v>
      </c>
      <c t="s" s="6" r="M922">
        <v>2718</v>
      </c>
      <c s="6" r="N922">
        <v>0</v>
      </c>
      <c s="6" r="O922">
        <v>0</v>
      </c>
      <c t="s" s="6" r="R922">
        <v>6907</v>
      </c>
      <c t="s" s="6" r="S922">
        <v>6908</v>
      </c>
      <c t="s" s="6" r="T922">
        <v>5200</v>
      </c>
      <c t="s" s="6" r="U922">
        <v>6909</v>
      </c>
      <c s="6" r="V922">
        <v>1</v>
      </c>
      <c s="6" r="W922">
        <v>1</v>
      </c>
      <c s="6" r="X922">
        <v>0</v>
      </c>
      <c s="6" r="Y922">
        <v>0</v>
      </c>
      <c s="6" r="Z922">
        <v>1</v>
      </c>
      <c s="6" r="AA922">
        <v>9</v>
      </c>
      <c s="6" r="AB922">
        <v>9</v>
      </c>
      <c s="6" r="AC922">
        <v>9</v>
      </c>
      <c s="6" r="AD922">
        <v>9</v>
      </c>
      <c t="s" s="6" r="AE922">
        <v>92</v>
      </c>
      <c t="s" s="6" r="AF922">
        <v>92</v>
      </c>
      <c t="s" s="6" r="AG922">
        <v>92</v>
      </c>
      <c t="s" s="6" r="AH922">
        <v>92</v>
      </c>
      <c t="s" s="6" r="AI922">
        <v>92</v>
      </c>
      <c t="s" s="6" r="AJ922">
        <v>92</v>
      </c>
      <c t="s" s="6" r="AK922">
        <v>92</v>
      </c>
      <c s="6" r="AL922">
        <v>9</v>
      </c>
      <c t="s" s="6" r="AM922">
        <v>92</v>
      </c>
      <c t="s" s="6" r="AN922">
        <v>92</v>
      </c>
      <c s="6" r="AP922">
        <v>9</v>
      </c>
      <c t="s" s="6" r="AQ922">
        <v>4789</v>
      </c>
      <c t="s" s="6" r="AR922">
        <v>6910</v>
      </c>
      <c s="6" r="AS922">
        <v>0</v>
      </c>
      <c s="6" r="AT922">
        <v>1</v>
      </c>
      <c s="6" r="AU922">
        <v>0</v>
      </c>
      <c s="6" r="AV922">
        <v>0</v>
      </c>
      <c s="6" r="AW922">
        <v>0</v>
      </c>
      <c s="6" r="AX922">
        <v>0</v>
      </c>
      <c s="6" r="AY922">
        <v>0</v>
      </c>
      <c s="6" r="AZ922">
        <v>0</v>
      </c>
      <c s="6" r="BA922">
        <v>0</v>
      </c>
      <c s="6" r="BB922">
        <v>0</v>
      </c>
      <c s="6" r="BC922">
        <v>0</v>
      </c>
      <c s="6" r="BD922">
        <v>0</v>
      </c>
      <c s="6" r="BE922">
        <v>0</v>
      </c>
      <c s="6" r="BF922">
        <v>0</v>
      </c>
      <c s="6" r="BG922">
        <v>0</v>
      </c>
      <c s="6" r="BH922">
        <v>0</v>
      </c>
      <c s="6" r="BI922">
        <v>0</v>
      </c>
      <c s="6" r="BJ922">
        <v>0</v>
      </c>
      <c s="6" r="BK922">
        <v>0</v>
      </c>
      <c s="6" r="BL922">
        <v>0</v>
      </c>
      <c s="6" r="BM922">
        <v>0</v>
      </c>
      <c s="6" r="BN922">
        <v>0</v>
      </c>
      <c s="6" r="BO922">
        <v>0</v>
      </c>
      <c s="6" r="BP922">
        <v>0</v>
      </c>
      <c s="6" r="BQ922">
        <v>0</v>
      </c>
      <c t="str" s="6" r="BR922">
        <f>HYPERLINK("http://www.d20pfsrd.com/magic/all-spells/w/winds-of-vengeance","Winds of Vengeance")</f>
        <v>Winds of Vengeance</v>
      </c>
      <c s="6" r="BS922">
        <v>935</v>
      </c>
      <c t="s" s="6" r="BT922">
        <v>92</v>
      </c>
      <c t="s" s="6" r="BV922">
        <v>638</v>
      </c>
      <c s="6" r="BY922">
        <v>0</v>
      </c>
    </row>
    <row customHeight="1" r="923" ht="14.25">
      <c t="s" s="6" r="A923">
        <v>6911</v>
      </c>
      <c t="s" s="6" r="B923">
        <v>131</v>
      </c>
      <c t="s" s="6" r="D923">
        <v>6912</v>
      </c>
      <c t="s" s="6" r="E923">
        <v>3874</v>
      </c>
      <c t="s" s="6" r="F923">
        <v>81</v>
      </c>
      <c t="s" s="6" r="G923">
        <v>119</v>
      </c>
      <c s="6" r="H923">
        <v>0</v>
      </c>
      <c t="s" s="6" r="I923">
        <v>141</v>
      </c>
      <c t="s" s="6" r="K923">
        <v>141</v>
      </c>
      <c t="s" s="6" r="M923">
        <v>6913</v>
      </c>
      <c s="6" r="N923">
        <v>1</v>
      </c>
      <c s="6" r="O923">
        <v>0</v>
      </c>
      <c t="s" s="6" r="P923">
        <v>86</v>
      </c>
      <c t="s" s="6" r="Q923">
        <v>188</v>
      </c>
      <c t="s" s="6" r="R923">
        <v>6914</v>
      </c>
      <c t="s" s="6" r="S923">
        <v>6915</v>
      </c>
      <c t="s" s="6" r="T923">
        <v>5200</v>
      </c>
      <c t="s" s="6" r="U923">
        <v>6916</v>
      </c>
      <c s="6" r="V923">
        <v>1</v>
      </c>
      <c s="6" r="W923">
        <v>1</v>
      </c>
      <c s="6" r="X923">
        <v>0</v>
      </c>
      <c s="6" r="Y923">
        <v>0</v>
      </c>
      <c s="6" r="Z923">
        <v>1</v>
      </c>
      <c s="6" r="AA923">
        <v>9</v>
      </c>
      <c s="6" r="AB923">
        <v>9</v>
      </c>
      <c t="s" s="6" r="AC923">
        <v>92</v>
      </c>
      <c s="6" r="AD923">
        <v>9</v>
      </c>
      <c t="s" s="6" r="AE923">
        <v>92</v>
      </c>
      <c t="s" s="6" r="AF923">
        <v>92</v>
      </c>
      <c t="s" s="6" r="AG923">
        <v>92</v>
      </c>
      <c t="s" s="6" r="AH923">
        <v>92</v>
      </c>
      <c t="s" s="6" r="AI923">
        <v>92</v>
      </c>
      <c t="s" s="6" r="AJ923">
        <v>92</v>
      </c>
      <c t="s" s="6" r="AK923">
        <v>92</v>
      </c>
      <c t="s" s="6" r="AL923">
        <v>92</v>
      </c>
      <c t="s" s="6" r="AM923">
        <v>92</v>
      </c>
      <c t="s" s="6" r="AN923">
        <v>92</v>
      </c>
      <c s="6" r="AP923">
        <v>9</v>
      </c>
      <c t="s" s="6" r="AQ923">
        <v>2685</v>
      </c>
      <c t="s" s="6" r="AR923">
        <v>6917</v>
      </c>
      <c s="6" r="AS923">
        <v>0</v>
      </c>
      <c s="6" r="AT923">
        <v>0</v>
      </c>
      <c s="6" r="AU923">
        <v>0</v>
      </c>
      <c s="6" r="AV923">
        <v>0</v>
      </c>
      <c s="6" r="AW923">
        <v>0</v>
      </c>
      <c s="6" r="AX923">
        <v>0</v>
      </c>
      <c s="6" r="AY923">
        <v>0</v>
      </c>
      <c s="6" r="AZ923">
        <v>0</v>
      </c>
      <c s="6" r="BA923">
        <v>1</v>
      </c>
      <c s="6" r="BB923">
        <v>0</v>
      </c>
      <c s="6" r="BC923">
        <v>0</v>
      </c>
      <c s="6" r="BD923">
        <v>0</v>
      </c>
      <c s="6" r="BE923">
        <v>0</v>
      </c>
      <c s="6" r="BF923">
        <v>0</v>
      </c>
      <c s="6" r="BG923">
        <v>0</v>
      </c>
      <c s="6" r="BH923">
        <v>0</v>
      </c>
      <c s="6" r="BI923">
        <v>0</v>
      </c>
      <c s="6" r="BJ923">
        <v>0</v>
      </c>
      <c s="6" r="BK923">
        <v>0</v>
      </c>
      <c s="6" r="BL923">
        <v>0</v>
      </c>
      <c s="6" r="BM923">
        <v>0</v>
      </c>
      <c s="6" r="BN923">
        <v>0</v>
      </c>
      <c s="6" r="BO923">
        <v>0</v>
      </c>
      <c s="6" r="BP923">
        <v>0</v>
      </c>
      <c s="6" r="BQ923">
        <v>1</v>
      </c>
      <c t="str" s="6" r="BR923">
        <f>HYPERLINK("http://www.d20pfsrd.com/magic/all-spells/w/world-wave","World Wave")</f>
        <v>World Wave</v>
      </c>
      <c s="6" r="BS923">
        <v>936</v>
      </c>
      <c t="s" s="6" r="BT923">
        <v>92</v>
      </c>
      <c t="s" s="6" r="BU923">
        <v>462</v>
      </c>
      <c s="6" r="BY923">
        <v>0</v>
      </c>
    </row>
    <row customHeight="1" r="924" ht="14.25">
      <c t="s" s="6" r="A924">
        <v>6918</v>
      </c>
      <c t="s" s="6" r="B924">
        <v>115</v>
      </c>
      <c t="s" s="6" r="C924">
        <v>116</v>
      </c>
      <c t="s" s="6" r="D924">
        <v>291</v>
      </c>
      <c t="s" s="6" r="E924">
        <v>5447</v>
      </c>
      <c t="s" s="6" r="F924">
        <v>81</v>
      </c>
      <c t="s" s="6" r="G924">
        <v>6549</v>
      </c>
      <c s="6" r="H924">
        <v>0</v>
      </c>
      <c t="s" s="6" r="I924">
        <v>155</v>
      </c>
      <c t="s" s="6" r="L924">
        <v>156</v>
      </c>
      <c t="s" s="6" r="M924">
        <v>197</v>
      </c>
      <c s="6" r="N924">
        <v>0</v>
      </c>
      <c s="6" r="O924">
        <v>0</v>
      </c>
      <c t="s" s="6" r="R924">
        <v>6919</v>
      </c>
      <c t="s" s="6" r="S924">
        <v>6920</v>
      </c>
      <c t="s" s="6" r="T924">
        <v>5200</v>
      </c>
      <c t="s" s="6" r="U924">
        <v>6921</v>
      </c>
      <c s="6" r="V924">
        <v>1</v>
      </c>
      <c s="6" r="W924">
        <v>1</v>
      </c>
      <c s="6" r="X924">
        <v>1</v>
      </c>
      <c s="6" r="Y924">
        <v>0</v>
      </c>
      <c s="6" r="Z924">
        <v>0</v>
      </c>
      <c t="s" s="6" r="AA924">
        <v>92</v>
      </c>
      <c t="s" s="6" r="AB924">
        <v>92</v>
      </c>
      <c t="s" s="6" r="AC924">
        <v>92</v>
      </c>
      <c t="s" s="6" r="AD924">
        <v>92</v>
      </c>
      <c t="s" s="6" r="AE924">
        <v>92</v>
      </c>
      <c t="s" s="6" r="AF924">
        <v>92</v>
      </c>
      <c t="s" s="6" r="AG924">
        <v>92</v>
      </c>
      <c t="s" s="6" r="AH924">
        <v>92</v>
      </c>
      <c t="s" s="6" r="AI924">
        <v>92</v>
      </c>
      <c t="s" s="6" r="AJ924">
        <v>92</v>
      </c>
      <c s="6" r="AK924">
        <v>1</v>
      </c>
      <c t="s" s="6" r="AL924">
        <v>92</v>
      </c>
      <c t="s" s="6" r="AM924">
        <v>92</v>
      </c>
      <c t="s" s="6" r="AN924">
        <v>92</v>
      </c>
      <c s="6" r="AP924">
        <v>1</v>
      </c>
      <c t="s" s="6" r="AR924">
        <v>6922</v>
      </c>
      <c s="6" r="AS924">
        <v>0</v>
      </c>
      <c s="6" r="AT924">
        <v>0</v>
      </c>
      <c s="6" r="AU924">
        <v>0</v>
      </c>
      <c s="6" r="AV924">
        <v>0</v>
      </c>
      <c s="6" r="AW924">
        <v>0</v>
      </c>
      <c s="6" r="AX924">
        <v>0</v>
      </c>
      <c s="6" r="AY924">
        <v>0</v>
      </c>
      <c s="6" r="AZ924">
        <v>0</v>
      </c>
      <c s="6" r="BA924">
        <v>0</v>
      </c>
      <c s="6" r="BB924">
        <v>0</v>
      </c>
      <c s="6" r="BC924">
        <v>1</v>
      </c>
      <c s="6" r="BD924">
        <v>0</v>
      </c>
      <c s="6" r="BE924">
        <v>0</v>
      </c>
      <c s="6" r="BF924">
        <v>0</v>
      </c>
      <c s="6" r="BG924">
        <v>0</v>
      </c>
      <c s="6" r="BH924">
        <v>0</v>
      </c>
      <c s="6" r="BI924">
        <v>0</v>
      </c>
      <c s="6" r="BJ924">
        <v>0</v>
      </c>
      <c s="6" r="BK924">
        <v>0</v>
      </c>
      <c s="6" r="BL924">
        <v>1</v>
      </c>
      <c s="6" r="BM924">
        <v>0</v>
      </c>
      <c s="6" r="BN924">
        <v>0</v>
      </c>
      <c s="6" r="BO924">
        <v>0</v>
      </c>
      <c s="6" r="BP924">
        <v>0</v>
      </c>
      <c s="6" r="BQ924">
        <v>0</v>
      </c>
      <c t="str" s="6" r="BR924">
        <f>HYPERLINK("http://www.d20pfsrd.com/magic/all-spells/w/wrath","Wrath")</f>
        <v>Wrath</v>
      </c>
      <c s="6" r="BS924">
        <v>937</v>
      </c>
      <c t="s" s="6" r="BT924">
        <v>92</v>
      </c>
      <c s="6" r="BY924">
        <v>0</v>
      </c>
    </row>
    <row customHeight="1" r="925" ht="14.25">
      <c t="s" s="6" r="A925">
        <v>6923</v>
      </c>
      <c t="s" s="6" r="B925">
        <v>493</v>
      </c>
      <c t="s" s="6" r="D925">
        <v>6924</v>
      </c>
      <c t="s" s="6" r="E925">
        <v>6925</v>
      </c>
      <c t="s" s="6" r="F925">
        <v>81</v>
      </c>
      <c t="s" s="6" r="G925">
        <v>119</v>
      </c>
      <c s="6" r="H925">
        <v>0</v>
      </c>
      <c t="s" s="6" r="I925">
        <v>6926</v>
      </c>
      <c t="s" s="6" r="L925">
        <v>6927</v>
      </c>
      <c t="s" s="6" r="M925">
        <v>2718</v>
      </c>
      <c s="6" r="N925">
        <v>0</v>
      </c>
      <c s="6" r="O925">
        <v>0</v>
      </c>
      <c t="s" s="6" r="P925">
        <v>421</v>
      </c>
      <c t="s" s="6" r="Q925">
        <v>123</v>
      </c>
      <c t="s" s="6" r="R925">
        <v>6928</v>
      </c>
      <c t="s" s="6" r="S925">
        <v>6929</v>
      </c>
      <c t="s" s="6" r="T925">
        <v>5200</v>
      </c>
      <c t="s" s="6" r="U925">
        <v>6930</v>
      </c>
      <c s="6" r="V925">
        <v>1</v>
      </c>
      <c s="6" r="W925">
        <v>1</v>
      </c>
      <c s="6" r="X925">
        <v>0</v>
      </c>
      <c s="6" r="Y925">
        <v>0</v>
      </c>
      <c s="6" r="Z925">
        <v>1</v>
      </c>
      <c t="s" s="6" r="AA925">
        <v>92</v>
      </c>
      <c t="s" s="6" r="AB925">
        <v>92</v>
      </c>
      <c s="6" r="AC925">
        <v>3</v>
      </c>
      <c t="s" s="6" r="AD925">
        <v>92</v>
      </c>
      <c t="s" s="6" r="AE925">
        <v>92</v>
      </c>
      <c t="s" s="6" r="AF925">
        <v>92</v>
      </c>
      <c s="6" r="AG925">
        <v>3</v>
      </c>
      <c t="s" s="6" r="AH925">
        <v>92</v>
      </c>
      <c t="s" s="6" r="AI925">
        <v>92</v>
      </c>
      <c t="s" s="6" r="AJ925">
        <v>92</v>
      </c>
      <c t="s" s="6" r="AK925">
        <v>92</v>
      </c>
      <c s="6" r="AL925">
        <v>3</v>
      </c>
      <c t="s" s="6" r="AM925">
        <v>92</v>
      </c>
      <c t="s" s="6" r="AN925">
        <v>92</v>
      </c>
      <c s="6" r="AP925">
        <v>3</v>
      </c>
      <c t="s" s="6" r="AR925">
        <v>6931</v>
      </c>
      <c s="6" r="AS925">
        <v>0</v>
      </c>
      <c s="6" r="AT925">
        <v>0</v>
      </c>
      <c s="6" r="AU925">
        <v>0</v>
      </c>
      <c s="6" r="AV925">
        <v>0</v>
      </c>
      <c s="6" r="AW925">
        <v>0</v>
      </c>
      <c s="6" r="AX925">
        <v>0</v>
      </c>
      <c s="6" r="AY925">
        <v>0</v>
      </c>
      <c s="6" r="AZ925">
        <v>0</v>
      </c>
      <c s="6" r="BA925">
        <v>0</v>
      </c>
      <c s="6" r="BB925">
        <v>0</v>
      </c>
      <c s="6" r="BC925">
        <v>0</v>
      </c>
      <c s="6" r="BD925">
        <v>0</v>
      </c>
      <c s="6" r="BE925">
        <v>0</v>
      </c>
      <c s="6" r="BF925">
        <v>0</v>
      </c>
      <c s="6" r="BG925">
        <v>1</v>
      </c>
      <c s="6" r="BH925">
        <v>0</v>
      </c>
      <c s="6" r="BI925">
        <v>0</v>
      </c>
      <c s="6" r="BJ925">
        <v>0</v>
      </c>
      <c s="6" r="BK925">
        <v>1</v>
      </c>
      <c s="6" r="BL925">
        <v>0</v>
      </c>
      <c s="6" r="BM925">
        <v>0</v>
      </c>
      <c s="6" r="BN925">
        <v>0</v>
      </c>
      <c s="6" r="BO925">
        <v>0</v>
      </c>
      <c s="6" r="BP925">
        <v>0</v>
      </c>
      <c s="6" r="BQ925">
        <v>0</v>
      </c>
      <c t="str" s="6" r="BR925">
        <f>HYPERLINK("http://www.d20pfsrd.com/magic/all-spells/w/wrathful-mantle","Wrathful Mantle")</f>
        <v>Wrathful Mantle</v>
      </c>
      <c s="6" r="BS925">
        <v>938</v>
      </c>
      <c t="s" s="6" r="BT925">
        <v>92</v>
      </c>
      <c s="6" r="BY925">
        <v>0</v>
      </c>
    </row>
    <row customHeight="1" r="926" ht="14.25">
      <c t="s" s="6" r="A926">
        <v>6932</v>
      </c>
      <c t="s" s="6" r="B926">
        <v>131</v>
      </c>
      <c t="s" s="6" r="D926">
        <v>6933</v>
      </c>
      <c t="s" s="6" r="E926">
        <v>6934</v>
      </c>
      <c t="s" s="6" r="F926">
        <v>197</v>
      </c>
      <c t="s" s="6" r="G926">
        <v>6935</v>
      </c>
      <c s="6" r="H926">
        <v>0</v>
      </c>
      <c t="s" s="6" r="I926">
        <v>813</v>
      </c>
      <c t="s" s="6" r="K926">
        <v>6936</v>
      </c>
      <c t="s" s="6" r="M926">
        <v>6937</v>
      </c>
      <c s="6" r="N926">
        <v>0</v>
      </c>
      <c s="6" r="O926">
        <v>0</v>
      </c>
      <c t="s" s="6" r="P926">
        <v>86</v>
      </c>
      <c t="s" s="6" r="Q926">
        <v>87</v>
      </c>
      <c t="s" s="6" r="R926">
        <v>6938</v>
      </c>
      <c t="s" s="6" r="S926">
        <v>6939</v>
      </c>
      <c t="s" s="6" r="T926">
        <v>6940</v>
      </c>
      <c t="s" s="6" r="U926">
        <v>6941</v>
      </c>
      <c s="6" r="V926">
        <v>1</v>
      </c>
      <c s="6" r="W926">
        <v>1</v>
      </c>
      <c s="6" r="X926">
        <v>0</v>
      </c>
      <c s="6" r="Y926">
        <v>0</v>
      </c>
      <c s="6" r="Z926">
        <v>0</v>
      </c>
      <c t="s" s="6" r="AA926">
        <v>92</v>
      </c>
      <c t="s" s="6" r="AB926">
        <v>92</v>
      </c>
      <c s="6" r="AC926">
        <v>1</v>
      </c>
      <c s="6" r="AD926">
        <v>1</v>
      </c>
      <c t="s" s="6" r="AE926">
        <v>92</v>
      </c>
      <c t="s" s="6" r="AF926">
        <v>92</v>
      </c>
      <c t="s" s="6" r="AG926">
        <v>92</v>
      </c>
      <c t="s" s="6" r="AH926">
        <v>92</v>
      </c>
      <c t="s" s="6" r="AI926">
        <v>92</v>
      </c>
      <c t="s" s="6" r="AJ926">
        <v>92</v>
      </c>
      <c t="s" s="6" r="AK926">
        <v>92</v>
      </c>
      <c s="6" r="AL926">
        <v>1</v>
      </c>
      <c t="s" s="6" r="AM926">
        <v>92</v>
      </c>
      <c t="s" s="6" r="AN926">
        <v>92</v>
      </c>
      <c t="s" s="6" r="AO926">
        <v>6942</v>
      </c>
      <c s="6" r="AP926">
        <v>1</v>
      </c>
      <c s="6" r="AS926">
        <v>0</v>
      </c>
      <c s="6" r="AT926">
        <v>0</v>
      </c>
      <c s="6" r="AU926">
        <v>0</v>
      </c>
      <c s="6" r="AV926">
        <v>1</v>
      </c>
      <c s="6" r="AW926">
        <v>0</v>
      </c>
      <c s="6" r="AX926">
        <v>0</v>
      </c>
      <c s="6" r="AY926">
        <v>0</v>
      </c>
      <c s="6" r="AZ926">
        <v>0</v>
      </c>
      <c s="6" r="BA926">
        <v>0</v>
      </c>
      <c s="6" r="BB926">
        <v>0</v>
      </c>
      <c s="6" r="BC926">
        <v>0</v>
      </c>
      <c s="6" r="BD926">
        <v>0</v>
      </c>
      <c s="6" r="BE926">
        <v>0</v>
      </c>
      <c s="6" r="BF926">
        <v>0</v>
      </c>
      <c s="6" r="BG926">
        <v>0</v>
      </c>
      <c s="6" r="BH926">
        <v>0</v>
      </c>
      <c s="6" r="BI926">
        <v>0</v>
      </c>
      <c s="6" r="BJ926">
        <v>0</v>
      </c>
      <c s="6" r="BK926">
        <v>0</v>
      </c>
      <c s="6" r="BL926">
        <v>0</v>
      </c>
      <c s="6" r="BM926">
        <v>0</v>
      </c>
      <c s="6" r="BN926">
        <v>0</v>
      </c>
      <c s="6" r="BO926">
        <v>0</v>
      </c>
      <c s="6" r="BP926">
        <v>0</v>
      </c>
      <c s="6" r="BQ926">
        <v>1</v>
      </c>
      <c t="s" s="6" r="BR926">
        <v>92</v>
      </c>
      <c s="6" r="BS926">
        <v>939</v>
      </c>
      <c t="s" s="6" r="BT926">
        <v>92</v>
      </c>
      <c s="6" r="BY926">
        <v>0</v>
      </c>
    </row>
    <row customHeight="1" r="927" ht="14.25">
      <c t="s" s="6" r="A927">
        <v>6943</v>
      </c>
      <c t="s" s="6" r="B927">
        <v>174</v>
      </c>
      <c t="s" s="6" r="E927">
        <v>6944</v>
      </c>
      <c t="s" s="6" r="F927">
        <v>81</v>
      </c>
      <c t="s" s="6" r="G927">
        <v>119</v>
      </c>
      <c s="6" r="H927">
        <v>0</v>
      </c>
      <c t="s" s="6" r="I927">
        <v>97</v>
      </c>
      <c t="s" s="6" r="L927">
        <v>1235</v>
      </c>
      <c t="s" s="6" r="M927">
        <v>2718</v>
      </c>
      <c s="6" r="N927">
        <v>0</v>
      </c>
      <c s="6" r="O927">
        <v>0</v>
      </c>
      <c t="s" s="6" r="P927">
        <v>86</v>
      </c>
      <c t="s" s="6" r="Q927">
        <v>188</v>
      </c>
      <c t="s" s="6" r="R927">
        <v>6945</v>
      </c>
      <c t="s" s="6" r="S927">
        <v>6946</v>
      </c>
      <c t="s" s="6" r="T927">
        <v>5200</v>
      </c>
      <c t="s" s="6" r="U927">
        <v>6947</v>
      </c>
      <c s="6" r="V927">
        <v>1</v>
      </c>
      <c s="6" r="W927">
        <v>1</v>
      </c>
      <c s="6" r="X927">
        <v>0</v>
      </c>
      <c s="6" r="Y927">
        <v>0</v>
      </c>
      <c s="6" r="Z927">
        <v>1</v>
      </c>
      <c t="s" s="6" r="AA927">
        <v>92</v>
      </c>
      <c t="s" s="6" r="AB927">
        <v>92</v>
      </c>
      <c t="s" s="6" r="AC927">
        <v>92</v>
      </c>
      <c t="s" s="6" r="AD927">
        <v>92</v>
      </c>
      <c s="6" r="AE927">
        <v>2</v>
      </c>
      <c t="s" s="6" r="AF927">
        <v>92</v>
      </c>
      <c t="s" s="6" r="AG927">
        <v>92</v>
      </c>
      <c t="s" s="6" r="AH927">
        <v>92</v>
      </c>
      <c t="s" s="6" r="AI927">
        <v>92</v>
      </c>
      <c t="s" s="6" r="AJ927">
        <v>92</v>
      </c>
      <c s="6" r="AK927">
        <v>3</v>
      </c>
      <c t="s" s="6" r="AL927">
        <v>92</v>
      </c>
      <c t="s" s="6" r="AM927">
        <v>92</v>
      </c>
      <c t="s" s="6" r="AN927">
        <v>92</v>
      </c>
      <c s="6" r="AP927">
        <v>2</v>
      </c>
      <c t="s" s="6" r="AR927">
        <v>6948</v>
      </c>
      <c s="6" r="AS927">
        <v>0</v>
      </c>
      <c s="6" r="AT927">
        <v>0</v>
      </c>
      <c s="6" r="AU927">
        <v>0</v>
      </c>
      <c s="6" r="AV927">
        <v>0</v>
      </c>
      <c s="6" r="AW927">
        <v>0</v>
      </c>
      <c s="6" r="AX927">
        <v>0</v>
      </c>
      <c s="6" r="AY927">
        <v>0</v>
      </c>
      <c s="6" r="AZ927">
        <v>0</v>
      </c>
      <c s="6" r="BA927">
        <v>0</v>
      </c>
      <c s="6" r="BB927">
        <v>0</v>
      </c>
      <c s="6" r="BC927">
        <v>0</v>
      </c>
      <c s="6" r="BD927">
        <v>0</v>
      </c>
      <c s="6" r="BE927">
        <v>0</v>
      </c>
      <c s="6" r="BF927">
        <v>0</v>
      </c>
      <c s="6" r="BG927">
        <v>0</v>
      </c>
      <c s="6" r="BH927">
        <v>0</v>
      </c>
      <c s="6" r="BI927">
        <v>0</v>
      </c>
      <c s="6" r="BJ927">
        <v>0</v>
      </c>
      <c s="6" r="BK927">
        <v>0</v>
      </c>
      <c s="6" r="BL927">
        <v>0</v>
      </c>
      <c s="6" r="BM927">
        <v>0</v>
      </c>
      <c s="6" r="BN927">
        <v>0</v>
      </c>
      <c s="6" r="BO927">
        <v>0</v>
      </c>
      <c s="6" r="BP927">
        <v>0</v>
      </c>
      <c s="6" r="BQ927">
        <v>0</v>
      </c>
      <c t="str" s="6" r="BR927">
        <f>HYPERLINK("http://www.d20pfsrd.com/magic/all-spells/h/hunter-s-eye","Hunter's Eye")</f>
        <v>Hunter's Eye</v>
      </c>
      <c s="6" r="BS927">
        <v>940</v>
      </c>
      <c t="s" s="6" r="BT927">
        <v>92</v>
      </c>
      <c s="6" r="BY927">
        <v>0</v>
      </c>
    </row>
    <row customHeight="1" r="928" ht="14.25">
      <c t="s" s="6" r="A928">
        <v>6949</v>
      </c>
      <c t="s" s="6" r="B928">
        <v>227</v>
      </c>
      <c t="s" s="6" r="D928">
        <v>3713</v>
      </c>
      <c t="s" s="6" r="E928">
        <v>6176</v>
      </c>
      <c t="s" s="6" r="F928">
        <v>81</v>
      </c>
      <c t="s" s="6" r="G928">
        <v>106</v>
      </c>
      <c s="6" r="H928">
        <v>0</v>
      </c>
      <c t="s" s="6" r="I928">
        <v>804</v>
      </c>
      <c t="s" s="6" r="J928">
        <v>720</v>
      </c>
      <c t="s" s="6" r="M928">
        <v>99</v>
      </c>
      <c s="6" r="N928">
        <v>0</v>
      </c>
      <c s="6" r="O928">
        <v>0</v>
      </c>
      <c t="s" s="6" r="P928">
        <v>221</v>
      </c>
      <c t="s" s="6" r="Q928">
        <v>86</v>
      </c>
      <c t="s" s="6" r="R928">
        <v>6950</v>
      </c>
      <c t="s" s="6" r="S928">
        <v>6951</v>
      </c>
      <c t="s" s="6" r="T928">
        <v>5200</v>
      </c>
      <c t="s" s="6" r="U928">
        <v>6952</v>
      </c>
      <c s="6" r="V928">
        <v>1</v>
      </c>
      <c s="6" r="W928">
        <v>1</v>
      </c>
      <c s="6" r="X928">
        <v>0</v>
      </c>
      <c s="6" r="Y928">
        <v>0</v>
      </c>
      <c s="6" r="Z928">
        <v>0</v>
      </c>
      <c t="s" s="6" r="AA928">
        <v>92</v>
      </c>
      <c t="s" s="6" r="AB928">
        <v>92</v>
      </c>
      <c t="s" s="6" r="AC928">
        <v>92</v>
      </c>
      <c t="s" s="6" r="AD928">
        <v>92</v>
      </c>
      <c s="6" r="AE928">
        <v>1</v>
      </c>
      <c t="s" s="6" r="AF928">
        <v>92</v>
      </c>
      <c t="s" s="6" r="AG928">
        <v>92</v>
      </c>
      <c t="s" s="6" r="AH928">
        <v>92</v>
      </c>
      <c t="s" s="6" r="AI928">
        <v>92</v>
      </c>
      <c t="s" s="6" r="AJ928">
        <v>92</v>
      </c>
      <c t="s" s="6" r="AK928">
        <v>92</v>
      </c>
      <c t="s" s="6" r="AL928">
        <v>92</v>
      </c>
      <c t="s" s="6" r="AM928">
        <v>92</v>
      </c>
      <c t="s" s="6" r="AN928">
        <v>92</v>
      </c>
      <c s="6" r="AP928">
        <v>1</v>
      </c>
      <c t="s" s="6" r="AR928">
        <v>6953</v>
      </c>
      <c s="6" r="AS928">
        <v>0</v>
      </c>
      <c s="6" r="AT928">
        <v>0</v>
      </c>
      <c s="6" r="AU928">
        <v>0</v>
      </c>
      <c s="6" r="AV928">
        <v>0</v>
      </c>
      <c s="6" r="AW928">
        <v>0</v>
      </c>
      <c s="6" r="AX928">
        <v>0</v>
      </c>
      <c s="6" r="AY928">
        <v>0</v>
      </c>
      <c s="6" r="AZ928">
        <v>0</v>
      </c>
      <c s="6" r="BA928">
        <v>0</v>
      </c>
      <c s="6" r="BB928">
        <v>0</v>
      </c>
      <c s="6" r="BC928">
        <v>1</v>
      </c>
      <c s="6" r="BD928">
        <v>0</v>
      </c>
      <c s="6" r="BE928">
        <v>1</v>
      </c>
      <c s="6" r="BF928">
        <v>0</v>
      </c>
      <c s="6" r="BG928">
        <v>0</v>
      </c>
      <c s="6" r="BH928">
        <v>0</v>
      </c>
      <c s="6" r="BI928">
        <v>0</v>
      </c>
      <c s="6" r="BJ928">
        <v>0</v>
      </c>
      <c s="6" r="BK928">
        <v>0</v>
      </c>
      <c s="6" r="BL928">
        <v>1</v>
      </c>
      <c s="6" r="BM928">
        <v>0</v>
      </c>
      <c s="6" r="BN928">
        <v>0</v>
      </c>
      <c s="6" r="BO928">
        <v>0</v>
      </c>
      <c s="6" r="BP928">
        <v>0</v>
      </c>
      <c s="6" r="BQ928">
        <v>0</v>
      </c>
      <c t="str" s="6" r="BR928">
        <f>HYPERLINK("http://www.d20pfsrd.com/magic/all-spells/h/hunter-s-howl","Hunter's Howl")</f>
        <v>Hunter's Howl</v>
      </c>
      <c s="6" r="BS928">
        <v>941</v>
      </c>
      <c t="s" s="6" r="BT928">
        <v>92</v>
      </c>
      <c s="6" r="BY928">
        <v>0</v>
      </c>
    </row>
    <row customHeight="1" r="929" ht="14.25">
      <c t="s" s="6" r="A929">
        <v>6954</v>
      </c>
      <c t="s" s="6" r="B929">
        <v>131</v>
      </c>
      <c t="s" s="6" r="E929">
        <v>6955</v>
      </c>
      <c t="s" s="6" r="F929">
        <v>81</v>
      </c>
      <c t="s" s="6" r="G929">
        <v>6956</v>
      </c>
      <c s="6" r="H929">
        <v>0</v>
      </c>
      <c t="s" s="6" r="I929">
        <v>155</v>
      </c>
      <c t="s" s="6" r="L929">
        <v>156</v>
      </c>
      <c t="s" s="6" r="M929">
        <v>5005</v>
      </c>
      <c s="6" r="N929">
        <v>0</v>
      </c>
      <c s="6" r="O929">
        <v>0</v>
      </c>
      <c t="s" s="6" r="R929">
        <v>6957</v>
      </c>
      <c t="s" s="6" r="S929">
        <v>6958</v>
      </c>
      <c t="s" s="6" r="T929">
        <v>5200</v>
      </c>
      <c t="s" s="6" r="U929">
        <v>6959</v>
      </c>
      <c s="6" r="V929">
        <v>1</v>
      </c>
      <c s="6" r="W929">
        <v>1</v>
      </c>
      <c s="6" r="X929">
        <v>1</v>
      </c>
      <c s="6" r="Y929">
        <v>0</v>
      </c>
      <c s="6" r="Z929">
        <v>0</v>
      </c>
      <c t="s" s="6" r="AA929">
        <v>92</v>
      </c>
      <c t="s" s="6" r="AB929">
        <v>92</v>
      </c>
      <c t="s" s="6" r="AC929">
        <v>92</v>
      </c>
      <c t="s" s="6" r="AD929">
        <v>92</v>
      </c>
      <c s="6" r="AE929">
        <v>2</v>
      </c>
      <c t="s" s="6" r="AF929">
        <v>92</v>
      </c>
      <c t="s" s="6" r="AG929">
        <v>92</v>
      </c>
      <c s="6" r="AH929">
        <v>2</v>
      </c>
      <c t="s" s="6" r="AI929">
        <v>92</v>
      </c>
      <c s="6" r="AJ929">
        <v>2</v>
      </c>
      <c s="6" r="AK929">
        <v>2</v>
      </c>
      <c t="s" s="6" r="AL929">
        <v>92</v>
      </c>
      <c t="s" s="6" r="AM929">
        <v>92</v>
      </c>
      <c t="s" s="6" r="AN929">
        <v>92</v>
      </c>
      <c s="6" r="AP929">
        <v>2</v>
      </c>
      <c t="s" s="6" r="AR929">
        <v>6960</v>
      </c>
      <c s="6" r="AS929">
        <v>0</v>
      </c>
      <c s="6" r="AT929">
        <v>0</v>
      </c>
      <c s="6" r="AU929">
        <v>0</v>
      </c>
      <c s="6" r="AV929">
        <v>0</v>
      </c>
      <c s="6" r="AW929">
        <v>0</v>
      </c>
      <c s="6" r="AX929">
        <v>0</v>
      </c>
      <c s="6" r="AY929">
        <v>0</v>
      </c>
      <c s="6" r="AZ929">
        <v>0</v>
      </c>
      <c s="6" r="BA929">
        <v>0</v>
      </c>
      <c s="6" r="BB929">
        <v>0</v>
      </c>
      <c s="6" r="BC929">
        <v>0</v>
      </c>
      <c s="6" r="BD929">
        <v>0</v>
      </c>
      <c s="6" r="BE929">
        <v>0</v>
      </c>
      <c s="6" r="BF929">
        <v>0</v>
      </c>
      <c s="6" r="BG929">
        <v>0</v>
      </c>
      <c s="6" r="BH929">
        <v>0</v>
      </c>
      <c s="6" r="BI929">
        <v>0</v>
      </c>
      <c s="6" r="BJ929">
        <v>0</v>
      </c>
      <c s="6" r="BK929">
        <v>0</v>
      </c>
      <c s="6" r="BL929">
        <v>0</v>
      </c>
      <c s="6" r="BM929">
        <v>0</v>
      </c>
      <c s="6" r="BN929">
        <v>0</v>
      </c>
      <c s="6" r="BO929">
        <v>0</v>
      </c>
      <c s="6" r="BP929">
        <v>0</v>
      </c>
      <c s="6" r="BQ929">
        <v>0</v>
      </c>
      <c t="str" s="6" r="BR929">
        <f>HYPERLINK("http://www.d20pfsrd.com/magic/all-spells/p/perceive-cues","Perceive Cues")</f>
        <v>Perceive Cues</v>
      </c>
      <c s="6" r="BS929">
        <v>942</v>
      </c>
      <c t="s" s="6" r="BT929">
        <v>92</v>
      </c>
      <c s="6" r="BY929">
        <v>0</v>
      </c>
    </row>
    <row customHeight="1" r="930" ht="14.25">
      <c t="s" s="6" r="A930">
        <v>6961</v>
      </c>
      <c t="s" s="6" r="B930">
        <v>174</v>
      </c>
      <c t="s" s="6" r="E930">
        <v>6176</v>
      </c>
      <c t="s" s="6" r="F930">
        <v>197</v>
      </c>
      <c t="s" s="6" r="G930">
        <v>6962</v>
      </c>
      <c s="6" r="H930">
        <v>0</v>
      </c>
      <c t="s" s="6" r="I930">
        <v>120</v>
      </c>
      <c t="s" s="6" r="L930">
        <v>6963</v>
      </c>
      <c t="s" s="6" r="M930">
        <v>109</v>
      </c>
      <c s="6" r="N930">
        <v>0</v>
      </c>
      <c s="6" r="O930">
        <v>0</v>
      </c>
      <c t="s" s="6" r="P930">
        <v>86</v>
      </c>
      <c t="s" s="6" r="Q930">
        <v>87</v>
      </c>
      <c t="s" s="6" r="R930">
        <v>6964</v>
      </c>
      <c t="s" s="6" r="S930">
        <v>6965</v>
      </c>
      <c t="s" s="6" r="T930">
        <v>5200</v>
      </c>
      <c t="s" s="6" r="U930">
        <v>6966</v>
      </c>
      <c s="6" r="V930">
        <v>1</v>
      </c>
      <c s="6" r="W930">
        <v>1</v>
      </c>
      <c s="6" r="X930">
        <v>1</v>
      </c>
      <c s="6" r="Y930">
        <v>0</v>
      </c>
      <c s="6" r="Z930">
        <v>0</v>
      </c>
      <c t="s" s="6" r="AA930">
        <v>92</v>
      </c>
      <c t="s" s="6" r="AB930">
        <v>92</v>
      </c>
      <c t="s" s="6" r="AC930">
        <v>92</v>
      </c>
      <c t="s" s="6" r="AD930">
        <v>92</v>
      </c>
      <c s="6" r="AE930">
        <v>1</v>
      </c>
      <c t="s" s="6" r="AF930">
        <v>92</v>
      </c>
      <c t="s" s="6" r="AG930">
        <v>92</v>
      </c>
      <c t="s" s="6" r="AH930">
        <v>92</v>
      </c>
      <c t="s" s="6" r="AI930">
        <v>92</v>
      </c>
      <c t="s" s="6" r="AJ930">
        <v>92</v>
      </c>
      <c t="s" s="6" r="AK930">
        <v>92</v>
      </c>
      <c t="s" s="6" r="AL930">
        <v>92</v>
      </c>
      <c t="s" s="6" r="AM930">
        <v>92</v>
      </c>
      <c t="s" s="6" r="AN930">
        <v>92</v>
      </c>
      <c s="6" r="AP930">
        <v>1</v>
      </c>
      <c t="s" s="6" r="AR930">
        <v>6967</v>
      </c>
      <c s="6" r="AS930">
        <v>0</v>
      </c>
      <c s="6" r="AT930">
        <v>0</v>
      </c>
      <c s="6" r="AU930">
        <v>0</v>
      </c>
      <c s="6" r="AV930">
        <v>0</v>
      </c>
      <c s="6" r="AW930">
        <v>0</v>
      </c>
      <c s="6" r="AX930">
        <v>0</v>
      </c>
      <c s="6" r="AY930">
        <v>0</v>
      </c>
      <c s="6" r="AZ930">
        <v>0</v>
      </c>
      <c s="6" r="BA930">
        <v>0</v>
      </c>
      <c s="6" r="BB930">
        <v>0</v>
      </c>
      <c s="6" r="BC930">
        <v>0</v>
      </c>
      <c s="6" r="BD930">
        <v>0</v>
      </c>
      <c s="6" r="BE930">
        <v>0</v>
      </c>
      <c s="6" r="BF930">
        <v>0</v>
      </c>
      <c s="6" r="BG930">
        <v>0</v>
      </c>
      <c s="6" r="BH930">
        <v>0</v>
      </c>
      <c s="6" r="BI930">
        <v>0</v>
      </c>
      <c s="6" r="BJ930">
        <v>0</v>
      </c>
      <c s="6" r="BK930">
        <v>0</v>
      </c>
      <c s="6" r="BL930">
        <v>0</v>
      </c>
      <c s="6" r="BM930">
        <v>0</v>
      </c>
      <c s="6" r="BN930">
        <v>0</v>
      </c>
      <c s="6" r="BO930">
        <v>0</v>
      </c>
      <c s="6" r="BP930">
        <v>0</v>
      </c>
      <c s="6" r="BQ930">
        <v>0</v>
      </c>
      <c t="str" s="6" r="BR930">
        <f>HYPERLINK("http://www.d20pfsrd.com/magic/all-spells/r/residual-tracking","Residual Tracking")</f>
        <v>Residual Tracking</v>
      </c>
      <c s="6" r="BS930">
        <v>943</v>
      </c>
      <c t="s" s="6" r="BT930">
        <v>92</v>
      </c>
      <c s="6" r="BY930">
        <v>0</v>
      </c>
    </row>
    <row customHeight="1" r="931" ht="14.25">
      <c t="s" s="6" r="A931">
        <v>6968</v>
      </c>
      <c t="s" s="6" r="B931">
        <v>78</v>
      </c>
      <c t="s" s="6" r="C931">
        <v>598</v>
      </c>
      <c t="s" s="6" r="D931">
        <v>54</v>
      </c>
      <c t="s" s="6" r="E931">
        <v>6129</v>
      </c>
      <c t="s" s="6" r="F931">
        <v>81</v>
      </c>
      <c t="s" s="6" r="G931">
        <v>119</v>
      </c>
      <c s="6" r="H931">
        <v>0</v>
      </c>
      <c t="s" s="6" r="I931">
        <v>107</v>
      </c>
      <c t="s" s="6" r="L931">
        <v>473</v>
      </c>
      <c t="s" s="6" r="M931">
        <v>6969</v>
      </c>
      <c s="6" r="N931">
        <v>0</v>
      </c>
      <c s="6" r="O931">
        <v>0</v>
      </c>
      <c t="s" s="6" r="P931">
        <v>421</v>
      </c>
      <c t="s" s="6" r="Q931">
        <v>123</v>
      </c>
      <c t="s" s="6" r="R931">
        <v>6970</v>
      </c>
      <c t="s" s="6" r="S931">
        <v>6971</v>
      </c>
      <c t="s" s="6" r="T931">
        <v>5200</v>
      </c>
      <c t="s" s="6" r="U931">
        <v>6972</v>
      </c>
      <c s="6" r="V931">
        <v>1</v>
      </c>
      <c s="6" r="W931">
        <v>1</v>
      </c>
      <c s="6" r="X931">
        <v>0</v>
      </c>
      <c s="6" r="Y931">
        <v>0</v>
      </c>
      <c s="6" r="Z931">
        <v>1</v>
      </c>
      <c t="s" s="6" r="AA931">
        <v>92</v>
      </c>
      <c t="s" s="6" r="AB931">
        <v>92</v>
      </c>
      <c s="6" r="AC931">
        <v>2</v>
      </c>
      <c t="s" s="6" r="AD931">
        <v>92</v>
      </c>
      <c t="s" s="6" r="AE931">
        <v>92</v>
      </c>
      <c t="s" s="6" r="AF931">
        <v>92</v>
      </c>
      <c s="6" r="AG931">
        <v>2</v>
      </c>
      <c t="s" s="6" r="AH931">
        <v>92</v>
      </c>
      <c t="s" s="6" r="AI931">
        <v>92</v>
      </c>
      <c t="s" s="6" r="AJ931">
        <v>92</v>
      </c>
      <c t="s" s="6" r="AK931">
        <v>92</v>
      </c>
      <c s="6" r="AL931">
        <v>2</v>
      </c>
      <c t="s" s="6" r="AM931">
        <v>92</v>
      </c>
      <c t="s" s="6" r="AN931">
        <v>92</v>
      </c>
      <c s="6" r="AP931">
        <v>2</v>
      </c>
      <c t="s" s="6" r="AR931">
        <v>6973</v>
      </c>
      <c s="6" r="AS931">
        <v>0</v>
      </c>
      <c s="6" r="AT931">
        <v>0</v>
      </c>
      <c s="6" r="AU931">
        <v>0</v>
      </c>
      <c s="6" r="AV931">
        <v>0</v>
      </c>
      <c s="6" r="AW931">
        <v>0</v>
      </c>
      <c s="6" r="AX931">
        <v>0</v>
      </c>
      <c s="6" r="AY931">
        <v>0</v>
      </c>
      <c s="6" r="AZ931">
        <v>0</v>
      </c>
      <c s="6" r="BA931">
        <v>0</v>
      </c>
      <c s="6" r="BB931">
        <v>0</v>
      </c>
      <c s="6" r="BC931">
        <v>1</v>
      </c>
      <c s="6" r="BD931">
        <v>0</v>
      </c>
      <c s="6" r="BE931">
        <v>0</v>
      </c>
      <c s="6" r="BF931">
        <v>0</v>
      </c>
      <c s="6" r="BG931">
        <v>0</v>
      </c>
      <c s="6" r="BH931">
        <v>0</v>
      </c>
      <c s="6" r="BI931">
        <v>0</v>
      </c>
      <c s="6" r="BJ931">
        <v>0</v>
      </c>
      <c s="6" r="BK931">
        <v>0</v>
      </c>
      <c s="6" r="BL931">
        <v>0</v>
      </c>
      <c s="6" r="BM931">
        <v>0</v>
      </c>
      <c s="6" r="BN931">
        <v>0</v>
      </c>
      <c s="6" r="BO931">
        <v>0</v>
      </c>
      <c s="6" r="BP931">
        <v>0</v>
      </c>
      <c s="6" r="BQ931">
        <v>0</v>
      </c>
      <c t="str" s="6" r="BR931">
        <f>HYPERLINK("http://www.d20pfsrd.com/magic/all-spells/b/blessing-of-courage-and-life","Blessing of Courage and Life")</f>
        <v>Blessing of Courage and Life</v>
      </c>
      <c s="6" r="BS931">
        <v>944</v>
      </c>
      <c t="s" s="6" r="BT931">
        <v>92</v>
      </c>
      <c t="s" s="6" r="BV931">
        <v>783</v>
      </c>
      <c s="6" r="BY931">
        <v>0</v>
      </c>
    </row>
    <row customHeight="1" r="932" ht="14.25">
      <c t="s" s="6" r="A932">
        <v>6974</v>
      </c>
      <c t="s" s="6" r="B932">
        <v>78</v>
      </c>
      <c t="s" s="6" r="C932">
        <v>3188</v>
      </c>
      <c t="s" s="6" r="D932">
        <v>6975</v>
      </c>
      <c t="s" s="6" r="E932">
        <v>1029</v>
      </c>
      <c t="s" s="6" r="F932">
        <v>81</v>
      </c>
      <c t="s" s="6" r="G932">
        <v>106</v>
      </c>
      <c s="6" r="H932">
        <v>0</v>
      </c>
      <c t="s" s="6" r="I932">
        <v>83</v>
      </c>
      <c t="s" s="6" r="L932">
        <v>6976</v>
      </c>
      <c t="s" s="6" r="M932">
        <v>6977</v>
      </c>
      <c s="6" r="N932">
        <v>0</v>
      </c>
      <c s="6" r="O932">
        <v>0</v>
      </c>
      <c t="s" s="6" r="P932">
        <v>4129</v>
      </c>
      <c t="s" s="6" r="Q932">
        <v>87</v>
      </c>
      <c t="s" s="6" r="R932">
        <v>6978</v>
      </c>
      <c t="s" s="6" r="S932">
        <v>6979</v>
      </c>
      <c t="s" s="6" r="T932">
        <v>6980</v>
      </c>
      <c t="s" s="6" r="U932">
        <v>6981</v>
      </c>
      <c s="6" r="V932">
        <v>1</v>
      </c>
      <c s="6" r="W932">
        <v>1</v>
      </c>
      <c s="6" r="X932">
        <v>0</v>
      </c>
      <c s="6" r="Y932">
        <v>0</v>
      </c>
      <c s="6" r="Z932">
        <v>0</v>
      </c>
      <c s="6" r="AA932">
        <v>8</v>
      </c>
      <c s="6" r="AB932">
        <v>8</v>
      </c>
      <c s="6" r="AC932">
        <v>8</v>
      </c>
      <c t="s" s="6" r="AD932">
        <v>92</v>
      </c>
      <c t="s" s="6" r="AE932">
        <v>92</v>
      </c>
      <c t="s" s="6" r="AF932">
        <v>92</v>
      </c>
      <c t="s" s="6" r="AG932">
        <v>92</v>
      </c>
      <c t="s" s="6" r="AH932">
        <v>92</v>
      </c>
      <c t="s" s="6" r="AI932">
        <v>92</v>
      </c>
      <c t="s" s="6" r="AJ932">
        <v>92</v>
      </c>
      <c t="s" s="6" r="AK932">
        <v>92</v>
      </c>
      <c s="6" r="AL932">
        <v>8</v>
      </c>
      <c t="s" s="6" r="AM932">
        <v>92</v>
      </c>
      <c t="s" s="6" r="AN932">
        <v>92</v>
      </c>
      <c s="6" r="AP932">
        <v>8</v>
      </c>
      <c s="6" r="AS932">
        <v>0</v>
      </c>
      <c s="6" r="AT932">
        <v>0</v>
      </c>
      <c s="6" r="AU932">
        <v>1</v>
      </c>
      <c s="6" r="AV932">
        <v>0</v>
      </c>
      <c s="6" r="AW932">
        <v>0</v>
      </c>
      <c s="6" r="AX932">
        <v>0</v>
      </c>
      <c s="6" r="AY932">
        <v>0</v>
      </c>
      <c s="6" r="AZ932">
        <v>0</v>
      </c>
      <c s="6" r="BA932">
        <v>0</v>
      </c>
      <c s="6" r="BB932">
        <v>0</v>
      </c>
      <c s="6" r="BC932">
        <v>0</v>
      </c>
      <c s="6" r="BD932">
        <v>1</v>
      </c>
      <c s="6" r="BE932">
        <v>0</v>
      </c>
      <c s="6" r="BF932">
        <v>0</v>
      </c>
      <c s="6" r="BG932">
        <v>0</v>
      </c>
      <c s="6" r="BH932">
        <v>0</v>
      </c>
      <c s="6" r="BI932">
        <v>0</v>
      </c>
      <c s="6" r="BJ932">
        <v>0</v>
      </c>
      <c s="6" r="BK932">
        <v>0</v>
      </c>
      <c s="6" r="BL932">
        <v>0</v>
      </c>
      <c s="6" r="BM932">
        <v>0</v>
      </c>
      <c s="6" r="BN932">
        <v>0</v>
      </c>
      <c s="6" r="BO932">
        <v>0</v>
      </c>
      <c s="6" r="BP932">
        <v>0</v>
      </c>
      <c s="6" r="BQ932">
        <v>0</v>
      </c>
      <c t="s" s="6" r="BR932">
        <v>92</v>
      </c>
      <c s="6" r="BS932">
        <v>946</v>
      </c>
      <c t="s" s="6" r="BT932">
        <v>92</v>
      </c>
      <c s="6" r="BY932">
        <v>0</v>
      </c>
    </row>
    <row customHeight="1" r="933" ht="14.25">
      <c t="s" s="6" r="A933">
        <v>6982</v>
      </c>
      <c t="s" s="6" r="B933">
        <v>131</v>
      </c>
      <c t="s" s="6" r="E933">
        <v>6983</v>
      </c>
      <c t="s" s="6" r="F933">
        <v>5881</v>
      </c>
      <c t="s" s="6" r="G933">
        <v>106</v>
      </c>
      <c s="6" r="H933">
        <v>0</v>
      </c>
      <c t="s" s="6" r="I933">
        <v>155</v>
      </c>
      <c t="s" s="6" r="L933">
        <v>156</v>
      </c>
      <c t="s" s="6" r="M933">
        <v>109</v>
      </c>
      <c s="6" r="N933">
        <v>0</v>
      </c>
      <c s="6" r="O933">
        <v>0</v>
      </c>
      <c t="s" s="6" r="R933">
        <v>6984</v>
      </c>
      <c t="s" s="6" r="S933">
        <v>6985</v>
      </c>
      <c t="s" s="6" r="T933">
        <v>6986</v>
      </c>
      <c t="s" s="6" r="U933">
        <v>6987</v>
      </c>
      <c s="6" r="V933">
        <v>1</v>
      </c>
      <c s="6" r="W933">
        <v>1</v>
      </c>
      <c s="6" r="X933">
        <v>0</v>
      </c>
      <c s="6" r="Y933">
        <v>0</v>
      </c>
      <c s="6" r="Z933">
        <v>0</v>
      </c>
      <c s="6" r="AA933">
        <v>3</v>
      </c>
      <c s="6" r="AB933">
        <v>3</v>
      </c>
      <c s="6" r="AC933">
        <v>3</v>
      </c>
      <c t="s" s="6" r="AD933">
        <v>92</v>
      </c>
      <c t="s" s="6" r="AE933">
        <v>92</v>
      </c>
      <c s="6" r="AF933">
        <v>3</v>
      </c>
      <c t="s" s="6" r="AG933">
        <v>92</v>
      </c>
      <c t="s" s="6" r="AH933">
        <v>92</v>
      </c>
      <c t="s" s="6" r="AI933">
        <v>92</v>
      </c>
      <c t="s" s="6" r="AJ933">
        <v>92</v>
      </c>
      <c t="s" s="6" r="AK933">
        <v>92</v>
      </c>
      <c s="6" r="AL933">
        <v>3</v>
      </c>
      <c t="s" s="6" r="AM933">
        <v>92</v>
      </c>
      <c t="s" s="6" r="AN933">
        <v>92</v>
      </c>
      <c t="s" s="6" r="AO933">
        <v>6988</v>
      </c>
      <c s="6" r="AP933">
        <v>3</v>
      </c>
      <c s="6" r="AS933">
        <v>0</v>
      </c>
      <c s="6" r="AT933">
        <v>0</v>
      </c>
      <c s="6" r="AU933">
        <v>0</v>
      </c>
      <c s="6" r="AV933">
        <v>0</v>
      </c>
      <c s="6" r="AW933">
        <v>0</v>
      </c>
      <c s="6" r="AX933">
        <v>0</v>
      </c>
      <c s="6" r="AY933">
        <v>0</v>
      </c>
      <c s="6" r="AZ933">
        <v>0</v>
      </c>
      <c s="6" r="BA933">
        <v>0</v>
      </c>
      <c s="6" r="BB933">
        <v>0</v>
      </c>
      <c s="6" r="BC933">
        <v>0</v>
      </c>
      <c s="6" r="BD933">
        <v>0</v>
      </c>
      <c s="6" r="BE933">
        <v>0</v>
      </c>
      <c s="6" r="BF933">
        <v>0</v>
      </c>
      <c s="6" r="BG933">
        <v>0</v>
      </c>
      <c s="6" r="BH933">
        <v>0</v>
      </c>
      <c s="6" r="BI933">
        <v>0</v>
      </c>
      <c s="6" r="BJ933">
        <v>0</v>
      </c>
      <c s="6" r="BK933">
        <v>0</v>
      </c>
      <c s="6" r="BL933">
        <v>0</v>
      </c>
      <c s="6" r="BM933">
        <v>0</v>
      </c>
      <c s="6" r="BN933">
        <v>0</v>
      </c>
      <c s="6" r="BO933">
        <v>0</v>
      </c>
      <c s="6" r="BP933">
        <v>0</v>
      </c>
      <c s="6" r="BQ933">
        <v>0</v>
      </c>
      <c t="s" s="6" r="BR933">
        <v>92</v>
      </c>
      <c s="6" r="BS933">
        <v>949</v>
      </c>
      <c t="s" s="6" r="BT933">
        <v>92</v>
      </c>
      <c s="6" r="BY933">
        <v>0</v>
      </c>
    </row>
    <row customHeight="1" r="934" ht="14.25">
      <c t="s" s="6" r="A934">
        <v>6989</v>
      </c>
      <c t="s" s="6" r="B934">
        <v>115</v>
      </c>
      <c t="s" s="6" r="C934">
        <v>116</v>
      </c>
      <c t="s" s="6" r="D934">
        <v>117</v>
      </c>
      <c t="s" s="6" r="E934">
        <v>6990</v>
      </c>
      <c t="s" s="6" r="F934">
        <v>81</v>
      </c>
      <c t="s" s="6" r="G934">
        <v>6991</v>
      </c>
      <c s="6" r="H934">
        <v>0</v>
      </c>
      <c t="s" s="6" r="I934">
        <v>97</v>
      </c>
      <c t="s" s="6" r="L934">
        <v>473</v>
      </c>
      <c t="s" s="6" r="M934">
        <v>6469</v>
      </c>
      <c s="6" r="N934">
        <v>1</v>
      </c>
      <c s="6" r="O934">
        <v>0</v>
      </c>
      <c t="s" s="6" r="P934">
        <v>474</v>
      </c>
      <c t="s" s="6" r="Q934">
        <v>188</v>
      </c>
      <c t="s" s="6" r="R934">
        <v>6992</v>
      </c>
      <c t="s" s="6" r="S934">
        <v>6993</v>
      </c>
      <c t="s" s="6" r="T934">
        <v>6994</v>
      </c>
      <c t="s" s="6" r="U934">
        <v>6995</v>
      </c>
      <c s="6" r="V934">
        <v>1</v>
      </c>
      <c s="6" r="W934">
        <v>1</v>
      </c>
      <c s="6" r="X934">
        <v>1</v>
      </c>
      <c s="6" r="Y934">
        <v>0</v>
      </c>
      <c s="6" r="Z934">
        <v>1</v>
      </c>
      <c s="6" r="AA934">
        <v>5</v>
      </c>
      <c s="6" r="AB934">
        <v>5</v>
      </c>
      <c s="6" r="AC934">
        <v>5</v>
      </c>
      <c t="s" s="6" r="AD934">
        <v>92</v>
      </c>
      <c t="s" s="6" r="AE934">
        <v>92</v>
      </c>
      <c t="s" s="6" r="AF934">
        <v>92</v>
      </c>
      <c t="s" s="6" r="AG934">
        <v>92</v>
      </c>
      <c t="s" s="6" r="AH934">
        <v>92</v>
      </c>
      <c t="s" s="6" r="AI934">
        <v>92</v>
      </c>
      <c t="s" s="6" r="AJ934">
        <v>92</v>
      </c>
      <c t="s" s="6" r="AK934">
        <v>92</v>
      </c>
      <c s="6" r="AL934">
        <v>5</v>
      </c>
      <c t="s" s="6" r="AM934">
        <v>92</v>
      </c>
      <c t="s" s="6" r="AN934">
        <v>92</v>
      </c>
      <c s="6" r="AP934">
        <v>5</v>
      </c>
      <c s="6" r="AS934">
        <v>0</v>
      </c>
      <c s="6" r="AT934">
        <v>0</v>
      </c>
      <c s="6" r="AU934">
        <v>0</v>
      </c>
      <c s="6" r="AV934">
        <v>0</v>
      </c>
      <c s="6" r="AW934">
        <v>0</v>
      </c>
      <c s="6" r="AX934">
        <v>0</v>
      </c>
      <c s="6" r="AY934">
        <v>0</v>
      </c>
      <c s="6" r="AZ934">
        <v>0</v>
      </c>
      <c s="6" r="BA934">
        <v>0</v>
      </c>
      <c s="6" r="BB934">
        <v>0</v>
      </c>
      <c s="6" r="BC934">
        <v>0</v>
      </c>
      <c s="6" r="BD934">
        <v>0</v>
      </c>
      <c s="6" r="BE934">
        <v>0</v>
      </c>
      <c s="6" r="BF934">
        <v>0</v>
      </c>
      <c s="6" r="BG934">
        <v>0</v>
      </c>
      <c s="6" r="BH934">
        <v>0</v>
      </c>
      <c s="6" r="BI934">
        <v>0</v>
      </c>
      <c s="6" r="BJ934">
        <v>0</v>
      </c>
      <c s="6" r="BK934">
        <v>0</v>
      </c>
      <c s="6" r="BL934">
        <v>1</v>
      </c>
      <c s="6" r="BM934">
        <v>0</v>
      </c>
      <c s="6" r="BN934">
        <v>0</v>
      </c>
      <c s="6" r="BO934">
        <v>0</v>
      </c>
      <c s="6" r="BP934">
        <v>0</v>
      </c>
      <c s="6" r="BQ934">
        <v>0</v>
      </c>
      <c t="s" s="6" r="BR934">
        <v>92</v>
      </c>
      <c s="6" r="BS934">
        <v>950</v>
      </c>
      <c t="s" s="6" r="BT934">
        <v>92</v>
      </c>
      <c s="6" r="BY934">
        <v>0</v>
      </c>
    </row>
    <row customHeight="1" r="935" ht="14.25">
      <c t="s" s="6" r="A935">
        <v>6996</v>
      </c>
      <c t="s" s="6" r="B935">
        <v>174</v>
      </c>
      <c t="s" s="6" r="E935">
        <v>6997</v>
      </c>
      <c t="s" s="6" r="F935">
        <v>81</v>
      </c>
      <c t="s" s="6" r="G935">
        <v>106</v>
      </c>
      <c s="6" r="H935">
        <v>0</v>
      </c>
      <c t="s" s="6" r="I935">
        <v>155</v>
      </c>
      <c t="s" s="6" r="L935">
        <v>156</v>
      </c>
      <c t="s" s="6" r="M935">
        <v>99</v>
      </c>
      <c s="6" r="N935">
        <v>0</v>
      </c>
      <c s="6" r="O935">
        <v>0</v>
      </c>
      <c t="s" s="6" r="R935">
        <v>6998</v>
      </c>
      <c t="s" s="6" r="S935">
        <v>6999</v>
      </c>
      <c t="s" s="6" r="T935">
        <v>4909</v>
      </c>
      <c t="s" s="6" r="U935">
        <v>7000</v>
      </c>
      <c s="6" r="V935">
        <v>1</v>
      </c>
      <c s="6" r="W935">
        <v>1</v>
      </c>
      <c s="6" r="X935">
        <v>0</v>
      </c>
      <c s="6" r="Y935">
        <v>0</v>
      </c>
      <c s="6" r="Z935">
        <v>0</v>
      </c>
      <c t="s" s="6" r="AA935">
        <v>92</v>
      </c>
      <c t="s" s="6" r="AB935">
        <v>92</v>
      </c>
      <c s="6" r="AC935">
        <v>5</v>
      </c>
      <c s="6" r="AD935">
        <v>4</v>
      </c>
      <c t="s" s="6" r="AE935">
        <v>92</v>
      </c>
      <c t="s" s="6" r="AF935">
        <v>92</v>
      </c>
      <c t="s" s="6" r="AG935">
        <v>92</v>
      </c>
      <c s="6" r="AH935">
        <v>5</v>
      </c>
      <c t="s" s="6" r="AI935">
        <v>92</v>
      </c>
      <c t="s" s="6" r="AJ935">
        <v>92</v>
      </c>
      <c t="s" s="6" r="AK935">
        <v>92</v>
      </c>
      <c s="6" r="AL935">
        <v>5</v>
      </c>
      <c t="s" s="6" r="AM935">
        <v>92</v>
      </c>
      <c t="s" s="6" r="AN935">
        <v>92</v>
      </c>
      <c s="6" r="AP935">
        <v>5</v>
      </c>
      <c s="6" r="AS935">
        <v>0</v>
      </c>
      <c s="6" r="AT935">
        <v>0</v>
      </c>
      <c s="6" r="AU935">
        <v>0</v>
      </c>
      <c s="6" r="AV935">
        <v>0</v>
      </c>
      <c s="6" r="AW935">
        <v>0</v>
      </c>
      <c s="6" r="AX935">
        <v>0</v>
      </c>
      <c s="6" r="AY935">
        <v>0</v>
      </c>
      <c s="6" r="AZ935">
        <v>0</v>
      </c>
      <c s="6" r="BA935">
        <v>0</v>
      </c>
      <c s="6" r="BB935">
        <v>0</v>
      </c>
      <c s="6" r="BC935">
        <v>0</v>
      </c>
      <c s="6" r="BD935">
        <v>0</v>
      </c>
      <c s="6" r="BE935">
        <v>0</v>
      </c>
      <c s="6" r="BF935">
        <v>0</v>
      </c>
      <c s="6" r="BG935">
        <v>0</v>
      </c>
      <c s="6" r="BH935">
        <v>0</v>
      </c>
      <c s="6" r="BI935">
        <v>0</v>
      </c>
      <c s="6" r="BJ935">
        <v>0</v>
      </c>
      <c s="6" r="BK935">
        <v>0</v>
      </c>
      <c s="6" r="BL935">
        <v>0</v>
      </c>
      <c s="6" r="BM935">
        <v>0</v>
      </c>
      <c s="6" r="BN935">
        <v>0</v>
      </c>
      <c s="6" r="BO935">
        <v>0</v>
      </c>
      <c s="6" r="BP935">
        <v>0</v>
      </c>
      <c s="6" r="BQ935">
        <v>0</v>
      </c>
      <c t="str" s="6" r="BR935">
        <f>HYPERLINK("http://www.d20pfsrd.com/magic/all-spells/a/ancestral-memory","Ancestral Memory")</f>
        <v>Ancestral Memory</v>
      </c>
      <c s="6" r="BS935">
        <v>951</v>
      </c>
      <c t="s" s="6" r="BT935">
        <v>92</v>
      </c>
      <c s="6" r="BY935">
        <v>0</v>
      </c>
    </row>
    <row customHeight="1" r="936" ht="14.25">
      <c t="s" s="6" r="A936">
        <v>7001</v>
      </c>
      <c t="s" s="6" r="B936">
        <v>131</v>
      </c>
      <c t="s" s="6" r="E936">
        <v>7002</v>
      </c>
      <c t="s" s="6" r="F936">
        <v>81</v>
      </c>
      <c t="s" s="6" r="G936">
        <v>7003</v>
      </c>
      <c s="6" r="H936">
        <v>0</v>
      </c>
      <c t="s" s="6" r="I936">
        <v>120</v>
      </c>
      <c t="s" s="6" r="L936">
        <v>7004</v>
      </c>
      <c t="s" s="6" r="M936">
        <v>5005</v>
      </c>
      <c s="6" r="N936">
        <v>0</v>
      </c>
      <c s="6" r="O936">
        <v>0</v>
      </c>
      <c t="s" s="6" r="P936">
        <v>1227</v>
      </c>
      <c t="s" s="6" r="Q936">
        <v>123</v>
      </c>
      <c t="s" s="6" r="R936">
        <v>7005</v>
      </c>
      <c t="s" s="6" r="S936">
        <v>7006</v>
      </c>
      <c t="s" s="6" r="T936">
        <v>4909</v>
      </c>
      <c t="s" s="6" r="U936">
        <v>7007</v>
      </c>
      <c s="6" r="V936">
        <v>1</v>
      </c>
      <c s="6" r="W936">
        <v>1</v>
      </c>
      <c s="6" r="X936">
        <v>1</v>
      </c>
      <c s="6" r="Y936">
        <v>0</v>
      </c>
      <c s="6" r="Z936">
        <v>0</v>
      </c>
      <c t="s" s="6" r="AA936">
        <v>92</v>
      </c>
      <c t="s" s="6" r="AB936">
        <v>92</v>
      </c>
      <c s="6" r="AC936">
        <v>1</v>
      </c>
      <c t="s" s="6" r="AD936">
        <v>92</v>
      </c>
      <c t="s" s="6" r="AE936">
        <v>92</v>
      </c>
      <c t="s" s="6" r="AF936">
        <v>92</v>
      </c>
      <c t="s" s="6" r="AG936">
        <v>92</v>
      </c>
      <c t="s" s="6" r="AH936">
        <v>92</v>
      </c>
      <c t="s" s="6" r="AI936">
        <v>92</v>
      </c>
      <c t="s" s="6" r="AJ936">
        <v>92</v>
      </c>
      <c s="6" r="AK936">
        <v>1</v>
      </c>
      <c s="6" r="AL936">
        <v>1</v>
      </c>
      <c t="s" s="6" r="AM936">
        <v>92</v>
      </c>
      <c s="6" r="AN936">
        <v>1</v>
      </c>
      <c s="6" r="AP936">
        <v>1</v>
      </c>
      <c s="6" r="AS936">
        <v>0</v>
      </c>
      <c s="6" r="AT936">
        <v>0</v>
      </c>
      <c s="6" r="AU936">
        <v>0</v>
      </c>
      <c s="6" r="AV936">
        <v>0</v>
      </c>
      <c s="6" r="AW936">
        <v>0</v>
      </c>
      <c s="6" r="AX936">
        <v>0</v>
      </c>
      <c s="6" r="AY936">
        <v>0</v>
      </c>
      <c s="6" r="AZ936">
        <v>0</v>
      </c>
      <c s="6" r="BA936">
        <v>0</v>
      </c>
      <c s="6" r="BB936">
        <v>0</v>
      </c>
      <c s="6" r="BC936">
        <v>0</v>
      </c>
      <c s="6" r="BD936">
        <v>0</v>
      </c>
      <c s="6" r="BE936">
        <v>0</v>
      </c>
      <c s="6" r="BF936">
        <v>0</v>
      </c>
      <c s="6" r="BG936">
        <v>0</v>
      </c>
      <c s="6" r="BH936">
        <v>0</v>
      </c>
      <c s="6" r="BI936">
        <v>0</v>
      </c>
      <c s="6" r="BJ936">
        <v>0</v>
      </c>
      <c s="6" r="BK936">
        <v>0</v>
      </c>
      <c s="6" r="BL936">
        <v>0</v>
      </c>
      <c s="6" r="BM936">
        <v>0</v>
      </c>
      <c s="6" r="BN936">
        <v>0</v>
      </c>
      <c s="6" r="BO936">
        <v>0</v>
      </c>
      <c s="6" r="BP936">
        <v>0</v>
      </c>
      <c s="6" r="BQ936">
        <v>0</v>
      </c>
      <c t="str" s="6" r="BR936">
        <f>HYPERLINK("http://www.d20pfsrd.com/magic/all-spells/g/gorum-s-armor","Gorum's Armor")</f>
        <v>Gorum's Armor</v>
      </c>
      <c s="6" r="BS936">
        <v>953</v>
      </c>
      <c t="s" s="6" r="BT936">
        <v>92</v>
      </c>
      <c t="s" s="6" r="BW936">
        <v>7008</v>
      </c>
      <c s="6" r="BY936">
        <v>1</v>
      </c>
    </row>
    <row customHeight="1" r="937" ht="14.25">
      <c t="s" s="6" r="A937">
        <v>7009</v>
      </c>
      <c t="s" s="6" r="B937">
        <v>174</v>
      </c>
      <c t="s" s="6" r="E937">
        <v>787</v>
      </c>
      <c t="s" s="6" r="F937">
        <v>311</v>
      </c>
      <c t="s" s="6" r="G937">
        <v>7010</v>
      </c>
      <c s="6" r="H937">
        <v>0</v>
      </c>
      <c t="s" s="6" r="I937">
        <v>120</v>
      </c>
      <c t="s" s="6" r="L937">
        <v>1235</v>
      </c>
      <c t="s" s="6" r="M937">
        <v>7011</v>
      </c>
      <c s="6" r="N937">
        <v>0</v>
      </c>
      <c s="6" r="O937">
        <v>0</v>
      </c>
      <c t="s" s="6" r="R937">
        <v>7012</v>
      </c>
      <c t="s" s="6" r="S937">
        <v>7013</v>
      </c>
      <c t="s" s="6" r="T937">
        <v>4909</v>
      </c>
      <c t="s" s="6" r="U937">
        <v>7014</v>
      </c>
      <c s="6" r="V937">
        <v>1</v>
      </c>
      <c s="6" r="W937">
        <v>1</v>
      </c>
      <c s="6" r="X937">
        <v>0</v>
      </c>
      <c s="6" r="Y937">
        <v>0</v>
      </c>
      <c s="6" r="Z937">
        <v>0</v>
      </c>
      <c s="6" r="AA937">
        <v>3</v>
      </c>
      <c s="6" r="AB937">
        <v>3</v>
      </c>
      <c t="s" s="6" r="AC937">
        <v>92</v>
      </c>
      <c t="s" s="6" r="AD937">
        <v>92</v>
      </c>
      <c t="s" s="6" r="AE937">
        <v>92</v>
      </c>
      <c s="6" r="AF937">
        <v>3</v>
      </c>
      <c t="s" s="6" r="AG937">
        <v>92</v>
      </c>
      <c t="s" s="6" r="AH937">
        <v>92</v>
      </c>
      <c t="s" s="6" r="AI937">
        <v>92</v>
      </c>
      <c s="6" r="AJ937">
        <v>3</v>
      </c>
      <c t="s" s="6" r="AK937">
        <v>92</v>
      </c>
      <c t="s" s="6" r="AL937">
        <v>92</v>
      </c>
      <c t="s" s="6" r="AM937">
        <v>92</v>
      </c>
      <c t="s" s="6" r="AN937">
        <v>92</v>
      </c>
      <c s="6" r="AP937">
        <v>3</v>
      </c>
      <c s="6" r="AS937">
        <v>0</v>
      </c>
      <c s="6" r="AT937">
        <v>0</v>
      </c>
      <c s="6" r="AU937">
        <v>0</v>
      </c>
      <c s="6" r="AV937">
        <v>0</v>
      </c>
      <c s="6" r="AW937">
        <v>0</v>
      </c>
      <c s="6" r="AX937">
        <v>0</v>
      </c>
      <c s="6" r="AY937">
        <v>0</v>
      </c>
      <c s="6" r="AZ937">
        <v>0</v>
      </c>
      <c s="6" r="BA937">
        <v>0</v>
      </c>
      <c s="6" r="BB937">
        <v>0</v>
      </c>
      <c s="6" r="BC937">
        <v>0</v>
      </c>
      <c s="6" r="BD937">
        <v>0</v>
      </c>
      <c s="6" r="BE937">
        <v>0</v>
      </c>
      <c s="6" r="BF937">
        <v>0</v>
      </c>
      <c s="6" r="BG937">
        <v>0</v>
      </c>
      <c s="6" r="BH937">
        <v>0</v>
      </c>
      <c s="6" r="BI937">
        <v>0</v>
      </c>
      <c s="6" r="BJ937">
        <v>0</v>
      </c>
      <c s="6" r="BK937">
        <v>0</v>
      </c>
      <c s="6" r="BL937">
        <v>0</v>
      </c>
      <c s="6" r="BM937">
        <v>0</v>
      </c>
      <c s="6" r="BN937">
        <v>0</v>
      </c>
      <c s="6" r="BO937">
        <v>0</v>
      </c>
      <c s="6" r="BP937">
        <v>0</v>
      </c>
      <c s="6" r="BQ937">
        <v>0</v>
      </c>
      <c t="str" s="6" r="BR937">
        <f>HYPERLINK("http://www.d20pfsrd.com/magic/all-spells/h/harrowing","Harrowing")</f>
        <v>Harrowing</v>
      </c>
      <c s="6" r="BS937">
        <v>954</v>
      </c>
      <c t="s" s="6" r="BT937">
        <v>92</v>
      </c>
      <c t="s" s="6" r="BW937">
        <v>7015</v>
      </c>
      <c t="s" s="6" r="BX937">
        <v>7016</v>
      </c>
      <c s="6" r="BY937">
        <v>1</v>
      </c>
    </row>
    <row customHeight="1" r="938" ht="14.25">
      <c t="s" s="6" r="A938">
        <v>7017</v>
      </c>
      <c t="s" s="6" r="B938">
        <v>78</v>
      </c>
      <c t="s" s="6" r="C938">
        <v>598</v>
      </c>
      <c t="s" s="6" r="D938">
        <v>55</v>
      </c>
      <c t="s" s="6" r="E938">
        <v>7018</v>
      </c>
      <c t="s" s="6" r="F938">
        <v>272</v>
      </c>
      <c t="s" s="6" r="G938">
        <v>7019</v>
      </c>
      <c s="6" r="H938">
        <v>0</v>
      </c>
      <c t="s" s="6" r="I938">
        <v>120</v>
      </c>
      <c t="s" s="6" r="L938">
        <v>420</v>
      </c>
      <c t="s" s="6" r="M938">
        <v>197</v>
      </c>
      <c s="6" r="N938">
        <v>0</v>
      </c>
      <c s="6" r="O938">
        <v>0</v>
      </c>
      <c t="s" s="6" r="P938">
        <v>421</v>
      </c>
      <c t="s" s="6" r="Q938">
        <v>123</v>
      </c>
      <c t="s" s="6" r="R938">
        <v>7020</v>
      </c>
      <c t="s" s="6" r="S938">
        <v>7021</v>
      </c>
      <c t="s" s="6" r="T938">
        <v>4909</v>
      </c>
      <c t="s" s="6" r="U938">
        <v>7022</v>
      </c>
      <c s="6" r="V938">
        <v>1</v>
      </c>
      <c s="6" r="W938">
        <v>1</v>
      </c>
      <c s="6" r="X938">
        <v>1</v>
      </c>
      <c s="6" r="Y938">
        <v>0</v>
      </c>
      <c s="6" r="Z938">
        <v>0</v>
      </c>
      <c s="6" r="AA938">
        <v>1</v>
      </c>
      <c s="6" r="AB938">
        <v>1</v>
      </c>
      <c s="6" r="AC938">
        <v>1</v>
      </c>
      <c t="s" s="6" r="AD938">
        <v>92</v>
      </c>
      <c t="s" s="6" r="AE938">
        <v>92</v>
      </c>
      <c t="s" s="6" r="AF938">
        <v>92</v>
      </c>
      <c t="s" s="6" r="AG938">
        <v>92</v>
      </c>
      <c t="s" s="6" r="AH938">
        <v>92</v>
      </c>
      <c s="6" r="AI938">
        <v>1</v>
      </c>
      <c s="6" r="AJ938">
        <v>1</v>
      </c>
      <c t="s" s="6" r="AK938">
        <v>92</v>
      </c>
      <c s="6" r="AL938">
        <v>1</v>
      </c>
      <c t="s" s="6" r="AM938">
        <v>92</v>
      </c>
      <c s="6" r="AN938">
        <v>1</v>
      </c>
      <c s="6" r="AP938">
        <v>1</v>
      </c>
      <c s="6" r="AS938">
        <v>0</v>
      </c>
      <c s="6" r="AT938">
        <v>0</v>
      </c>
      <c s="6" r="AU938">
        <v>0</v>
      </c>
      <c s="6" r="AV938">
        <v>0</v>
      </c>
      <c s="6" r="AW938">
        <v>0</v>
      </c>
      <c s="6" r="AX938">
        <v>0</v>
      </c>
      <c s="6" r="AY938">
        <v>0</v>
      </c>
      <c s="6" r="AZ938">
        <v>0</v>
      </c>
      <c s="6" r="BA938">
        <v>0</v>
      </c>
      <c s="6" r="BB938">
        <v>0</v>
      </c>
      <c s="6" r="BC938">
        <v>0</v>
      </c>
      <c s="6" r="BD938">
        <v>1</v>
      </c>
      <c s="6" r="BE938">
        <v>0</v>
      </c>
      <c s="6" r="BF938">
        <v>0</v>
      </c>
      <c s="6" r="BG938">
        <v>0</v>
      </c>
      <c s="6" r="BH938">
        <v>0</v>
      </c>
      <c s="6" r="BI938">
        <v>0</v>
      </c>
      <c s="6" r="BJ938">
        <v>0</v>
      </c>
      <c s="6" r="BK938">
        <v>0</v>
      </c>
      <c s="6" r="BL938">
        <v>0</v>
      </c>
      <c s="6" r="BM938">
        <v>0</v>
      </c>
      <c s="6" r="BN938">
        <v>0</v>
      </c>
      <c s="6" r="BO938">
        <v>0</v>
      </c>
      <c s="6" r="BP938">
        <v>0</v>
      </c>
      <c s="6" r="BQ938">
        <v>0</v>
      </c>
      <c t="str" s="6" r="BR938">
        <f>HYPERLINK("http://www.d20pfsrd.com/magic/all-spells/i/infernal-healing","Infernal Healing")</f>
        <v>Infernal Healing</v>
      </c>
      <c s="6" r="BS938">
        <v>955</v>
      </c>
      <c t="s" s="6" r="BT938">
        <v>92</v>
      </c>
      <c s="6" r="BY938">
        <v>0</v>
      </c>
    </row>
    <row customHeight="1" r="939" ht="14.25">
      <c t="s" s="6" r="A939">
        <v>7023</v>
      </c>
      <c t="s" s="6" r="B939">
        <v>78</v>
      </c>
      <c t="s" s="6" r="C939">
        <v>598</v>
      </c>
      <c t="s" s="6" r="D939">
        <v>55</v>
      </c>
      <c t="s" s="6" r="E939">
        <v>7024</v>
      </c>
      <c t="s" s="6" r="F939">
        <v>272</v>
      </c>
      <c t="s" s="6" r="G939">
        <v>7019</v>
      </c>
      <c s="6" r="H939">
        <v>0</v>
      </c>
      <c t="s" s="6" r="I939">
        <v>120</v>
      </c>
      <c t="s" s="6" r="L939">
        <v>420</v>
      </c>
      <c t="s" s="6" r="M939">
        <v>197</v>
      </c>
      <c s="6" r="N939">
        <v>0</v>
      </c>
      <c s="6" r="O939">
        <v>0</v>
      </c>
      <c t="s" s="6" r="P939">
        <v>421</v>
      </c>
      <c t="s" s="6" r="Q939">
        <v>123</v>
      </c>
      <c t="s" s="6" r="R939">
        <v>7025</v>
      </c>
      <c t="s" s="6" r="S939">
        <v>7026</v>
      </c>
      <c t="s" s="6" r="T939">
        <v>4909</v>
      </c>
      <c t="s" s="6" r="U939">
        <v>7027</v>
      </c>
      <c s="6" r="V939">
        <v>1</v>
      </c>
      <c s="6" r="W939">
        <v>1</v>
      </c>
      <c s="6" r="X939">
        <v>1</v>
      </c>
      <c s="6" r="Y939">
        <v>0</v>
      </c>
      <c s="6" r="Z939">
        <v>0</v>
      </c>
      <c s="6" r="AA939">
        <v>4</v>
      </c>
      <c s="6" r="AB939">
        <v>4</v>
      </c>
      <c s="6" r="AC939">
        <v>4</v>
      </c>
      <c t="s" s="6" r="AD939">
        <v>92</v>
      </c>
      <c t="s" s="6" r="AE939">
        <v>92</v>
      </c>
      <c t="s" s="6" r="AF939">
        <v>92</v>
      </c>
      <c t="s" s="6" r="AG939">
        <v>92</v>
      </c>
      <c t="s" s="6" r="AH939">
        <v>92</v>
      </c>
      <c s="6" r="AI939">
        <v>4</v>
      </c>
      <c s="6" r="AJ939">
        <v>4</v>
      </c>
      <c t="s" s="6" r="AK939">
        <v>92</v>
      </c>
      <c s="6" r="AL939">
        <v>4</v>
      </c>
      <c t="s" s="6" r="AM939">
        <v>92</v>
      </c>
      <c s="6" r="AN939">
        <v>4</v>
      </c>
      <c s="6" r="AP939">
        <v>4</v>
      </c>
      <c s="6" r="AS939">
        <v>0</v>
      </c>
      <c s="6" r="AT939">
        <v>0</v>
      </c>
      <c s="6" r="AU939">
        <v>0</v>
      </c>
      <c s="6" r="AV939">
        <v>0</v>
      </c>
      <c s="6" r="AW939">
        <v>0</v>
      </c>
      <c s="6" r="AX939">
        <v>0</v>
      </c>
      <c s="6" r="AY939">
        <v>0</v>
      </c>
      <c s="6" r="AZ939">
        <v>0</v>
      </c>
      <c s="6" r="BA939">
        <v>0</v>
      </c>
      <c s="6" r="BB939">
        <v>0</v>
      </c>
      <c s="6" r="BC939">
        <v>0</v>
      </c>
      <c s="6" r="BD939">
        <v>1</v>
      </c>
      <c s="6" r="BE939">
        <v>0</v>
      </c>
      <c s="6" r="BF939">
        <v>0</v>
      </c>
      <c s="6" r="BG939">
        <v>0</v>
      </c>
      <c s="6" r="BH939">
        <v>0</v>
      </c>
      <c s="6" r="BI939">
        <v>0</v>
      </c>
      <c s="6" r="BJ939">
        <v>0</v>
      </c>
      <c s="6" r="BK939">
        <v>0</v>
      </c>
      <c s="6" r="BL939">
        <v>0</v>
      </c>
      <c s="6" r="BM939">
        <v>0</v>
      </c>
      <c s="6" r="BN939">
        <v>0</v>
      </c>
      <c s="6" r="BO939">
        <v>0</v>
      </c>
      <c s="6" r="BP939">
        <v>0</v>
      </c>
      <c s="6" r="BQ939">
        <v>0</v>
      </c>
      <c t="str" s="6" r="BR939">
        <f>HYPERLINK("http://www.d20pfsrd.com/magic/all-spells/i/infernal-healing","Infernal Healing, Greater")</f>
        <v>Infernal Healing, Greater</v>
      </c>
      <c s="6" r="BS939">
        <v>956</v>
      </c>
      <c t="s" s="6" r="BT939">
        <v>92</v>
      </c>
      <c s="6" r="BY939">
        <v>0</v>
      </c>
    </row>
    <row customHeight="1" r="940" ht="14.25">
      <c t="s" s="6" r="A940">
        <v>7028</v>
      </c>
      <c t="s" s="6" r="B940">
        <v>115</v>
      </c>
      <c t="s" s="6" r="C940">
        <v>116</v>
      </c>
      <c t="s" s="6" r="D940">
        <v>117</v>
      </c>
      <c t="s" s="6" r="E940">
        <v>7029</v>
      </c>
      <c t="s" s="6" r="F940">
        <v>197</v>
      </c>
      <c t="s" s="6" r="G940">
        <v>7030</v>
      </c>
      <c s="6" r="H940">
        <v>1</v>
      </c>
      <c t="s" s="6" r="I940">
        <v>120</v>
      </c>
      <c t="s" s="6" r="L940">
        <v>420</v>
      </c>
      <c t="s" s="6" r="M940">
        <v>7031</v>
      </c>
      <c s="6" r="N940">
        <v>1</v>
      </c>
      <c s="6" r="O940">
        <v>0</v>
      </c>
      <c t="s" s="6" r="P940">
        <v>421</v>
      </c>
      <c t="s" s="6" r="Q940">
        <v>7032</v>
      </c>
      <c t="s" s="6" r="R940">
        <v>7033</v>
      </c>
      <c t="s" s="6" r="S940">
        <v>7034</v>
      </c>
      <c t="s" s="6" r="T940">
        <v>4909</v>
      </c>
      <c t="s" s="6" r="U940">
        <v>7035</v>
      </c>
      <c s="6" r="V940">
        <v>1</v>
      </c>
      <c s="6" r="W940">
        <v>0</v>
      </c>
      <c s="6" r="X940">
        <v>1</v>
      </c>
      <c s="6" r="Y940">
        <v>0</v>
      </c>
      <c s="6" r="Z940">
        <v>0</v>
      </c>
      <c s="6" r="AA940">
        <v>3</v>
      </c>
      <c s="6" r="AB940">
        <v>3</v>
      </c>
      <c s="6" r="AC940">
        <v>3</v>
      </c>
      <c t="s" s="6" r="AD940">
        <v>92</v>
      </c>
      <c t="s" s="6" r="AE940">
        <v>92</v>
      </c>
      <c s="6" r="AF940">
        <v>3</v>
      </c>
      <c t="s" s="6" r="AG940">
        <v>92</v>
      </c>
      <c t="s" s="6" r="AH940">
        <v>92</v>
      </c>
      <c t="s" s="6" r="AI940">
        <v>92</v>
      </c>
      <c s="6" r="AJ940">
        <v>3</v>
      </c>
      <c t="s" s="6" r="AK940">
        <v>92</v>
      </c>
      <c s="6" r="AL940">
        <v>3</v>
      </c>
      <c t="s" s="6" r="AM940">
        <v>92</v>
      </c>
      <c t="s" s="6" r="AN940">
        <v>92</v>
      </c>
      <c s="6" r="AP940">
        <v>3</v>
      </c>
      <c s="6" r="AS940">
        <v>0</v>
      </c>
      <c s="6" r="AT940">
        <v>0</v>
      </c>
      <c s="6" r="AU940">
        <v>0</v>
      </c>
      <c s="6" r="AV940">
        <v>0</v>
      </c>
      <c s="6" r="AW940">
        <v>0</v>
      </c>
      <c s="6" r="AX940">
        <v>0</v>
      </c>
      <c s="6" r="AY940">
        <v>0</v>
      </c>
      <c s="6" r="AZ940">
        <v>0</v>
      </c>
      <c s="6" r="BA940">
        <v>0</v>
      </c>
      <c s="6" r="BB940">
        <v>0</v>
      </c>
      <c s="6" r="BC940">
        <v>0</v>
      </c>
      <c s="6" r="BD940">
        <v>0</v>
      </c>
      <c s="6" r="BE940">
        <v>0</v>
      </c>
      <c s="6" r="BF940">
        <v>0</v>
      </c>
      <c s="6" r="BG940">
        <v>0</v>
      </c>
      <c s="6" r="BH940">
        <v>0</v>
      </c>
      <c s="6" r="BI940">
        <v>0</v>
      </c>
      <c s="6" r="BJ940">
        <v>0</v>
      </c>
      <c s="6" r="BK940">
        <v>0</v>
      </c>
      <c s="6" r="BL940">
        <v>1</v>
      </c>
      <c s="6" r="BM940">
        <v>0</v>
      </c>
      <c s="6" r="BN940">
        <v>0</v>
      </c>
      <c s="6" r="BO940">
        <v>0</v>
      </c>
      <c s="6" r="BP940">
        <v>0</v>
      </c>
      <c s="6" r="BQ940">
        <v>0</v>
      </c>
      <c t="str" s="6" r="BR940">
        <f>HYPERLINK("http://www.d20pfsrd.com/magic/all-spells/l/lover-s-vengeance","Lover's Vengeance")</f>
        <v>Lover's Vengeance</v>
      </c>
      <c s="6" r="BS940">
        <v>958</v>
      </c>
      <c s="6" r="BT940">
        <v>100</v>
      </c>
      <c s="6" r="BY940">
        <v>0</v>
      </c>
    </row>
    <row customHeight="1" r="941" ht="14.25">
      <c t="s" s="6" r="A941">
        <v>7036</v>
      </c>
      <c t="s" s="6" r="B941">
        <v>493</v>
      </c>
      <c t="s" s="6" r="D941">
        <v>7037</v>
      </c>
      <c t="s" s="6" r="E941">
        <v>7038</v>
      </c>
      <c t="s" s="6" r="F941">
        <v>81</v>
      </c>
      <c t="s" s="6" r="G941">
        <v>119</v>
      </c>
      <c s="6" r="H941">
        <v>0</v>
      </c>
      <c t="s" s="6" r="I941">
        <v>155</v>
      </c>
      <c t="s" s="6" r="L941">
        <v>156</v>
      </c>
      <c t="s" s="6" r="M941">
        <v>99</v>
      </c>
      <c s="6" r="N941">
        <v>0</v>
      </c>
      <c s="6" r="O941">
        <v>0</v>
      </c>
      <c t="s" s="6" r="P941">
        <v>141</v>
      </c>
      <c t="s" s="6" r="Q941">
        <v>87</v>
      </c>
      <c t="s" s="6" r="R941">
        <v>7039</v>
      </c>
      <c t="s" s="6" r="S941">
        <v>7040</v>
      </c>
      <c t="s" s="6" r="T941">
        <v>4909</v>
      </c>
      <c t="s" s="6" r="U941">
        <v>7041</v>
      </c>
      <c s="6" r="V941">
        <v>1</v>
      </c>
      <c s="6" r="W941">
        <v>1</v>
      </c>
      <c s="6" r="X941">
        <v>0</v>
      </c>
      <c s="6" r="Y941">
        <v>0</v>
      </c>
      <c s="6" r="Z941">
        <v>1</v>
      </c>
      <c t="s" s="6" r="AA941">
        <v>92</v>
      </c>
      <c t="s" s="6" r="AB941">
        <v>92</v>
      </c>
      <c s="6" r="AC941">
        <v>4</v>
      </c>
      <c t="s" s="6" r="AD941">
        <v>92</v>
      </c>
      <c s="6" r="AE941">
        <v>4</v>
      </c>
      <c s="6" r="AF941">
        <v>4</v>
      </c>
      <c s="6" r="AG941">
        <v>4</v>
      </c>
      <c t="s" s="6" r="AH941">
        <v>92</v>
      </c>
      <c t="s" s="6" r="AI941">
        <v>92</v>
      </c>
      <c t="s" s="6" r="AJ941">
        <v>92</v>
      </c>
      <c t="s" s="6" r="AK941">
        <v>92</v>
      </c>
      <c s="6" r="AL941">
        <v>4</v>
      </c>
      <c t="s" s="6" r="AM941">
        <v>92</v>
      </c>
      <c s="6" r="AN941">
        <v>4</v>
      </c>
      <c s="6" r="AP941">
        <v>4</v>
      </c>
      <c s="6" r="AS941">
        <v>0</v>
      </c>
      <c s="6" r="AT941">
        <v>0</v>
      </c>
      <c s="6" r="AU941">
        <v>0</v>
      </c>
      <c s="6" r="AV941">
        <v>0</v>
      </c>
      <c s="6" r="AW941">
        <v>0</v>
      </c>
      <c s="6" r="AX941">
        <v>0</v>
      </c>
      <c s="6" r="AY941">
        <v>0</v>
      </c>
      <c s="6" r="AZ941">
        <v>0</v>
      </c>
      <c s="6" r="BA941">
        <v>0</v>
      </c>
      <c s="6" r="BB941">
        <v>0</v>
      </c>
      <c s="6" r="BC941">
        <v>0</v>
      </c>
      <c s="6" r="BD941">
        <v>0</v>
      </c>
      <c s="6" r="BE941">
        <v>0</v>
      </c>
      <c s="6" r="BF941">
        <v>1</v>
      </c>
      <c s="6" r="BG941">
        <v>0</v>
      </c>
      <c s="6" r="BH941">
        <v>1</v>
      </c>
      <c s="6" r="BI941">
        <v>0</v>
      </c>
      <c s="6" r="BJ941">
        <v>0</v>
      </c>
      <c s="6" r="BK941">
        <v>1</v>
      </c>
      <c s="6" r="BL941">
        <v>0</v>
      </c>
      <c s="6" r="BM941">
        <v>0</v>
      </c>
      <c s="6" r="BN941">
        <v>0</v>
      </c>
      <c s="6" r="BO941">
        <v>0</v>
      </c>
      <c s="6" r="BP941">
        <v>0</v>
      </c>
      <c s="6" r="BQ941">
        <v>0</v>
      </c>
      <c t="str" s="6" r="BR941">
        <f>HYPERLINK("http://www.d20pfsrd.com/magic/all-spells/s/shield-of-the-dawnflower","Shield of the Dawnflower")</f>
        <v>Shield of the Dawnflower</v>
      </c>
      <c s="6" r="BS941">
        <v>959</v>
      </c>
      <c t="s" s="6" r="BT941">
        <v>92</v>
      </c>
      <c t="s" s="6" r="BW941">
        <v>7042</v>
      </c>
      <c s="6" r="BY941">
        <v>1</v>
      </c>
    </row>
    <row customHeight="1" r="942" ht="14.25">
      <c t="s" s="6" r="A942">
        <v>7043</v>
      </c>
      <c t="s" s="6" r="B942">
        <v>162</v>
      </c>
      <c t="s" s="6" r="E942">
        <v>973</v>
      </c>
      <c t="s" s="6" r="F942">
        <v>311</v>
      </c>
      <c t="s" s="6" r="G942">
        <v>7044</v>
      </c>
      <c s="6" r="H942">
        <v>1</v>
      </c>
      <c t="s" s="6" r="I942">
        <v>97</v>
      </c>
      <c t="s" s="6" r="J942">
        <v>7045</v>
      </c>
      <c t="s" s="6" r="M942">
        <v>200</v>
      </c>
      <c s="6" r="N942">
        <v>0</v>
      </c>
      <c s="6" r="O942">
        <v>1</v>
      </c>
      <c t="s" s="6" r="P942">
        <v>221</v>
      </c>
      <c t="s" s="6" r="Q942">
        <v>188</v>
      </c>
      <c t="s" s="6" r="R942">
        <v>7046</v>
      </c>
      <c t="s" s="6" r="S942">
        <v>7047</v>
      </c>
      <c t="s" s="6" r="T942">
        <v>4909</v>
      </c>
      <c t="s" s="6" r="U942">
        <v>7048</v>
      </c>
      <c s="6" r="V942">
        <v>1</v>
      </c>
      <c s="6" r="W942">
        <v>1</v>
      </c>
      <c s="6" r="X942">
        <v>1</v>
      </c>
      <c s="6" r="Y942">
        <v>0</v>
      </c>
      <c s="6" r="Z942">
        <v>0</v>
      </c>
      <c s="6" r="AA942">
        <v>7</v>
      </c>
      <c s="6" r="AB942">
        <v>7</v>
      </c>
      <c t="s" s="6" r="AC942">
        <v>92</v>
      </c>
      <c t="s" s="6" r="AD942">
        <v>92</v>
      </c>
      <c t="s" s="6" r="AE942">
        <v>92</v>
      </c>
      <c t="s" s="6" r="AF942">
        <v>92</v>
      </c>
      <c t="s" s="6" r="AG942">
        <v>92</v>
      </c>
      <c t="s" s="6" r="AH942">
        <v>92</v>
      </c>
      <c t="s" s="6" r="AI942">
        <v>92</v>
      </c>
      <c t="s" s="6" r="AJ942">
        <v>92</v>
      </c>
      <c t="s" s="6" r="AK942">
        <v>92</v>
      </c>
      <c t="s" s="6" r="AL942">
        <v>92</v>
      </c>
      <c t="s" s="6" r="AM942">
        <v>92</v>
      </c>
      <c t="s" s="6" r="AN942">
        <v>92</v>
      </c>
      <c s="6" r="AP942">
        <v>7</v>
      </c>
      <c t="s" s="6" r="AQ942">
        <v>4021</v>
      </c>
      <c s="6" r="AS942">
        <v>0</v>
      </c>
      <c s="6" r="AT942">
        <v>0</v>
      </c>
      <c s="6" r="AU942">
        <v>0</v>
      </c>
      <c s="6" r="AV942">
        <v>0</v>
      </c>
      <c s="6" r="AW942">
        <v>0</v>
      </c>
      <c s="6" r="AX942">
        <v>0</v>
      </c>
      <c s="6" r="AY942">
        <v>0</v>
      </c>
      <c s="6" r="AZ942">
        <v>0</v>
      </c>
      <c s="6" r="BA942">
        <v>0</v>
      </c>
      <c s="6" r="BB942">
        <v>0</v>
      </c>
      <c s="6" r="BC942">
        <v>0</v>
      </c>
      <c s="6" r="BD942">
        <v>0</v>
      </c>
      <c s="6" r="BE942">
        <v>0</v>
      </c>
      <c s="6" r="BF942">
        <v>0</v>
      </c>
      <c s="6" r="BG942">
        <v>0</v>
      </c>
      <c s="6" r="BH942">
        <v>0</v>
      </c>
      <c s="6" r="BI942">
        <v>0</v>
      </c>
      <c s="6" r="BJ942">
        <v>0</v>
      </c>
      <c s="6" r="BK942">
        <v>0</v>
      </c>
      <c s="6" r="BL942">
        <v>0</v>
      </c>
      <c s="6" r="BM942">
        <v>0</v>
      </c>
      <c s="6" r="BN942">
        <v>0</v>
      </c>
      <c s="6" r="BO942">
        <v>0</v>
      </c>
      <c s="6" r="BP942">
        <v>0</v>
      </c>
      <c s="6" r="BQ942">
        <v>0</v>
      </c>
      <c t="str" s="6" r="BR942">
        <f>HYPERLINK("http://www.d20pfsrd.com/magic/all-spells/t/teleport-trap","Teleport Trap")</f>
        <v>Teleport Trap</v>
      </c>
      <c s="6" r="BS942">
        <v>960</v>
      </c>
      <c s="6" r="BT942">
        <v>100</v>
      </c>
      <c s="6" r="BY942">
        <v>0</v>
      </c>
    </row>
    <row customHeight="1" r="943" ht="14.25">
      <c t="s" s="6" r="A943">
        <v>7049</v>
      </c>
      <c t="s" s="6" r="B943">
        <v>115</v>
      </c>
      <c t="s" s="6" r="C943">
        <v>116</v>
      </c>
      <c t="s" s="6" r="D943">
        <v>117</v>
      </c>
      <c t="s" s="6" r="E943">
        <v>7050</v>
      </c>
      <c t="s" s="6" r="F943">
        <v>81</v>
      </c>
      <c t="s" s="6" r="G943">
        <v>106</v>
      </c>
      <c s="6" r="H943">
        <v>0</v>
      </c>
      <c t="s" s="6" r="I943">
        <v>107</v>
      </c>
      <c t="s" s="6" r="K943">
        <v>7051</v>
      </c>
      <c t="s" s="6" r="M943">
        <v>99</v>
      </c>
      <c s="6" r="N943">
        <v>0</v>
      </c>
      <c s="6" r="O943">
        <v>0</v>
      </c>
      <c t="s" s="6" r="P943">
        <v>421</v>
      </c>
      <c t="s" s="6" r="Q943">
        <v>123</v>
      </c>
      <c t="s" s="6" r="R943">
        <v>7052</v>
      </c>
      <c t="s" s="6" r="S943">
        <v>7053</v>
      </c>
      <c t="s" s="6" r="T943">
        <v>4909</v>
      </c>
      <c t="s" s="6" r="U943">
        <v>7054</v>
      </c>
      <c s="6" r="V943">
        <v>1</v>
      </c>
      <c s="6" r="W943">
        <v>1</v>
      </c>
      <c s="6" r="X943">
        <v>0</v>
      </c>
      <c s="6" r="Y943">
        <v>0</v>
      </c>
      <c s="6" r="Z943">
        <v>0</v>
      </c>
      <c t="s" s="6" r="AA943">
        <v>92</v>
      </c>
      <c t="s" s="6" r="AB943">
        <v>92</v>
      </c>
      <c s="6" r="AC943">
        <v>1</v>
      </c>
      <c t="s" s="6" r="AD943">
        <v>92</v>
      </c>
      <c s="6" r="AE943">
        <v>1</v>
      </c>
      <c s="6" r="AF943">
        <v>1</v>
      </c>
      <c s="6" r="AG943">
        <v>1</v>
      </c>
      <c t="s" s="6" r="AH943">
        <v>92</v>
      </c>
      <c t="s" s="6" r="AI943">
        <v>92</v>
      </c>
      <c s="6" r="AJ943">
        <v>1</v>
      </c>
      <c t="s" s="6" r="AK943">
        <v>92</v>
      </c>
      <c s="6" r="AL943">
        <v>1</v>
      </c>
      <c t="s" s="6" r="AM943">
        <v>92</v>
      </c>
      <c t="s" s="6" r="AN943">
        <v>92</v>
      </c>
      <c s="6" r="AP943">
        <v>1</v>
      </c>
      <c s="6" r="AS943">
        <v>0</v>
      </c>
      <c s="6" r="AT943">
        <v>0</v>
      </c>
      <c s="6" r="AU943">
        <v>0</v>
      </c>
      <c s="6" r="AV943">
        <v>0</v>
      </c>
      <c s="6" r="AW943">
        <v>0</v>
      </c>
      <c s="6" r="AX943">
        <v>0</v>
      </c>
      <c s="6" r="AY943">
        <v>0</v>
      </c>
      <c s="6" r="AZ943">
        <v>0</v>
      </c>
      <c s="6" r="BA943">
        <v>0</v>
      </c>
      <c s="6" r="BB943">
        <v>0</v>
      </c>
      <c s="6" r="BC943">
        <v>0</v>
      </c>
      <c s="6" r="BD943">
        <v>0</v>
      </c>
      <c s="6" r="BE943">
        <v>0</v>
      </c>
      <c s="6" r="BF943">
        <v>0</v>
      </c>
      <c s="6" r="BG943">
        <v>0</v>
      </c>
      <c s="6" r="BH943">
        <v>0</v>
      </c>
      <c s="6" r="BI943">
        <v>0</v>
      </c>
      <c s="6" r="BJ943">
        <v>0</v>
      </c>
      <c s="6" r="BK943">
        <v>0</v>
      </c>
      <c s="6" r="BL943">
        <v>1</v>
      </c>
      <c s="6" r="BM943">
        <v>0</v>
      </c>
      <c s="6" r="BN943">
        <v>0</v>
      </c>
      <c s="6" r="BO943">
        <v>0</v>
      </c>
      <c s="6" r="BP943">
        <v>0</v>
      </c>
      <c s="6" r="BQ943">
        <v>0</v>
      </c>
      <c t="str" s="6" r="BR943">
        <f>HYPERLINK("http://www.d20pfsrd.com/magic/all-spells/u/unbreakable-heart","Unbreakable Heart")</f>
        <v>Unbreakable Heart</v>
      </c>
      <c s="6" r="BS943">
        <v>961</v>
      </c>
      <c t="s" s="6" r="BT943">
        <v>92</v>
      </c>
      <c s="6" r="BY943">
        <v>0</v>
      </c>
    </row>
    <row customHeight="1" r="944" ht="14.25">
      <c t="s" s="6" r="A944">
        <v>7055</v>
      </c>
      <c t="s" s="6" r="B944">
        <v>579</v>
      </c>
      <c t="s" s="6" r="C944">
        <v>1523</v>
      </c>
      <c t="s" s="6" r="D944">
        <v>3053</v>
      </c>
      <c t="s" s="6" r="E944">
        <v>7056</v>
      </c>
      <c t="s" s="6" r="F944">
        <v>7057</v>
      </c>
      <c t="s" s="6" r="G944">
        <v>106</v>
      </c>
      <c s="6" r="H944">
        <v>0</v>
      </c>
      <c t="s" s="6" r="I944">
        <v>313</v>
      </c>
      <c t="s" s="6" r="L944">
        <v>473</v>
      </c>
      <c t="s" s="6" r="M944">
        <v>109</v>
      </c>
      <c s="6" r="N944">
        <v>0</v>
      </c>
      <c s="6" r="O944">
        <v>0</v>
      </c>
      <c t="s" s="6" r="P944">
        <v>2206</v>
      </c>
      <c t="s" s="6" r="Q944">
        <v>188</v>
      </c>
      <c t="s" s="6" r="R944">
        <v>7058</v>
      </c>
      <c t="s" s="6" r="S944">
        <v>7059</v>
      </c>
      <c t="s" s="6" r="T944">
        <v>4909</v>
      </c>
      <c t="s" s="6" r="U944">
        <v>7060</v>
      </c>
      <c s="6" r="V944">
        <v>1</v>
      </c>
      <c s="6" r="W944">
        <v>1</v>
      </c>
      <c s="6" r="X944">
        <v>0</v>
      </c>
      <c s="6" r="Y944">
        <v>0</v>
      </c>
      <c s="6" r="Z944">
        <v>0</v>
      </c>
      <c t="s" s="6" r="AA944">
        <v>92</v>
      </c>
      <c t="s" s="6" r="AB944">
        <v>92</v>
      </c>
      <c s="6" r="AC944">
        <v>7</v>
      </c>
      <c t="s" s="6" r="AD944">
        <v>92</v>
      </c>
      <c t="s" s="6" r="AE944">
        <v>92</v>
      </c>
      <c t="s" s="6" r="AF944">
        <v>92</v>
      </c>
      <c t="s" s="6" r="AG944">
        <v>92</v>
      </c>
      <c t="s" s="6" r="AH944">
        <v>92</v>
      </c>
      <c t="s" s="6" r="AI944">
        <v>92</v>
      </c>
      <c s="6" r="AJ944">
        <v>7</v>
      </c>
      <c s="6" r="AK944">
        <v>6</v>
      </c>
      <c s="6" r="AL944">
        <v>7</v>
      </c>
      <c t="s" s="6" r="AM944">
        <v>92</v>
      </c>
      <c t="s" s="6" r="AN944">
        <v>92</v>
      </c>
      <c s="6" r="AP944">
        <v>7</v>
      </c>
      <c s="6" r="AS944">
        <v>0</v>
      </c>
      <c s="6" r="AT944">
        <v>0</v>
      </c>
      <c s="6" r="AU944">
        <v>0</v>
      </c>
      <c s="6" r="AV944">
        <v>0</v>
      </c>
      <c s="6" r="AW944">
        <v>0</v>
      </c>
      <c s="6" r="AX944">
        <v>0</v>
      </c>
      <c s="6" r="AY944">
        <v>0</v>
      </c>
      <c s="6" r="AZ944">
        <v>0</v>
      </c>
      <c s="6" r="BA944">
        <v>0</v>
      </c>
      <c s="6" r="BB944">
        <v>0</v>
      </c>
      <c s="6" r="BC944">
        <v>0</v>
      </c>
      <c s="6" r="BD944">
        <v>1</v>
      </c>
      <c s="6" r="BE944">
        <v>0</v>
      </c>
      <c s="6" r="BF944">
        <v>0</v>
      </c>
      <c s="6" r="BG944">
        <v>0</v>
      </c>
      <c s="6" r="BH944">
        <v>0</v>
      </c>
      <c s="6" r="BI944">
        <v>0</v>
      </c>
      <c s="6" r="BJ944">
        <v>0</v>
      </c>
      <c s="6" r="BK944">
        <v>0</v>
      </c>
      <c s="6" r="BL944">
        <v>1</v>
      </c>
      <c s="6" r="BM944">
        <v>0</v>
      </c>
      <c s="6" r="BN944">
        <v>0</v>
      </c>
      <c s="6" r="BO944">
        <v>0</v>
      </c>
      <c s="6" r="BP944">
        <v>0</v>
      </c>
      <c s="6" r="BQ944">
        <v>0</v>
      </c>
      <c t="str" s="6" r="BR944">
        <f>HYPERLINK("http://www.d20pfsrd.com/magic/all-spells/v/vision-of-lamashtu","Vision of Lamashtu")</f>
        <v>Vision of Lamashtu</v>
      </c>
      <c s="6" r="BS944">
        <v>964</v>
      </c>
      <c t="s" s="6" r="BT944">
        <v>92</v>
      </c>
      <c s="6" r="BY944">
        <v>0</v>
      </c>
    </row>
    <row customHeight="1" r="945" ht="14.25">
      <c t="s" s="6" r="A945">
        <v>7061</v>
      </c>
      <c t="s" s="6" r="B945">
        <v>78</v>
      </c>
      <c t="s" s="6" r="C945">
        <v>79</v>
      </c>
      <c t="s" s="6" r="E945">
        <v>7062</v>
      </c>
      <c t="s" s="6" r="F945">
        <v>81</v>
      </c>
      <c t="s" s="6" r="G945">
        <v>7063</v>
      </c>
      <c s="6" r="H945">
        <v>1</v>
      </c>
      <c t="s" s="6" r="I945">
        <v>107</v>
      </c>
      <c t="s" s="6" r="K945">
        <v>7064</v>
      </c>
      <c t="s" s="6" r="M945">
        <v>109</v>
      </c>
      <c s="6" r="N945">
        <v>0</v>
      </c>
      <c s="6" r="O945">
        <v>0</v>
      </c>
      <c t="s" s="6" r="P945">
        <v>1254</v>
      </c>
      <c t="s" s="6" r="Q945">
        <v>87</v>
      </c>
      <c t="s" s="6" r="R945">
        <v>7065</v>
      </c>
      <c t="s" s="6" r="S945">
        <v>7066</v>
      </c>
      <c t="s" s="6" r="T945">
        <v>4909</v>
      </c>
      <c t="s" s="6" r="U945">
        <v>7067</v>
      </c>
      <c s="6" r="V945">
        <v>1</v>
      </c>
      <c s="6" r="W945">
        <v>1</v>
      </c>
      <c s="6" r="X945">
        <v>1</v>
      </c>
      <c s="6" r="Y945">
        <v>0</v>
      </c>
      <c s="6" r="Z945">
        <v>0</v>
      </c>
      <c t="s" s="6" r="AA945">
        <v>92</v>
      </c>
      <c t="s" s="6" r="AB945">
        <v>92</v>
      </c>
      <c s="6" r="AC945">
        <v>3</v>
      </c>
      <c s="6" r="AD945">
        <v>3</v>
      </c>
      <c t="s" s="6" r="AE945">
        <v>92</v>
      </c>
      <c t="s" s="6" r="AF945">
        <v>92</v>
      </c>
      <c t="s" s="6" r="AG945">
        <v>92</v>
      </c>
      <c s="6" r="AH945">
        <v>2</v>
      </c>
      <c t="s" s="6" r="AI945">
        <v>92</v>
      </c>
      <c s="6" r="AJ945">
        <v>3</v>
      </c>
      <c t="s" s="6" r="AK945">
        <v>92</v>
      </c>
      <c s="6" r="AL945">
        <v>3</v>
      </c>
      <c t="s" s="6" r="AM945">
        <v>92</v>
      </c>
      <c t="s" s="6" r="AN945">
        <v>92</v>
      </c>
      <c s="6" r="AP945">
        <v>3</v>
      </c>
      <c s="6" r="AS945">
        <v>0</v>
      </c>
      <c s="6" r="AT945">
        <v>0</v>
      </c>
      <c s="6" r="AU945">
        <v>0</v>
      </c>
      <c s="6" r="AV945">
        <v>0</v>
      </c>
      <c s="6" r="AW945">
        <v>0</v>
      </c>
      <c s="6" r="AX945">
        <v>0</v>
      </c>
      <c s="6" r="AY945">
        <v>0</v>
      </c>
      <c s="6" r="AZ945">
        <v>0</v>
      </c>
      <c s="6" r="BA945">
        <v>0</v>
      </c>
      <c s="6" r="BB945">
        <v>0</v>
      </c>
      <c s="6" r="BC945">
        <v>0</v>
      </c>
      <c s="6" r="BD945">
        <v>0</v>
      </c>
      <c s="6" r="BE945">
        <v>0</v>
      </c>
      <c s="6" r="BF945">
        <v>0</v>
      </c>
      <c s="6" r="BG945">
        <v>0</v>
      </c>
      <c s="6" r="BH945">
        <v>0</v>
      </c>
      <c s="6" r="BI945">
        <v>0</v>
      </c>
      <c s="6" r="BJ945">
        <v>0</v>
      </c>
      <c s="6" r="BK945">
        <v>0</v>
      </c>
      <c s="6" r="BL945">
        <v>0</v>
      </c>
      <c s="6" r="BM945">
        <v>0</v>
      </c>
      <c s="6" r="BN945">
        <v>0</v>
      </c>
      <c s="6" r="BO945">
        <v>0</v>
      </c>
      <c s="6" r="BP945">
        <v>0</v>
      </c>
      <c s="6" r="BQ945">
        <v>0</v>
      </c>
      <c t="str" s="6" r="BR945">
        <f>HYPERLINK("http://www.d20pfsrd.com/magic/all-spells/w/waters-of-lamashtu","Waters of Lamashtu")</f>
        <v>Waters of Lamashtu</v>
      </c>
      <c s="6" r="BS945">
        <v>965</v>
      </c>
      <c s="6" r="BT945">
        <v>250</v>
      </c>
      <c t="s" s="6" r="BW945">
        <v>7068</v>
      </c>
      <c s="6" r="BY945">
        <v>1</v>
      </c>
    </row>
    <row customHeight="1" r="946" ht="14.25">
      <c t="s" s="6" r="A946">
        <v>7069</v>
      </c>
      <c t="s" s="6" r="B946">
        <v>493</v>
      </c>
      <c t="s" s="6" r="E946">
        <v>4979</v>
      </c>
      <c t="s" s="6" r="F946">
        <v>81</v>
      </c>
      <c t="s" s="6" r="G946">
        <v>7070</v>
      </c>
      <c s="6" r="H946">
        <v>0</v>
      </c>
      <c t="s" s="6" r="I946">
        <v>155</v>
      </c>
      <c t="s" s="6" r="L946">
        <v>156</v>
      </c>
      <c t="s" s="6" r="M946">
        <v>99</v>
      </c>
      <c s="6" r="N946">
        <v>0</v>
      </c>
      <c s="6" r="O946">
        <v>0</v>
      </c>
      <c t="s" s="6" r="R946">
        <v>7071</v>
      </c>
      <c t="s" s="6" r="S946">
        <v>7072</v>
      </c>
      <c t="s" s="6" r="T946">
        <v>7073</v>
      </c>
      <c t="s" s="6" r="U946">
        <v>7074</v>
      </c>
      <c s="6" r="V946">
        <v>1</v>
      </c>
      <c s="6" r="W946">
        <v>1</v>
      </c>
      <c s="6" r="X946">
        <v>0</v>
      </c>
      <c s="6" r="Y946">
        <v>0</v>
      </c>
      <c s="6" r="Z946">
        <v>1</v>
      </c>
      <c t="s" s="6" r="AA946">
        <v>92</v>
      </c>
      <c t="s" s="6" r="AB946">
        <v>92</v>
      </c>
      <c s="6" r="AC946">
        <v>5</v>
      </c>
      <c t="s" s="6" r="AD946">
        <v>92</v>
      </c>
      <c t="s" s="6" r="AE946">
        <v>92</v>
      </c>
      <c t="s" s="6" r="AF946">
        <v>92</v>
      </c>
      <c t="s" s="6" r="AG946">
        <v>92</v>
      </c>
      <c t="s" s="6" r="AH946">
        <v>92</v>
      </c>
      <c t="s" s="6" r="AI946">
        <v>92</v>
      </c>
      <c t="s" s="6" r="AJ946">
        <v>92</v>
      </c>
      <c t="s" s="6" r="AK946">
        <v>92</v>
      </c>
      <c s="6" r="AL946">
        <v>5</v>
      </c>
      <c t="s" s="6" r="AM946">
        <v>92</v>
      </c>
      <c t="s" s="6" r="AN946">
        <v>92</v>
      </c>
      <c t="s" s="6" r="AO946">
        <v>7075</v>
      </c>
      <c s="6" r="AP946">
        <v>5</v>
      </c>
      <c s="6" r="AS946">
        <v>0</v>
      </c>
      <c s="6" r="AT946">
        <v>0</v>
      </c>
      <c s="6" r="AU946">
        <v>0</v>
      </c>
      <c s="6" r="AV946">
        <v>0</v>
      </c>
      <c s="6" r="AW946">
        <v>0</v>
      </c>
      <c s="6" r="AX946">
        <v>0</v>
      </c>
      <c s="6" r="AY946">
        <v>0</v>
      </c>
      <c s="6" r="AZ946">
        <v>0</v>
      </c>
      <c s="6" r="BA946">
        <v>0</v>
      </c>
      <c s="6" r="BB946">
        <v>0</v>
      </c>
      <c s="6" r="BC946">
        <v>0</v>
      </c>
      <c s="6" r="BD946">
        <v>0</v>
      </c>
      <c s="6" r="BE946">
        <v>0</v>
      </c>
      <c s="6" r="BF946">
        <v>0</v>
      </c>
      <c s="6" r="BG946">
        <v>0</v>
      </c>
      <c s="6" r="BH946">
        <v>0</v>
      </c>
      <c s="6" r="BI946">
        <v>0</v>
      </c>
      <c s="6" r="BJ946">
        <v>0</v>
      </c>
      <c s="6" r="BK946">
        <v>0</v>
      </c>
      <c s="6" r="BL946">
        <v>0</v>
      </c>
      <c s="6" r="BM946">
        <v>0</v>
      </c>
      <c s="6" r="BN946">
        <v>0</v>
      </c>
      <c s="6" r="BO946">
        <v>0</v>
      </c>
      <c s="6" r="BP946">
        <v>0</v>
      </c>
      <c s="6" r="BQ946">
        <v>0</v>
      </c>
      <c t="s" s="6" r="BR946">
        <v>92</v>
      </c>
      <c s="6" r="BS946">
        <v>966</v>
      </c>
      <c t="s" s="6" r="BT946">
        <v>92</v>
      </c>
      <c s="6" r="BY946">
        <v>0</v>
      </c>
    </row>
    <row customHeight="1" r="947" ht="14.25">
      <c t="s" s="6" r="A947">
        <v>7076</v>
      </c>
      <c t="s" s="6" r="B947">
        <v>131</v>
      </c>
      <c t="s" s="6" r="E947">
        <v>7077</v>
      </c>
      <c t="s" s="6" r="F947">
        <v>272</v>
      </c>
      <c t="s" s="6" r="G947">
        <v>106</v>
      </c>
      <c s="6" r="H947">
        <v>0</v>
      </c>
      <c t="s" s="6" r="I947">
        <v>120</v>
      </c>
      <c t="s" s="6" r="L947">
        <v>7078</v>
      </c>
      <c t="s" s="6" r="M947">
        <v>109</v>
      </c>
      <c s="6" r="N947">
        <v>0</v>
      </c>
      <c s="6" r="O947">
        <v>0</v>
      </c>
      <c t="s" s="6" r="P947">
        <v>5197</v>
      </c>
      <c t="s" s="6" r="Q947">
        <v>536</v>
      </c>
      <c t="s" s="6" r="R947">
        <v>7079</v>
      </c>
      <c t="s" s="6" r="S947">
        <v>7080</v>
      </c>
      <c t="s" s="6" r="T947">
        <v>7081</v>
      </c>
      <c t="s" s="6" r="U947">
        <v>7082</v>
      </c>
      <c s="6" r="V947">
        <v>1</v>
      </c>
      <c s="6" r="W947">
        <v>1</v>
      </c>
      <c s="6" r="X947">
        <v>0</v>
      </c>
      <c s="6" r="Y947">
        <v>0</v>
      </c>
      <c s="6" r="Z947">
        <v>0</v>
      </c>
      <c t="s" s="6" r="AA947">
        <v>92</v>
      </c>
      <c t="s" s="6" r="AB947">
        <v>92</v>
      </c>
      <c s="6" r="AC947">
        <v>1</v>
      </c>
      <c t="s" s="6" r="AD947">
        <v>92</v>
      </c>
      <c t="s" s="6" r="AE947">
        <v>92</v>
      </c>
      <c s="6" r="AF947">
        <v>1</v>
      </c>
      <c s="6" r="AG947">
        <v>1</v>
      </c>
      <c t="s" s="6" r="AH947">
        <v>92</v>
      </c>
      <c t="s" s="6" r="AI947">
        <v>92</v>
      </c>
      <c t="s" s="6" r="AJ947">
        <v>92</v>
      </c>
      <c t="s" s="6" r="AK947">
        <v>92</v>
      </c>
      <c s="6" r="AL947">
        <v>1</v>
      </c>
      <c t="s" s="6" r="AM947">
        <v>92</v>
      </c>
      <c t="s" s="6" r="AN947">
        <v>92</v>
      </c>
      <c t="s" s="6" r="AO947">
        <v>7083</v>
      </c>
      <c s="6" r="AP947">
        <v>1</v>
      </c>
      <c s="6" r="AS947">
        <v>0</v>
      </c>
      <c s="6" r="AT947">
        <v>0</v>
      </c>
      <c s="6" r="AU947">
        <v>0</v>
      </c>
      <c s="6" r="AV947">
        <v>0</v>
      </c>
      <c s="6" r="AW947">
        <v>0</v>
      </c>
      <c s="6" r="AX947">
        <v>0</v>
      </c>
      <c s="6" r="AY947">
        <v>0</v>
      </c>
      <c s="6" r="AZ947">
        <v>0</v>
      </c>
      <c s="6" r="BA947">
        <v>0</v>
      </c>
      <c s="6" r="BB947">
        <v>0</v>
      </c>
      <c s="6" r="BC947">
        <v>0</v>
      </c>
      <c s="6" r="BD947">
        <v>0</v>
      </c>
      <c s="6" r="BE947">
        <v>0</v>
      </c>
      <c s="6" r="BF947">
        <v>0</v>
      </c>
      <c s="6" r="BG947">
        <v>0</v>
      </c>
      <c s="6" r="BH947">
        <v>0</v>
      </c>
      <c s="6" r="BI947">
        <v>0</v>
      </c>
      <c s="6" r="BJ947">
        <v>0</v>
      </c>
      <c s="6" r="BK947">
        <v>0</v>
      </c>
      <c s="6" r="BL947">
        <v>0</v>
      </c>
      <c s="6" r="BM947">
        <v>0</v>
      </c>
      <c s="6" r="BN947">
        <v>0</v>
      </c>
      <c s="6" r="BO947">
        <v>0</v>
      </c>
      <c s="6" r="BP947">
        <v>0</v>
      </c>
      <c s="6" r="BQ947">
        <v>0</v>
      </c>
      <c t="s" s="6" r="BR947">
        <v>92</v>
      </c>
      <c s="6" r="BS947">
        <v>968</v>
      </c>
      <c t="s" s="6" r="BT947">
        <v>92</v>
      </c>
      <c s="6" r="BY947">
        <v>0</v>
      </c>
    </row>
    <row customHeight="1" r="948" ht="14.25">
      <c t="s" s="6" r="A948">
        <v>7084</v>
      </c>
      <c t="s" s="6" r="B948">
        <v>131</v>
      </c>
      <c t="s" s="6" r="E948">
        <v>6934</v>
      </c>
      <c t="s" s="6" r="F948">
        <v>81</v>
      </c>
      <c t="s" s="6" r="G948">
        <v>1051</v>
      </c>
      <c s="6" r="H948">
        <v>0</v>
      </c>
      <c t="s" s="6" r="I948">
        <v>120</v>
      </c>
      <c t="s" s="6" r="L948">
        <v>7085</v>
      </c>
      <c t="s" s="6" r="M948">
        <v>99</v>
      </c>
      <c s="6" r="N948">
        <v>0</v>
      </c>
      <c s="6" r="O948">
        <v>0</v>
      </c>
      <c t="s" s="6" r="P948">
        <v>5197</v>
      </c>
      <c t="s" s="6" r="Q948">
        <v>536</v>
      </c>
      <c t="s" s="6" r="R948">
        <v>7086</v>
      </c>
      <c t="s" s="6" r="S948">
        <v>7087</v>
      </c>
      <c t="s" s="6" r="T948">
        <v>7081</v>
      </c>
      <c t="s" s="6" r="U948">
        <v>7088</v>
      </c>
      <c s="6" r="V948">
        <v>1</v>
      </c>
      <c s="6" r="W948">
        <v>1</v>
      </c>
      <c s="6" r="X948">
        <v>1</v>
      </c>
      <c s="6" r="Y948">
        <v>0</v>
      </c>
      <c s="6" r="Z948">
        <v>0</v>
      </c>
      <c t="s" s="6" r="AA948">
        <v>92</v>
      </c>
      <c t="s" s="6" r="AB948">
        <v>92</v>
      </c>
      <c s="6" r="AC948">
        <v>1</v>
      </c>
      <c s="6" r="AD948">
        <v>1</v>
      </c>
      <c t="s" s="6" r="AE948">
        <v>92</v>
      </c>
      <c t="s" s="6" r="AF948">
        <v>92</v>
      </c>
      <c t="s" s="6" r="AG948">
        <v>92</v>
      </c>
      <c t="s" s="6" r="AH948">
        <v>92</v>
      </c>
      <c t="s" s="6" r="AI948">
        <v>92</v>
      </c>
      <c t="s" s="6" r="AJ948">
        <v>92</v>
      </c>
      <c t="s" s="6" r="AK948">
        <v>92</v>
      </c>
      <c s="6" r="AL948">
        <v>1</v>
      </c>
      <c t="s" s="6" r="AM948">
        <v>92</v>
      </c>
      <c t="s" s="6" r="AN948">
        <v>92</v>
      </c>
      <c t="s" s="6" r="AO948">
        <v>7089</v>
      </c>
      <c s="6" r="AP948">
        <v>1</v>
      </c>
      <c s="6" r="AS948">
        <v>0</v>
      </c>
      <c s="6" r="AT948">
        <v>0</v>
      </c>
      <c s="6" r="AU948">
        <v>0</v>
      </c>
      <c s="6" r="AV948">
        <v>0</v>
      </c>
      <c s="6" r="AW948">
        <v>0</v>
      </c>
      <c s="6" r="AX948">
        <v>0</v>
      </c>
      <c s="6" r="AY948">
        <v>0</v>
      </c>
      <c s="6" r="AZ948">
        <v>0</v>
      </c>
      <c s="6" r="BA948">
        <v>0</v>
      </c>
      <c s="6" r="BB948">
        <v>0</v>
      </c>
      <c s="6" r="BC948">
        <v>0</v>
      </c>
      <c s="6" r="BD948">
        <v>0</v>
      </c>
      <c s="6" r="BE948">
        <v>0</v>
      </c>
      <c s="6" r="BF948">
        <v>0</v>
      </c>
      <c s="6" r="BG948">
        <v>0</v>
      </c>
      <c s="6" r="BH948">
        <v>0</v>
      </c>
      <c s="6" r="BI948">
        <v>0</v>
      </c>
      <c s="6" r="BJ948">
        <v>0</v>
      </c>
      <c s="6" r="BK948">
        <v>0</v>
      </c>
      <c s="6" r="BL948">
        <v>0</v>
      </c>
      <c s="6" r="BM948">
        <v>0</v>
      </c>
      <c s="6" r="BN948">
        <v>0</v>
      </c>
      <c s="6" r="BO948">
        <v>0</v>
      </c>
      <c s="6" r="BP948">
        <v>0</v>
      </c>
      <c s="6" r="BQ948">
        <v>0</v>
      </c>
      <c t="s" s="6" r="BR948">
        <v>92</v>
      </c>
      <c s="6" r="BS948">
        <v>969</v>
      </c>
      <c t="s" s="6" r="BT948">
        <v>92</v>
      </c>
      <c s="6" r="BY948">
        <v>0</v>
      </c>
    </row>
    <row customHeight="1" r="949" ht="14.25">
      <c t="s" s="6" r="A949">
        <v>7090</v>
      </c>
      <c t="s" s="6" r="B949">
        <v>115</v>
      </c>
      <c t="s" s="6" r="C949">
        <v>729</v>
      </c>
      <c t="s" s="6" r="D949">
        <v>117</v>
      </c>
      <c t="s" s="6" r="E949">
        <v>7091</v>
      </c>
      <c t="s" s="6" r="F949">
        <v>81</v>
      </c>
      <c t="s" s="6" r="G949">
        <v>7092</v>
      </c>
      <c s="6" r="H949">
        <v>0</v>
      </c>
      <c t="s" s="6" r="I949">
        <v>107</v>
      </c>
      <c t="s" s="6" r="L949">
        <v>1235</v>
      </c>
      <c t="s" s="6" r="M949">
        <v>99</v>
      </c>
      <c s="6" r="N949">
        <v>0</v>
      </c>
      <c s="6" r="O949">
        <v>0</v>
      </c>
      <c t="s" s="6" r="P949">
        <v>221</v>
      </c>
      <c t="s" s="6" r="Q949">
        <v>188</v>
      </c>
      <c t="s" s="6" r="R949">
        <v>7093</v>
      </c>
      <c t="s" s="6" r="S949">
        <v>7094</v>
      </c>
      <c t="s" s="6" r="T949">
        <v>7081</v>
      </c>
      <c t="s" s="6" r="U949">
        <v>7095</v>
      </c>
      <c s="6" r="V949">
        <v>1</v>
      </c>
      <c s="6" r="W949">
        <v>0</v>
      </c>
      <c s="6" r="X949">
        <v>1</v>
      </c>
      <c s="6" r="Y949">
        <v>0</v>
      </c>
      <c s="6" r="Z949">
        <v>0</v>
      </c>
      <c t="s" s="6" r="AA949">
        <v>92</v>
      </c>
      <c t="s" s="6" r="AB949">
        <v>92</v>
      </c>
      <c s="6" r="AC949">
        <v>1</v>
      </c>
      <c t="s" s="6" r="AD949">
        <v>92</v>
      </c>
      <c t="s" s="6" r="AE949">
        <v>92</v>
      </c>
      <c s="6" r="AF949">
        <v>1</v>
      </c>
      <c s="6" r="AG949">
        <v>1</v>
      </c>
      <c t="s" s="6" r="AH949">
        <v>92</v>
      </c>
      <c t="s" s="6" r="AI949">
        <v>92</v>
      </c>
      <c t="s" s="6" r="AJ949">
        <v>92</v>
      </c>
      <c s="6" r="AK949">
        <v>1</v>
      </c>
      <c s="6" r="AL949">
        <v>1</v>
      </c>
      <c t="s" s="6" r="AM949">
        <v>92</v>
      </c>
      <c t="s" s="6" r="AN949">
        <v>92</v>
      </c>
      <c t="s" s="6" r="AO949">
        <v>7096</v>
      </c>
      <c s="6" r="AP949">
        <v>1</v>
      </c>
      <c s="6" r="AS949">
        <v>0</v>
      </c>
      <c s="6" r="AT949">
        <v>0</v>
      </c>
      <c s="6" r="AU949">
        <v>0</v>
      </c>
      <c s="6" r="AV949">
        <v>0</v>
      </c>
      <c s="6" r="AW949">
        <v>0</v>
      </c>
      <c s="6" r="AX949">
        <v>0</v>
      </c>
      <c s="6" r="AY949">
        <v>0</v>
      </c>
      <c s="6" r="AZ949">
        <v>0</v>
      </c>
      <c s="6" r="BA949">
        <v>0</v>
      </c>
      <c s="6" r="BB949">
        <v>0</v>
      </c>
      <c s="6" r="BC949">
        <v>0</v>
      </c>
      <c s="6" r="BD949">
        <v>0</v>
      </c>
      <c s="6" r="BE949">
        <v>0</v>
      </c>
      <c s="6" r="BF949">
        <v>0</v>
      </c>
      <c s="6" r="BG949">
        <v>0</v>
      </c>
      <c s="6" r="BH949">
        <v>0</v>
      </c>
      <c s="6" r="BI949">
        <v>0</v>
      </c>
      <c s="6" r="BJ949">
        <v>0</v>
      </c>
      <c s="6" r="BK949">
        <v>0</v>
      </c>
      <c s="6" r="BL949">
        <v>1</v>
      </c>
      <c s="6" r="BM949">
        <v>0</v>
      </c>
      <c s="6" r="BN949">
        <v>0</v>
      </c>
      <c s="6" r="BO949">
        <v>0</v>
      </c>
      <c s="6" r="BP949">
        <v>0</v>
      </c>
      <c s="6" r="BQ949">
        <v>0</v>
      </c>
      <c t="s" s="6" r="BR949">
        <v>92</v>
      </c>
      <c s="6" r="BS949">
        <v>970</v>
      </c>
      <c t="s" s="6" r="BT949">
        <v>92</v>
      </c>
      <c s="6" r="BY949">
        <v>0</v>
      </c>
    </row>
    <row customHeight="1" r="950" ht="14.25">
      <c t="s" s="6" r="A950">
        <v>7097</v>
      </c>
      <c t="s" s="6" r="B950">
        <v>174</v>
      </c>
      <c t="s" s="6" r="E950">
        <v>5170</v>
      </c>
      <c t="s" s="6" r="F950">
        <v>81</v>
      </c>
      <c t="s" s="6" r="G950">
        <v>7098</v>
      </c>
      <c s="6" r="H950">
        <v>0</v>
      </c>
      <c t="s" s="6" r="I950">
        <v>155</v>
      </c>
      <c t="s" s="6" r="L950">
        <v>156</v>
      </c>
      <c t="s" s="6" r="M950">
        <v>2718</v>
      </c>
      <c s="6" r="N950">
        <v>0</v>
      </c>
      <c s="6" r="O950">
        <v>0</v>
      </c>
      <c t="s" s="6" r="R950">
        <v>7099</v>
      </c>
      <c t="s" s="6" r="S950">
        <v>7100</v>
      </c>
      <c t="s" s="6" r="T950">
        <v>7081</v>
      </c>
      <c t="s" s="6" r="U950">
        <v>7101</v>
      </c>
      <c s="6" r="V950">
        <v>1</v>
      </c>
      <c s="6" r="W950">
        <v>0</v>
      </c>
      <c s="6" r="X950">
        <v>1</v>
      </c>
      <c s="6" r="Y950">
        <v>0</v>
      </c>
      <c s="6" r="Z950">
        <v>0</v>
      </c>
      <c t="s" s="6" r="AA950">
        <v>92</v>
      </c>
      <c t="s" s="6" r="AB950">
        <v>92</v>
      </c>
      <c s="6" r="AC950">
        <v>1</v>
      </c>
      <c t="s" s="6" r="AD950">
        <v>92</v>
      </c>
      <c t="s" s="6" r="AE950">
        <v>92</v>
      </c>
      <c s="6" r="AF950">
        <v>1</v>
      </c>
      <c t="s" s="6" r="AG950">
        <v>92</v>
      </c>
      <c t="s" s="6" r="AH950">
        <v>92</v>
      </c>
      <c t="s" s="6" r="AI950">
        <v>92</v>
      </c>
      <c t="s" s="6" r="AJ950">
        <v>92</v>
      </c>
      <c t="s" s="6" r="AK950">
        <v>92</v>
      </c>
      <c s="6" r="AL950">
        <v>1</v>
      </c>
      <c t="s" s="6" r="AM950">
        <v>92</v>
      </c>
      <c t="s" s="6" r="AN950">
        <v>92</v>
      </c>
      <c t="s" s="6" r="AO950">
        <v>7102</v>
      </c>
      <c s="6" r="AP950">
        <v>1</v>
      </c>
      <c s="6" r="AS950">
        <v>0</v>
      </c>
      <c s="6" r="AT950">
        <v>0</v>
      </c>
      <c s="6" r="AU950">
        <v>0</v>
      </c>
      <c s="6" r="AV950">
        <v>0</v>
      </c>
      <c s="6" r="AW950">
        <v>0</v>
      </c>
      <c s="6" r="AX950">
        <v>0</v>
      </c>
      <c s="6" r="AY950">
        <v>0</v>
      </c>
      <c s="6" r="AZ950">
        <v>0</v>
      </c>
      <c s="6" r="BA950">
        <v>0</v>
      </c>
      <c s="6" r="BB950">
        <v>0</v>
      </c>
      <c s="6" r="BC950">
        <v>0</v>
      </c>
      <c s="6" r="BD950">
        <v>0</v>
      </c>
      <c s="6" r="BE950">
        <v>0</v>
      </c>
      <c s="6" r="BF950">
        <v>0</v>
      </c>
      <c s="6" r="BG950">
        <v>0</v>
      </c>
      <c s="6" r="BH950">
        <v>0</v>
      </c>
      <c s="6" r="BI950">
        <v>0</v>
      </c>
      <c s="6" r="BJ950">
        <v>0</v>
      </c>
      <c s="6" r="BK950">
        <v>0</v>
      </c>
      <c s="6" r="BL950">
        <v>0</v>
      </c>
      <c s="6" r="BM950">
        <v>0</v>
      </c>
      <c s="6" r="BN950">
        <v>0</v>
      </c>
      <c s="6" r="BO950">
        <v>0</v>
      </c>
      <c s="6" r="BP950">
        <v>0</v>
      </c>
      <c s="6" r="BQ950">
        <v>0</v>
      </c>
      <c t="s" s="6" r="BR950">
        <v>92</v>
      </c>
      <c s="6" r="BS950">
        <v>972</v>
      </c>
      <c t="s" s="6" r="BT950">
        <v>92</v>
      </c>
      <c s="6" r="BY950">
        <v>0</v>
      </c>
    </row>
    <row customHeight="1" r="951" ht="14.25">
      <c t="s" s="6" r="A951">
        <v>7103</v>
      </c>
      <c t="s" s="6" r="B951">
        <v>579</v>
      </c>
      <c t="s" s="6" r="C951">
        <v>1523</v>
      </c>
      <c t="s" s="6" r="E951">
        <v>4051</v>
      </c>
      <c t="s" s="6" r="F951">
        <v>81</v>
      </c>
      <c t="s" s="6" r="G951">
        <v>7104</v>
      </c>
      <c s="6" r="H951">
        <v>0</v>
      </c>
      <c t="s" s="6" r="I951">
        <v>120</v>
      </c>
      <c t="s" s="6" r="L951">
        <v>7105</v>
      </c>
      <c t="s" s="6" r="M951">
        <v>711</v>
      </c>
      <c s="6" r="N951">
        <v>1</v>
      </c>
      <c s="6" r="O951">
        <v>0</v>
      </c>
      <c t="s" s="6" r="P951">
        <v>87</v>
      </c>
      <c t="s" s="6" r="Q951">
        <v>87</v>
      </c>
      <c t="s" s="6" r="R951">
        <v>7106</v>
      </c>
      <c t="s" s="6" r="S951">
        <v>7107</v>
      </c>
      <c t="s" s="6" r="T951">
        <v>7081</v>
      </c>
      <c t="s" s="6" r="U951">
        <v>7108</v>
      </c>
      <c s="6" r="V951">
        <v>1</v>
      </c>
      <c s="6" r="W951">
        <v>1</v>
      </c>
      <c s="6" r="X951">
        <v>0</v>
      </c>
      <c s="6" r="Y951">
        <v>0</v>
      </c>
      <c s="6" r="Z951">
        <v>0</v>
      </c>
      <c t="s" s="6" r="AA951">
        <v>92</v>
      </c>
      <c t="s" s="6" r="AB951">
        <v>92</v>
      </c>
      <c s="6" r="AC951">
        <v>2</v>
      </c>
      <c t="s" s="6" r="AD951">
        <v>92</v>
      </c>
      <c t="s" s="6" r="AE951">
        <v>92</v>
      </c>
      <c s="6" r="AF951">
        <v>2</v>
      </c>
      <c t="s" s="6" r="AG951">
        <v>92</v>
      </c>
      <c t="s" s="6" r="AH951">
        <v>92</v>
      </c>
      <c t="s" s="6" r="AI951">
        <v>92</v>
      </c>
      <c t="s" s="6" r="AJ951">
        <v>92</v>
      </c>
      <c t="s" s="6" r="AK951">
        <v>92</v>
      </c>
      <c s="6" r="AL951">
        <v>2</v>
      </c>
      <c t="s" s="6" r="AM951">
        <v>92</v>
      </c>
      <c t="s" s="6" r="AN951">
        <v>92</v>
      </c>
      <c t="s" s="6" r="AO951">
        <v>7102</v>
      </c>
      <c s="6" r="AP951">
        <v>2</v>
      </c>
      <c s="6" r="AS951">
        <v>0</v>
      </c>
      <c s="6" r="AT951">
        <v>0</v>
      </c>
      <c s="6" r="AU951">
        <v>0</v>
      </c>
      <c s="6" r="AV951">
        <v>0</v>
      </c>
      <c s="6" r="AW951">
        <v>0</v>
      </c>
      <c s="6" r="AX951">
        <v>0</v>
      </c>
      <c s="6" r="AY951">
        <v>0</v>
      </c>
      <c s="6" r="AZ951">
        <v>0</v>
      </c>
      <c s="6" r="BA951">
        <v>0</v>
      </c>
      <c s="6" r="BB951">
        <v>0</v>
      </c>
      <c s="6" r="BC951">
        <v>0</v>
      </c>
      <c s="6" r="BD951">
        <v>0</v>
      </c>
      <c s="6" r="BE951">
        <v>0</v>
      </c>
      <c s="6" r="BF951">
        <v>0</v>
      </c>
      <c s="6" r="BG951">
        <v>0</v>
      </c>
      <c s="6" r="BH951">
        <v>0</v>
      </c>
      <c s="6" r="BI951">
        <v>0</v>
      </c>
      <c s="6" r="BJ951">
        <v>0</v>
      </c>
      <c s="6" r="BK951">
        <v>0</v>
      </c>
      <c s="6" r="BL951">
        <v>0</v>
      </c>
      <c s="6" r="BM951">
        <v>0</v>
      </c>
      <c s="6" r="BN951">
        <v>0</v>
      </c>
      <c s="6" r="BO951">
        <v>0</v>
      </c>
      <c s="6" r="BP951">
        <v>0</v>
      </c>
      <c s="6" r="BQ951">
        <v>0</v>
      </c>
      <c t="s" s="6" r="BR951">
        <v>92</v>
      </c>
      <c s="6" r="BS951">
        <v>973</v>
      </c>
      <c t="s" s="6" r="BT951">
        <v>92</v>
      </c>
      <c s="6" r="BY951">
        <v>0</v>
      </c>
    </row>
    <row customHeight="1" r="952" ht="14.25">
      <c t="s" s="6" r="A952">
        <v>7109</v>
      </c>
      <c t="s" s="6" r="B952">
        <v>131</v>
      </c>
      <c t="s" s="6" r="E952">
        <v>7110</v>
      </c>
      <c t="s" s="6" r="F952">
        <v>81</v>
      </c>
      <c t="s" s="6" r="G952">
        <v>5511</v>
      </c>
      <c s="6" r="H952">
        <v>0</v>
      </c>
      <c t="s" s="6" r="I952">
        <v>107</v>
      </c>
      <c t="s" s="6" r="L952">
        <v>7111</v>
      </c>
      <c t="s" s="6" r="M952">
        <v>99</v>
      </c>
      <c s="6" r="N952">
        <v>0</v>
      </c>
      <c s="6" r="O952">
        <v>0</v>
      </c>
      <c t="s" s="6" r="P952">
        <v>5197</v>
      </c>
      <c t="s" s="6" r="Q952">
        <v>536</v>
      </c>
      <c t="s" s="6" r="R952">
        <v>7112</v>
      </c>
      <c t="s" s="6" r="S952">
        <v>7113</v>
      </c>
      <c t="s" s="6" r="T952">
        <v>7081</v>
      </c>
      <c t="s" s="6" r="U952">
        <v>7114</v>
      </c>
      <c s="6" r="V952">
        <v>1</v>
      </c>
      <c s="6" r="W952">
        <v>0</v>
      </c>
      <c s="6" r="X952">
        <v>0</v>
      </c>
      <c s="6" r="Y952">
        <v>0</v>
      </c>
      <c s="6" r="Z952">
        <v>1</v>
      </c>
      <c t="s" s="6" r="AA952">
        <v>92</v>
      </c>
      <c t="s" s="6" r="AB952">
        <v>92</v>
      </c>
      <c s="6" r="AC952">
        <v>1</v>
      </c>
      <c t="s" s="6" r="AD952">
        <v>92</v>
      </c>
      <c t="s" s="6" r="AE952">
        <v>92</v>
      </c>
      <c t="s" s="6" r="AF952">
        <v>92</v>
      </c>
      <c s="6" r="AG952">
        <v>1</v>
      </c>
      <c t="s" s="6" r="AH952">
        <v>92</v>
      </c>
      <c t="s" s="6" r="AI952">
        <v>92</v>
      </c>
      <c t="s" s="6" r="AJ952">
        <v>92</v>
      </c>
      <c s="6" r="AK952">
        <v>1</v>
      </c>
      <c s="6" r="AL952">
        <v>1</v>
      </c>
      <c t="s" s="6" r="AM952">
        <v>92</v>
      </c>
      <c t="s" s="6" r="AN952">
        <v>92</v>
      </c>
      <c t="s" s="6" r="AO952">
        <v>7115</v>
      </c>
      <c s="6" r="AP952">
        <v>1</v>
      </c>
      <c s="6" r="AS952">
        <v>0</v>
      </c>
      <c s="6" r="AT952">
        <v>0</v>
      </c>
      <c s="6" r="AU952">
        <v>0</v>
      </c>
      <c s="6" r="AV952">
        <v>0</v>
      </c>
      <c s="6" r="AW952">
        <v>0</v>
      </c>
      <c s="6" r="AX952">
        <v>0</v>
      </c>
      <c s="6" r="AY952">
        <v>0</v>
      </c>
      <c s="6" r="AZ952">
        <v>0</v>
      </c>
      <c s="6" r="BA952">
        <v>0</v>
      </c>
      <c s="6" r="BB952">
        <v>0</v>
      </c>
      <c s="6" r="BC952">
        <v>0</v>
      </c>
      <c s="6" r="BD952">
        <v>0</v>
      </c>
      <c s="6" r="BE952">
        <v>0</v>
      </c>
      <c s="6" r="BF952">
        <v>0</v>
      </c>
      <c s="6" r="BG952">
        <v>0</v>
      </c>
      <c s="6" r="BH952">
        <v>0</v>
      </c>
      <c s="6" r="BI952">
        <v>0</v>
      </c>
      <c s="6" r="BJ952">
        <v>0</v>
      </c>
      <c s="6" r="BK952">
        <v>0</v>
      </c>
      <c s="6" r="BL952">
        <v>0</v>
      </c>
      <c s="6" r="BM952">
        <v>0</v>
      </c>
      <c s="6" r="BN952">
        <v>0</v>
      </c>
      <c s="6" r="BO952">
        <v>0</v>
      </c>
      <c s="6" r="BP952">
        <v>0</v>
      </c>
      <c s="6" r="BQ952">
        <v>0</v>
      </c>
      <c t="s" s="6" r="BR952">
        <v>92</v>
      </c>
      <c s="6" r="BS952">
        <v>974</v>
      </c>
      <c t="s" s="6" r="BT952">
        <v>92</v>
      </c>
      <c s="6" r="BY952">
        <v>0</v>
      </c>
    </row>
    <row customHeight="1" r="953" ht="14.25">
      <c t="s" s="6" r="A953">
        <v>7116</v>
      </c>
      <c t="s" s="6" r="B953">
        <v>78</v>
      </c>
      <c t="s" s="6" r="C953">
        <v>79</v>
      </c>
      <c t="s" s="6" r="D953">
        <v>44</v>
      </c>
      <c t="s" s="6" r="E953">
        <v>7117</v>
      </c>
      <c t="s" s="6" r="F953">
        <v>81</v>
      </c>
      <c t="s" s="6" r="G953">
        <v>7118</v>
      </c>
      <c s="6" r="H953">
        <v>1</v>
      </c>
      <c t="s" s="6" r="I953">
        <v>897</v>
      </c>
      <c t="s" s="6" r="K953">
        <v>6106</v>
      </c>
      <c t="s" s="6" r="M953">
        <v>109</v>
      </c>
      <c s="6" r="N953">
        <v>0</v>
      </c>
      <c s="6" r="O953">
        <v>0</v>
      </c>
      <c t="s" s="6" r="P953">
        <v>7119</v>
      </c>
      <c t="s" s="6" r="Q953">
        <v>188</v>
      </c>
      <c t="s" s="6" r="R953">
        <v>7120</v>
      </c>
      <c t="s" s="6" r="S953">
        <v>7121</v>
      </c>
      <c t="s" s="6" r="T953">
        <v>7122</v>
      </c>
      <c t="s" s="6" r="U953">
        <v>7123</v>
      </c>
      <c s="6" r="V953">
        <v>1</v>
      </c>
      <c s="6" r="W953">
        <v>1</v>
      </c>
      <c s="6" r="X953">
        <v>1</v>
      </c>
      <c s="6" r="Y953">
        <v>0</v>
      </c>
      <c s="6" r="Z953">
        <v>0</v>
      </c>
      <c s="6" r="AA953">
        <v>5</v>
      </c>
      <c s="6" r="AB953">
        <v>5</v>
      </c>
      <c t="s" s="6" r="AC953">
        <v>92</v>
      </c>
      <c t="s" s="6" r="AD953">
        <v>92</v>
      </c>
      <c t="s" s="6" r="AE953">
        <v>92</v>
      </c>
      <c t="s" s="6" r="AF953">
        <v>92</v>
      </c>
      <c t="s" s="6" r="AG953">
        <v>92</v>
      </c>
      <c t="s" s="6" r="AH953">
        <v>92</v>
      </c>
      <c t="s" s="6" r="AI953">
        <v>92</v>
      </c>
      <c t="s" s="6" r="AJ953">
        <v>92</v>
      </c>
      <c t="s" s="6" r="AK953">
        <v>92</v>
      </c>
      <c t="s" s="6" r="AL953">
        <v>92</v>
      </c>
      <c t="s" s="6" r="AM953">
        <v>92</v>
      </c>
      <c s="6" r="AN953">
        <v>5</v>
      </c>
      <c s="6" r="AP953">
        <v>5</v>
      </c>
      <c t="s" s="6" r="AR953">
        <v>7124</v>
      </c>
      <c s="6" r="AS953">
        <v>1</v>
      </c>
      <c s="6" r="AT953">
        <v>0</v>
      </c>
      <c s="6" r="AU953">
        <v>0</v>
      </c>
      <c s="6" r="AV953">
        <v>0</v>
      </c>
      <c s="6" r="AW953">
        <v>0</v>
      </c>
      <c s="6" r="AX953">
        <v>0</v>
      </c>
      <c s="6" r="AY953">
        <v>0</v>
      </c>
      <c s="6" r="AZ953">
        <v>0</v>
      </c>
      <c s="6" r="BA953">
        <v>0</v>
      </c>
      <c s="6" r="BB953">
        <v>0</v>
      </c>
      <c s="6" r="BC953">
        <v>0</v>
      </c>
      <c s="6" r="BD953">
        <v>0</v>
      </c>
      <c s="6" r="BE953">
        <v>0</v>
      </c>
      <c s="6" r="BF953">
        <v>0</v>
      </c>
      <c s="6" r="BG953">
        <v>0</v>
      </c>
      <c s="6" r="BH953">
        <v>0</v>
      </c>
      <c s="6" r="BI953">
        <v>0</v>
      </c>
      <c s="6" r="BJ953">
        <v>0</v>
      </c>
      <c s="6" r="BK953">
        <v>0</v>
      </c>
      <c s="6" r="BL953">
        <v>0</v>
      </c>
      <c s="6" r="BM953">
        <v>0</v>
      </c>
      <c s="6" r="BN953">
        <v>0</v>
      </c>
      <c s="6" r="BO953">
        <v>0</v>
      </c>
      <c s="6" r="BP953">
        <v>0</v>
      </c>
      <c s="6" r="BQ953">
        <v>0</v>
      </c>
      <c t="str" s="6" r="BR953">
        <f>HYPERLINK("http://www.d20pfsrd.com/magic/all-spells/a/acidic-spray","Acidic Spray")</f>
        <v>Acidic Spray</v>
      </c>
      <c s="6" r="BS953">
        <v>975</v>
      </c>
      <c s="6" r="BT953">
        <v>10</v>
      </c>
      <c s="6" r="BY953">
        <v>0</v>
      </c>
    </row>
    <row customHeight="1" r="954" ht="14.25">
      <c t="s" s="6" r="A954">
        <v>7125</v>
      </c>
      <c t="s" s="6" r="B954">
        <v>131</v>
      </c>
      <c t="s" s="6" r="E954">
        <v>7126</v>
      </c>
      <c t="s" s="6" r="F954">
        <v>81</v>
      </c>
      <c t="s" s="6" r="G954">
        <v>7127</v>
      </c>
      <c s="6" r="H954">
        <v>0</v>
      </c>
      <c t="s" s="6" r="I954">
        <v>120</v>
      </c>
      <c t="s" s="6" r="L954">
        <v>420</v>
      </c>
      <c t="s" s="6" r="M954">
        <v>2718</v>
      </c>
      <c s="6" r="N954">
        <v>0</v>
      </c>
      <c s="6" r="O954">
        <v>0</v>
      </c>
      <c t="s" s="6" r="P954">
        <v>421</v>
      </c>
      <c t="s" s="6" r="Q954">
        <v>188</v>
      </c>
      <c t="s" s="6" r="R954">
        <v>7128</v>
      </c>
      <c t="s" s="6" r="S954">
        <v>7129</v>
      </c>
      <c t="s" s="6" r="T954">
        <v>7122</v>
      </c>
      <c t="s" s="6" r="U954">
        <v>7130</v>
      </c>
      <c s="6" r="V954">
        <v>1</v>
      </c>
      <c s="6" r="W954">
        <v>1</v>
      </c>
      <c s="6" r="X954">
        <v>1</v>
      </c>
      <c s="6" r="Y954">
        <v>0</v>
      </c>
      <c s="6" r="Z954">
        <v>0</v>
      </c>
      <c t="s" s="6" r="AA954">
        <v>92</v>
      </c>
      <c t="s" s="6" r="AB954">
        <v>92</v>
      </c>
      <c t="s" s="6" r="AC954">
        <v>92</v>
      </c>
      <c t="s" s="6" r="AD954">
        <v>92</v>
      </c>
      <c s="6" r="AE954">
        <v>2</v>
      </c>
      <c s="6" r="AF954">
        <v>2</v>
      </c>
      <c t="s" s="6" r="AG954">
        <v>92</v>
      </c>
      <c s="6" r="AH954">
        <v>2</v>
      </c>
      <c t="s" s="6" r="AI954">
        <v>92</v>
      </c>
      <c t="s" s="6" r="AJ954">
        <v>92</v>
      </c>
      <c s="6" r="AK954">
        <v>2</v>
      </c>
      <c t="s" s="6" r="AL954">
        <v>92</v>
      </c>
      <c t="s" s="6" r="AM954">
        <v>92</v>
      </c>
      <c t="s" s="6" r="AN954">
        <v>92</v>
      </c>
      <c s="6" r="AP954">
        <v>2</v>
      </c>
      <c t="s" s="6" r="AR954">
        <v>7131</v>
      </c>
      <c s="6" r="AS954">
        <v>0</v>
      </c>
      <c s="6" r="AT954">
        <v>0</v>
      </c>
      <c s="6" r="AU954">
        <v>0</v>
      </c>
      <c s="6" r="AV954">
        <v>0</v>
      </c>
      <c s="6" r="AW954">
        <v>0</v>
      </c>
      <c s="6" r="AX954">
        <v>0</v>
      </c>
      <c s="6" r="AY954">
        <v>0</v>
      </c>
      <c s="6" r="AZ954">
        <v>0</v>
      </c>
      <c s="6" r="BA954">
        <v>0</v>
      </c>
      <c s="6" r="BB954">
        <v>0</v>
      </c>
      <c s="6" r="BC954">
        <v>0</v>
      </c>
      <c s="6" r="BD954">
        <v>0</v>
      </c>
      <c s="6" r="BE954">
        <v>0</v>
      </c>
      <c s="6" r="BF954">
        <v>0</v>
      </c>
      <c s="6" r="BG954">
        <v>0</v>
      </c>
      <c s="6" r="BH954">
        <v>0</v>
      </c>
      <c s="6" r="BI954">
        <v>0</v>
      </c>
      <c s="6" r="BJ954">
        <v>0</v>
      </c>
      <c s="6" r="BK954">
        <v>0</v>
      </c>
      <c s="6" r="BL954">
        <v>0</v>
      </c>
      <c s="6" r="BM954">
        <v>0</v>
      </c>
      <c s="6" r="BN954">
        <v>0</v>
      </c>
      <c s="6" r="BO954">
        <v>0</v>
      </c>
      <c s="6" r="BP954">
        <v>0</v>
      </c>
      <c s="6" r="BQ954">
        <v>0</v>
      </c>
      <c t="str" s="6" r="BR954">
        <f>HYPERLINK("http://www.d20pfsrd.com/magic/all-spells/a/acute-senses","Acute Senses")</f>
        <v>Acute Senses</v>
      </c>
      <c s="6" r="BS954">
        <v>976</v>
      </c>
      <c t="s" s="6" r="BT954">
        <v>92</v>
      </c>
      <c s="6" r="BY954">
        <v>0</v>
      </c>
    </row>
    <row customHeight="1" r="955" ht="14.25">
      <c t="s" s="6" r="A955">
        <v>7132</v>
      </c>
      <c t="s" s="6" r="B955">
        <v>131</v>
      </c>
      <c t="s" s="6" r="E955">
        <v>7133</v>
      </c>
      <c t="s" s="6" r="F955">
        <v>81</v>
      </c>
      <c t="s" s="6" r="G955">
        <v>106</v>
      </c>
      <c s="6" r="H955">
        <v>0</v>
      </c>
      <c t="s" s="6" r="I955">
        <v>155</v>
      </c>
      <c t="s" s="6" r="L955">
        <v>156</v>
      </c>
      <c t="s" s="6" r="M955">
        <v>379</v>
      </c>
      <c s="6" r="N955">
        <v>0</v>
      </c>
      <c s="6" r="O955">
        <v>0</v>
      </c>
      <c t="s" s="6" r="R955">
        <v>7134</v>
      </c>
      <c t="s" s="6" r="S955">
        <v>7135</v>
      </c>
      <c t="s" s="6" r="T955">
        <v>7122</v>
      </c>
      <c t="s" s="6" r="U955">
        <v>7136</v>
      </c>
      <c s="6" r="V955">
        <v>1</v>
      </c>
      <c s="6" r="W955">
        <v>1</v>
      </c>
      <c s="6" r="X955">
        <v>0</v>
      </c>
      <c s="6" r="Y955">
        <v>0</v>
      </c>
      <c s="6" r="Z955">
        <v>0</v>
      </c>
      <c s="6" r="AA955">
        <v>4</v>
      </c>
      <c s="6" r="AB955">
        <v>4</v>
      </c>
      <c t="s" s="6" r="AC955">
        <v>92</v>
      </c>
      <c s="6" r="AD955">
        <v>4</v>
      </c>
      <c t="s" s="6" r="AE955">
        <v>92</v>
      </c>
      <c t="s" s="6" r="AF955">
        <v>92</v>
      </c>
      <c t="s" s="6" r="AG955">
        <v>92</v>
      </c>
      <c s="6" r="AH955">
        <v>3</v>
      </c>
      <c t="s" s="6" r="AI955">
        <v>92</v>
      </c>
      <c s="6" r="AJ955">
        <v>4</v>
      </c>
      <c t="s" s="6" r="AK955">
        <v>92</v>
      </c>
      <c t="s" s="6" r="AL955">
        <v>92</v>
      </c>
      <c t="s" s="6" r="AM955">
        <v>92</v>
      </c>
      <c t="s" s="6" r="AN955">
        <v>92</v>
      </c>
      <c s="6" r="AP955">
        <v>4</v>
      </c>
      <c t="s" s="6" r="AR955">
        <v>7137</v>
      </c>
      <c s="6" r="AS955">
        <v>0</v>
      </c>
      <c s="6" r="AT955">
        <v>0</v>
      </c>
      <c s="6" r="AU955">
        <v>0</v>
      </c>
      <c s="6" r="AV955">
        <v>0</v>
      </c>
      <c s="6" r="AW955">
        <v>0</v>
      </c>
      <c s="6" r="AX955">
        <v>0</v>
      </c>
      <c s="6" r="AY955">
        <v>0</v>
      </c>
      <c s="6" r="AZ955">
        <v>0</v>
      </c>
      <c s="6" r="BA955">
        <v>0</v>
      </c>
      <c s="6" r="BB955">
        <v>0</v>
      </c>
      <c s="6" r="BC955">
        <v>0</v>
      </c>
      <c s="6" r="BD955">
        <v>0</v>
      </c>
      <c s="6" r="BE955">
        <v>0</v>
      </c>
      <c s="6" r="BF955">
        <v>0</v>
      </c>
      <c s="6" r="BG955">
        <v>0</v>
      </c>
      <c s="6" r="BH955">
        <v>0</v>
      </c>
      <c s="6" r="BI955">
        <v>0</v>
      </c>
      <c s="6" r="BJ955">
        <v>0</v>
      </c>
      <c s="6" r="BK955">
        <v>0</v>
      </c>
      <c s="6" r="BL955">
        <v>0</v>
      </c>
      <c s="6" r="BM955">
        <v>0</v>
      </c>
      <c s="6" r="BN955">
        <v>0</v>
      </c>
      <c s="6" r="BO955">
        <v>0</v>
      </c>
      <c s="6" r="BP955">
        <v>0</v>
      </c>
      <c s="6" r="BQ955">
        <v>0</v>
      </c>
      <c t="str" s="6" r="BR955">
        <f>HYPERLINK("http://www.d20pfsrd.com/magic/all-spells/a/age-resistance","Age Resistance, Lesser")</f>
        <v>Age Resistance, Lesser</v>
      </c>
      <c s="6" r="BS955">
        <v>977</v>
      </c>
      <c t="s" s="6" r="BT955">
        <v>92</v>
      </c>
      <c s="6" r="BY955">
        <v>0</v>
      </c>
    </row>
    <row customHeight="1" r="956" ht="14.25">
      <c t="s" s="6" r="A956">
        <v>7138</v>
      </c>
      <c t="s" s="6" r="B956">
        <v>131</v>
      </c>
      <c t="s" s="6" r="E956">
        <v>7139</v>
      </c>
      <c t="s" s="6" r="F956">
        <v>81</v>
      </c>
      <c t="s" s="6" r="G956">
        <v>106</v>
      </c>
      <c s="6" r="H956">
        <v>0</v>
      </c>
      <c t="s" s="6" r="I956">
        <v>155</v>
      </c>
      <c t="s" s="6" r="L956">
        <v>156</v>
      </c>
      <c t="s" s="6" r="M956">
        <v>379</v>
      </c>
      <c s="6" r="N956">
        <v>0</v>
      </c>
      <c s="6" r="O956">
        <v>0</v>
      </c>
      <c t="s" s="6" r="R956">
        <v>7140</v>
      </c>
      <c t="s" s="6" r="S956">
        <v>7141</v>
      </c>
      <c t="s" s="6" r="T956">
        <v>7122</v>
      </c>
      <c t="s" s="6" r="U956">
        <v>7142</v>
      </c>
      <c s="6" r="V956">
        <v>1</v>
      </c>
      <c s="6" r="W956">
        <v>1</v>
      </c>
      <c s="6" r="X956">
        <v>0</v>
      </c>
      <c s="6" r="Y956">
        <v>0</v>
      </c>
      <c s="6" r="Z956">
        <v>0</v>
      </c>
      <c s="6" r="AA956">
        <v>7</v>
      </c>
      <c s="6" r="AB956">
        <v>7</v>
      </c>
      <c t="s" s="6" r="AC956">
        <v>92</v>
      </c>
      <c s="6" r="AD956">
        <v>7</v>
      </c>
      <c t="s" s="6" r="AE956">
        <v>92</v>
      </c>
      <c t="s" s="6" r="AF956">
        <v>92</v>
      </c>
      <c t="s" s="6" r="AG956">
        <v>92</v>
      </c>
      <c s="6" r="AH956">
        <v>5</v>
      </c>
      <c t="s" s="6" r="AI956">
        <v>92</v>
      </c>
      <c s="6" r="AJ956">
        <v>7</v>
      </c>
      <c t="s" s="6" r="AK956">
        <v>92</v>
      </c>
      <c t="s" s="6" r="AL956">
        <v>92</v>
      </c>
      <c t="s" s="6" r="AM956">
        <v>92</v>
      </c>
      <c t="s" s="6" r="AN956">
        <v>92</v>
      </c>
      <c s="6" r="AP956">
        <v>7</v>
      </c>
      <c t="s" s="6" r="AR956">
        <v>7143</v>
      </c>
      <c s="6" r="AS956">
        <v>0</v>
      </c>
      <c s="6" r="AT956">
        <v>0</v>
      </c>
      <c s="6" r="AU956">
        <v>0</v>
      </c>
      <c s="6" r="AV956">
        <v>0</v>
      </c>
      <c s="6" r="AW956">
        <v>0</v>
      </c>
      <c s="6" r="AX956">
        <v>0</v>
      </c>
      <c s="6" r="AY956">
        <v>0</v>
      </c>
      <c s="6" r="AZ956">
        <v>0</v>
      </c>
      <c s="6" r="BA956">
        <v>0</v>
      </c>
      <c s="6" r="BB956">
        <v>0</v>
      </c>
      <c s="6" r="BC956">
        <v>0</v>
      </c>
      <c s="6" r="BD956">
        <v>0</v>
      </c>
      <c s="6" r="BE956">
        <v>0</v>
      </c>
      <c s="6" r="BF956">
        <v>0</v>
      </c>
      <c s="6" r="BG956">
        <v>0</v>
      </c>
      <c s="6" r="BH956">
        <v>0</v>
      </c>
      <c s="6" r="BI956">
        <v>0</v>
      </c>
      <c s="6" r="BJ956">
        <v>0</v>
      </c>
      <c s="6" r="BK956">
        <v>0</v>
      </c>
      <c s="6" r="BL956">
        <v>0</v>
      </c>
      <c s="6" r="BM956">
        <v>0</v>
      </c>
      <c s="6" r="BN956">
        <v>0</v>
      </c>
      <c s="6" r="BO956">
        <v>0</v>
      </c>
      <c s="6" r="BP956">
        <v>0</v>
      </c>
      <c s="6" r="BQ956">
        <v>0</v>
      </c>
      <c t="str" s="6" r="BR956">
        <f>HYPERLINK("http://www.d20pfsrd.com/magic/all-spells/a/age-resistance","Age Resistance, Greater")</f>
        <v>Age Resistance, Greater</v>
      </c>
      <c s="6" r="BS956">
        <v>978</v>
      </c>
      <c t="s" s="6" r="BT956">
        <v>92</v>
      </c>
      <c t="s" s="6" r="BU956">
        <v>857</v>
      </c>
      <c s="6" r="BY956">
        <v>0</v>
      </c>
    </row>
    <row customHeight="1" r="957" ht="14.25">
      <c t="s" s="6" r="A957">
        <v>7144</v>
      </c>
      <c t="s" s="6" r="B957">
        <v>131</v>
      </c>
      <c t="s" s="6" r="E957">
        <v>7145</v>
      </c>
      <c t="s" s="6" r="F957">
        <v>81</v>
      </c>
      <c t="s" s="6" r="G957">
        <v>106</v>
      </c>
      <c s="6" r="H957">
        <v>0</v>
      </c>
      <c t="s" s="6" r="I957">
        <v>155</v>
      </c>
      <c t="s" s="6" r="L957">
        <v>156</v>
      </c>
      <c t="s" s="6" r="M957">
        <v>379</v>
      </c>
      <c s="6" r="N957">
        <v>0</v>
      </c>
      <c s="6" r="O957">
        <v>0</v>
      </c>
      <c t="s" s="6" r="R957">
        <v>7146</v>
      </c>
      <c t="s" s="6" r="S957">
        <v>7147</v>
      </c>
      <c t="s" s="6" r="T957">
        <v>7122</v>
      </c>
      <c t="s" s="6" r="U957">
        <v>7148</v>
      </c>
      <c s="6" r="V957">
        <v>1</v>
      </c>
      <c s="6" r="W957">
        <v>1</v>
      </c>
      <c s="6" r="X957">
        <v>0</v>
      </c>
      <c s="6" r="Y957">
        <v>0</v>
      </c>
      <c s="6" r="Z957">
        <v>0</v>
      </c>
      <c s="6" r="AA957">
        <v>6</v>
      </c>
      <c s="6" r="AB957">
        <v>6</v>
      </c>
      <c t="s" s="6" r="AC957">
        <v>92</v>
      </c>
      <c s="6" r="AD957">
        <v>6</v>
      </c>
      <c t="s" s="6" r="AE957">
        <v>92</v>
      </c>
      <c t="s" s="6" r="AF957">
        <v>92</v>
      </c>
      <c t="s" s="6" r="AG957">
        <v>92</v>
      </c>
      <c s="6" r="AH957">
        <v>4</v>
      </c>
      <c t="s" s="6" r="AI957">
        <v>92</v>
      </c>
      <c s="6" r="AJ957">
        <v>6</v>
      </c>
      <c t="s" s="6" r="AK957">
        <v>92</v>
      </c>
      <c t="s" s="6" r="AL957">
        <v>92</v>
      </c>
      <c t="s" s="6" r="AM957">
        <v>92</v>
      </c>
      <c t="s" s="6" r="AN957">
        <v>92</v>
      </c>
      <c s="6" r="AP957">
        <v>6</v>
      </c>
      <c t="s" s="6" r="AR957">
        <v>7149</v>
      </c>
      <c s="6" r="AS957">
        <v>0</v>
      </c>
      <c s="6" r="AT957">
        <v>0</v>
      </c>
      <c s="6" r="AU957">
        <v>0</v>
      </c>
      <c s="6" r="AV957">
        <v>0</v>
      </c>
      <c s="6" r="AW957">
        <v>0</v>
      </c>
      <c s="6" r="AX957">
        <v>0</v>
      </c>
      <c s="6" r="AY957">
        <v>0</v>
      </c>
      <c s="6" r="AZ957">
        <v>0</v>
      </c>
      <c s="6" r="BA957">
        <v>0</v>
      </c>
      <c s="6" r="BB957">
        <v>0</v>
      </c>
      <c s="6" r="BC957">
        <v>0</v>
      </c>
      <c s="6" r="BD957">
        <v>0</v>
      </c>
      <c s="6" r="BE957">
        <v>0</v>
      </c>
      <c s="6" r="BF957">
        <v>0</v>
      </c>
      <c s="6" r="BG957">
        <v>0</v>
      </c>
      <c s="6" r="BH957">
        <v>0</v>
      </c>
      <c s="6" r="BI957">
        <v>0</v>
      </c>
      <c s="6" r="BJ957">
        <v>0</v>
      </c>
      <c s="6" r="BK957">
        <v>0</v>
      </c>
      <c s="6" r="BL957">
        <v>0</v>
      </c>
      <c s="6" r="BM957">
        <v>0</v>
      </c>
      <c s="6" r="BN957">
        <v>0</v>
      </c>
      <c s="6" r="BO957">
        <v>0</v>
      </c>
      <c s="6" r="BP957">
        <v>0</v>
      </c>
      <c s="6" r="BQ957">
        <v>0</v>
      </c>
      <c t="str" s="6" r="BR957">
        <f>HYPERLINK("http://www.d20pfsrd.com/magic/all-spells/a/age-resistance","Age Resistance")</f>
        <v>Age Resistance</v>
      </c>
      <c s="6" r="BS957">
        <v>979</v>
      </c>
      <c t="s" s="6" r="BT957">
        <v>92</v>
      </c>
      <c s="6" r="BY957">
        <v>0</v>
      </c>
    </row>
    <row customHeight="1" r="958" ht="14.25">
      <c t="s" s="6" r="A958">
        <v>7150</v>
      </c>
      <c t="s" s="6" r="B958">
        <v>131</v>
      </c>
      <c t="s" s="6" r="E958">
        <v>5455</v>
      </c>
      <c t="s" s="6" r="F958">
        <v>81</v>
      </c>
      <c t="s" s="6" r="G958">
        <v>251</v>
      </c>
      <c s="6" r="H958">
        <v>0</v>
      </c>
      <c t="s" s="6" r="I958">
        <v>155</v>
      </c>
      <c t="s" s="6" r="L958">
        <v>156</v>
      </c>
      <c t="s" s="6" r="M958">
        <v>7151</v>
      </c>
      <c s="6" r="N958">
        <v>1</v>
      </c>
      <c s="6" r="O958">
        <v>0</v>
      </c>
      <c t="s" s="6" r="R958">
        <v>7152</v>
      </c>
      <c t="s" s="6" r="S958">
        <v>7153</v>
      </c>
      <c t="s" s="6" r="T958">
        <v>7122</v>
      </c>
      <c t="s" s="6" r="U958">
        <v>7154</v>
      </c>
      <c s="6" r="V958">
        <v>1</v>
      </c>
      <c s="6" r="W958">
        <v>0</v>
      </c>
      <c s="6" r="X958">
        <v>0</v>
      </c>
      <c s="6" r="Y958">
        <v>0</v>
      </c>
      <c s="6" r="Z958">
        <v>0</v>
      </c>
      <c t="s" s="6" r="AA958">
        <v>92</v>
      </c>
      <c t="s" s="6" r="AB958">
        <v>92</v>
      </c>
      <c t="s" s="6" r="AC958">
        <v>92</v>
      </c>
      <c t="s" s="6" r="AD958">
        <v>92</v>
      </c>
      <c t="s" s="6" r="AE958">
        <v>92</v>
      </c>
      <c s="6" r="AF958">
        <v>2</v>
      </c>
      <c t="s" s="6" r="AG958">
        <v>92</v>
      </c>
      <c t="s" s="6" r="AH958">
        <v>92</v>
      </c>
      <c t="s" s="6" r="AI958">
        <v>92</v>
      </c>
      <c t="s" s="6" r="AJ958">
        <v>92</v>
      </c>
      <c t="s" s="6" r="AK958">
        <v>92</v>
      </c>
      <c t="s" s="6" r="AL958">
        <v>92</v>
      </c>
      <c t="s" s="6" r="AM958">
        <v>92</v>
      </c>
      <c t="s" s="6" r="AN958">
        <v>92</v>
      </c>
      <c s="6" r="AP958">
        <v>2</v>
      </c>
      <c t="s" s="6" r="AR958">
        <v>7155</v>
      </c>
      <c s="6" r="AS958">
        <v>0</v>
      </c>
      <c s="6" r="AT958">
        <v>0</v>
      </c>
      <c s="6" r="AU958">
        <v>0</v>
      </c>
      <c s="6" r="AV958">
        <v>0</v>
      </c>
      <c s="6" r="AW958">
        <v>0</v>
      </c>
      <c s="6" r="AX958">
        <v>0</v>
      </c>
      <c s="6" r="AY958">
        <v>0</v>
      </c>
      <c s="6" r="AZ958">
        <v>0</v>
      </c>
      <c s="6" r="BA958">
        <v>0</v>
      </c>
      <c s="6" r="BB958">
        <v>0</v>
      </c>
      <c s="6" r="BC958">
        <v>0</v>
      </c>
      <c s="6" r="BD958">
        <v>0</v>
      </c>
      <c s="6" r="BE958">
        <v>0</v>
      </c>
      <c s="6" r="BF958">
        <v>0</v>
      </c>
      <c s="6" r="BG958">
        <v>0</v>
      </c>
      <c s="6" r="BH958">
        <v>0</v>
      </c>
      <c s="6" r="BI958">
        <v>0</v>
      </c>
      <c s="6" r="BJ958">
        <v>0</v>
      </c>
      <c s="6" r="BK958">
        <v>0</v>
      </c>
      <c s="6" r="BL958">
        <v>0</v>
      </c>
      <c s="6" r="BM958">
        <v>0</v>
      </c>
      <c s="6" r="BN958">
        <v>0</v>
      </c>
      <c s="6" r="BO958">
        <v>0</v>
      </c>
      <c s="6" r="BP958">
        <v>0</v>
      </c>
      <c s="6" r="BQ958">
        <v>0</v>
      </c>
      <c t="str" s="6" r="BR958">
        <f>HYPERLINK("http://www.d20pfsrd.com/magic/all-spells/a/allegro","Allegro")</f>
        <v>Allegro</v>
      </c>
      <c s="6" r="BS958">
        <v>980</v>
      </c>
      <c t="s" s="6" r="BT958">
        <v>92</v>
      </c>
      <c s="6" r="BY958">
        <v>0</v>
      </c>
    </row>
    <row customHeight="1" r="959" ht="14.25">
      <c t="s" s="6" r="A959">
        <v>7156</v>
      </c>
      <c t="s" s="6" r="B959">
        <v>227</v>
      </c>
      <c t="s" s="6" r="D959">
        <v>55</v>
      </c>
      <c t="s" s="6" r="E959">
        <v>7157</v>
      </c>
      <c t="s" s="6" r="F959">
        <v>81</v>
      </c>
      <c t="s" s="6" r="G959">
        <v>229</v>
      </c>
      <c s="6" r="H959">
        <v>1</v>
      </c>
      <c t="s" s="6" r="I959">
        <v>120</v>
      </c>
      <c t="s" s="6" r="L959">
        <v>1022</v>
      </c>
      <c t="s" s="6" r="M959">
        <v>109</v>
      </c>
      <c s="6" r="N959">
        <v>0</v>
      </c>
      <c s="6" r="O959">
        <v>0</v>
      </c>
      <c t="s" s="6" r="P959">
        <v>86</v>
      </c>
      <c t="s" s="6" r="Q959">
        <v>87</v>
      </c>
      <c t="s" s="6" r="R959">
        <v>7158</v>
      </c>
      <c t="s" s="6" r="S959">
        <v>7159</v>
      </c>
      <c t="s" s="6" r="T959">
        <v>7122</v>
      </c>
      <c t="s" s="6" r="U959">
        <v>7160</v>
      </c>
      <c s="6" r="V959">
        <v>1</v>
      </c>
      <c s="6" r="W959">
        <v>1</v>
      </c>
      <c s="6" r="X959">
        <v>1</v>
      </c>
      <c s="6" r="Y959">
        <v>0</v>
      </c>
      <c s="6" r="Z959">
        <v>0</v>
      </c>
      <c s="6" r="AA959">
        <v>3</v>
      </c>
      <c s="6" r="AB959">
        <v>3</v>
      </c>
      <c s="6" r="AC959">
        <v>2</v>
      </c>
      <c t="s" s="6" r="AD959">
        <v>92</v>
      </c>
      <c t="s" s="6" r="AE959">
        <v>92</v>
      </c>
      <c t="s" s="6" r="AF959">
        <v>92</v>
      </c>
      <c t="s" s="6" r="AG959">
        <v>92</v>
      </c>
      <c t="s" s="6" r="AH959">
        <v>92</v>
      </c>
      <c t="s" s="6" r="AI959">
        <v>92</v>
      </c>
      <c t="s" s="6" r="AJ959">
        <v>92</v>
      </c>
      <c t="s" s="6" r="AK959">
        <v>92</v>
      </c>
      <c s="6" r="AL959">
        <v>2</v>
      </c>
      <c t="s" s="6" r="AM959">
        <v>92</v>
      </c>
      <c t="s" s="6" r="AN959">
        <v>92</v>
      </c>
      <c s="6" r="AP959">
        <v>3</v>
      </c>
      <c t="s" s="6" r="AR959">
        <v>7161</v>
      </c>
      <c s="6" r="AS959">
        <v>0</v>
      </c>
      <c s="6" r="AT959">
        <v>0</v>
      </c>
      <c s="6" r="AU959">
        <v>0</v>
      </c>
      <c s="6" r="AV959">
        <v>0</v>
      </c>
      <c s="6" r="AW959">
        <v>0</v>
      </c>
      <c s="6" r="AX959">
        <v>0</v>
      </c>
      <c s="6" r="AY959">
        <v>0</v>
      </c>
      <c s="6" r="AZ959">
        <v>0</v>
      </c>
      <c s="6" r="BA959">
        <v>0</v>
      </c>
      <c s="6" r="BB959">
        <v>0</v>
      </c>
      <c s="6" r="BC959">
        <v>0</v>
      </c>
      <c s="6" r="BD959">
        <v>1</v>
      </c>
      <c s="6" r="BE959">
        <v>0</v>
      </c>
      <c s="6" r="BF959">
        <v>0</v>
      </c>
      <c s="6" r="BG959">
        <v>0</v>
      </c>
      <c s="6" r="BH959">
        <v>0</v>
      </c>
      <c s="6" r="BI959">
        <v>0</v>
      </c>
      <c s="6" r="BJ959">
        <v>0</v>
      </c>
      <c s="6" r="BK959">
        <v>0</v>
      </c>
      <c s="6" r="BL959">
        <v>0</v>
      </c>
      <c s="6" r="BM959">
        <v>0</v>
      </c>
      <c s="6" r="BN959">
        <v>0</v>
      </c>
      <c s="6" r="BO959">
        <v>0</v>
      </c>
      <c s="6" r="BP959">
        <v>0</v>
      </c>
      <c s="6" r="BQ959">
        <v>0</v>
      </c>
      <c t="str" s="6" r="BR959">
        <f>HYPERLINK("http://www.d20pfsrd.com/magic/all-spells/a/animate-dead","Animate Dead, Lesser")</f>
        <v>Animate Dead, Lesser</v>
      </c>
      <c s="6" r="BS959">
        <v>981</v>
      </c>
      <c s="6" r="BT959">
        <v>25</v>
      </c>
      <c s="6" r="BY959">
        <v>0</v>
      </c>
    </row>
    <row customHeight="1" r="960" ht="14.25">
      <c t="s" s="6" r="A960">
        <v>7162</v>
      </c>
      <c t="s" s="6" r="B960">
        <v>131</v>
      </c>
      <c t="s" s="6" r="C960">
        <v>152</v>
      </c>
      <c t="s" s="6" r="E960">
        <v>7163</v>
      </c>
      <c t="s" s="6" r="F960">
        <v>81</v>
      </c>
      <c t="s" s="6" r="G960">
        <v>7164</v>
      </c>
      <c s="6" r="H960">
        <v>0</v>
      </c>
      <c t="s" s="6" r="I960">
        <v>120</v>
      </c>
      <c t="s" s="6" r="L960">
        <v>7165</v>
      </c>
      <c t="s" s="6" r="M960">
        <v>209</v>
      </c>
      <c s="6" r="N960">
        <v>0</v>
      </c>
      <c s="6" r="O960">
        <v>0</v>
      </c>
      <c t="s" s="6" r="P960">
        <v>187</v>
      </c>
      <c t="s" s="6" r="Q960">
        <v>188</v>
      </c>
      <c t="s" s="6" r="R960">
        <v>7166</v>
      </c>
      <c t="s" s="6" r="S960">
        <v>7167</v>
      </c>
      <c t="s" s="6" r="T960">
        <v>7122</v>
      </c>
      <c t="s" s="6" r="U960">
        <v>7168</v>
      </c>
      <c s="6" r="V960">
        <v>1</v>
      </c>
      <c s="6" r="W960">
        <v>1</v>
      </c>
      <c s="6" r="X960">
        <v>1</v>
      </c>
      <c s="6" r="Y960">
        <v>0</v>
      </c>
      <c s="6" r="Z960">
        <v>0</v>
      </c>
      <c s="6" r="AA960">
        <v>3</v>
      </c>
      <c s="6" r="AB960">
        <v>3</v>
      </c>
      <c t="s" s="6" r="AC960">
        <v>92</v>
      </c>
      <c s="6" r="AD960">
        <v>3</v>
      </c>
      <c t="s" s="6" r="AE960">
        <v>92</v>
      </c>
      <c t="s" s="6" r="AF960">
        <v>92</v>
      </c>
      <c t="s" s="6" r="AG960">
        <v>92</v>
      </c>
      <c t="s" s="6" r="AH960">
        <v>92</v>
      </c>
      <c t="s" s="6" r="AI960">
        <v>92</v>
      </c>
      <c s="6" r="AJ960">
        <v>3</v>
      </c>
      <c t="s" s="6" r="AK960">
        <v>92</v>
      </c>
      <c t="s" s="6" r="AL960">
        <v>92</v>
      </c>
      <c t="s" s="6" r="AM960">
        <v>92</v>
      </c>
      <c t="s" s="6" r="AN960">
        <v>92</v>
      </c>
      <c s="6" r="AP960">
        <v>3</v>
      </c>
      <c t="s" s="6" r="AR960">
        <v>7169</v>
      </c>
      <c s="6" r="AS960">
        <v>0</v>
      </c>
      <c s="6" r="AT960">
        <v>0</v>
      </c>
      <c s="6" r="AU960">
        <v>0</v>
      </c>
      <c s="6" r="AV960">
        <v>0</v>
      </c>
      <c s="6" r="AW960">
        <v>0</v>
      </c>
      <c s="6" r="AX960">
        <v>0</v>
      </c>
      <c s="6" r="AY960">
        <v>0</v>
      </c>
      <c s="6" r="AZ960">
        <v>0</v>
      </c>
      <c s="6" r="BA960">
        <v>0</v>
      </c>
      <c s="6" r="BB960">
        <v>0</v>
      </c>
      <c s="6" r="BC960">
        <v>0</v>
      </c>
      <c s="6" r="BD960">
        <v>0</v>
      </c>
      <c s="6" r="BE960">
        <v>0</v>
      </c>
      <c s="6" r="BF960">
        <v>0</v>
      </c>
      <c s="6" r="BG960">
        <v>0</v>
      </c>
      <c s="6" r="BH960">
        <v>0</v>
      </c>
      <c s="6" r="BI960">
        <v>0</v>
      </c>
      <c s="6" r="BJ960">
        <v>0</v>
      </c>
      <c s="6" r="BK960">
        <v>0</v>
      </c>
      <c s="6" r="BL960">
        <v>0</v>
      </c>
      <c s="6" r="BM960">
        <v>0</v>
      </c>
      <c s="6" r="BN960">
        <v>0</v>
      </c>
      <c s="6" r="BO960">
        <v>0</v>
      </c>
      <c s="6" r="BP960">
        <v>0</v>
      </c>
      <c s="6" r="BQ960">
        <v>0</v>
      </c>
      <c t="str" s="6" r="BR960">
        <f>HYPERLINK("http://www.d20pfsrd.com/magic/all-spells/a/anthropomorphic-animal","Anthropomorphic Animal")</f>
        <v>Anthropomorphic Animal</v>
      </c>
      <c s="6" r="BS960">
        <v>982</v>
      </c>
      <c t="s" s="6" r="BT960">
        <v>92</v>
      </c>
      <c s="6" r="BY960">
        <v>0</v>
      </c>
    </row>
    <row customHeight="1" r="961" ht="14.25">
      <c t="s" s="6" r="A961">
        <v>7170</v>
      </c>
      <c t="s" s="6" r="B961">
        <v>174</v>
      </c>
      <c t="s" s="6" r="E961">
        <v>7171</v>
      </c>
      <c t="s" s="6" r="F961">
        <v>81</v>
      </c>
      <c t="s" s="6" r="G961">
        <v>106</v>
      </c>
      <c s="6" r="H961">
        <v>0</v>
      </c>
      <c t="s" s="6" r="I961">
        <v>120</v>
      </c>
      <c t="s" s="6" r="L961">
        <v>420</v>
      </c>
      <c t="s" s="6" r="M961">
        <v>7172</v>
      </c>
      <c s="6" r="N961">
        <v>0</v>
      </c>
      <c s="6" r="O961">
        <v>0</v>
      </c>
      <c t="s" s="6" r="P961">
        <v>221</v>
      </c>
      <c t="s" s="6" r="Q961">
        <v>188</v>
      </c>
      <c t="s" s="6" r="R961">
        <v>7173</v>
      </c>
      <c t="s" s="6" r="S961">
        <v>7174</v>
      </c>
      <c t="s" s="6" r="T961">
        <v>7122</v>
      </c>
      <c t="s" s="6" r="U961">
        <v>7175</v>
      </c>
      <c s="6" r="V961">
        <v>1</v>
      </c>
      <c s="6" r="W961">
        <v>1</v>
      </c>
      <c s="6" r="X961">
        <v>0</v>
      </c>
      <c s="6" r="Y961">
        <v>0</v>
      </c>
      <c s="6" r="Z961">
        <v>0</v>
      </c>
      <c s="6" r="AA961">
        <v>1</v>
      </c>
      <c s="6" r="AB961">
        <v>1</v>
      </c>
      <c t="s" s="6" r="AC961">
        <v>92</v>
      </c>
      <c t="s" s="6" r="AD961">
        <v>92</v>
      </c>
      <c s="6" r="AE961">
        <v>1</v>
      </c>
      <c s="6" r="AF961">
        <v>1</v>
      </c>
      <c t="s" s="6" r="AG961">
        <v>92</v>
      </c>
      <c s="6" r="AH961">
        <v>1</v>
      </c>
      <c t="s" s="6" r="AI961">
        <v>92</v>
      </c>
      <c t="s" s="6" r="AJ961">
        <v>92</v>
      </c>
      <c t="s" s="6" r="AK961">
        <v>92</v>
      </c>
      <c t="s" s="6" r="AL961">
        <v>92</v>
      </c>
      <c t="s" s="6" r="AM961">
        <v>92</v>
      </c>
      <c t="s" s="6" r="AN961">
        <v>92</v>
      </c>
      <c s="6" r="AP961">
        <v>1</v>
      </c>
      <c t="s" s="6" r="AR961">
        <v>7176</v>
      </c>
      <c s="6" r="AS961">
        <v>0</v>
      </c>
      <c s="6" r="AT961">
        <v>0</v>
      </c>
      <c s="6" r="AU961">
        <v>0</v>
      </c>
      <c s="6" r="AV961">
        <v>0</v>
      </c>
      <c s="6" r="AW961">
        <v>0</v>
      </c>
      <c s="6" r="AX961">
        <v>0</v>
      </c>
      <c s="6" r="AY961">
        <v>0</v>
      </c>
      <c s="6" r="AZ961">
        <v>0</v>
      </c>
      <c s="6" r="BA961">
        <v>0</v>
      </c>
      <c s="6" r="BB961">
        <v>0</v>
      </c>
      <c s="6" r="BC961">
        <v>0</v>
      </c>
      <c s="6" r="BD961">
        <v>0</v>
      </c>
      <c s="6" r="BE961">
        <v>0</v>
      </c>
      <c s="6" r="BF961">
        <v>0</v>
      </c>
      <c s="6" r="BG961">
        <v>0</v>
      </c>
      <c s="6" r="BH961">
        <v>0</v>
      </c>
      <c s="6" r="BI961">
        <v>0</v>
      </c>
      <c s="6" r="BJ961">
        <v>0</v>
      </c>
      <c s="6" r="BK961">
        <v>0</v>
      </c>
      <c s="6" r="BL961">
        <v>0</v>
      </c>
      <c s="6" r="BM961">
        <v>0</v>
      </c>
      <c s="6" r="BN961">
        <v>0</v>
      </c>
      <c s="6" r="BO961">
        <v>0</v>
      </c>
      <c s="6" r="BP961">
        <v>0</v>
      </c>
      <c s="6" r="BQ961">
        <v>0</v>
      </c>
      <c t="str" s="6" r="BR961">
        <f>HYPERLINK("http://www.d20pfsrd.com/magic/all-spells/a/anticipate-peril","Anticipate Peril")</f>
        <v>Anticipate Peril</v>
      </c>
      <c s="6" r="BS961">
        <v>983</v>
      </c>
      <c t="s" s="6" r="BT961">
        <v>92</v>
      </c>
      <c t="s" s="6" r="BW961">
        <v>7177</v>
      </c>
      <c s="6" r="BY961">
        <v>1</v>
      </c>
    </row>
    <row customHeight="1" r="962" ht="14.25">
      <c t="s" s="6" r="A962">
        <v>7178</v>
      </c>
      <c t="s" s="6" r="B962">
        <v>131</v>
      </c>
      <c t="s" s="6" r="E962">
        <v>303</v>
      </c>
      <c t="s" s="6" r="F962">
        <v>81</v>
      </c>
      <c t="s" s="6" r="G962">
        <v>119</v>
      </c>
      <c s="6" r="H962">
        <v>0</v>
      </c>
      <c t="s" s="6" r="I962">
        <v>97</v>
      </c>
      <c t="s" s="6" r="L962">
        <v>7179</v>
      </c>
      <c t="s" s="6" r="M962">
        <v>483</v>
      </c>
      <c s="6" r="N962">
        <v>1</v>
      </c>
      <c s="6" r="O962">
        <v>0</v>
      </c>
      <c t="s" s="6" r="P962">
        <v>86</v>
      </c>
      <c t="s" s="6" r="Q962">
        <v>87</v>
      </c>
      <c t="s" s="6" r="R962">
        <v>7180</v>
      </c>
      <c t="s" s="6" r="S962">
        <v>7181</v>
      </c>
      <c t="s" s="6" r="T962">
        <v>7122</v>
      </c>
      <c t="s" s="6" r="U962">
        <v>7182</v>
      </c>
      <c s="6" r="V962">
        <v>1</v>
      </c>
      <c s="6" r="W962">
        <v>1</v>
      </c>
      <c s="6" r="X962">
        <v>0</v>
      </c>
      <c s="6" r="Y962">
        <v>0</v>
      </c>
      <c s="6" r="Z962">
        <v>1</v>
      </c>
      <c t="s" s="6" r="AA962">
        <v>92</v>
      </c>
      <c t="s" s="6" r="AB962">
        <v>92</v>
      </c>
      <c t="s" s="6" r="AC962">
        <v>92</v>
      </c>
      <c s="6" r="AD962">
        <v>4</v>
      </c>
      <c t="s" s="6" r="AE962">
        <v>92</v>
      </c>
      <c t="s" s="6" r="AF962">
        <v>92</v>
      </c>
      <c t="s" s="6" r="AG962">
        <v>92</v>
      </c>
      <c t="s" s="6" r="AH962">
        <v>92</v>
      </c>
      <c t="s" s="6" r="AI962">
        <v>92</v>
      </c>
      <c t="s" s="6" r="AJ962">
        <v>92</v>
      </c>
      <c t="s" s="6" r="AK962">
        <v>92</v>
      </c>
      <c t="s" s="6" r="AL962">
        <v>92</v>
      </c>
      <c t="s" s="6" r="AM962">
        <v>92</v>
      </c>
      <c t="s" s="6" r="AN962">
        <v>92</v>
      </c>
      <c s="6" r="AP962">
        <v>4</v>
      </c>
      <c t="s" s="6" r="AR962">
        <v>7183</v>
      </c>
      <c s="6" r="AS962">
        <v>0</v>
      </c>
      <c s="6" r="AT962">
        <v>0</v>
      </c>
      <c s="6" r="AU962">
        <v>0</v>
      </c>
      <c s="6" r="AV962">
        <v>0</v>
      </c>
      <c s="6" r="AW962">
        <v>0</v>
      </c>
      <c s="6" r="AX962">
        <v>0</v>
      </c>
      <c s="6" r="AY962">
        <v>0</v>
      </c>
      <c s="6" r="AZ962">
        <v>0</v>
      </c>
      <c s="6" r="BA962">
        <v>0</v>
      </c>
      <c s="6" r="BB962">
        <v>0</v>
      </c>
      <c s="6" r="BC962">
        <v>0</v>
      </c>
      <c s="6" r="BD962">
        <v>0</v>
      </c>
      <c s="6" r="BE962">
        <v>0</v>
      </c>
      <c s="6" r="BF962">
        <v>0</v>
      </c>
      <c s="6" r="BG962">
        <v>0</v>
      </c>
      <c s="6" r="BH962">
        <v>0</v>
      </c>
      <c s="6" r="BI962">
        <v>0</v>
      </c>
      <c s="6" r="BJ962">
        <v>0</v>
      </c>
      <c s="6" r="BK962">
        <v>0</v>
      </c>
      <c s="6" r="BL962">
        <v>0</v>
      </c>
      <c s="6" r="BM962">
        <v>0</v>
      </c>
      <c s="6" r="BN962">
        <v>0</v>
      </c>
      <c s="6" r="BO962">
        <v>0</v>
      </c>
      <c s="6" r="BP962">
        <v>0</v>
      </c>
      <c s="6" r="BQ962">
        <v>0</v>
      </c>
      <c t="str" s="6" r="BR962">
        <f>HYPERLINK("http://www.d20pfsrd.com/magic/all-spells/a/arboreal-hammer","Arboreal Hammer")</f>
        <v>Arboreal Hammer</v>
      </c>
      <c s="6" r="BS962">
        <v>984</v>
      </c>
      <c t="s" s="6" r="BT962">
        <v>92</v>
      </c>
      <c t="s" s="6" r="BW962">
        <v>7184</v>
      </c>
      <c t="s" s="6" r="BX962">
        <v>7185</v>
      </c>
      <c s="6" r="BY962">
        <v>1</v>
      </c>
    </row>
    <row customHeight="1" r="963" ht="14.25">
      <c t="s" s="6" r="A963">
        <v>7186</v>
      </c>
      <c t="s" s="6" r="B963">
        <v>162</v>
      </c>
      <c t="s" s="6" r="E963">
        <v>7187</v>
      </c>
      <c t="s" s="6" r="F963">
        <v>81</v>
      </c>
      <c t="s" s="6" r="G963">
        <v>106</v>
      </c>
      <c s="6" r="H963">
        <v>0</v>
      </c>
      <c t="s" s="6" r="I963">
        <v>120</v>
      </c>
      <c t="s" s="6" r="L963">
        <v>420</v>
      </c>
      <c t="s" s="6" r="M963">
        <v>109</v>
      </c>
      <c s="6" r="N963">
        <v>0</v>
      </c>
      <c s="6" r="O963">
        <v>0</v>
      </c>
      <c t="s" s="6" r="P963">
        <v>86</v>
      </c>
      <c t="s" s="6" r="Q963">
        <v>188</v>
      </c>
      <c t="s" s="6" r="R963">
        <v>7188</v>
      </c>
      <c t="s" s="6" r="S963">
        <v>7189</v>
      </c>
      <c t="s" s="6" r="T963">
        <v>7122</v>
      </c>
      <c t="s" s="6" r="U963">
        <v>7190</v>
      </c>
      <c s="6" r="V963">
        <v>1</v>
      </c>
      <c s="6" r="W963">
        <v>1</v>
      </c>
      <c s="6" r="X963">
        <v>0</v>
      </c>
      <c s="6" r="Y963">
        <v>0</v>
      </c>
      <c s="6" r="Z963">
        <v>0</v>
      </c>
      <c t="s" s="6" r="AA963">
        <v>92</v>
      </c>
      <c t="s" s="6" r="AB963">
        <v>92</v>
      </c>
      <c t="s" s="6" r="AC963">
        <v>92</v>
      </c>
      <c t="s" s="6" r="AD963">
        <v>92</v>
      </c>
      <c t="s" s="6" r="AE963">
        <v>92</v>
      </c>
      <c t="s" s="6" r="AF963">
        <v>92</v>
      </c>
      <c t="s" s="6" r="AG963">
        <v>92</v>
      </c>
      <c t="s" s="6" r="AH963">
        <v>92</v>
      </c>
      <c t="s" s="6" r="AI963">
        <v>92</v>
      </c>
      <c t="s" s="6" r="AJ963">
        <v>92</v>
      </c>
      <c t="s" s="6" r="AK963">
        <v>92</v>
      </c>
      <c t="s" s="6" r="AL963">
        <v>92</v>
      </c>
      <c t="s" s="6" r="AM963">
        <v>92</v>
      </c>
      <c s="6" r="AN963">
        <v>4</v>
      </c>
      <c s="6" r="AP963">
        <v>4</v>
      </c>
      <c t="s" s="6" r="AR963">
        <v>7191</v>
      </c>
      <c s="6" r="AS963">
        <v>0</v>
      </c>
      <c s="6" r="AT963">
        <v>0</v>
      </c>
      <c s="6" r="AU963">
        <v>0</v>
      </c>
      <c s="6" r="AV963">
        <v>0</v>
      </c>
      <c s="6" r="AW963">
        <v>0</v>
      </c>
      <c s="6" r="AX963">
        <v>0</v>
      </c>
      <c s="6" r="AY963">
        <v>0</v>
      </c>
      <c s="6" r="AZ963">
        <v>0</v>
      </c>
      <c s="6" r="BA963">
        <v>0</v>
      </c>
      <c s="6" r="BB963">
        <v>0</v>
      </c>
      <c s="6" r="BC963">
        <v>0</v>
      </c>
      <c s="6" r="BD963">
        <v>0</v>
      </c>
      <c s="6" r="BE963">
        <v>0</v>
      </c>
      <c s="6" r="BF963">
        <v>0</v>
      </c>
      <c s="6" r="BG963">
        <v>0</v>
      </c>
      <c s="6" r="BH963">
        <v>0</v>
      </c>
      <c s="6" r="BI963">
        <v>0</v>
      </c>
      <c s="6" r="BJ963">
        <v>0</v>
      </c>
      <c s="6" r="BK963">
        <v>0</v>
      </c>
      <c s="6" r="BL963">
        <v>0</v>
      </c>
      <c s="6" r="BM963">
        <v>0</v>
      </c>
      <c s="6" r="BN963">
        <v>0</v>
      </c>
      <c s="6" r="BO963">
        <v>0</v>
      </c>
      <c s="6" r="BP963">
        <v>0</v>
      </c>
      <c s="6" r="BQ963">
        <v>0</v>
      </c>
      <c t="str" s="6" r="BR963">
        <f>HYPERLINK("http://www.d20pfsrd.com/magic/all-spells/a/arcana-theft","Arcana Theft")</f>
        <v>Arcana Theft</v>
      </c>
      <c s="6" r="BS963">
        <v>985</v>
      </c>
      <c t="s" s="6" r="BT963">
        <v>92</v>
      </c>
      <c s="6" r="BY963">
        <v>0</v>
      </c>
    </row>
    <row customHeight="1" r="964" ht="14.25">
      <c t="s" s="6" r="A964">
        <v>7192</v>
      </c>
      <c t="s" s="6" r="B964">
        <v>493</v>
      </c>
      <c t="s" s="6" r="D964">
        <v>7193</v>
      </c>
      <c t="s" s="6" r="E964">
        <v>6925</v>
      </c>
      <c t="s" s="6" r="F964">
        <v>81</v>
      </c>
      <c t="s" s="6" r="G964">
        <v>106</v>
      </c>
      <c s="6" r="H964">
        <v>0</v>
      </c>
      <c t="s" s="6" r="I964">
        <v>804</v>
      </c>
      <c t="s" s="6" r="J964">
        <v>7194</v>
      </c>
      <c t="s" s="6" r="M964">
        <v>2718</v>
      </c>
      <c s="6" r="N964">
        <v>0</v>
      </c>
      <c s="6" r="O964">
        <v>0</v>
      </c>
      <c t="s" s="6" r="P964">
        <v>221</v>
      </c>
      <c t="s" s="6" r="Q964">
        <v>188</v>
      </c>
      <c t="s" s="6" r="R964">
        <v>7195</v>
      </c>
      <c t="s" s="6" r="S964">
        <v>7196</v>
      </c>
      <c t="s" s="6" r="T964">
        <v>7122</v>
      </c>
      <c t="s" s="6" r="U964">
        <v>7197</v>
      </c>
      <c s="6" r="V964">
        <v>1</v>
      </c>
      <c s="6" r="W964">
        <v>1</v>
      </c>
      <c s="6" r="X964">
        <v>0</v>
      </c>
      <c s="6" r="Y964">
        <v>0</v>
      </c>
      <c s="6" r="Z964">
        <v>0</v>
      </c>
      <c t="s" s="6" r="AA964">
        <v>92</v>
      </c>
      <c t="s" s="6" r="AB964">
        <v>92</v>
      </c>
      <c s="6" r="AC964">
        <v>3</v>
      </c>
      <c t="s" s="6" r="AD964">
        <v>92</v>
      </c>
      <c t="s" s="6" r="AE964">
        <v>92</v>
      </c>
      <c t="s" s="6" r="AF964">
        <v>92</v>
      </c>
      <c s="6" r="AG964">
        <v>3</v>
      </c>
      <c t="s" s="6" r="AH964">
        <v>92</v>
      </c>
      <c t="s" s="6" r="AI964">
        <v>92</v>
      </c>
      <c t="s" s="6" r="AJ964">
        <v>92</v>
      </c>
      <c t="s" s="6" r="AK964">
        <v>92</v>
      </c>
      <c s="6" r="AL964">
        <v>3</v>
      </c>
      <c t="s" s="6" r="AM964">
        <v>92</v>
      </c>
      <c t="s" s="6" r="AN964">
        <v>92</v>
      </c>
      <c s="6" r="AP964">
        <v>3</v>
      </c>
      <c t="s" s="6" r="AR964">
        <v>7198</v>
      </c>
      <c s="6" r="AS964">
        <v>0</v>
      </c>
      <c s="6" r="AT964">
        <v>0</v>
      </c>
      <c s="6" r="AU964">
        <v>0</v>
      </c>
      <c s="6" r="AV964">
        <v>0</v>
      </c>
      <c s="6" r="AW964">
        <v>0</v>
      </c>
      <c s="6" r="AX964">
        <v>0</v>
      </c>
      <c s="6" r="AY964">
        <v>0</v>
      </c>
      <c s="6" r="AZ964">
        <v>0</v>
      </c>
      <c s="6" r="BA964">
        <v>0</v>
      </c>
      <c s="6" r="BB964">
        <v>0</v>
      </c>
      <c s="6" r="BC964">
        <v>0</v>
      </c>
      <c s="6" r="BD964">
        <v>0</v>
      </c>
      <c s="6" r="BE964">
        <v>0</v>
      </c>
      <c s="6" r="BF964">
        <v>0</v>
      </c>
      <c s="6" r="BG964">
        <v>0</v>
      </c>
      <c s="6" r="BH964">
        <v>1</v>
      </c>
      <c s="6" r="BI964">
        <v>0</v>
      </c>
      <c s="6" r="BJ964">
        <v>1</v>
      </c>
      <c s="6" r="BK964">
        <v>0</v>
      </c>
      <c s="6" r="BL964">
        <v>0</v>
      </c>
      <c s="6" r="BM964">
        <v>0</v>
      </c>
      <c s="6" r="BN964">
        <v>0</v>
      </c>
      <c s="6" r="BO964">
        <v>0</v>
      </c>
      <c s="6" r="BP964">
        <v>0</v>
      </c>
      <c s="6" r="BQ964">
        <v>0</v>
      </c>
      <c t="str" s="6" r="BR964">
        <f>HYPERLINK("http://www.d20pfsrd.com/magic/all-spells/a/archon-s-aura","Archon's Aura")</f>
        <v>Archon's Aura</v>
      </c>
      <c s="6" r="BS964">
        <v>986</v>
      </c>
      <c t="s" s="6" r="BT964">
        <v>92</v>
      </c>
      <c s="6" r="BY964">
        <v>0</v>
      </c>
    </row>
    <row customHeight="1" r="965" ht="14.25">
      <c t="s" s="6" r="A965">
        <v>7199</v>
      </c>
      <c t="s" s="6" r="B965">
        <v>493</v>
      </c>
      <c t="s" s="6" r="D965">
        <v>61</v>
      </c>
      <c t="s" s="6" r="E965">
        <v>6129</v>
      </c>
      <c t="s" s="6" r="F965">
        <v>81</v>
      </c>
      <c t="s" s="6" r="G965">
        <v>7200</v>
      </c>
      <c s="6" r="H965">
        <v>0</v>
      </c>
      <c t="s" s="6" r="I965">
        <v>107</v>
      </c>
      <c t="s" s="6" r="K965">
        <v>7201</v>
      </c>
      <c t="s" s="6" r="M965">
        <v>2360</v>
      </c>
      <c s="6" r="N965">
        <v>0</v>
      </c>
      <c s="6" r="O965">
        <v>0</v>
      </c>
      <c t="s" s="6" r="P965">
        <v>7202</v>
      </c>
      <c t="s" s="6" r="Q965">
        <v>188</v>
      </c>
      <c t="s" s="6" r="R965">
        <v>7203</v>
      </c>
      <c t="s" s="6" r="S965">
        <v>7204</v>
      </c>
      <c t="s" s="6" r="T965">
        <v>7122</v>
      </c>
      <c t="s" s="6" r="U965">
        <v>7205</v>
      </c>
      <c s="6" r="V965">
        <v>1</v>
      </c>
      <c s="6" r="W965">
        <v>1</v>
      </c>
      <c s="6" r="X965">
        <v>0</v>
      </c>
      <c s="6" r="Y965">
        <v>0</v>
      </c>
      <c s="6" r="Z965">
        <v>1</v>
      </c>
      <c t="s" s="6" r="AA965">
        <v>92</v>
      </c>
      <c t="s" s="6" r="AB965">
        <v>92</v>
      </c>
      <c s="6" r="AC965">
        <v>2</v>
      </c>
      <c t="s" s="6" r="AD965">
        <v>92</v>
      </c>
      <c t="s" s="6" r="AE965">
        <v>92</v>
      </c>
      <c t="s" s="6" r="AF965">
        <v>92</v>
      </c>
      <c s="6" r="AG965">
        <v>2</v>
      </c>
      <c t="s" s="6" r="AH965">
        <v>92</v>
      </c>
      <c t="s" s="6" r="AI965">
        <v>92</v>
      </c>
      <c t="s" s="6" r="AJ965">
        <v>92</v>
      </c>
      <c t="s" s="6" r="AK965">
        <v>92</v>
      </c>
      <c s="6" r="AL965">
        <v>2</v>
      </c>
      <c t="s" s="6" r="AM965">
        <v>92</v>
      </c>
      <c t="s" s="6" r="AN965">
        <v>92</v>
      </c>
      <c s="6" r="AP965">
        <v>2</v>
      </c>
      <c t="s" s="6" r="AR965">
        <v>7206</v>
      </c>
      <c s="6" r="AS965">
        <v>0</v>
      </c>
      <c s="6" r="AT965">
        <v>0</v>
      </c>
      <c s="6" r="AU965">
        <v>0</v>
      </c>
      <c s="6" r="AV965">
        <v>0</v>
      </c>
      <c s="6" r="AW965">
        <v>0</v>
      </c>
      <c s="6" r="AX965">
        <v>0</v>
      </c>
      <c s="6" r="AY965">
        <v>0</v>
      </c>
      <c s="6" r="AZ965">
        <v>0</v>
      </c>
      <c s="6" r="BA965">
        <v>0</v>
      </c>
      <c s="6" r="BB965">
        <v>0</v>
      </c>
      <c s="6" r="BC965">
        <v>0</v>
      </c>
      <c s="6" r="BD965">
        <v>0</v>
      </c>
      <c s="6" r="BE965">
        <v>0</v>
      </c>
      <c s="6" r="BF965">
        <v>0</v>
      </c>
      <c s="6" r="BG965">
        <v>0</v>
      </c>
      <c s="6" r="BH965">
        <v>0</v>
      </c>
      <c s="6" r="BI965">
        <v>0</v>
      </c>
      <c s="6" r="BJ965">
        <v>1</v>
      </c>
      <c s="6" r="BK965">
        <v>0</v>
      </c>
      <c s="6" r="BL965">
        <v>0</v>
      </c>
      <c s="6" r="BM965">
        <v>0</v>
      </c>
      <c s="6" r="BN965">
        <v>0</v>
      </c>
      <c s="6" r="BO965">
        <v>0</v>
      </c>
      <c s="6" r="BP965">
        <v>0</v>
      </c>
      <c s="6" r="BQ965">
        <v>0</v>
      </c>
      <c t="str" s="6" r="BR965">
        <f>HYPERLINK("http://www.d20pfsrd.com/magic/all-spells/a/arrow-of-law","Arrow of Law")</f>
        <v>Arrow of Law</v>
      </c>
      <c s="6" r="BS965">
        <v>987</v>
      </c>
      <c t="s" s="6" r="BT965">
        <v>92</v>
      </c>
      <c s="6" r="BY965">
        <v>0</v>
      </c>
    </row>
    <row customHeight="1" r="966" ht="14.25">
      <c t="s" s="6" r="A966">
        <v>7207</v>
      </c>
      <c t="s" s="6" r="B966">
        <v>78</v>
      </c>
      <c t="s" s="6" r="C966">
        <v>79</v>
      </c>
      <c t="s" s="6" r="D966">
        <v>57</v>
      </c>
      <c t="s" s="6" r="E966">
        <v>7163</v>
      </c>
      <c t="s" s="6" r="F966">
        <v>81</v>
      </c>
      <c t="s" s="6" r="G966">
        <v>7208</v>
      </c>
      <c s="6" r="H966">
        <v>0</v>
      </c>
      <c t="s" s="6" r="I966">
        <v>83</v>
      </c>
      <c t="s" s="6" r="J966">
        <v>4001</v>
      </c>
      <c t="s" s="6" r="M966">
        <v>99</v>
      </c>
      <c s="6" r="N966">
        <v>0</v>
      </c>
      <c s="6" r="O966">
        <v>0</v>
      </c>
      <c t="s" s="6" r="P966">
        <v>86</v>
      </c>
      <c t="s" s="6" r="Q966">
        <v>87</v>
      </c>
      <c t="s" s="6" r="R966">
        <v>7209</v>
      </c>
      <c t="s" s="6" r="S966">
        <v>7210</v>
      </c>
      <c t="s" s="6" r="T966">
        <v>7122</v>
      </c>
      <c t="s" s="6" r="U966">
        <v>7211</v>
      </c>
      <c s="6" r="V966">
        <v>1</v>
      </c>
      <c s="6" r="W966">
        <v>1</v>
      </c>
      <c s="6" r="X966">
        <v>1</v>
      </c>
      <c s="6" r="Y966">
        <v>0</v>
      </c>
      <c s="6" r="Z966">
        <v>1</v>
      </c>
      <c s="6" r="AA966">
        <v>3</v>
      </c>
      <c s="6" r="AB966">
        <v>3</v>
      </c>
      <c t="s" s="6" r="AC966">
        <v>92</v>
      </c>
      <c s="6" r="AD966">
        <v>3</v>
      </c>
      <c t="s" s="6" r="AE966">
        <v>92</v>
      </c>
      <c t="s" s="6" r="AF966">
        <v>92</v>
      </c>
      <c t="s" s="6" r="AG966">
        <v>92</v>
      </c>
      <c t="s" s="6" r="AH966">
        <v>92</v>
      </c>
      <c t="s" s="6" r="AI966">
        <v>92</v>
      </c>
      <c s="6" r="AJ966">
        <v>3</v>
      </c>
      <c t="s" s="6" r="AK966">
        <v>92</v>
      </c>
      <c t="s" s="6" r="AL966">
        <v>92</v>
      </c>
      <c t="s" s="6" r="AM966">
        <v>92</v>
      </c>
      <c t="s" s="6" r="AN966">
        <v>92</v>
      </c>
      <c s="6" r="AP966">
        <v>3</v>
      </c>
      <c t="s" s="6" r="AR966">
        <v>7212</v>
      </c>
      <c s="6" r="AS966">
        <v>0</v>
      </c>
      <c s="6" r="AT966">
        <v>0</v>
      </c>
      <c s="6" r="AU966">
        <v>0</v>
      </c>
      <c s="6" r="AV966">
        <v>0</v>
      </c>
      <c s="6" r="AW966">
        <v>0</v>
      </c>
      <c s="6" r="AX966">
        <v>0</v>
      </c>
      <c s="6" r="AY966">
        <v>0</v>
      </c>
      <c s="6" r="AZ966">
        <v>0</v>
      </c>
      <c s="6" r="BA966">
        <v>0</v>
      </c>
      <c s="6" r="BB966">
        <v>0</v>
      </c>
      <c s="6" r="BC966">
        <v>0</v>
      </c>
      <c s="6" r="BD966">
        <v>0</v>
      </c>
      <c s="6" r="BE966">
        <v>0</v>
      </c>
      <c s="6" r="BF966">
        <v>1</v>
      </c>
      <c s="6" r="BG966">
        <v>0</v>
      </c>
      <c s="6" r="BH966">
        <v>0</v>
      </c>
      <c s="6" r="BI966">
        <v>0</v>
      </c>
      <c s="6" r="BJ966">
        <v>0</v>
      </c>
      <c s="6" r="BK966">
        <v>0</v>
      </c>
      <c s="6" r="BL966">
        <v>0</v>
      </c>
      <c s="6" r="BM966">
        <v>0</v>
      </c>
      <c s="6" r="BN966">
        <v>0</v>
      </c>
      <c s="6" r="BO966">
        <v>0</v>
      </c>
      <c s="6" r="BP966">
        <v>0</v>
      </c>
      <c s="6" r="BQ966">
        <v>0</v>
      </c>
      <c t="str" s="6" r="BR966">
        <f>HYPERLINK("http://www.d20pfsrd.com/magic/all-spells/a/ash-storm","Ash Storm")</f>
        <v>Ash Storm</v>
      </c>
      <c s="6" r="BS966">
        <v>988</v>
      </c>
      <c t="s" s="6" r="BT966">
        <v>92</v>
      </c>
      <c s="6" r="BY966">
        <v>0</v>
      </c>
    </row>
    <row customHeight="1" r="967" ht="14.25">
      <c t="s" s="6" r="A967">
        <v>7213</v>
      </c>
      <c t="s" s="6" r="B967">
        <v>227</v>
      </c>
      <c t="s" s="6" r="E967">
        <v>6990</v>
      </c>
      <c t="s" s="6" r="F967">
        <v>351</v>
      </c>
      <c t="s" s="6" r="G967">
        <v>352</v>
      </c>
      <c s="6" r="H967">
        <v>1</v>
      </c>
      <c t="s" s="6" r="I967">
        <v>120</v>
      </c>
      <c t="s" s="6" r="L967">
        <v>353</v>
      </c>
      <c t="s" s="6" r="M967">
        <v>141</v>
      </c>
      <c s="6" r="N967">
        <v>0</v>
      </c>
      <c s="6" r="O967">
        <v>0</v>
      </c>
      <c t="s" s="6" r="P967">
        <v>86</v>
      </c>
      <c t="s" s="6" r="Q967">
        <v>188</v>
      </c>
      <c t="s" s="6" r="R967">
        <v>7214</v>
      </c>
      <c t="s" s="6" r="S967">
        <v>7215</v>
      </c>
      <c t="s" s="6" r="T967">
        <v>7122</v>
      </c>
      <c t="s" s="6" r="U967">
        <v>7216</v>
      </c>
      <c s="6" r="V967">
        <v>1</v>
      </c>
      <c s="6" r="W967">
        <v>1</v>
      </c>
      <c s="6" r="X967">
        <v>1</v>
      </c>
      <c s="6" r="Y967">
        <v>0</v>
      </c>
      <c s="6" r="Z967">
        <v>0</v>
      </c>
      <c s="6" r="AA967">
        <v>5</v>
      </c>
      <c s="6" r="AB967">
        <v>5</v>
      </c>
      <c s="6" r="AC967">
        <v>5</v>
      </c>
      <c t="s" s="6" r="AD967">
        <v>92</v>
      </c>
      <c t="s" s="6" r="AE967">
        <v>92</v>
      </c>
      <c t="s" s="6" r="AF967">
        <v>92</v>
      </c>
      <c t="s" s="6" r="AG967">
        <v>92</v>
      </c>
      <c t="s" s="6" r="AH967">
        <v>92</v>
      </c>
      <c t="s" s="6" r="AI967">
        <v>92</v>
      </c>
      <c t="s" s="6" r="AJ967">
        <v>92</v>
      </c>
      <c t="s" s="6" r="AK967">
        <v>92</v>
      </c>
      <c s="6" r="AL967">
        <v>5</v>
      </c>
      <c t="s" s="6" r="AM967">
        <v>92</v>
      </c>
      <c t="s" s="6" r="AN967">
        <v>92</v>
      </c>
      <c s="6" r="AP967">
        <v>5</v>
      </c>
      <c t="s" s="6" r="AR967">
        <v>7217</v>
      </c>
      <c s="6" r="AS967">
        <v>0</v>
      </c>
      <c s="6" r="AT967">
        <v>0</v>
      </c>
      <c s="6" r="AU967">
        <v>0</v>
      </c>
      <c s="6" r="AV967">
        <v>0</v>
      </c>
      <c s="6" r="AW967">
        <v>0</v>
      </c>
      <c s="6" r="AX967">
        <v>0</v>
      </c>
      <c s="6" r="AY967">
        <v>0</v>
      </c>
      <c s="6" r="AZ967">
        <v>0</v>
      </c>
      <c s="6" r="BA967">
        <v>0</v>
      </c>
      <c s="6" r="BB967">
        <v>0</v>
      </c>
      <c s="6" r="BC967">
        <v>0</v>
      </c>
      <c s="6" r="BD967">
        <v>0</v>
      </c>
      <c s="6" r="BE967">
        <v>0</v>
      </c>
      <c s="6" r="BF967">
        <v>0</v>
      </c>
      <c s="6" r="BG967">
        <v>0</v>
      </c>
      <c s="6" r="BH967">
        <v>0</v>
      </c>
      <c s="6" r="BI967">
        <v>0</v>
      </c>
      <c s="6" r="BJ967">
        <v>0</v>
      </c>
      <c s="6" r="BK967">
        <v>0</v>
      </c>
      <c s="6" r="BL967">
        <v>0</v>
      </c>
      <c s="6" r="BM967">
        <v>0</v>
      </c>
      <c s="6" r="BN967">
        <v>0</v>
      </c>
      <c s="6" r="BO967">
        <v>0</v>
      </c>
      <c s="6" r="BP967">
        <v>0</v>
      </c>
      <c s="6" r="BQ967">
        <v>0</v>
      </c>
      <c t="str" s="6" r="BR967">
        <f>HYPERLINK("http://www.d20pfsrd.com/magic/all-spells/a/astral-projection","Astral Projection, Lesser")</f>
        <v>Astral Projection, Lesser</v>
      </c>
      <c s="6" r="BS967">
        <v>989</v>
      </c>
      <c s="6" r="BT967">
        <v>1000</v>
      </c>
      <c s="6" r="BY967">
        <v>0</v>
      </c>
    </row>
    <row customHeight="1" r="968" ht="14.25">
      <c t="s" s="6" r="A968">
        <v>7218</v>
      </c>
      <c t="s" s="6" r="B968">
        <v>131</v>
      </c>
      <c t="s" s="6" r="E968">
        <v>303</v>
      </c>
      <c t="s" s="6" r="F968">
        <v>81</v>
      </c>
      <c t="s" s="6" r="G968">
        <v>106</v>
      </c>
      <c s="6" r="H968">
        <v>0</v>
      </c>
      <c t="s" s="6" r="I968">
        <v>107</v>
      </c>
      <c t="s" s="6" r="L968">
        <v>739</v>
      </c>
      <c t="s" s="6" r="M968">
        <v>2718</v>
      </c>
      <c s="6" r="N968">
        <v>0</v>
      </c>
      <c s="6" r="O968">
        <v>0</v>
      </c>
      <c t="s" s="6" r="P968">
        <v>187</v>
      </c>
      <c t="s" s="6" r="Q968">
        <v>188</v>
      </c>
      <c t="s" s="6" r="R968">
        <v>7219</v>
      </c>
      <c t="s" s="6" r="S968">
        <v>7220</v>
      </c>
      <c t="s" s="6" r="T968">
        <v>7122</v>
      </c>
      <c t="s" s="6" r="U968">
        <v>7221</v>
      </c>
      <c s="6" r="V968">
        <v>1</v>
      </c>
      <c s="6" r="W968">
        <v>1</v>
      </c>
      <c s="6" r="X968">
        <v>0</v>
      </c>
      <c s="6" r="Y968">
        <v>0</v>
      </c>
      <c s="6" r="Z968">
        <v>0</v>
      </c>
      <c t="s" s="6" r="AA968">
        <v>92</v>
      </c>
      <c t="s" s="6" r="AB968">
        <v>92</v>
      </c>
      <c t="s" s="6" r="AC968">
        <v>92</v>
      </c>
      <c s="6" r="AD968">
        <v>4</v>
      </c>
      <c t="s" s="6" r="AE968">
        <v>92</v>
      </c>
      <c t="s" s="6" r="AF968">
        <v>92</v>
      </c>
      <c t="s" s="6" r="AG968">
        <v>92</v>
      </c>
      <c t="s" s="6" r="AH968">
        <v>92</v>
      </c>
      <c t="s" s="6" r="AI968">
        <v>92</v>
      </c>
      <c t="s" s="6" r="AJ968">
        <v>92</v>
      </c>
      <c t="s" s="6" r="AK968">
        <v>92</v>
      </c>
      <c t="s" s="6" r="AL968">
        <v>92</v>
      </c>
      <c t="s" s="6" r="AM968">
        <v>92</v>
      </c>
      <c t="s" s="6" r="AN968">
        <v>92</v>
      </c>
      <c s="6" r="AP968">
        <v>4</v>
      </c>
      <c t="s" s="6" r="AR968">
        <v>7222</v>
      </c>
      <c s="6" r="AS968">
        <v>0</v>
      </c>
      <c s="6" r="AT968">
        <v>0</v>
      </c>
      <c s="6" r="AU968">
        <v>0</v>
      </c>
      <c s="6" r="AV968">
        <v>0</v>
      </c>
      <c s="6" r="AW968">
        <v>0</v>
      </c>
      <c s="6" r="AX968">
        <v>0</v>
      </c>
      <c s="6" r="AY968">
        <v>0</v>
      </c>
      <c s="6" r="AZ968">
        <v>0</v>
      </c>
      <c s="6" r="BA968">
        <v>0</v>
      </c>
      <c s="6" r="BB968">
        <v>0</v>
      </c>
      <c s="6" r="BC968">
        <v>0</v>
      </c>
      <c s="6" r="BD968">
        <v>0</v>
      </c>
      <c s="6" r="BE968">
        <v>0</v>
      </c>
      <c s="6" r="BF968">
        <v>0</v>
      </c>
      <c s="6" r="BG968">
        <v>0</v>
      </c>
      <c s="6" r="BH968">
        <v>0</v>
      </c>
      <c s="6" r="BI968">
        <v>0</v>
      </c>
      <c s="6" r="BJ968">
        <v>0</v>
      </c>
      <c s="6" r="BK968">
        <v>0</v>
      </c>
      <c s="6" r="BL968">
        <v>0</v>
      </c>
      <c s="6" r="BM968">
        <v>0</v>
      </c>
      <c s="6" r="BN968">
        <v>0</v>
      </c>
      <c s="6" r="BO968">
        <v>0</v>
      </c>
      <c s="6" r="BP968">
        <v>0</v>
      </c>
      <c s="6" r="BQ968">
        <v>0</v>
      </c>
      <c t="str" s="6" r="BR968">
        <f>HYPERLINK("http://www.d20pfsrd.com/magic/all-spells/a/atavism","Atavism")</f>
        <v>Atavism</v>
      </c>
      <c s="6" r="BS968">
        <v>990</v>
      </c>
      <c t="s" s="6" r="BT968">
        <v>92</v>
      </c>
      <c s="6" r="BY968">
        <v>0</v>
      </c>
    </row>
    <row customHeight="1" r="969" ht="14.25">
      <c t="s" s="6" r="A969">
        <v>7223</v>
      </c>
      <c t="s" s="6" r="B969">
        <v>131</v>
      </c>
      <c t="s" s="6" r="E969">
        <v>207</v>
      </c>
      <c t="s" s="6" r="F969">
        <v>81</v>
      </c>
      <c t="s" s="6" r="G969">
        <v>106</v>
      </c>
      <c s="6" r="H969">
        <v>0</v>
      </c>
      <c t="s" s="6" r="I969">
        <v>107</v>
      </c>
      <c t="s" s="6" r="L969">
        <v>7224</v>
      </c>
      <c t="s" s="6" r="M969">
        <v>2718</v>
      </c>
      <c s="6" r="N969">
        <v>0</v>
      </c>
      <c s="6" r="O969">
        <v>0</v>
      </c>
      <c t="s" s="6" r="P969">
        <v>187</v>
      </c>
      <c t="s" s="6" r="Q969">
        <v>188</v>
      </c>
      <c t="s" s="6" r="R969">
        <v>7225</v>
      </c>
      <c t="s" s="6" r="S969">
        <v>7226</v>
      </c>
      <c t="s" s="6" r="T969">
        <v>7122</v>
      </c>
      <c t="s" s="6" r="U969">
        <v>7227</v>
      </c>
      <c s="6" r="V969">
        <v>1</v>
      </c>
      <c s="6" r="W969">
        <v>1</v>
      </c>
      <c s="6" r="X969">
        <v>0</v>
      </c>
      <c s="6" r="Y969">
        <v>0</v>
      </c>
      <c s="6" r="Z969">
        <v>0</v>
      </c>
      <c t="s" s="6" r="AA969">
        <v>92</v>
      </c>
      <c t="s" s="6" r="AB969">
        <v>92</v>
      </c>
      <c t="s" s="6" r="AC969">
        <v>92</v>
      </c>
      <c s="6" r="AD969">
        <v>8</v>
      </c>
      <c t="s" s="6" r="AE969">
        <v>92</v>
      </c>
      <c t="s" s="6" r="AF969">
        <v>92</v>
      </c>
      <c t="s" s="6" r="AG969">
        <v>92</v>
      </c>
      <c t="s" s="6" r="AH969">
        <v>92</v>
      </c>
      <c t="s" s="6" r="AI969">
        <v>92</v>
      </c>
      <c t="s" s="6" r="AJ969">
        <v>92</v>
      </c>
      <c t="s" s="6" r="AK969">
        <v>92</v>
      </c>
      <c t="s" s="6" r="AL969">
        <v>92</v>
      </c>
      <c t="s" s="6" r="AM969">
        <v>92</v>
      </c>
      <c t="s" s="6" r="AN969">
        <v>92</v>
      </c>
      <c s="6" r="AP969">
        <v>8</v>
      </c>
      <c t="s" s="6" r="AR969">
        <v>7228</v>
      </c>
      <c s="6" r="AS969">
        <v>0</v>
      </c>
      <c s="6" r="AT969">
        <v>0</v>
      </c>
      <c s="6" r="AU969">
        <v>0</v>
      </c>
      <c s="6" r="AV969">
        <v>0</v>
      </c>
      <c s="6" r="AW969">
        <v>0</v>
      </c>
      <c s="6" r="AX969">
        <v>0</v>
      </c>
      <c s="6" r="AY969">
        <v>0</v>
      </c>
      <c s="6" r="AZ969">
        <v>0</v>
      </c>
      <c s="6" r="BA969">
        <v>0</v>
      </c>
      <c s="6" r="BB969">
        <v>0</v>
      </c>
      <c s="6" r="BC969">
        <v>0</v>
      </c>
      <c s="6" r="BD969">
        <v>0</v>
      </c>
      <c s="6" r="BE969">
        <v>0</v>
      </c>
      <c s="6" r="BF969">
        <v>0</v>
      </c>
      <c s="6" r="BG969">
        <v>0</v>
      </c>
      <c s="6" r="BH969">
        <v>0</v>
      </c>
      <c s="6" r="BI969">
        <v>0</v>
      </c>
      <c s="6" r="BJ969">
        <v>0</v>
      </c>
      <c s="6" r="BK969">
        <v>0</v>
      </c>
      <c s="6" r="BL969">
        <v>0</v>
      </c>
      <c s="6" r="BM969">
        <v>0</v>
      </c>
      <c s="6" r="BN969">
        <v>0</v>
      </c>
      <c s="6" r="BO969">
        <v>0</v>
      </c>
      <c s="6" r="BP969">
        <v>0</v>
      </c>
      <c s="6" r="BQ969">
        <v>0</v>
      </c>
      <c t="str" s="6" r="BR969">
        <f>HYPERLINK("http://www.d20pfsrd.com/magic/all-spells/a/atavism","Atavism, Mass")</f>
        <v>Atavism, Mass</v>
      </c>
      <c s="6" r="BS969">
        <v>991</v>
      </c>
      <c t="s" s="6" r="BT969">
        <v>92</v>
      </c>
      <c s="6" r="BY969">
        <v>0</v>
      </c>
    </row>
    <row customHeight="1" r="970" ht="14.25">
      <c t="s" s="6" r="A970">
        <v>7229</v>
      </c>
      <c t="s" s="6" r="B970">
        <v>227</v>
      </c>
      <c t="s" s="6" r="D970">
        <v>688</v>
      </c>
      <c t="s" s="6" r="E970">
        <v>2442</v>
      </c>
      <c t="s" s="6" r="F970">
        <v>81</v>
      </c>
      <c t="s" s="6" r="G970">
        <v>7230</v>
      </c>
      <c s="6" r="H970">
        <v>0</v>
      </c>
      <c t="s" s="6" r="I970">
        <v>155</v>
      </c>
      <c t="s" s="6" r="J970">
        <v>7231</v>
      </c>
      <c t="s" s="6" r="M970">
        <v>7232</v>
      </c>
      <c s="6" r="N970">
        <v>0</v>
      </c>
      <c s="6" r="O970">
        <v>0</v>
      </c>
      <c t="s" s="6" r="P970">
        <v>221</v>
      </c>
      <c t="s" s="6" r="Q970">
        <v>188</v>
      </c>
      <c t="s" s="6" r="R970">
        <v>7233</v>
      </c>
      <c t="s" s="6" r="S970">
        <v>7234</v>
      </c>
      <c t="s" s="6" r="T970">
        <v>7122</v>
      </c>
      <c t="s" s="6" r="U970">
        <v>7235</v>
      </c>
      <c s="6" r="V970">
        <v>1</v>
      </c>
      <c s="6" r="W970">
        <v>1</v>
      </c>
      <c s="6" r="X970">
        <v>1</v>
      </c>
      <c s="6" r="Y970">
        <v>0</v>
      </c>
      <c s="6" r="Z970">
        <v>1</v>
      </c>
      <c t="s" s="6" r="AA970">
        <v>92</v>
      </c>
      <c t="s" s="6" r="AB970">
        <v>92</v>
      </c>
      <c s="6" r="AC970">
        <v>4</v>
      </c>
      <c t="s" s="6" r="AD970">
        <v>92</v>
      </c>
      <c t="s" s="6" r="AE970">
        <v>92</v>
      </c>
      <c t="s" s="6" r="AF970">
        <v>92</v>
      </c>
      <c t="s" s="6" r="AG970">
        <v>92</v>
      </c>
      <c t="s" s="6" r="AH970">
        <v>92</v>
      </c>
      <c t="s" s="6" r="AI970">
        <v>92</v>
      </c>
      <c t="s" s="6" r="AJ970">
        <v>92</v>
      </c>
      <c t="s" s="6" r="AK970">
        <v>92</v>
      </c>
      <c s="6" r="AL970">
        <v>4</v>
      </c>
      <c t="s" s="6" r="AM970">
        <v>92</v>
      </c>
      <c t="s" s="6" r="AN970">
        <v>92</v>
      </c>
      <c s="6" r="AP970">
        <v>4</v>
      </c>
      <c t="s" s="6" r="AR970">
        <v>7236</v>
      </c>
      <c s="6" r="AS970">
        <v>0</v>
      </c>
      <c s="6" r="AT970">
        <v>0</v>
      </c>
      <c s="6" r="AU970">
        <v>0</v>
      </c>
      <c s="6" r="AV970">
        <v>0</v>
      </c>
      <c s="6" r="AW970">
        <v>0</v>
      </c>
      <c s="6" r="AX970">
        <v>0</v>
      </c>
      <c s="6" r="AY970">
        <v>0</v>
      </c>
      <c s="6" r="AZ970">
        <v>0</v>
      </c>
      <c s="6" r="BA970">
        <v>0</v>
      </c>
      <c s="6" r="BB970">
        <v>0</v>
      </c>
      <c s="6" r="BC970">
        <v>1</v>
      </c>
      <c s="6" r="BD970">
        <v>0</v>
      </c>
      <c s="6" r="BE970">
        <v>1</v>
      </c>
      <c s="6" r="BF970">
        <v>0</v>
      </c>
      <c s="6" r="BG970">
        <v>0</v>
      </c>
      <c s="6" r="BH970">
        <v>0</v>
      </c>
      <c s="6" r="BI970">
        <v>0</v>
      </c>
      <c s="6" r="BJ970">
        <v>0</v>
      </c>
      <c s="6" r="BK970">
        <v>0</v>
      </c>
      <c s="6" r="BL970">
        <v>1</v>
      </c>
      <c s="6" r="BM970">
        <v>0</v>
      </c>
      <c s="6" r="BN970">
        <v>0</v>
      </c>
      <c s="6" r="BO970">
        <v>0</v>
      </c>
      <c s="6" r="BP970">
        <v>0</v>
      </c>
      <c s="6" r="BQ970">
        <v>0</v>
      </c>
      <c t="str" s="6" r="BR970">
        <f>HYPERLINK("http://www.d20pfsrd.com/magic/all-spells/a/aura-of-doom","Aura of Doom")</f>
        <v>Aura of Doom</v>
      </c>
      <c s="6" r="BS970">
        <v>992</v>
      </c>
      <c t="s" s="6" r="BT970">
        <v>92</v>
      </c>
      <c s="6" r="BY970">
        <v>0</v>
      </c>
    </row>
    <row customHeight="1" r="971" ht="14.25">
      <c t="s" s="6" r="A971">
        <v>7237</v>
      </c>
      <c t="s" s="6" r="B971">
        <v>131</v>
      </c>
      <c t="s" s="6" r="E971">
        <v>7238</v>
      </c>
      <c t="s" s="6" r="F971">
        <v>81</v>
      </c>
      <c t="s" s="6" r="G971">
        <v>106</v>
      </c>
      <c s="6" r="H971">
        <v>0</v>
      </c>
      <c t="s" s="6" r="I971">
        <v>107</v>
      </c>
      <c t="s" s="6" r="L971">
        <v>7239</v>
      </c>
      <c t="s" s="6" r="M971">
        <v>220</v>
      </c>
      <c s="6" r="N971">
        <v>0</v>
      </c>
      <c s="6" r="O971">
        <v>0</v>
      </c>
      <c t="s" s="6" r="P971">
        <v>421</v>
      </c>
      <c t="s" s="6" r="Q971">
        <v>123</v>
      </c>
      <c t="s" s="6" r="R971">
        <v>7240</v>
      </c>
      <c t="s" s="6" r="S971">
        <v>7241</v>
      </c>
      <c t="s" s="6" r="T971">
        <v>7122</v>
      </c>
      <c t="s" s="6" r="U971">
        <v>7242</v>
      </c>
      <c s="6" r="V971">
        <v>1</v>
      </c>
      <c s="6" r="W971">
        <v>1</v>
      </c>
      <c s="6" r="X971">
        <v>0</v>
      </c>
      <c s="6" r="Y971">
        <v>0</v>
      </c>
      <c s="6" r="Z971">
        <v>0</v>
      </c>
      <c s="6" r="AA971">
        <v>2</v>
      </c>
      <c s="6" r="AB971">
        <v>2</v>
      </c>
      <c s="6" r="AC971">
        <v>3</v>
      </c>
      <c s="6" r="AD971">
        <v>3</v>
      </c>
      <c s="6" r="AE971">
        <v>2</v>
      </c>
      <c t="s" s="6" r="AF971">
        <v>92</v>
      </c>
      <c t="s" s="6" r="AG971">
        <v>92</v>
      </c>
      <c t="s" s="6" r="AH971">
        <v>92</v>
      </c>
      <c t="s" s="6" r="AI971">
        <v>92</v>
      </c>
      <c t="s" s="6" r="AJ971">
        <v>92</v>
      </c>
      <c t="s" s="6" r="AK971">
        <v>92</v>
      </c>
      <c s="6" r="AL971">
        <v>3</v>
      </c>
      <c t="s" s="6" r="AM971">
        <v>92</v>
      </c>
      <c t="s" s="6" r="AN971">
        <v>92</v>
      </c>
      <c s="6" r="AP971">
        <v>2</v>
      </c>
      <c t="s" s="6" r="AR971">
        <v>7243</v>
      </c>
      <c s="6" r="AS971">
        <v>0</v>
      </c>
      <c s="6" r="AT971">
        <v>0</v>
      </c>
      <c s="6" r="AU971">
        <v>0</v>
      </c>
      <c s="6" r="AV971">
        <v>0</v>
      </c>
      <c s="6" r="AW971">
        <v>0</v>
      </c>
      <c s="6" r="AX971">
        <v>0</v>
      </c>
      <c s="6" r="AY971">
        <v>0</v>
      </c>
      <c s="6" r="AZ971">
        <v>0</v>
      </c>
      <c s="6" r="BA971">
        <v>0</v>
      </c>
      <c s="6" r="BB971">
        <v>0</v>
      </c>
      <c s="6" r="BC971">
        <v>0</v>
      </c>
      <c s="6" r="BD971">
        <v>0</v>
      </c>
      <c s="6" r="BE971">
        <v>0</v>
      </c>
      <c s="6" r="BF971">
        <v>0</v>
      </c>
      <c s="6" r="BG971">
        <v>0</v>
      </c>
      <c s="6" r="BH971">
        <v>0</v>
      </c>
      <c s="6" r="BI971">
        <v>0</v>
      </c>
      <c s="6" r="BJ971">
        <v>0</v>
      </c>
      <c s="6" r="BK971">
        <v>0</v>
      </c>
      <c s="6" r="BL971">
        <v>0</v>
      </c>
      <c s="6" r="BM971">
        <v>0</v>
      </c>
      <c s="6" r="BN971">
        <v>0</v>
      </c>
      <c s="6" r="BO971">
        <v>0</v>
      </c>
      <c s="6" r="BP971">
        <v>0</v>
      </c>
      <c s="6" r="BQ971">
        <v>0</v>
      </c>
      <c t="str" s="6" r="BR971">
        <f>HYPERLINK("http://www.d20pfsrd.com/magic/all-spells/b/badger-s-ferocity","Badger's Ferocity")</f>
        <v>Badger's Ferocity</v>
      </c>
      <c s="6" r="BS971">
        <v>993</v>
      </c>
      <c t="s" s="6" r="BT971">
        <v>92</v>
      </c>
      <c s="6" r="BY971">
        <v>0</v>
      </c>
    </row>
    <row customHeight="1" r="972" ht="14.25">
      <c t="s" s="6" r="A972">
        <v>7244</v>
      </c>
      <c t="s" s="6" r="B972">
        <v>174</v>
      </c>
      <c t="s" s="6" r="D972">
        <v>117</v>
      </c>
      <c t="s" s="6" r="E972">
        <v>7245</v>
      </c>
      <c t="s" s="6" r="F972">
        <v>81</v>
      </c>
      <c t="s" s="6" r="G972">
        <v>106</v>
      </c>
      <c s="6" r="H972">
        <v>0</v>
      </c>
      <c t="s" s="6" r="I972">
        <v>7246</v>
      </c>
      <c t="s" s="6" r="L972">
        <v>7247</v>
      </c>
      <c t="s" s="6" r="M972">
        <v>2718</v>
      </c>
      <c s="6" r="N972">
        <v>0</v>
      </c>
      <c s="6" r="O972">
        <v>0</v>
      </c>
      <c t="s" s="6" r="P972">
        <v>421</v>
      </c>
      <c t="s" s="6" r="Q972">
        <v>123</v>
      </c>
      <c t="s" s="6" r="R972">
        <v>7248</v>
      </c>
      <c t="s" s="6" r="S972">
        <v>7249</v>
      </c>
      <c t="s" s="6" r="T972">
        <v>7122</v>
      </c>
      <c t="s" s="6" r="U972">
        <v>7250</v>
      </c>
      <c s="6" r="V972">
        <v>1</v>
      </c>
      <c s="6" r="W972">
        <v>1</v>
      </c>
      <c s="6" r="X972">
        <v>0</v>
      </c>
      <c s="6" r="Y972">
        <v>0</v>
      </c>
      <c s="6" r="Z972">
        <v>0</v>
      </c>
      <c s="6" r="AA972">
        <v>6</v>
      </c>
      <c s="6" r="AB972">
        <v>6</v>
      </c>
      <c t="s" s="6" r="AC972">
        <v>92</v>
      </c>
      <c t="s" s="6" r="AD972">
        <v>92</v>
      </c>
      <c t="s" s="6" r="AE972">
        <v>92</v>
      </c>
      <c t="s" s="6" r="AF972">
        <v>92</v>
      </c>
      <c t="s" s="6" r="AG972">
        <v>92</v>
      </c>
      <c t="s" s="6" r="AH972">
        <v>92</v>
      </c>
      <c t="s" s="6" r="AI972">
        <v>92</v>
      </c>
      <c t="s" s="6" r="AJ972">
        <v>92</v>
      </c>
      <c s="6" r="AK972">
        <v>4</v>
      </c>
      <c t="s" s="6" r="AL972">
        <v>92</v>
      </c>
      <c t="s" s="6" r="AM972">
        <v>92</v>
      </c>
      <c t="s" s="6" r="AN972">
        <v>92</v>
      </c>
      <c s="6" r="AP972">
        <v>6</v>
      </c>
      <c t="s" s="6" r="AR972">
        <v>7251</v>
      </c>
      <c s="6" r="AS972">
        <v>0</v>
      </c>
      <c s="6" r="AT972">
        <v>0</v>
      </c>
      <c s="6" r="AU972">
        <v>0</v>
      </c>
      <c s="6" r="AV972">
        <v>0</v>
      </c>
      <c s="6" r="AW972">
        <v>0</v>
      </c>
      <c s="6" r="AX972">
        <v>0</v>
      </c>
      <c s="6" r="AY972">
        <v>0</v>
      </c>
      <c s="6" r="AZ972">
        <v>0</v>
      </c>
      <c s="6" r="BA972">
        <v>0</v>
      </c>
      <c s="6" r="BB972">
        <v>0</v>
      </c>
      <c s="6" r="BC972">
        <v>0</v>
      </c>
      <c s="6" r="BD972">
        <v>0</v>
      </c>
      <c s="6" r="BE972">
        <v>0</v>
      </c>
      <c s="6" r="BF972">
        <v>0</v>
      </c>
      <c s="6" r="BG972">
        <v>0</v>
      </c>
      <c s="6" r="BH972">
        <v>0</v>
      </c>
      <c s="6" r="BI972">
        <v>0</v>
      </c>
      <c s="6" r="BJ972">
        <v>0</v>
      </c>
      <c s="6" r="BK972">
        <v>0</v>
      </c>
      <c s="6" r="BL972">
        <v>1</v>
      </c>
      <c s="6" r="BM972">
        <v>0</v>
      </c>
      <c s="6" r="BN972">
        <v>0</v>
      </c>
      <c s="6" r="BO972">
        <v>0</v>
      </c>
      <c s="6" r="BP972">
        <v>0</v>
      </c>
      <c s="6" r="BQ972">
        <v>0</v>
      </c>
      <c t="str" s="6" r="BR972">
        <f>HYPERLINK("http://www.d20pfsrd.com/magic/all-spells/b/battlemind-link","Battlemind Link")</f>
        <v>Battlemind Link</v>
      </c>
      <c s="6" r="BS972">
        <v>994</v>
      </c>
      <c t="s" s="6" r="BT972">
        <v>92</v>
      </c>
      <c s="6" r="BY972">
        <v>0</v>
      </c>
    </row>
    <row customHeight="1" r="973" ht="14.25">
      <c t="s" s="6" r="A973">
        <v>7252</v>
      </c>
      <c t="s" s="6" r="B973">
        <v>131</v>
      </c>
      <c t="s" s="6" r="D973">
        <v>7253</v>
      </c>
      <c t="s" s="6" r="E973">
        <v>7254</v>
      </c>
      <c t="s" s="6" r="F973">
        <v>81</v>
      </c>
      <c t="s" s="6" r="G973">
        <v>119</v>
      </c>
      <c s="6" r="H973">
        <v>0</v>
      </c>
      <c t="s" s="6" r="I973">
        <v>120</v>
      </c>
      <c t="s" s="6" r="L973">
        <v>7255</v>
      </c>
      <c t="s" s="6" r="M973">
        <v>6977</v>
      </c>
      <c s="6" r="N973">
        <v>0</v>
      </c>
      <c s="6" r="O973">
        <v>0</v>
      </c>
      <c t="s" s="6" r="P973">
        <v>123</v>
      </c>
      <c t="s" s="6" r="Q973">
        <v>123</v>
      </c>
      <c t="s" s="6" r="R973">
        <v>7256</v>
      </c>
      <c t="s" s="6" r="S973">
        <v>7257</v>
      </c>
      <c t="s" s="6" r="T973">
        <v>7122</v>
      </c>
      <c t="s" s="6" r="U973">
        <v>7258</v>
      </c>
      <c s="6" r="V973">
        <v>1</v>
      </c>
      <c s="6" r="W973">
        <v>1</v>
      </c>
      <c s="6" r="X973">
        <v>0</v>
      </c>
      <c s="6" r="Y973">
        <v>0</v>
      </c>
      <c s="6" r="Z973">
        <v>1</v>
      </c>
      <c t="s" s="6" r="AA973">
        <v>92</v>
      </c>
      <c t="s" s="6" r="AB973">
        <v>92</v>
      </c>
      <c s="6" r="AC973">
        <v>7</v>
      </c>
      <c t="s" s="6" r="AD973">
        <v>92</v>
      </c>
      <c t="s" s="6" r="AE973">
        <v>92</v>
      </c>
      <c t="s" s="6" r="AF973">
        <v>92</v>
      </c>
      <c s="6" r="AG973">
        <v>4</v>
      </c>
      <c t="s" s="6" r="AH973">
        <v>92</v>
      </c>
      <c t="s" s="6" r="AI973">
        <v>92</v>
      </c>
      <c t="s" s="6" r="AJ973">
        <v>92</v>
      </c>
      <c t="s" s="6" r="AK973">
        <v>92</v>
      </c>
      <c s="6" r="AL973">
        <v>7</v>
      </c>
      <c t="s" s="6" r="AM973">
        <v>92</v>
      </c>
      <c t="s" s="6" r="AN973">
        <v>92</v>
      </c>
      <c s="6" r="AP973">
        <v>7</v>
      </c>
      <c t="s" s="6" r="AR973">
        <v>7259</v>
      </c>
      <c s="6" r="AS973">
        <v>0</v>
      </c>
      <c s="6" r="AT973">
        <v>0</v>
      </c>
      <c s="6" r="AU973">
        <v>0</v>
      </c>
      <c s="6" r="AV973">
        <v>0</v>
      </c>
      <c s="6" r="AW973">
        <v>0</v>
      </c>
      <c s="6" r="AX973">
        <v>0</v>
      </c>
      <c s="6" r="AY973">
        <v>0</v>
      </c>
      <c s="6" r="AZ973">
        <v>0</v>
      </c>
      <c s="6" r="BA973">
        <v>0</v>
      </c>
      <c s="6" r="BB973">
        <v>0</v>
      </c>
      <c s="6" r="BC973">
        <v>0</v>
      </c>
      <c s="6" r="BD973">
        <v>0</v>
      </c>
      <c s="6" r="BE973">
        <v>0</v>
      </c>
      <c s="6" r="BF973">
        <v>0</v>
      </c>
      <c s="6" r="BG973">
        <v>0</v>
      </c>
      <c s="6" r="BH973">
        <v>1</v>
      </c>
      <c s="6" r="BI973">
        <v>0</v>
      </c>
      <c s="6" r="BJ973">
        <v>0</v>
      </c>
      <c s="6" r="BK973">
        <v>0</v>
      </c>
      <c s="6" r="BL973">
        <v>0</v>
      </c>
      <c s="6" r="BM973">
        <v>0</v>
      </c>
      <c s="6" r="BN973">
        <v>0</v>
      </c>
      <c s="6" r="BO973">
        <v>0</v>
      </c>
      <c s="6" r="BP973">
        <v>0</v>
      </c>
      <c s="6" r="BQ973">
        <v>0</v>
      </c>
      <c t="str" s="6" r="BR973">
        <f>HYPERLINK("http://www.d20pfsrd.com/magic/all-spells/b/bestow-grace-of-the-champion","Bestow Grace of the Champion")</f>
        <v>Bestow Grace of the Champion</v>
      </c>
      <c s="6" r="BS973">
        <v>995</v>
      </c>
      <c t="s" s="6" r="BT973">
        <v>92</v>
      </c>
      <c t="s" s="6" r="BV973">
        <v>2246</v>
      </c>
      <c s="6" r="BY973">
        <v>0</v>
      </c>
    </row>
    <row customHeight="1" r="974" ht="14.25">
      <c t="s" s="6" r="A974">
        <v>7260</v>
      </c>
      <c t="s" s="6" r="B974">
        <v>131</v>
      </c>
      <c t="s" s="6" r="D974">
        <v>59</v>
      </c>
      <c t="s" s="6" r="E974">
        <v>2248</v>
      </c>
      <c t="s" s="6" r="F974">
        <v>81</v>
      </c>
      <c t="s" s="6" r="G974">
        <v>106</v>
      </c>
      <c s="6" r="H974">
        <v>0</v>
      </c>
      <c t="s" s="6" r="I974">
        <v>120</v>
      </c>
      <c t="s" s="6" r="L974">
        <v>7261</v>
      </c>
      <c t="s" s="6" r="M974">
        <v>2718</v>
      </c>
      <c s="6" r="N974">
        <v>0</v>
      </c>
      <c s="6" r="O974">
        <v>0</v>
      </c>
      <c t="s" s="6" r="P974">
        <v>421</v>
      </c>
      <c t="s" s="6" r="Q974">
        <v>87</v>
      </c>
      <c t="s" s="6" r="R974">
        <v>7262</v>
      </c>
      <c t="s" s="6" r="S974">
        <v>7263</v>
      </c>
      <c t="s" s="6" r="T974">
        <v>7122</v>
      </c>
      <c t="s" s="6" r="U974">
        <v>7264</v>
      </c>
      <c s="6" r="V974">
        <v>1</v>
      </c>
      <c s="6" r="W974">
        <v>1</v>
      </c>
      <c s="6" r="X974">
        <v>0</v>
      </c>
      <c s="6" r="Y974">
        <v>0</v>
      </c>
      <c s="6" r="Z974">
        <v>0</v>
      </c>
      <c t="s" s="6" r="AA974">
        <v>92</v>
      </c>
      <c t="s" s="6" r="AB974">
        <v>92</v>
      </c>
      <c t="s" s="6" r="AC974">
        <v>92</v>
      </c>
      <c t="s" s="6" r="AD974">
        <v>92</v>
      </c>
      <c t="s" s="6" r="AE974">
        <v>92</v>
      </c>
      <c t="s" s="6" r="AF974">
        <v>92</v>
      </c>
      <c s="6" r="AG974">
        <v>3</v>
      </c>
      <c t="s" s="6" r="AH974">
        <v>92</v>
      </c>
      <c t="s" s="6" r="AI974">
        <v>92</v>
      </c>
      <c t="s" s="6" r="AJ974">
        <v>92</v>
      </c>
      <c t="s" s="6" r="AK974">
        <v>92</v>
      </c>
      <c t="s" s="6" r="AL974">
        <v>92</v>
      </c>
      <c t="s" s="6" r="AM974">
        <v>92</v>
      </c>
      <c t="s" s="6" r="AN974">
        <v>92</v>
      </c>
      <c s="6" r="AP974">
        <v>3</v>
      </c>
      <c t="s" s="6" r="AR974">
        <v>7265</v>
      </c>
      <c s="6" r="AS974">
        <v>0</v>
      </c>
      <c s="6" r="AT974">
        <v>0</v>
      </c>
      <c s="6" r="AU974">
        <v>0</v>
      </c>
      <c s="6" r="AV974">
        <v>0</v>
      </c>
      <c s="6" r="AW974">
        <v>0</v>
      </c>
      <c s="6" r="AX974">
        <v>0</v>
      </c>
      <c s="6" r="AY974">
        <v>0</v>
      </c>
      <c s="6" r="AZ974">
        <v>0</v>
      </c>
      <c s="6" r="BA974">
        <v>0</v>
      </c>
      <c s="6" r="BB974">
        <v>0</v>
      </c>
      <c s="6" r="BC974">
        <v>0</v>
      </c>
      <c s="6" r="BD974">
        <v>0</v>
      </c>
      <c s="6" r="BE974">
        <v>0</v>
      </c>
      <c s="6" r="BF974">
        <v>0</v>
      </c>
      <c s="6" r="BG974">
        <v>0</v>
      </c>
      <c s="6" r="BH974">
        <v>1</v>
      </c>
      <c s="6" r="BI974">
        <v>0</v>
      </c>
      <c s="6" r="BJ974">
        <v>0</v>
      </c>
      <c s="6" r="BK974">
        <v>0</v>
      </c>
      <c s="6" r="BL974">
        <v>0</v>
      </c>
      <c s="6" r="BM974">
        <v>0</v>
      </c>
      <c s="6" r="BN974">
        <v>0</v>
      </c>
      <c s="6" r="BO974">
        <v>0</v>
      </c>
      <c s="6" r="BP974">
        <v>0</v>
      </c>
      <c s="6" r="BQ974">
        <v>0</v>
      </c>
      <c t="str" s="6" r="BR974">
        <f>HYPERLINK("http://www.d20pfsrd.com/magic/all-spells/b/blade-of-bright-victory","Blade of Bright Victory")</f>
        <v>Blade of Bright Victory</v>
      </c>
      <c s="6" r="BS974">
        <v>996</v>
      </c>
      <c t="s" s="6" r="BT974">
        <v>92</v>
      </c>
      <c s="6" r="BY974">
        <v>0</v>
      </c>
    </row>
    <row customHeight="1" r="975" ht="14.25">
      <c t="s" s="6" r="A975">
        <v>7266</v>
      </c>
      <c t="s" s="6" r="B975">
        <v>131</v>
      </c>
      <c t="s" s="6" r="D975">
        <v>55</v>
      </c>
      <c t="s" s="6" r="E975">
        <v>7267</v>
      </c>
      <c t="s" s="6" r="F975">
        <v>81</v>
      </c>
      <c t="s" s="6" r="G975">
        <v>106</v>
      </c>
      <c s="6" r="H975">
        <v>0</v>
      </c>
      <c t="s" s="6" r="I975">
        <v>120</v>
      </c>
      <c t="s" s="6" r="L975">
        <v>7268</v>
      </c>
      <c t="s" s="6" r="M975">
        <v>2718</v>
      </c>
      <c s="6" r="N975">
        <v>0</v>
      </c>
      <c s="6" r="O975">
        <v>0</v>
      </c>
      <c t="s" s="6" r="P975">
        <v>421</v>
      </c>
      <c t="s" s="6" r="Q975">
        <v>87</v>
      </c>
      <c t="s" s="6" r="R975">
        <v>7269</v>
      </c>
      <c t="s" s="6" r="S975">
        <v>7270</v>
      </c>
      <c t="s" s="6" r="T975">
        <v>7122</v>
      </c>
      <c t="s" s="6" r="U975">
        <v>7271</v>
      </c>
      <c s="6" r="V975">
        <v>1</v>
      </c>
      <c s="6" r="W975">
        <v>1</v>
      </c>
      <c s="6" r="X975">
        <v>0</v>
      </c>
      <c s="6" r="Y975">
        <v>0</v>
      </c>
      <c s="6" r="Z975">
        <v>0</v>
      </c>
      <c t="s" s="6" r="AA975">
        <v>92</v>
      </c>
      <c t="s" s="6" r="AB975">
        <v>92</v>
      </c>
      <c t="s" s="6" r="AC975">
        <v>92</v>
      </c>
      <c t="s" s="6" r="AD975">
        <v>92</v>
      </c>
      <c t="s" s="6" r="AE975">
        <v>92</v>
      </c>
      <c t="s" s="6" r="AF975">
        <v>92</v>
      </c>
      <c t="s" s="6" r="AG975">
        <v>92</v>
      </c>
      <c t="s" s="6" r="AH975">
        <v>92</v>
      </c>
      <c t="s" s="6" r="AI975">
        <v>92</v>
      </c>
      <c t="s" s="6" r="AJ975">
        <v>92</v>
      </c>
      <c t="s" s="6" r="AK975">
        <v>92</v>
      </c>
      <c t="s" s="6" r="AL975">
        <v>92</v>
      </c>
      <c s="6" r="AM975">
        <v>3</v>
      </c>
      <c t="s" s="6" r="AN975">
        <v>92</v>
      </c>
      <c s="6" r="AP975">
        <v>3</v>
      </c>
      <c t="s" s="6" r="AR975">
        <v>7265</v>
      </c>
      <c s="6" r="AS975">
        <v>0</v>
      </c>
      <c s="6" r="AT975">
        <v>0</v>
      </c>
      <c s="6" r="AU975">
        <v>0</v>
      </c>
      <c s="6" r="AV975">
        <v>0</v>
      </c>
      <c s="6" r="AW975">
        <v>0</v>
      </c>
      <c s="6" r="AX975">
        <v>0</v>
      </c>
      <c s="6" r="AY975">
        <v>0</v>
      </c>
      <c s="6" r="AZ975">
        <v>0</v>
      </c>
      <c s="6" r="BA975">
        <v>0</v>
      </c>
      <c s="6" r="BB975">
        <v>0</v>
      </c>
      <c s="6" r="BC975">
        <v>0</v>
      </c>
      <c s="6" r="BD975">
        <v>1</v>
      </c>
      <c s="6" r="BE975">
        <v>0</v>
      </c>
      <c s="6" r="BF975">
        <v>0</v>
      </c>
      <c s="6" r="BG975">
        <v>0</v>
      </c>
      <c s="6" r="BH975">
        <v>0</v>
      </c>
      <c s="6" r="BI975">
        <v>0</v>
      </c>
      <c s="6" r="BJ975">
        <v>0</v>
      </c>
      <c s="6" r="BK975">
        <v>0</v>
      </c>
      <c s="6" r="BL975">
        <v>0</v>
      </c>
      <c s="6" r="BM975">
        <v>0</v>
      </c>
      <c s="6" r="BN975">
        <v>0</v>
      </c>
      <c s="6" r="BO975">
        <v>0</v>
      </c>
      <c s="6" r="BP975">
        <v>0</v>
      </c>
      <c s="6" r="BQ975">
        <v>0</v>
      </c>
      <c t="str" s="6" r="BR975">
        <f>HYPERLINK("http://www.d20pfsrd.com/magic/all-spells/b/blade-of-dark-triumph","Blade of Dark Triumph")</f>
        <v>Blade of Dark Triumph</v>
      </c>
      <c s="6" r="BS975">
        <v>997</v>
      </c>
      <c t="s" s="6" r="BT975">
        <v>92</v>
      </c>
      <c s="6" r="BY975">
        <v>0</v>
      </c>
    </row>
    <row customHeight="1" r="976" ht="14.25">
      <c t="s" s="6" r="A976">
        <v>7272</v>
      </c>
      <c t="s" s="6" r="B976">
        <v>131</v>
      </c>
      <c t="s" s="6" r="E976">
        <v>7273</v>
      </c>
      <c t="s" s="6" r="F976">
        <v>272</v>
      </c>
      <c t="s" s="6" r="G976">
        <v>106</v>
      </c>
      <c s="6" r="H976">
        <v>0</v>
      </c>
      <c t="s" s="6" r="I976">
        <v>107</v>
      </c>
      <c t="s" s="6" r="J976">
        <v>7274</v>
      </c>
      <c t="s" s="6" r="M976">
        <v>2718</v>
      </c>
      <c s="6" r="N976">
        <v>0</v>
      </c>
      <c s="6" r="O976">
        <v>0</v>
      </c>
      <c t="s" s="6" r="P976">
        <v>7275</v>
      </c>
      <c t="s" s="6" r="Q976">
        <v>123</v>
      </c>
      <c t="s" s="6" r="R976">
        <v>7276</v>
      </c>
      <c t="s" s="6" r="S976">
        <v>7277</v>
      </c>
      <c t="s" s="6" r="T976">
        <v>7122</v>
      </c>
      <c t="s" s="6" r="U976">
        <v>7278</v>
      </c>
      <c s="6" r="V976">
        <v>1</v>
      </c>
      <c s="6" r="W976">
        <v>1</v>
      </c>
      <c s="6" r="X976">
        <v>0</v>
      </c>
      <c s="6" r="Y976">
        <v>0</v>
      </c>
      <c s="6" r="Z976">
        <v>0</v>
      </c>
      <c t="s" s="6" r="AA976">
        <v>92</v>
      </c>
      <c t="s" s="6" r="AB976">
        <v>92</v>
      </c>
      <c s="6" r="AC976">
        <v>3</v>
      </c>
      <c t="s" s="6" r="AD976">
        <v>92</v>
      </c>
      <c s="6" r="AE976">
        <v>3</v>
      </c>
      <c t="s" s="6" r="AF976">
        <v>92</v>
      </c>
      <c s="6" r="AG976">
        <v>3</v>
      </c>
      <c t="s" s="6" r="AH976">
        <v>92</v>
      </c>
      <c t="s" s="6" r="AI976">
        <v>92</v>
      </c>
      <c t="s" s="6" r="AJ976">
        <v>92</v>
      </c>
      <c s="6" r="AK976">
        <v>3</v>
      </c>
      <c s="6" r="AL976">
        <v>3</v>
      </c>
      <c t="s" s="6" r="AM976">
        <v>92</v>
      </c>
      <c t="s" s="6" r="AN976">
        <v>92</v>
      </c>
      <c s="6" r="AP976">
        <v>3</v>
      </c>
      <c t="s" s="6" r="AR976">
        <v>7279</v>
      </c>
      <c s="6" r="AS976">
        <v>0</v>
      </c>
      <c s="6" r="AT976">
        <v>0</v>
      </c>
      <c s="6" r="AU976">
        <v>0</v>
      </c>
      <c s="6" r="AV976">
        <v>0</v>
      </c>
      <c s="6" r="AW976">
        <v>0</v>
      </c>
      <c s="6" r="AX976">
        <v>0</v>
      </c>
      <c s="6" r="AY976">
        <v>0</v>
      </c>
      <c s="6" r="AZ976">
        <v>0</v>
      </c>
      <c s="6" r="BA976">
        <v>0</v>
      </c>
      <c s="6" r="BB976">
        <v>0</v>
      </c>
      <c s="6" r="BC976">
        <v>0</v>
      </c>
      <c s="6" r="BD976">
        <v>0</v>
      </c>
      <c s="6" r="BE976">
        <v>0</v>
      </c>
      <c s="6" r="BF976">
        <v>0</v>
      </c>
      <c s="6" r="BG976">
        <v>0</v>
      </c>
      <c s="6" r="BH976">
        <v>0</v>
      </c>
      <c s="6" r="BI976">
        <v>0</v>
      </c>
      <c s="6" r="BJ976">
        <v>0</v>
      </c>
      <c s="6" r="BK976">
        <v>0</v>
      </c>
      <c s="6" r="BL976">
        <v>0</v>
      </c>
      <c s="6" r="BM976">
        <v>0</v>
      </c>
      <c s="6" r="BN976">
        <v>0</v>
      </c>
      <c s="6" r="BO976">
        <v>0</v>
      </c>
      <c s="6" r="BP976">
        <v>0</v>
      </c>
      <c s="6" r="BQ976">
        <v>0</v>
      </c>
      <c t="str" s="6" r="BR976">
        <f>HYPERLINK("http://www.d20pfsrd.com/magic/all-spells/b/blessing-of-the-mole","Blessing of the Mole")</f>
        <v>Blessing of the Mole</v>
      </c>
      <c s="6" r="BS976">
        <v>998</v>
      </c>
      <c t="s" s="6" r="BT976">
        <v>92</v>
      </c>
      <c s="6" r="BY976">
        <v>0</v>
      </c>
    </row>
    <row customHeight="1" r="977" ht="14.25">
      <c t="s" s="6" r="A977">
        <v>7280</v>
      </c>
      <c t="s" s="6" r="B977">
        <v>493</v>
      </c>
      <c t="s" s="6" r="D977">
        <v>57</v>
      </c>
      <c t="s" s="6" r="E977">
        <v>5348</v>
      </c>
      <c t="s" s="6" r="F977">
        <v>272</v>
      </c>
      <c t="s" s="6" r="G977">
        <v>106</v>
      </c>
      <c s="6" r="H977">
        <v>0</v>
      </c>
      <c t="s" s="6" r="I977">
        <v>97</v>
      </c>
      <c t="s" s="6" r="L977">
        <v>1235</v>
      </c>
      <c t="s" s="6" r="M977">
        <v>109</v>
      </c>
      <c s="6" r="N977">
        <v>0</v>
      </c>
      <c s="6" r="O977">
        <v>0</v>
      </c>
      <c t="s" s="6" r="P977">
        <v>86</v>
      </c>
      <c t="s" s="6" r="Q977">
        <v>188</v>
      </c>
      <c t="s" s="6" r="R977">
        <v>7281</v>
      </c>
      <c t="s" s="6" r="S977">
        <v>7282</v>
      </c>
      <c t="s" s="6" r="T977">
        <v>7122</v>
      </c>
      <c t="s" s="6" r="U977">
        <v>7283</v>
      </c>
      <c s="6" r="V977">
        <v>1</v>
      </c>
      <c s="6" r="W977">
        <v>1</v>
      </c>
      <c s="6" r="X977">
        <v>0</v>
      </c>
      <c s="6" r="Y977">
        <v>0</v>
      </c>
      <c s="6" r="Z977">
        <v>0</v>
      </c>
      <c t="s" s="6" r="AA977">
        <v>92</v>
      </c>
      <c t="s" s="6" r="AB977">
        <v>92</v>
      </c>
      <c s="6" r="AC977">
        <v>4</v>
      </c>
      <c t="s" s="6" r="AD977">
        <v>92</v>
      </c>
      <c t="s" s="6" r="AE977">
        <v>92</v>
      </c>
      <c t="s" s="6" r="AF977">
        <v>92</v>
      </c>
      <c t="s" s="6" r="AG977">
        <v>92</v>
      </c>
      <c t="s" s="6" r="AH977">
        <v>92</v>
      </c>
      <c t="s" s="6" r="AI977">
        <v>92</v>
      </c>
      <c t="s" s="6" r="AJ977">
        <v>92</v>
      </c>
      <c t="s" s="6" r="AK977">
        <v>92</v>
      </c>
      <c s="6" r="AL977">
        <v>4</v>
      </c>
      <c t="s" s="6" r="AM977">
        <v>92</v>
      </c>
      <c t="s" s="6" r="AN977">
        <v>92</v>
      </c>
      <c s="6" r="AP977">
        <v>4</v>
      </c>
      <c t="s" s="6" r="AR977">
        <v>7284</v>
      </c>
      <c s="6" r="AS977">
        <v>0</v>
      </c>
      <c s="6" r="AT977">
        <v>0</v>
      </c>
      <c s="6" r="AU977">
        <v>0</v>
      </c>
      <c s="6" r="AV977">
        <v>0</v>
      </c>
      <c s="6" r="AW977">
        <v>0</v>
      </c>
      <c s="6" r="AX977">
        <v>0</v>
      </c>
      <c s="6" r="AY977">
        <v>0</v>
      </c>
      <c s="6" r="AZ977">
        <v>0</v>
      </c>
      <c s="6" r="BA977">
        <v>0</v>
      </c>
      <c s="6" r="BB977">
        <v>0</v>
      </c>
      <c s="6" r="BC977">
        <v>0</v>
      </c>
      <c s="6" r="BD977">
        <v>0</v>
      </c>
      <c s="6" r="BE977">
        <v>0</v>
      </c>
      <c s="6" r="BF977">
        <v>1</v>
      </c>
      <c s="6" r="BG977">
        <v>0</v>
      </c>
      <c s="6" r="BH977">
        <v>0</v>
      </c>
      <c s="6" r="BI977">
        <v>0</v>
      </c>
      <c s="6" r="BJ977">
        <v>0</v>
      </c>
      <c s="6" r="BK977">
        <v>0</v>
      </c>
      <c s="6" r="BL977">
        <v>0</v>
      </c>
      <c s="6" r="BM977">
        <v>0</v>
      </c>
      <c s="6" r="BN977">
        <v>0</v>
      </c>
      <c s="6" r="BO977">
        <v>0</v>
      </c>
      <c s="6" r="BP977">
        <v>0</v>
      </c>
      <c s="6" r="BQ977">
        <v>0</v>
      </c>
      <c t="str" s="6" r="BR977">
        <f>HYPERLINK("http://www.d20pfsrd.com/magic/all-spells/b/blood-crow-strike","Blood Crow Strike")</f>
        <v>Blood Crow Strike</v>
      </c>
      <c s="6" r="BS977">
        <v>999</v>
      </c>
      <c t="s" s="6" r="BT977">
        <v>92</v>
      </c>
      <c t="s" s="6" r="BW977">
        <v>7285</v>
      </c>
      <c s="6" r="BY977">
        <v>1</v>
      </c>
    </row>
    <row customHeight="1" r="978" ht="14.25">
      <c t="s" s="6" r="A978">
        <v>7286</v>
      </c>
      <c t="s" s="6" r="B978">
        <v>78</v>
      </c>
      <c t="s" s="6" r="C978">
        <v>79</v>
      </c>
      <c t="s" s="6" r="D978">
        <v>65</v>
      </c>
      <c t="s" s="6" r="E978">
        <v>207</v>
      </c>
      <c t="s" s="6" r="F978">
        <v>81</v>
      </c>
      <c t="s" s="6" r="G978">
        <v>7287</v>
      </c>
      <c s="6" r="H978">
        <v>0</v>
      </c>
      <c t="s" s="6" r="I978">
        <v>7288</v>
      </c>
      <c t="s" s="6" r="J978">
        <v>7289</v>
      </c>
      <c t="s" s="6" r="M978">
        <v>2718</v>
      </c>
      <c s="6" r="N978">
        <v>0</v>
      </c>
      <c s="6" r="O978">
        <v>0</v>
      </c>
      <c t="s" s="6" r="P978">
        <v>5439</v>
      </c>
      <c t="s" s="6" r="Q978">
        <v>188</v>
      </c>
      <c t="s" s="6" r="R978">
        <v>7290</v>
      </c>
      <c t="s" s="6" r="S978">
        <v>7291</v>
      </c>
      <c t="s" s="6" r="T978">
        <v>7122</v>
      </c>
      <c t="s" s="6" r="U978">
        <v>7292</v>
      </c>
      <c s="6" r="V978">
        <v>1</v>
      </c>
      <c s="6" r="W978">
        <v>1</v>
      </c>
      <c s="6" r="X978">
        <v>1</v>
      </c>
      <c s="6" r="Y978">
        <v>0</v>
      </c>
      <c s="6" r="Z978">
        <v>0</v>
      </c>
      <c t="s" s="6" r="AA978">
        <v>92</v>
      </c>
      <c t="s" s="6" r="AB978">
        <v>92</v>
      </c>
      <c t="s" s="6" r="AC978">
        <v>92</v>
      </c>
      <c s="6" r="AD978">
        <v>8</v>
      </c>
      <c t="s" s="6" r="AE978">
        <v>92</v>
      </c>
      <c t="s" s="6" r="AF978">
        <v>92</v>
      </c>
      <c t="s" s="6" r="AG978">
        <v>92</v>
      </c>
      <c t="s" s="6" r="AH978">
        <v>92</v>
      </c>
      <c t="s" s="6" r="AI978">
        <v>92</v>
      </c>
      <c t="s" s="6" r="AJ978">
        <v>92</v>
      </c>
      <c t="s" s="6" r="AK978">
        <v>92</v>
      </c>
      <c t="s" s="6" r="AL978">
        <v>92</v>
      </c>
      <c t="s" s="6" r="AM978">
        <v>92</v>
      </c>
      <c t="s" s="6" r="AN978">
        <v>92</v>
      </c>
      <c s="6" r="AP978">
        <v>8</v>
      </c>
      <c t="s" s="6" r="AR978">
        <v>7293</v>
      </c>
      <c s="6" r="AS978">
        <v>0</v>
      </c>
      <c s="6" r="AT978">
        <v>0</v>
      </c>
      <c s="6" r="AU978">
        <v>0</v>
      </c>
      <c s="6" r="AV978">
        <v>0</v>
      </c>
      <c s="6" r="AW978">
        <v>0</v>
      </c>
      <c s="6" r="AX978">
        <v>0</v>
      </c>
      <c s="6" r="AY978">
        <v>0</v>
      </c>
      <c s="6" r="AZ978">
        <v>0</v>
      </c>
      <c s="6" r="BA978">
        <v>0</v>
      </c>
      <c s="6" r="BB978">
        <v>0</v>
      </c>
      <c s="6" r="BC978">
        <v>0</v>
      </c>
      <c s="6" r="BD978">
        <v>0</v>
      </c>
      <c s="6" r="BE978">
        <v>0</v>
      </c>
      <c s="6" r="BF978">
        <v>0</v>
      </c>
      <c s="6" r="BG978">
        <v>0</v>
      </c>
      <c s="6" r="BH978">
        <v>0</v>
      </c>
      <c s="6" r="BI978">
        <v>0</v>
      </c>
      <c s="6" r="BJ978">
        <v>0</v>
      </c>
      <c s="6" r="BK978">
        <v>0</v>
      </c>
      <c s="6" r="BL978">
        <v>0</v>
      </c>
      <c s="6" r="BM978">
        <v>0</v>
      </c>
      <c s="6" r="BN978">
        <v>1</v>
      </c>
      <c s="6" r="BO978">
        <v>0</v>
      </c>
      <c s="6" r="BP978">
        <v>0</v>
      </c>
      <c s="6" r="BQ978">
        <v>0</v>
      </c>
      <c t="str" s="6" r="BR978">
        <f>HYPERLINK("http://www.d20pfsrd.com/magic/all-spells/b/blood-mist","Blood Mist")</f>
        <v>Blood Mist</v>
      </c>
      <c s="6" r="BS978">
        <v>1000</v>
      </c>
      <c t="s" s="6" r="BT978">
        <v>92</v>
      </c>
      <c s="6" r="BY978">
        <v>0</v>
      </c>
    </row>
    <row customHeight="1" r="979" ht="14.25">
      <c t="s" s="6" r="A979">
        <v>7294</v>
      </c>
      <c t="s" s="6" r="B979">
        <v>174</v>
      </c>
      <c t="s" s="6" r="D979">
        <v>55</v>
      </c>
      <c t="s" s="6" r="E979">
        <v>7295</v>
      </c>
      <c t="s" s="6" r="F979">
        <v>81</v>
      </c>
      <c t="s" s="6" r="G979">
        <v>106</v>
      </c>
      <c s="6" r="H979">
        <v>0</v>
      </c>
      <c t="s" s="6" r="I979">
        <v>120</v>
      </c>
      <c t="s" s="6" r="L979">
        <v>7296</v>
      </c>
      <c t="s" s="6" r="M979">
        <v>379</v>
      </c>
      <c s="6" r="N979">
        <v>0</v>
      </c>
      <c s="6" r="O979">
        <v>0</v>
      </c>
      <c t="s" s="6" r="P979">
        <v>86</v>
      </c>
      <c t="s" s="6" r="Q979">
        <v>87</v>
      </c>
      <c t="s" s="6" r="R979">
        <v>7297</v>
      </c>
      <c t="s" s="6" r="S979">
        <v>7298</v>
      </c>
      <c t="s" s="6" r="T979">
        <v>7122</v>
      </c>
      <c t="s" s="6" r="U979">
        <v>7299</v>
      </c>
      <c s="6" r="V979">
        <v>1</v>
      </c>
      <c s="6" r="W979">
        <v>1</v>
      </c>
      <c s="6" r="X979">
        <v>0</v>
      </c>
      <c s="6" r="Y979">
        <v>0</v>
      </c>
      <c s="6" r="Z979">
        <v>0</v>
      </c>
      <c t="s" s="6" r="AA979">
        <v>92</v>
      </c>
      <c t="s" s="6" r="AB979">
        <v>92</v>
      </c>
      <c t="s" s="6" r="AC979">
        <v>92</v>
      </c>
      <c t="s" s="6" r="AD979">
        <v>92</v>
      </c>
      <c t="s" s="6" r="AE979">
        <v>92</v>
      </c>
      <c t="s" s="6" r="AF979">
        <v>92</v>
      </c>
      <c t="s" s="6" r="AG979">
        <v>92</v>
      </c>
      <c s="6" r="AH979">
        <v>2</v>
      </c>
      <c t="s" s="6" r="AI979">
        <v>92</v>
      </c>
      <c s="6" r="AJ979">
        <v>2</v>
      </c>
      <c t="s" s="6" r="AK979">
        <v>92</v>
      </c>
      <c t="s" s="6" r="AL979">
        <v>92</v>
      </c>
      <c t="s" s="6" r="AM979">
        <v>92</v>
      </c>
      <c s="6" r="AN979">
        <v>2</v>
      </c>
      <c s="6" r="AP979">
        <v>2</v>
      </c>
      <c t="s" s="6" r="AR979">
        <v>7300</v>
      </c>
      <c s="6" r="AS979">
        <v>0</v>
      </c>
      <c s="6" r="AT979">
        <v>0</v>
      </c>
      <c s="6" r="AU979">
        <v>0</v>
      </c>
      <c s="6" r="AV979">
        <v>0</v>
      </c>
      <c s="6" r="AW979">
        <v>0</v>
      </c>
      <c s="6" r="AX979">
        <v>0</v>
      </c>
      <c s="6" r="AY979">
        <v>0</v>
      </c>
      <c s="6" r="AZ979">
        <v>0</v>
      </c>
      <c s="6" r="BA979">
        <v>0</v>
      </c>
      <c s="6" r="BB979">
        <v>0</v>
      </c>
      <c s="6" r="BC979">
        <v>0</v>
      </c>
      <c s="6" r="BD979">
        <v>1</v>
      </c>
      <c s="6" r="BE979">
        <v>0</v>
      </c>
      <c s="6" r="BF979">
        <v>0</v>
      </c>
      <c s="6" r="BG979">
        <v>0</v>
      </c>
      <c s="6" r="BH979">
        <v>0</v>
      </c>
      <c s="6" r="BI979">
        <v>0</v>
      </c>
      <c s="6" r="BJ979">
        <v>0</v>
      </c>
      <c s="6" r="BK979">
        <v>0</v>
      </c>
      <c s="6" r="BL979">
        <v>0</v>
      </c>
      <c s="6" r="BM979">
        <v>0</v>
      </c>
      <c s="6" r="BN979">
        <v>0</v>
      </c>
      <c s="6" r="BO979">
        <v>0</v>
      </c>
      <c s="6" r="BP979">
        <v>0</v>
      </c>
      <c s="6" r="BQ979">
        <v>0</v>
      </c>
      <c t="str" s="6" r="BR979">
        <f>HYPERLINK("http://www.d20pfsrd.com/magic/all-spells/b/blood-transcription","Blood Transcription")</f>
        <v>Blood Transcription</v>
      </c>
      <c s="6" r="BS979">
        <v>1001</v>
      </c>
      <c t="s" s="6" r="BT979">
        <v>92</v>
      </c>
      <c s="6" r="BY979">
        <v>0</v>
      </c>
    </row>
    <row customHeight="1" r="980" ht="14.25">
      <c t="s" s="6" r="A980">
        <v>7301</v>
      </c>
      <c t="s" s="6" r="B980">
        <v>131</v>
      </c>
      <c t="s" s="6" r="E980">
        <v>7302</v>
      </c>
      <c t="s" s="6" r="F980">
        <v>81</v>
      </c>
      <c t="s" s="6" r="G980">
        <v>106</v>
      </c>
      <c s="6" r="H980">
        <v>0</v>
      </c>
      <c t="s" s="6" r="I980">
        <v>97</v>
      </c>
      <c t="s" s="6" r="L980">
        <v>7303</v>
      </c>
      <c t="s" s="6" r="M980">
        <v>7304</v>
      </c>
      <c s="6" r="N980">
        <v>1</v>
      </c>
      <c s="6" r="O980">
        <v>0</v>
      </c>
      <c t="s" s="6" r="P980">
        <v>5439</v>
      </c>
      <c t="s" s="6" r="Q980">
        <v>188</v>
      </c>
      <c t="s" s="6" r="R980">
        <v>7305</v>
      </c>
      <c t="s" s="6" r="S980">
        <v>7306</v>
      </c>
      <c t="s" s="6" r="T980">
        <v>7122</v>
      </c>
      <c t="s" s="6" r="U980">
        <v>7307</v>
      </c>
      <c s="6" r="V980">
        <v>1</v>
      </c>
      <c s="6" r="W980">
        <v>1</v>
      </c>
      <c s="6" r="X980">
        <v>0</v>
      </c>
      <c s="6" r="Y980">
        <v>0</v>
      </c>
      <c s="6" r="Z980">
        <v>0</v>
      </c>
      <c s="6" r="AA980">
        <v>2</v>
      </c>
      <c s="6" r="AB980">
        <v>2</v>
      </c>
      <c s="6" r="AC980">
        <v>2</v>
      </c>
      <c t="s" s="6" r="AD980">
        <v>92</v>
      </c>
      <c t="s" s="6" r="AE980">
        <v>92</v>
      </c>
      <c s="6" r="AF980">
        <v>2</v>
      </c>
      <c t="s" s="6" r="AG980">
        <v>92</v>
      </c>
      <c t="s" s="6" r="AH980">
        <v>92</v>
      </c>
      <c t="s" s="6" r="AI980">
        <v>92</v>
      </c>
      <c s="6" r="AJ980">
        <v>2</v>
      </c>
      <c t="s" s="6" r="AK980">
        <v>92</v>
      </c>
      <c s="6" r="AL980">
        <v>2</v>
      </c>
      <c t="s" s="6" r="AM980">
        <v>92</v>
      </c>
      <c t="s" s="6" r="AN980">
        <v>92</v>
      </c>
      <c s="6" r="AP980">
        <v>2</v>
      </c>
      <c t="s" s="6" r="AR980">
        <v>7308</v>
      </c>
      <c s="6" r="AS980">
        <v>0</v>
      </c>
      <c s="6" r="AT980">
        <v>0</v>
      </c>
      <c s="6" r="AU980">
        <v>0</v>
      </c>
      <c s="6" r="AV980">
        <v>0</v>
      </c>
      <c s="6" r="AW980">
        <v>0</v>
      </c>
      <c s="6" r="AX980">
        <v>0</v>
      </c>
      <c s="6" r="AY980">
        <v>0</v>
      </c>
      <c s="6" r="AZ980">
        <v>0</v>
      </c>
      <c s="6" r="BA980">
        <v>0</v>
      </c>
      <c s="6" r="BB980">
        <v>0</v>
      </c>
      <c s="6" r="BC980">
        <v>0</v>
      </c>
      <c s="6" r="BD980">
        <v>0</v>
      </c>
      <c s="6" r="BE980">
        <v>0</v>
      </c>
      <c s="6" r="BF980">
        <v>0</v>
      </c>
      <c s="6" r="BG980">
        <v>0</v>
      </c>
      <c s="6" r="BH980">
        <v>0</v>
      </c>
      <c s="6" r="BI980">
        <v>0</v>
      </c>
      <c s="6" r="BJ980">
        <v>0</v>
      </c>
      <c s="6" r="BK980">
        <v>0</v>
      </c>
      <c s="6" r="BL980">
        <v>0</v>
      </c>
      <c s="6" r="BM980">
        <v>0</v>
      </c>
      <c s="6" r="BN980">
        <v>0</v>
      </c>
      <c s="6" r="BO980">
        <v>0</v>
      </c>
      <c s="6" r="BP980">
        <v>0</v>
      </c>
      <c s="6" r="BQ980">
        <v>0</v>
      </c>
      <c t="str" s="6" r="BR980">
        <f>HYPERLINK("http://www.d20pfsrd.com/magic/all-spells/b/boiling-blood","Boiling Blood")</f>
        <v>Boiling Blood</v>
      </c>
      <c s="6" r="BS980">
        <v>1002</v>
      </c>
      <c t="s" s="6" r="BT980">
        <v>92</v>
      </c>
      <c t="s" s="6" r="BW980">
        <v>7309</v>
      </c>
      <c s="6" r="BY980">
        <v>1</v>
      </c>
    </row>
    <row customHeight="1" r="981" ht="14.25">
      <c t="s" s="6" r="A981">
        <v>7310</v>
      </c>
      <c t="s" s="6" r="B981">
        <v>115</v>
      </c>
      <c t="s" s="6" r="C981">
        <v>116</v>
      </c>
      <c t="s" s="6" r="E981">
        <v>7311</v>
      </c>
      <c t="s" s="6" r="F981">
        <v>81</v>
      </c>
      <c t="s" s="6" r="G981">
        <v>106</v>
      </c>
      <c s="6" r="H981">
        <v>0</v>
      </c>
      <c t="s" s="6" r="I981">
        <v>107</v>
      </c>
      <c t="s" s="6" r="L981">
        <v>1510</v>
      </c>
      <c t="s" s="6" r="M981">
        <v>7312</v>
      </c>
      <c s="6" r="N981">
        <v>0</v>
      </c>
      <c s="6" r="O981">
        <v>0</v>
      </c>
      <c t="s" s="6" r="P981">
        <v>221</v>
      </c>
      <c t="s" s="6" r="Q981">
        <v>188</v>
      </c>
      <c t="s" s="6" r="R981">
        <v>7313</v>
      </c>
      <c t="s" s="6" r="S981">
        <v>7314</v>
      </c>
      <c t="s" s="6" r="T981">
        <v>7122</v>
      </c>
      <c t="s" s="6" r="U981">
        <v>7315</v>
      </c>
      <c s="6" r="V981">
        <v>1</v>
      </c>
      <c s="6" r="W981">
        <v>1</v>
      </c>
      <c s="6" r="X981">
        <v>0</v>
      </c>
      <c s="6" r="Y981">
        <v>0</v>
      </c>
      <c s="6" r="Z981">
        <v>0</v>
      </c>
      <c s="6" r="AA981">
        <v>1</v>
      </c>
      <c s="6" r="AB981">
        <v>1</v>
      </c>
      <c t="s" s="6" r="AC981">
        <v>92</v>
      </c>
      <c t="s" s="6" r="AD981">
        <v>92</v>
      </c>
      <c t="s" s="6" r="AE981">
        <v>92</v>
      </c>
      <c t="s" s="6" r="AF981">
        <v>92</v>
      </c>
      <c t="s" s="6" r="AG981">
        <v>92</v>
      </c>
      <c t="s" s="6" r="AH981">
        <v>92</v>
      </c>
      <c t="s" s="6" r="AI981">
        <v>92</v>
      </c>
      <c s="6" r="AJ981">
        <v>1</v>
      </c>
      <c t="s" s="6" r="AK981">
        <v>92</v>
      </c>
      <c t="s" s="6" r="AL981">
        <v>92</v>
      </c>
      <c t="s" s="6" r="AM981">
        <v>92</v>
      </c>
      <c t="s" s="6" r="AN981">
        <v>92</v>
      </c>
      <c s="6" r="AP981">
        <v>1</v>
      </c>
      <c t="s" s="6" r="AR981">
        <v>7316</v>
      </c>
      <c s="6" r="AS981">
        <v>0</v>
      </c>
      <c s="6" r="AT981">
        <v>0</v>
      </c>
      <c s="6" r="AU981">
        <v>0</v>
      </c>
      <c s="6" r="AV981">
        <v>0</v>
      </c>
      <c s="6" r="AW981">
        <v>0</v>
      </c>
      <c s="6" r="AX981">
        <v>0</v>
      </c>
      <c s="6" r="AY981">
        <v>0</v>
      </c>
      <c s="6" r="AZ981">
        <v>0</v>
      </c>
      <c s="6" r="BA981">
        <v>0</v>
      </c>
      <c s="6" r="BB981">
        <v>0</v>
      </c>
      <c s="6" r="BC981">
        <v>0</v>
      </c>
      <c s="6" r="BD981">
        <v>0</v>
      </c>
      <c s="6" r="BE981">
        <v>0</v>
      </c>
      <c s="6" r="BF981">
        <v>0</v>
      </c>
      <c s="6" r="BG981">
        <v>0</v>
      </c>
      <c s="6" r="BH981">
        <v>0</v>
      </c>
      <c s="6" r="BI981">
        <v>0</v>
      </c>
      <c s="6" r="BJ981">
        <v>0</v>
      </c>
      <c s="6" r="BK981">
        <v>0</v>
      </c>
      <c s="6" r="BL981">
        <v>0</v>
      </c>
      <c s="6" r="BM981">
        <v>0</v>
      </c>
      <c s="6" r="BN981">
        <v>0</v>
      </c>
      <c s="6" r="BO981">
        <v>0</v>
      </c>
      <c s="6" r="BP981">
        <v>0</v>
      </c>
      <c s="6" r="BQ981">
        <v>0</v>
      </c>
      <c t="str" s="6" r="BR981">
        <f>HYPERLINK("http://www.d20pfsrd.com/magic/all-spells/b/bungle","Bungle")</f>
        <v>Bungle</v>
      </c>
      <c s="6" r="BS981">
        <v>1003</v>
      </c>
      <c t="s" s="6" r="BT981">
        <v>92</v>
      </c>
      <c s="6" r="BY981">
        <v>0</v>
      </c>
    </row>
    <row customHeight="1" r="982" ht="14.25">
      <c t="s" s="6" r="A982">
        <v>7317</v>
      </c>
      <c t="s" s="6" r="B982">
        <v>131</v>
      </c>
      <c t="s" s="6" r="E982">
        <v>7318</v>
      </c>
      <c t="s" s="6" r="F982">
        <v>81</v>
      </c>
      <c t="s" s="6" r="G982">
        <v>106</v>
      </c>
      <c s="6" r="H982">
        <v>0</v>
      </c>
      <c t="s" s="6" r="I982">
        <v>120</v>
      </c>
      <c t="s" s="6" r="L982">
        <v>420</v>
      </c>
      <c t="s" s="6" r="M982">
        <v>2718</v>
      </c>
      <c s="6" r="N982">
        <v>0</v>
      </c>
      <c s="6" r="O982">
        <v>0</v>
      </c>
      <c t="s" s="6" r="P982">
        <v>421</v>
      </c>
      <c t="s" s="6" r="Q982">
        <v>123</v>
      </c>
      <c t="s" s="6" r="R982">
        <v>7319</v>
      </c>
      <c t="s" s="6" r="S982">
        <v>7320</v>
      </c>
      <c t="s" s="6" r="T982">
        <v>7122</v>
      </c>
      <c t="s" s="6" r="U982">
        <v>7321</v>
      </c>
      <c s="6" r="V982">
        <v>1</v>
      </c>
      <c s="6" r="W982">
        <v>1</v>
      </c>
      <c s="6" r="X982">
        <v>0</v>
      </c>
      <c s="6" r="Y982">
        <v>0</v>
      </c>
      <c s="6" r="Z982">
        <v>0</v>
      </c>
      <c s="6" r="AA982">
        <v>3</v>
      </c>
      <c s="6" r="AB982">
        <v>3</v>
      </c>
      <c t="s" s="6" r="AC982">
        <v>92</v>
      </c>
      <c s="6" r="AD982">
        <v>3</v>
      </c>
      <c s="6" r="AE982">
        <v>3</v>
      </c>
      <c t="s" s="6" r="AF982">
        <v>92</v>
      </c>
      <c t="s" s="6" r="AG982">
        <v>92</v>
      </c>
      <c s="6" r="AH982">
        <v>3</v>
      </c>
      <c t="s" s="6" r="AI982">
        <v>92</v>
      </c>
      <c t="s" s="6" r="AJ982">
        <v>92</v>
      </c>
      <c t="s" s="6" r="AK982">
        <v>92</v>
      </c>
      <c t="s" s="6" r="AL982">
        <v>92</v>
      </c>
      <c t="s" s="6" r="AM982">
        <v>92</v>
      </c>
      <c t="s" s="6" r="AN982">
        <v>92</v>
      </c>
      <c s="6" r="AP982">
        <v>3</v>
      </c>
      <c t="s" s="6" r="AR982">
        <v>7322</v>
      </c>
      <c s="6" r="AS982">
        <v>0</v>
      </c>
      <c s="6" r="AT982">
        <v>0</v>
      </c>
      <c s="6" r="AU982">
        <v>0</v>
      </c>
      <c s="6" r="AV982">
        <v>0</v>
      </c>
      <c s="6" r="AW982">
        <v>0</v>
      </c>
      <c s="6" r="AX982">
        <v>0</v>
      </c>
      <c s="6" r="AY982">
        <v>0</v>
      </c>
      <c s="6" r="AZ982">
        <v>0</v>
      </c>
      <c s="6" r="BA982">
        <v>0</v>
      </c>
      <c s="6" r="BB982">
        <v>0</v>
      </c>
      <c s="6" r="BC982">
        <v>0</v>
      </c>
      <c s="6" r="BD982">
        <v>0</v>
      </c>
      <c s="6" r="BE982">
        <v>0</v>
      </c>
      <c s="6" r="BF982">
        <v>0</v>
      </c>
      <c s="6" r="BG982">
        <v>0</v>
      </c>
      <c s="6" r="BH982">
        <v>0</v>
      </c>
      <c s="6" r="BI982">
        <v>0</v>
      </c>
      <c s="6" r="BJ982">
        <v>0</v>
      </c>
      <c s="6" r="BK982">
        <v>0</v>
      </c>
      <c s="6" r="BL982">
        <v>0</v>
      </c>
      <c s="6" r="BM982">
        <v>0</v>
      </c>
      <c s="6" r="BN982">
        <v>0</v>
      </c>
      <c s="6" r="BO982">
        <v>0</v>
      </c>
      <c s="6" r="BP982">
        <v>0</v>
      </c>
      <c s="6" r="BQ982">
        <v>0</v>
      </c>
      <c t="str" s="6" r="BR982">
        <f>HYPERLINK("http://www.d20pfsrd.com/magic/all-spells/b/burrow","Burrow")</f>
        <v>Burrow</v>
      </c>
      <c s="6" r="BS982">
        <v>1004</v>
      </c>
      <c t="s" s="6" r="BT982">
        <v>92</v>
      </c>
      <c t="s" s="6" r="BW982">
        <v>7323</v>
      </c>
      <c t="s" s="6" r="BX982">
        <v>7324</v>
      </c>
      <c s="6" r="BY982">
        <v>1</v>
      </c>
    </row>
    <row customHeight="1" r="983" ht="14.25">
      <c t="s" s="6" r="A983">
        <v>7325</v>
      </c>
      <c t="s" s="6" r="B983">
        <v>78</v>
      </c>
      <c t="s" s="6" r="D983">
        <v>44</v>
      </c>
      <c t="s" s="6" r="E983">
        <v>641</v>
      </c>
      <c t="s" s="6" r="F983">
        <v>81</v>
      </c>
      <c t="s" s="6" r="G983">
        <v>106</v>
      </c>
      <c s="6" r="H983">
        <v>0</v>
      </c>
      <c t="s" s="6" r="I983">
        <v>107</v>
      </c>
      <c t="s" s="6" r="J983">
        <v>7326</v>
      </c>
      <c t="s" s="6" r="M983">
        <v>109</v>
      </c>
      <c s="6" r="N983">
        <v>0</v>
      </c>
      <c s="6" r="O983">
        <v>0</v>
      </c>
      <c t="s" s="6" r="P983">
        <v>631</v>
      </c>
      <c t="s" s="6" r="Q983">
        <v>188</v>
      </c>
      <c t="s" s="6" r="R983">
        <v>7327</v>
      </c>
      <c t="s" s="6" r="S983">
        <v>7328</v>
      </c>
      <c t="s" s="6" r="T983">
        <v>7122</v>
      </c>
      <c t="s" s="6" r="U983">
        <v>7329</v>
      </c>
      <c s="6" r="V983">
        <v>1</v>
      </c>
      <c s="6" r="W983">
        <v>1</v>
      </c>
      <c s="6" r="X983">
        <v>0</v>
      </c>
      <c s="6" r="Y983">
        <v>0</v>
      </c>
      <c s="6" r="Z983">
        <v>0</v>
      </c>
      <c t="s" s="6" r="AA983">
        <v>92</v>
      </c>
      <c t="s" s="6" r="AB983">
        <v>92</v>
      </c>
      <c t="s" s="6" r="AC983">
        <v>92</v>
      </c>
      <c s="6" r="AD983">
        <v>3</v>
      </c>
      <c t="s" s="6" r="AE983">
        <v>92</v>
      </c>
      <c t="s" s="6" r="AF983">
        <v>92</v>
      </c>
      <c t="s" s="6" r="AG983">
        <v>92</v>
      </c>
      <c t="s" s="6" r="AH983">
        <v>92</v>
      </c>
      <c t="s" s="6" r="AI983">
        <v>92</v>
      </c>
      <c t="s" s="6" r="AJ983">
        <v>92</v>
      </c>
      <c t="s" s="6" r="AK983">
        <v>92</v>
      </c>
      <c t="s" s="6" r="AL983">
        <v>92</v>
      </c>
      <c t="s" s="6" r="AM983">
        <v>92</v>
      </c>
      <c t="s" s="6" r="AN983">
        <v>92</v>
      </c>
      <c s="6" r="AP983">
        <v>3</v>
      </c>
      <c t="s" s="6" r="AR983">
        <v>7330</v>
      </c>
      <c s="6" r="AS983">
        <v>1</v>
      </c>
      <c s="6" r="AT983">
        <v>0</v>
      </c>
      <c s="6" r="AU983">
        <v>0</v>
      </c>
      <c s="6" r="AV983">
        <v>0</v>
      </c>
      <c s="6" r="AW983">
        <v>0</v>
      </c>
      <c s="6" r="AX983">
        <v>0</v>
      </c>
      <c s="6" r="AY983">
        <v>0</v>
      </c>
      <c s="6" r="AZ983">
        <v>0</v>
      </c>
      <c s="6" r="BA983">
        <v>0</v>
      </c>
      <c s="6" r="BB983">
        <v>0</v>
      </c>
      <c s="6" r="BC983">
        <v>0</v>
      </c>
      <c s="6" r="BD983">
        <v>0</v>
      </c>
      <c s="6" r="BE983">
        <v>0</v>
      </c>
      <c s="6" r="BF983">
        <v>0</v>
      </c>
      <c s="6" r="BG983">
        <v>0</v>
      </c>
      <c s="6" r="BH983">
        <v>0</v>
      </c>
      <c s="6" r="BI983">
        <v>0</v>
      </c>
      <c s="6" r="BJ983">
        <v>0</v>
      </c>
      <c s="6" r="BK983">
        <v>0</v>
      </c>
      <c s="6" r="BL983">
        <v>0</v>
      </c>
      <c s="6" r="BM983">
        <v>0</v>
      </c>
      <c s="6" r="BN983">
        <v>0</v>
      </c>
      <c s="6" r="BO983">
        <v>0</v>
      </c>
      <c s="6" r="BP983">
        <v>0</v>
      </c>
      <c s="6" r="BQ983">
        <v>0</v>
      </c>
      <c t="str" s="6" r="BR983">
        <f>HYPERLINK("http://www.d20pfsrd.com/magic/all-spells/b/burst-of-nettles","Burst of Nettles")</f>
        <v>Burst of Nettles</v>
      </c>
      <c s="6" r="BS983">
        <v>1005</v>
      </c>
      <c t="s" s="6" r="BT983">
        <v>92</v>
      </c>
      <c s="6" r="BY983">
        <v>0</v>
      </c>
    </row>
    <row customHeight="1" r="984" ht="14.25">
      <c t="s" s="6" r="A984">
        <v>7331</v>
      </c>
      <c t="s" s="6" r="B984">
        <v>579</v>
      </c>
      <c t="s" s="6" r="C984">
        <v>580</v>
      </c>
      <c t="s" s="6" r="E984">
        <v>6495</v>
      </c>
      <c t="s" s="6" r="F984">
        <v>81</v>
      </c>
      <c t="s" s="6" r="G984">
        <v>106</v>
      </c>
      <c s="6" r="H984">
        <v>0</v>
      </c>
      <c t="s" s="6" r="I984">
        <v>107</v>
      </c>
      <c t="s" s="6" r="L984">
        <v>7332</v>
      </c>
      <c t="s" s="6" r="M984">
        <v>1693</v>
      </c>
      <c s="6" r="N984">
        <v>0</v>
      </c>
      <c s="6" r="O984">
        <v>0</v>
      </c>
      <c t="s" s="6" r="P984">
        <v>221</v>
      </c>
      <c t="s" s="6" r="Q984">
        <v>188</v>
      </c>
      <c t="s" s="6" r="R984">
        <v>7333</v>
      </c>
      <c t="s" s="6" r="S984">
        <v>7334</v>
      </c>
      <c t="s" s="6" r="T984">
        <v>7122</v>
      </c>
      <c t="s" s="6" r="U984">
        <v>7335</v>
      </c>
      <c s="6" r="V984">
        <v>1</v>
      </c>
      <c s="6" r="W984">
        <v>1</v>
      </c>
      <c s="6" r="X984">
        <v>0</v>
      </c>
      <c s="6" r="Y984">
        <v>0</v>
      </c>
      <c s="6" r="Z984">
        <v>0</v>
      </c>
      <c t="s" s="6" r="AA984">
        <v>92</v>
      </c>
      <c t="s" s="6" r="AB984">
        <v>92</v>
      </c>
      <c t="s" s="6" r="AC984">
        <v>92</v>
      </c>
      <c t="s" s="6" r="AD984">
        <v>92</v>
      </c>
      <c t="s" s="6" r="AE984">
        <v>92</v>
      </c>
      <c t="s" s="6" r="AF984">
        <v>92</v>
      </c>
      <c t="s" s="6" r="AG984">
        <v>92</v>
      </c>
      <c t="s" s="6" r="AH984">
        <v>92</v>
      </c>
      <c t="s" s="6" r="AI984">
        <v>92</v>
      </c>
      <c s="6" r="AJ984">
        <v>3</v>
      </c>
      <c t="s" s="6" r="AK984">
        <v>92</v>
      </c>
      <c t="s" s="6" r="AL984">
        <v>92</v>
      </c>
      <c t="s" s="6" r="AM984">
        <v>92</v>
      </c>
      <c t="s" s="6" r="AN984">
        <v>92</v>
      </c>
      <c s="6" r="AP984">
        <v>3</v>
      </c>
      <c t="s" s="6" r="AR984">
        <v>7336</v>
      </c>
      <c s="6" r="AS984">
        <v>0</v>
      </c>
      <c s="6" r="AT984">
        <v>0</v>
      </c>
      <c s="6" r="AU984">
        <v>0</v>
      </c>
      <c s="6" r="AV984">
        <v>0</v>
      </c>
      <c s="6" r="AW984">
        <v>0</v>
      </c>
      <c s="6" r="AX984">
        <v>0</v>
      </c>
      <c s="6" r="AY984">
        <v>0</v>
      </c>
      <c s="6" r="AZ984">
        <v>0</v>
      </c>
      <c s="6" r="BA984">
        <v>0</v>
      </c>
      <c s="6" r="BB984">
        <v>0</v>
      </c>
      <c s="6" r="BC984">
        <v>0</v>
      </c>
      <c s="6" r="BD984">
        <v>0</v>
      </c>
      <c s="6" r="BE984">
        <v>0</v>
      </c>
      <c s="6" r="BF984">
        <v>0</v>
      </c>
      <c s="6" r="BG984">
        <v>0</v>
      </c>
      <c s="6" r="BH984">
        <v>0</v>
      </c>
      <c s="6" r="BI984">
        <v>0</v>
      </c>
      <c s="6" r="BJ984">
        <v>0</v>
      </c>
      <c s="6" r="BK984">
        <v>0</v>
      </c>
      <c s="6" r="BL984">
        <v>0</v>
      </c>
      <c s="6" r="BM984">
        <v>0</v>
      </c>
      <c s="6" r="BN984">
        <v>0</v>
      </c>
      <c s="6" r="BO984">
        <v>0</v>
      </c>
      <c s="6" r="BP984">
        <v>0</v>
      </c>
      <c s="6" r="BQ984">
        <v>0</v>
      </c>
      <c t="str" s="6" r="BR984">
        <f>HYPERLINK("http://www.d20pfsrd.com/magic/all-spells/c/cackling-skull","Cackling Skull")</f>
        <v>Cackling Skull</v>
      </c>
      <c s="6" r="BS984">
        <v>1006</v>
      </c>
      <c t="s" s="6" r="BT984">
        <v>92</v>
      </c>
      <c s="6" r="BY984">
        <v>0</v>
      </c>
    </row>
    <row customHeight="1" r="985" ht="14.25">
      <c t="s" s="6" r="A985">
        <v>7337</v>
      </c>
      <c t="s" s="6" r="B985">
        <v>78</v>
      </c>
      <c t="s" s="6" r="C985">
        <v>1356</v>
      </c>
      <c t="s" s="6" r="E985">
        <v>1029</v>
      </c>
      <c t="s" s="6" r="F985">
        <v>311</v>
      </c>
      <c t="s" s="6" r="G985">
        <v>7338</v>
      </c>
      <c s="6" r="H985">
        <v>1</v>
      </c>
      <c t="s" s="6" r="I985">
        <v>120</v>
      </c>
      <c t="s" s="6" r="L985">
        <v>7339</v>
      </c>
      <c t="s" s="6" r="M985">
        <v>1693</v>
      </c>
      <c s="6" r="N985">
        <v>0</v>
      </c>
      <c s="6" r="O985">
        <v>0</v>
      </c>
      <c t="s" s="6" r="P985">
        <v>86</v>
      </c>
      <c t="s" s="6" r="Q985">
        <v>87</v>
      </c>
      <c t="s" s="6" r="R985">
        <v>7340</v>
      </c>
      <c t="s" s="6" r="S985">
        <v>7341</v>
      </c>
      <c t="s" s="6" r="T985">
        <v>7122</v>
      </c>
      <c t="s" s="6" r="U985">
        <v>7342</v>
      </c>
      <c s="6" r="V985">
        <v>1</v>
      </c>
      <c s="6" r="W985">
        <v>1</v>
      </c>
      <c s="6" r="X985">
        <v>1</v>
      </c>
      <c s="6" r="Y985">
        <v>0</v>
      </c>
      <c s="6" r="Z985">
        <v>0</v>
      </c>
      <c s="6" r="AA985">
        <v>8</v>
      </c>
      <c s="6" r="AB985">
        <v>8</v>
      </c>
      <c s="6" r="AC985">
        <v>8</v>
      </c>
      <c t="s" s="6" r="AD985">
        <v>92</v>
      </c>
      <c t="s" s="6" r="AE985">
        <v>92</v>
      </c>
      <c t="s" s="6" r="AF985">
        <v>92</v>
      </c>
      <c t="s" s="6" r="AG985">
        <v>92</v>
      </c>
      <c t="s" s="6" r="AH985">
        <v>92</v>
      </c>
      <c t="s" s="6" r="AI985">
        <v>92</v>
      </c>
      <c t="s" s="6" r="AJ985">
        <v>92</v>
      </c>
      <c t="s" s="6" r="AK985">
        <v>92</v>
      </c>
      <c s="6" r="AL985">
        <v>8</v>
      </c>
      <c t="s" s="6" r="AM985">
        <v>92</v>
      </c>
      <c t="s" s="6" r="AN985">
        <v>92</v>
      </c>
      <c s="6" r="AP985">
        <v>8</v>
      </c>
      <c t="s" s="6" r="AR985">
        <v>7343</v>
      </c>
      <c s="6" r="AS985">
        <v>0</v>
      </c>
      <c s="6" r="AT985">
        <v>0</v>
      </c>
      <c s="6" r="AU985">
        <v>0</v>
      </c>
      <c s="6" r="AV985">
        <v>0</v>
      </c>
      <c s="6" r="AW985">
        <v>0</v>
      </c>
      <c s="6" r="AX985">
        <v>0</v>
      </c>
      <c s="6" r="AY985">
        <v>0</v>
      </c>
      <c s="6" r="AZ985">
        <v>0</v>
      </c>
      <c s="6" r="BA985">
        <v>0</v>
      </c>
      <c s="6" r="BB985">
        <v>0</v>
      </c>
      <c s="6" r="BC985">
        <v>0</v>
      </c>
      <c s="6" r="BD985">
        <v>0</v>
      </c>
      <c s="6" r="BE985">
        <v>0</v>
      </c>
      <c s="6" r="BF985">
        <v>0</v>
      </c>
      <c s="6" r="BG985">
        <v>0</v>
      </c>
      <c s="6" r="BH985">
        <v>0</v>
      </c>
      <c s="6" r="BI985">
        <v>0</v>
      </c>
      <c s="6" r="BJ985">
        <v>0</v>
      </c>
      <c s="6" r="BK985">
        <v>0</v>
      </c>
      <c s="6" r="BL985">
        <v>0</v>
      </c>
      <c s="6" r="BM985">
        <v>0</v>
      </c>
      <c s="6" r="BN985">
        <v>0</v>
      </c>
      <c s="6" r="BO985">
        <v>0</v>
      </c>
      <c s="6" r="BP985">
        <v>0</v>
      </c>
      <c s="6" r="BQ985">
        <v>0</v>
      </c>
      <c t="str" s="6" r="BR985">
        <f>HYPERLINK("http://www.d20pfsrd.com/magic/all-spells/c/call-construct","Call Construct")</f>
        <v>Call Construct</v>
      </c>
      <c s="6" r="BS985">
        <v>1007</v>
      </c>
      <c s="6" r="BT985">
        <v>5000</v>
      </c>
      <c s="6" r="BY985">
        <v>0</v>
      </c>
    </row>
    <row customHeight="1" r="986" ht="14.25">
      <c t="s" s="6" r="A986">
        <v>7344</v>
      </c>
      <c t="s" s="6" r="B986">
        <v>78</v>
      </c>
      <c t="s" s="6" r="C986">
        <v>1042</v>
      </c>
      <c t="s" s="6" r="E986">
        <v>7345</v>
      </c>
      <c t="s" s="6" r="F986">
        <v>81</v>
      </c>
      <c t="s" s="6" r="G986">
        <v>106</v>
      </c>
      <c s="6" r="H986">
        <v>0</v>
      </c>
      <c t="s" s="6" r="I986">
        <v>155</v>
      </c>
      <c t="s" s="6" r="L986">
        <v>156</v>
      </c>
      <c t="s" s="6" r="M986">
        <v>483</v>
      </c>
      <c s="6" r="N986">
        <v>1</v>
      </c>
      <c s="6" r="O986">
        <v>0</v>
      </c>
      <c t="s" s="6" r="R986">
        <v>7346</v>
      </c>
      <c t="s" s="6" r="S986">
        <v>7347</v>
      </c>
      <c t="s" s="6" r="T986">
        <v>7122</v>
      </c>
      <c t="s" s="6" r="U986">
        <v>7348</v>
      </c>
      <c s="6" r="V986">
        <v>1</v>
      </c>
      <c s="6" r="W986">
        <v>1</v>
      </c>
      <c s="6" r="X986">
        <v>0</v>
      </c>
      <c s="6" r="Y986">
        <v>0</v>
      </c>
      <c s="6" r="Z986">
        <v>0</v>
      </c>
      <c t="s" s="6" r="AA986">
        <v>92</v>
      </c>
      <c t="s" s="6" r="AB986">
        <v>92</v>
      </c>
      <c t="s" s="6" r="AC986">
        <v>92</v>
      </c>
      <c s="6" r="AD986">
        <v>4</v>
      </c>
      <c t="s" s="6" r="AE986">
        <v>92</v>
      </c>
      <c t="s" s="6" r="AF986">
        <v>92</v>
      </c>
      <c t="s" s="6" r="AG986">
        <v>92</v>
      </c>
      <c t="s" s="6" r="AH986">
        <v>92</v>
      </c>
      <c t="s" s="6" r="AI986">
        <v>92</v>
      </c>
      <c s="6" r="AJ986">
        <v>4</v>
      </c>
      <c t="s" s="6" r="AK986">
        <v>92</v>
      </c>
      <c t="s" s="6" r="AL986">
        <v>92</v>
      </c>
      <c t="s" s="6" r="AM986">
        <v>92</v>
      </c>
      <c t="s" s="6" r="AN986">
        <v>92</v>
      </c>
      <c s="6" r="AP986">
        <v>4</v>
      </c>
      <c t="s" s="6" r="AR986">
        <v>7349</v>
      </c>
      <c s="6" r="AS986">
        <v>0</v>
      </c>
      <c s="6" r="AT986">
        <v>0</v>
      </c>
      <c s="6" r="AU986">
        <v>0</v>
      </c>
      <c s="6" r="AV986">
        <v>0</v>
      </c>
      <c s="6" r="AW986">
        <v>0</v>
      </c>
      <c s="6" r="AX986">
        <v>0</v>
      </c>
      <c s="6" r="AY986">
        <v>0</v>
      </c>
      <c s="6" r="AZ986">
        <v>0</v>
      </c>
      <c s="6" r="BA986">
        <v>0</v>
      </c>
      <c s="6" r="BB986">
        <v>0</v>
      </c>
      <c s="6" r="BC986">
        <v>0</v>
      </c>
      <c s="6" r="BD986">
        <v>0</v>
      </c>
      <c s="6" r="BE986">
        <v>0</v>
      </c>
      <c s="6" r="BF986">
        <v>0</v>
      </c>
      <c s="6" r="BG986">
        <v>0</v>
      </c>
      <c s="6" r="BH986">
        <v>0</v>
      </c>
      <c s="6" r="BI986">
        <v>0</v>
      </c>
      <c s="6" r="BJ986">
        <v>0</v>
      </c>
      <c s="6" r="BK986">
        <v>0</v>
      </c>
      <c s="6" r="BL986">
        <v>0</v>
      </c>
      <c s="6" r="BM986">
        <v>0</v>
      </c>
      <c s="6" r="BN986">
        <v>0</v>
      </c>
      <c s="6" r="BO986">
        <v>0</v>
      </c>
      <c s="6" r="BP986">
        <v>0</v>
      </c>
      <c s="6" r="BQ986">
        <v>0</v>
      </c>
      <c t="str" s="6" r="BR986">
        <f>HYPERLINK("http://www.d20pfsrd.com/magic/all-spells/c/cape-of-wasps","Cape of Wasps")</f>
        <v>Cape of Wasps</v>
      </c>
      <c s="6" r="BS986">
        <v>1008</v>
      </c>
      <c t="s" s="6" r="BT986">
        <v>92</v>
      </c>
      <c t="s" s="6" r="BW986">
        <v>7350</v>
      </c>
      <c s="6" r="BY986">
        <v>1</v>
      </c>
    </row>
    <row customHeight="1" r="987" ht="14.25">
      <c t="s" s="6" r="A987">
        <v>7351</v>
      </c>
      <c t="s" s="6" r="B987">
        <v>78</v>
      </c>
      <c t="s" s="6" r="C987">
        <v>79</v>
      </c>
      <c t="s" s="6" r="D987">
        <v>44</v>
      </c>
      <c t="s" s="6" r="E987">
        <v>973</v>
      </c>
      <c t="s" s="6" r="F987">
        <v>81</v>
      </c>
      <c t="s" s="6" r="G987">
        <v>106</v>
      </c>
      <c s="6" r="H987">
        <v>0</v>
      </c>
      <c t="s" s="6" r="I987">
        <v>1052</v>
      </c>
      <c t="s" s="6" r="J987">
        <v>5269</v>
      </c>
      <c t="s" s="6" r="M987">
        <v>7352</v>
      </c>
      <c s="6" r="N987">
        <v>0</v>
      </c>
      <c s="6" r="O987">
        <v>0</v>
      </c>
      <c t="s" s="6" r="P987">
        <v>7353</v>
      </c>
      <c t="s" s="6" r="Q987">
        <v>87</v>
      </c>
      <c t="s" s="6" r="R987">
        <v>7354</v>
      </c>
      <c t="s" s="6" r="S987">
        <v>7355</v>
      </c>
      <c t="s" s="6" r="T987">
        <v>7122</v>
      </c>
      <c t="s" s="6" r="U987">
        <v>7356</v>
      </c>
      <c s="6" r="V987">
        <v>1</v>
      </c>
      <c s="6" r="W987">
        <v>1</v>
      </c>
      <c s="6" r="X987">
        <v>0</v>
      </c>
      <c s="6" r="Y987">
        <v>0</v>
      </c>
      <c s="6" r="Z987">
        <v>0</v>
      </c>
      <c s="6" r="AA987">
        <v>7</v>
      </c>
      <c s="6" r="AB987">
        <v>7</v>
      </c>
      <c t="s" s="6" r="AC987">
        <v>92</v>
      </c>
      <c t="s" s="6" r="AD987">
        <v>92</v>
      </c>
      <c t="s" s="6" r="AE987">
        <v>92</v>
      </c>
      <c t="s" s="6" r="AF987">
        <v>92</v>
      </c>
      <c t="s" s="6" r="AG987">
        <v>92</v>
      </c>
      <c t="s" s="6" r="AH987">
        <v>92</v>
      </c>
      <c t="s" s="6" r="AI987">
        <v>92</v>
      </c>
      <c t="s" s="6" r="AJ987">
        <v>92</v>
      </c>
      <c t="s" s="6" r="AK987">
        <v>92</v>
      </c>
      <c t="s" s="6" r="AL987">
        <v>92</v>
      </c>
      <c t="s" s="6" r="AM987">
        <v>92</v>
      </c>
      <c t="s" s="6" r="AN987">
        <v>92</v>
      </c>
      <c s="6" r="AP987">
        <v>7</v>
      </c>
      <c t="s" s="6" r="AR987">
        <v>7357</v>
      </c>
      <c s="6" r="AS987">
        <v>1</v>
      </c>
      <c s="6" r="AT987">
        <v>0</v>
      </c>
      <c s="6" r="AU987">
        <v>0</v>
      </c>
      <c s="6" r="AV987">
        <v>0</v>
      </c>
      <c s="6" r="AW987">
        <v>0</v>
      </c>
      <c s="6" r="AX987">
        <v>0</v>
      </c>
      <c s="6" r="AY987">
        <v>0</v>
      </c>
      <c s="6" r="AZ987">
        <v>0</v>
      </c>
      <c s="6" r="BA987">
        <v>0</v>
      </c>
      <c s="6" r="BB987">
        <v>0</v>
      </c>
      <c s="6" r="BC987">
        <v>0</v>
      </c>
      <c s="6" r="BD987">
        <v>0</v>
      </c>
      <c s="6" r="BE987">
        <v>0</v>
      </c>
      <c s="6" r="BF987">
        <v>0</v>
      </c>
      <c s="6" r="BG987">
        <v>0</v>
      </c>
      <c s="6" r="BH987">
        <v>0</v>
      </c>
      <c s="6" r="BI987">
        <v>0</v>
      </c>
      <c s="6" r="BJ987">
        <v>0</v>
      </c>
      <c s="6" r="BK987">
        <v>0</v>
      </c>
      <c s="6" r="BL987">
        <v>0</v>
      </c>
      <c s="6" r="BM987">
        <v>0</v>
      </c>
      <c s="6" r="BN987">
        <v>0</v>
      </c>
      <c s="6" r="BO987">
        <v>0</v>
      </c>
      <c s="6" r="BP987">
        <v>0</v>
      </c>
      <c s="6" r="BQ987">
        <v>0</v>
      </c>
      <c t="str" s="6" r="BR987">
        <f>HYPERLINK("http://www.d20pfsrd.com/magic/all-spells/c/caustic-eruption","Caustic Eruption")</f>
        <v>Caustic Eruption</v>
      </c>
      <c s="6" r="BS987">
        <v>1009</v>
      </c>
      <c t="s" s="6" r="BT987">
        <v>92</v>
      </c>
      <c s="6" r="BY987">
        <v>0</v>
      </c>
    </row>
    <row customHeight="1" r="988" ht="14.25">
      <c t="s" s="6" r="A988">
        <v>7358</v>
      </c>
      <c t="s" s="6" r="B988">
        <v>493</v>
      </c>
      <c t="s" s="6" r="E988">
        <v>915</v>
      </c>
      <c t="s" s="6" r="F988">
        <v>81</v>
      </c>
      <c t="s" s="6" r="G988">
        <v>106</v>
      </c>
      <c s="6" r="H988">
        <v>0</v>
      </c>
      <c t="s" s="6" r="I988">
        <v>629</v>
      </c>
      <c t="s" s="6" r="J988">
        <v>630</v>
      </c>
      <c t="s" s="6" r="M988">
        <v>109</v>
      </c>
      <c s="6" r="N988">
        <v>0</v>
      </c>
      <c s="6" r="O988">
        <v>0</v>
      </c>
      <c t="s" s="6" r="P988">
        <v>1865</v>
      </c>
      <c t="s" s="6" r="Q988">
        <v>87</v>
      </c>
      <c t="s" s="6" r="R988">
        <v>7359</v>
      </c>
      <c t="s" s="6" r="S988">
        <v>7360</v>
      </c>
      <c t="s" s="6" r="T988">
        <v>7122</v>
      </c>
      <c t="s" s="6" r="U988">
        <v>7361</v>
      </c>
      <c s="6" r="V988">
        <v>1</v>
      </c>
      <c s="6" r="W988">
        <v>1</v>
      </c>
      <c s="6" r="X988">
        <v>0</v>
      </c>
      <c s="6" r="Y988">
        <v>0</v>
      </c>
      <c s="6" r="Z988">
        <v>0</v>
      </c>
      <c t="s" s="6" r="AA988">
        <v>92</v>
      </c>
      <c t="s" s="6" r="AB988">
        <v>92</v>
      </c>
      <c t="s" s="6" r="AC988">
        <v>92</v>
      </c>
      <c t="s" s="6" r="AD988">
        <v>92</v>
      </c>
      <c t="s" s="6" r="AE988">
        <v>92</v>
      </c>
      <c s="6" r="AF988">
        <v>1</v>
      </c>
      <c t="s" s="6" r="AG988">
        <v>92</v>
      </c>
      <c t="s" s="6" r="AH988">
        <v>92</v>
      </c>
      <c t="s" s="6" r="AI988">
        <v>92</v>
      </c>
      <c t="s" s="6" r="AJ988">
        <v>92</v>
      </c>
      <c t="s" s="6" r="AK988">
        <v>92</v>
      </c>
      <c t="s" s="6" r="AL988">
        <v>92</v>
      </c>
      <c t="s" s="6" r="AM988">
        <v>92</v>
      </c>
      <c t="s" s="6" r="AN988">
        <v>92</v>
      </c>
      <c s="6" r="AP988">
        <v>1</v>
      </c>
      <c t="s" s="6" r="AR988">
        <v>7362</v>
      </c>
      <c s="6" r="AS988">
        <v>0</v>
      </c>
      <c s="6" r="AT988">
        <v>0</v>
      </c>
      <c s="6" r="AU988">
        <v>0</v>
      </c>
      <c s="6" r="AV988">
        <v>0</v>
      </c>
      <c s="6" r="AW988">
        <v>0</v>
      </c>
      <c s="6" r="AX988">
        <v>0</v>
      </c>
      <c s="6" r="AY988">
        <v>0</v>
      </c>
      <c s="6" r="AZ988">
        <v>0</v>
      </c>
      <c s="6" r="BA988">
        <v>0</v>
      </c>
      <c s="6" r="BB988">
        <v>0</v>
      </c>
      <c s="6" r="BC988">
        <v>0</v>
      </c>
      <c s="6" r="BD988">
        <v>0</v>
      </c>
      <c s="6" r="BE988">
        <v>0</v>
      </c>
      <c s="6" r="BF988">
        <v>0</v>
      </c>
      <c s="6" r="BG988">
        <v>0</v>
      </c>
      <c s="6" r="BH988">
        <v>0</v>
      </c>
      <c s="6" r="BI988">
        <v>0</v>
      </c>
      <c s="6" r="BJ988">
        <v>0</v>
      </c>
      <c s="6" r="BK988">
        <v>0</v>
      </c>
      <c s="6" r="BL988">
        <v>0</v>
      </c>
      <c s="6" r="BM988">
        <v>0</v>
      </c>
      <c s="6" r="BN988">
        <v>0</v>
      </c>
      <c s="6" r="BO988">
        <v>0</v>
      </c>
      <c s="6" r="BP988">
        <v>0</v>
      </c>
      <c s="6" r="BQ988">
        <v>0</v>
      </c>
      <c t="str" s="6" r="BR988">
        <f>HYPERLINK("http://www.d20pfsrd.com/magic/all-spells/c/chord-of-shards","Chord of Shards")</f>
        <v>Chord of Shards</v>
      </c>
      <c s="6" r="BS988">
        <v>1010</v>
      </c>
      <c t="s" s="6" r="BT988">
        <v>92</v>
      </c>
      <c t="s" s="6" r="BW988">
        <v>7363</v>
      </c>
      <c s="6" r="BY988">
        <v>1</v>
      </c>
    </row>
    <row customHeight="1" r="989" ht="14.25">
      <c t="s" s="6" r="A989">
        <v>7364</v>
      </c>
      <c t="s" s="6" r="B989">
        <v>162</v>
      </c>
      <c t="s" s="6" r="E989">
        <v>7365</v>
      </c>
      <c t="s" s="6" r="F989">
        <v>81</v>
      </c>
      <c t="s" s="6" r="G989">
        <v>7366</v>
      </c>
      <c s="6" r="H989">
        <v>1</v>
      </c>
      <c t="s" s="6" r="I989">
        <v>97</v>
      </c>
      <c t="s" s="6" r="K989">
        <v>3961</v>
      </c>
      <c t="s" s="6" r="M989">
        <v>483</v>
      </c>
      <c s="6" r="N989">
        <v>1</v>
      </c>
      <c s="6" r="O989">
        <v>0</v>
      </c>
      <c t="s" s="6" r="P989">
        <v>421</v>
      </c>
      <c t="s" s="6" r="Q989">
        <v>123</v>
      </c>
      <c t="s" s="6" r="R989">
        <v>7367</v>
      </c>
      <c t="s" s="6" r="S989">
        <v>7368</v>
      </c>
      <c t="s" s="6" r="T989">
        <v>7122</v>
      </c>
      <c t="s" s="6" r="U989">
        <v>7369</v>
      </c>
      <c s="6" r="V989">
        <v>1</v>
      </c>
      <c s="6" r="W989">
        <v>1</v>
      </c>
      <c s="6" r="X989">
        <v>0</v>
      </c>
      <c s="6" r="Y989">
        <v>0</v>
      </c>
      <c s="6" r="Z989">
        <v>0</v>
      </c>
      <c s="6" r="AA989">
        <v>7</v>
      </c>
      <c s="6" r="AB989">
        <v>7</v>
      </c>
      <c s="6" r="AC989">
        <v>7</v>
      </c>
      <c t="s" s="6" r="AD989">
        <v>92</v>
      </c>
      <c t="s" s="6" r="AE989">
        <v>92</v>
      </c>
      <c t="s" s="6" r="AF989">
        <v>92</v>
      </c>
      <c t="s" s="6" r="AG989">
        <v>92</v>
      </c>
      <c t="s" s="6" r="AH989">
        <v>92</v>
      </c>
      <c t="s" s="6" r="AI989">
        <v>92</v>
      </c>
      <c t="s" s="6" r="AJ989">
        <v>92</v>
      </c>
      <c t="s" s="6" r="AK989">
        <v>92</v>
      </c>
      <c s="6" r="AL989">
        <v>7</v>
      </c>
      <c t="s" s="6" r="AM989">
        <v>92</v>
      </c>
      <c t="s" s="6" r="AN989">
        <v>92</v>
      </c>
      <c s="6" r="AP989">
        <v>7</v>
      </c>
      <c t="s" s="6" r="AR989">
        <v>7370</v>
      </c>
      <c s="6" r="AS989">
        <v>0</v>
      </c>
      <c s="6" r="AT989">
        <v>0</v>
      </c>
      <c s="6" r="AU989">
        <v>0</v>
      </c>
      <c s="6" r="AV989">
        <v>0</v>
      </c>
      <c s="6" r="AW989">
        <v>0</v>
      </c>
      <c s="6" r="AX989">
        <v>0</v>
      </c>
      <c s="6" r="AY989">
        <v>0</v>
      </c>
      <c s="6" r="AZ989">
        <v>0</v>
      </c>
      <c s="6" r="BA989">
        <v>0</v>
      </c>
      <c s="6" r="BB989">
        <v>0</v>
      </c>
      <c s="6" r="BC989">
        <v>0</v>
      </c>
      <c s="6" r="BD989">
        <v>0</v>
      </c>
      <c s="6" r="BE989">
        <v>0</v>
      </c>
      <c s="6" r="BF989">
        <v>0</v>
      </c>
      <c s="6" r="BG989">
        <v>0</v>
      </c>
      <c s="6" r="BH989">
        <v>0</v>
      </c>
      <c s="6" r="BI989">
        <v>0</v>
      </c>
      <c s="6" r="BJ989">
        <v>0</v>
      </c>
      <c s="6" r="BK989">
        <v>0</v>
      </c>
      <c s="6" r="BL989">
        <v>0</v>
      </c>
      <c s="6" r="BM989">
        <v>0</v>
      </c>
      <c s="6" r="BN989">
        <v>0</v>
      </c>
      <c s="6" r="BO989">
        <v>0</v>
      </c>
      <c s="6" r="BP989">
        <v>0</v>
      </c>
      <c s="6" r="BQ989">
        <v>0</v>
      </c>
      <c t="str" s="6" r="BR989">
        <f>HYPERLINK("http://www.d20pfsrd.com/magic/all-spells/c/circle-of-clarity","Circle of Clarity")</f>
        <v>Circle of Clarity</v>
      </c>
      <c s="6" r="BS989">
        <v>1011</v>
      </c>
      <c s="6" r="BT989">
        <v>100</v>
      </c>
      <c t="s" s="6" r="BV989">
        <v>360</v>
      </c>
      <c s="6" r="BY989">
        <v>0</v>
      </c>
    </row>
    <row customHeight="1" r="990" ht="14.25">
      <c t="s" s="6" r="A990">
        <v>7371</v>
      </c>
      <c t="s" s="6" r="B990">
        <v>493</v>
      </c>
      <c t="s" s="6" r="D990">
        <v>47</v>
      </c>
      <c t="s" s="6" r="E990">
        <v>7372</v>
      </c>
      <c t="s" s="6" r="F990">
        <v>5881</v>
      </c>
      <c t="s" s="6" r="G990">
        <v>106</v>
      </c>
      <c s="6" r="H990">
        <v>0</v>
      </c>
      <c t="s" s="6" r="I990">
        <v>1052</v>
      </c>
      <c t="s" s="6" r="J990">
        <v>7373</v>
      </c>
      <c t="s" s="6" r="M990">
        <v>109</v>
      </c>
      <c s="6" r="N990">
        <v>0</v>
      </c>
      <c s="6" r="O990">
        <v>0</v>
      </c>
      <c t="s" s="6" r="P990">
        <v>631</v>
      </c>
      <c t="s" s="6" r="Q990">
        <v>188</v>
      </c>
      <c t="s" s="6" r="R990">
        <v>7374</v>
      </c>
      <c t="s" s="6" r="S990">
        <v>7375</v>
      </c>
      <c t="s" s="6" r="T990">
        <v>7122</v>
      </c>
      <c t="s" s="6" r="U990">
        <v>7376</v>
      </c>
      <c s="6" r="V990">
        <v>1</v>
      </c>
      <c s="6" r="W990">
        <v>1</v>
      </c>
      <c s="6" r="X990">
        <v>0</v>
      </c>
      <c s="6" r="Y990">
        <v>0</v>
      </c>
      <c s="6" r="Z990">
        <v>0</v>
      </c>
      <c s="6" r="AA990">
        <v>6</v>
      </c>
      <c s="6" r="AB990">
        <v>6</v>
      </c>
      <c s="6" r="AC990">
        <v>6</v>
      </c>
      <c t="s" s="6" r="AD990">
        <v>92</v>
      </c>
      <c t="s" s="6" r="AE990">
        <v>92</v>
      </c>
      <c t="s" s="6" r="AF990">
        <v>92</v>
      </c>
      <c t="s" s="6" r="AG990">
        <v>92</v>
      </c>
      <c t="s" s="6" r="AH990">
        <v>92</v>
      </c>
      <c t="s" s="6" r="AI990">
        <v>92</v>
      </c>
      <c t="s" s="6" r="AJ990">
        <v>92</v>
      </c>
      <c t="s" s="6" r="AK990">
        <v>92</v>
      </c>
      <c s="6" r="AL990">
        <v>6</v>
      </c>
      <c t="s" s="6" r="AM990">
        <v>92</v>
      </c>
      <c t="s" s="6" r="AN990">
        <v>92</v>
      </c>
      <c s="6" r="AP990">
        <v>6</v>
      </c>
      <c t="s" s="6" r="AR990">
        <v>7377</v>
      </c>
      <c s="6" r="AS990">
        <v>0</v>
      </c>
      <c s="6" r="AT990">
        <v>0</v>
      </c>
      <c s="6" r="AU990">
        <v>0</v>
      </c>
      <c s="6" r="AV990">
        <v>1</v>
      </c>
      <c s="6" r="AW990">
        <v>0</v>
      </c>
      <c s="6" r="AX990">
        <v>0</v>
      </c>
      <c s="6" r="AY990">
        <v>0</v>
      </c>
      <c s="6" r="AZ990">
        <v>0</v>
      </c>
      <c s="6" r="BA990">
        <v>0</v>
      </c>
      <c s="6" r="BB990">
        <v>0</v>
      </c>
      <c s="6" r="BC990">
        <v>0</v>
      </c>
      <c s="6" r="BD990">
        <v>0</v>
      </c>
      <c s="6" r="BE990">
        <v>0</v>
      </c>
      <c s="6" r="BF990">
        <v>0</v>
      </c>
      <c s="6" r="BG990">
        <v>0</v>
      </c>
      <c s="6" r="BH990">
        <v>0</v>
      </c>
      <c s="6" r="BI990">
        <v>0</v>
      </c>
      <c s="6" r="BJ990">
        <v>0</v>
      </c>
      <c s="6" r="BK990">
        <v>0</v>
      </c>
      <c s="6" r="BL990">
        <v>0</v>
      </c>
      <c s="6" r="BM990">
        <v>0</v>
      </c>
      <c s="6" r="BN990">
        <v>0</v>
      </c>
      <c s="6" r="BO990">
        <v>0</v>
      </c>
      <c s="6" r="BP990">
        <v>0</v>
      </c>
      <c s="6" r="BQ990">
        <v>0</v>
      </c>
      <c t="str" s="6" r="BR990">
        <f>HYPERLINK("http://www.d20pfsrd.com/magic/all-spells/c/cold-ice-strike","Cold Ice Strike")</f>
        <v>Cold Ice Strike</v>
      </c>
      <c s="6" r="BS990">
        <v>1012</v>
      </c>
      <c t="s" s="6" r="BT990">
        <v>92</v>
      </c>
      <c s="6" r="BY990">
        <v>0</v>
      </c>
    </row>
    <row customHeight="1" r="991" ht="14.25">
      <c t="s" s="6" r="A991">
        <v>7378</v>
      </c>
      <c t="s" s="6" r="B991">
        <v>115</v>
      </c>
      <c t="s" s="6" r="C991">
        <v>116</v>
      </c>
      <c t="s" s="6" r="D991">
        <v>7379</v>
      </c>
      <c t="s" s="6" r="E991">
        <v>7380</v>
      </c>
      <c t="s" s="6" r="F991">
        <v>81</v>
      </c>
      <c t="s" s="6" r="G991">
        <v>106</v>
      </c>
      <c s="6" r="H991">
        <v>0</v>
      </c>
      <c t="s" s="6" r="I991">
        <v>107</v>
      </c>
      <c t="s" s="6" r="L991">
        <v>1235</v>
      </c>
      <c t="s" s="6" r="M991">
        <v>99</v>
      </c>
      <c s="6" r="N991">
        <v>0</v>
      </c>
      <c s="6" r="O991">
        <v>0</v>
      </c>
      <c t="s" s="6" r="P991">
        <v>221</v>
      </c>
      <c t="s" s="6" r="Q991">
        <v>188</v>
      </c>
      <c t="s" s="6" r="R991">
        <v>7381</v>
      </c>
      <c t="s" s="6" r="S991">
        <v>7382</v>
      </c>
      <c t="s" s="6" r="T991">
        <v>7122</v>
      </c>
      <c t="s" s="6" r="U991">
        <v>7383</v>
      </c>
      <c s="6" r="V991">
        <v>1</v>
      </c>
      <c s="6" r="W991">
        <v>1</v>
      </c>
      <c s="6" r="X991">
        <v>0</v>
      </c>
      <c s="6" r="Y991">
        <v>0</v>
      </c>
      <c s="6" r="Z991">
        <v>0</v>
      </c>
      <c s="6" r="AA991">
        <v>2</v>
      </c>
      <c s="6" r="AB991">
        <v>2</v>
      </c>
      <c s="6" r="AC991">
        <v>2</v>
      </c>
      <c t="s" s="6" r="AD991">
        <v>92</v>
      </c>
      <c t="s" s="6" r="AE991">
        <v>92</v>
      </c>
      <c s="6" r="AF991">
        <v>2</v>
      </c>
      <c t="s" s="6" r="AG991">
        <v>92</v>
      </c>
      <c t="s" s="6" r="AH991">
        <v>92</v>
      </c>
      <c t="s" s="6" r="AI991">
        <v>92</v>
      </c>
      <c t="s" s="6" r="AJ991">
        <v>92</v>
      </c>
      <c t="s" s="6" r="AK991">
        <v>92</v>
      </c>
      <c s="6" r="AL991">
        <v>2</v>
      </c>
      <c t="s" s="6" r="AM991">
        <v>92</v>
      </c>
      <c t="s" s="6" r="AN991">
        <v>92</v>
      </c>
      <c s="6" r="AP991">
        <v>2</v>
      </c>
      <c t="s" s="6" r="AR991">
        <v>7384</v>
      </c>
      <c s="6" r="AS991">
        <v>0</v>
      </c>
      <c s="6" r="AT991">
        <v>0</v>
      </c>
      <c s="6" r="AU991">
        <v>0</v>
      </c>
      <c s="6" r="AV991">
        <v>0</v>
      </c>
      <c s="6" r="AW991">
        <v>0</v>
      </c>
      <c s="6" r="AX991">
        <v>0</v>
      </c>
      <c s="6" r="AY991">
        <v>0</v>
      </c>
      <c s="6" r="AZ991">
        <v>0</v>
      </c>
      <c s="6" r="BA991">
        <v>0</v>
      </c>
      <c s="6" r="BB991">
        <v>0</v>
      </c>
      <c s="6" r="BC991">
        <v>1</v>
      </c>
      <c s="6" r="BD991">
        <v>0</v>
      </c>
      <c s="6" r="BE991">
        <v>0</v>
      </c>
      <c s="6" r="BF991">
        <v>0</v>
      </c>
      <c s="6" r="BG991">
        <v>0</v>
      </c>
      <c s="6" r="BH991">
        <v>0</v>
      </c>
      <c s="6" r="BI991">
        <v>0</v>
      </c>
      <c s="6" r="BJ991">
        <v>0</v>
      </c>
      <c s="6" r="BK991">
        <v>0</v>
      </c>
      <c s="6" r="BL991">
        <v>1</v>
      </c>
      <c s="6" r="BM991">
        <v>0</v>
      </c>
      <c s="6" r="BN991">
        <v>0</v>
      </c>
      <c s="6" r="BO991">
        <v>0</v>
      </c>
      <c s="6" r="BP991">
        <v>0</v>
      </c>
      <c s="6" r="BQ991">
        <v>0</v>
      </c>
      <c t="str" s="6" r="BR991">
        <f>HYPERLINK("http://www.d20pfsrd.com/magic/all-spells/c/compassionate-ally","Compassionate Ally")</f>
        <v>Compassionate Ally</v>
      </c>
      <c s="6" r="BS991">
        <v>1013</v>
      </c>
      <c t="s" s="6" r="BT991">
        <v>92</v>
      </c>
      <c s="6" r="BY991">
        <v>0</v>
      </c>
    </row>
    <row customHeight="1" r="992" ht="14.25">
      <c t="s" s="6" r="A992">
        <v>7385</v>
      </c>
      <c t="s" s="6" r="B992">
        <v>78</v>
      </c>
      <c t="s" s="6" r="C992">
        <v>1042</v>
      </c>
      <c t="s" s="6" r="D992">
        <v>44</v>
      </c>
      <c t="s" s="6" r="E992">
        <v>3222</v>
      </c>
      <c t="s" s="6" r="F992">
        <v>272</v>
      </c>
      <c t="s" s="6" r="G992">
        <v>7386</v>
      </c>
      <c s="6" r="H992">
        <v>1</v>
      </c>
      <c t="s" s="6" r="I992">
        <v>7387</v>
      </c>
      <c t="s" s="6" r="K992">
        <v>7388</v>
      </c>
      <c t="s" s="6" r="M992">
        <v>483</v>
      </c>
      <c s="6" r="N992">
        <v>1</v>
      </c>
      <c s="6" r="O992">
        <v>0</v>
      </c>
      <c t="s" s="6" r="P992">
        <v>86</v>
      </c>
      <c t="s" s="6" r="Q992">
        <v>87</v>
      </c>
      <c t="s" s="6" r="R992">
        <v>7389</v>
      </c>
      <c t="s" s="6" r="S992">
        <v>7390</v>
      </c>
      <c t="s" s="6" r="T992">
        <v>7122</v>
      </c>
      <c t="s" s="6" r="U992">
        <v>7391</v>
      </c>
      <c s="6" r="V992">
        <v>1</v>
      </c>
      <c s="6" r="W992">
        <v>1</v>
      </c>
      <c s="6" r="X992">
        <v>1</v>
      </c>
      <c s="6" r="Y992">
        <v>0</v>
      </c>
      <c s="6" r="Z992">
        <v>0</v>
      </c>
      <c s="6" r="AA992">
        <v>6</v>
      </c>
      <c s="6" r="AB992">
        <v>6</v>
      </c>
      <c t="s" s="6" r="AC992">
        <v>92</v>
      </c>
      <c t="s" s="6" r="AD992">
        <v>92</v>
      </c>
      <c t="s" s="6" r="AE992">
        <v>92</v>
      </c>
      <c t="s" s="6" r="AF992">
        <v>92</v>
      </c>
      <c t="s" s="6" r="AG992">
        <v>92</v>
      </c>
      <c t="s" s="6" r="AH992">
        <v>92</v>
      </c>
      <c s="6" r="AI992">
        <v>5</v>
      </c>
      <c t="s" s="6" r="AJ992">
        <v>92</v>
      </c>
      <c t="s" s="6" r="AK992">
        <v>92</v>
      </c>
      <c t="s" s="6" r="AL992">
        <v>92</v>
      </c>
      <c t="s" s="6" r="AM992">
        <v>92</v>
      </c>
      <c t="s" s="6" r="AN992">
        <v>92</v>
      </c>
      <c s="6" r="AP992">
        <v>6</v>
      </c>
      <c t="s" s="6" r="AR992">
        <v>7392</v>
      </c>
      <c s="6" r="AS992">
        <v>1</v>
      </c>
      <c s="6" r="AT992">
        <v>0</v>
      </c>
      <c s="6" r="AU992">
        <v>0</v>
      </c>
      <c s="6" r="AV992">
        <v>0</v>
      </c>
      <c s="6" r="AW992">
        <v>0</v>
      </c>
      <c s="6" r="AX992">
        <v>0</v>
      </c>
      <c s="6" r="AY992">
        <v>0</v>
      </c>
      <c s="6" r="AZ992">
        <v>0</v>
      </c>
      <c s="6" r="BA992">
        <v>0</v>
      </c>
      <c s="6" r="BB992">
        <v>0</v>
      </c>
      <c s="6" r="BC992">
        <v>0</v>
      </c>
      <c s="6" r="BD992">
        <v>0</v>
      </c>
      <c s="6" r="BE992">
        <v>0</v>
      </c>
      <c s="6" r="BF992">
        <v>0</v>
      </c>
      <c s="6" r="BG992">
        <v>0</v>
      </c>
      <c s="6" r="BH992">
        <v>0</v>
      </c>
      <c s="6" r="BI992">
        <v>0</v>
      </c>
      <c s="6" r="BJ992">
        <v>0</v>
      </c>
      <c s="6" r="BK992">
        <v>0</v>
      </c>
      <c s="6" r="BL992">
        <v>0</v>
      </c>
      <c s="6" r="BM992">
        <v>0</v>
      </c>
      <c s="6" r="BN992">
        <v>0</v>
      </c>
      <c s="6" r="BO992">
        <v>0</v>
      </c>
      <c s="6" r="BP992">
        <v>0</v>
      </c>
      <c s="6" r="BQ992">
        <v>0</v>
      </c>
      <c t="str" s="6" r="BR992">
        <f>HYPERLINK("http://www.d20pfsrd.com/magic/all-spells/c/conjure-black-pudding","Conjure Black Pudding")</f>
        <v>Conjure Black Pudding</v>
      </c>
      <c s="6" r="BS992">
        <v>1014</v>
      </c>
      <c s="6" r="BT992">
        <v>10</v>
      </c>
      <c t="s" s="6" r="BW992">
        <v>929</v>
      </c>
      <c t="s" s="6" r="BX992">
        <v>930</v>
      </c>
      <c s="6" r="BY992">
        <v>1</v>
      </c>
    </row>
    <row customHeight="1" r="993" ht="14.25">
      <c t="s" s="6" r="A993">
        <v>7393</v>
      </c>
      <c t="s" s="6" r="B993">
        <v>227</v>
      </c>
      <c t="s" s="6" r="D993">
        <v>7394</v>
      </c>
      <c t="s" s="6" r="E993">
        <v>7395</v>
      </c>
      <c t="s" s="6" r="F993">
        <v>81</v>
      </c>
      <c t="s" s="6" r="G993">
        <v>106</v>
      </c>
      <c s="6" r="H993">
        <v>0</v>
      </c>
      <c t="s" s="6" r="I993">
        <v>107</v>
      </c>
      <c t="s" s="6" r="L993">
        <v>473</v>
      </c>
      <c t="s" s="6" r="M993">
        <v>109</v>
      </c>
      <c s="6" r="N993">
        <v>0</v>
      </c>
      <c s="6" r="O993">
        <v>0</v>
      </c>
      <c t="s" s="6" r="P993">
        <v>187</v>
      </c>
      <c t="s" s="6" r="Q993">
        <v>188</v>
      </c>
      <c t="s" s="6" r="R993">
        <v>7396</v>
      </c>
      <c t="s" s="6" r="S993">
        <v>7397</v>
      </c>
      <c t="s" s="6" r="T993">
        <v>7122</v>
      </c>
      <c t="s" s="6" r="U993">
        <v>7398</v>
      </c>
      <c s="6" r="V993">
        <v>1</v>
      </c>
      <c s="6" r="W993">
        <v>1</v>
      </c>
      <c s="6" r="X993">
        <v>0</v>
      </c>
      <c s="6" r="Y993">
        <v>0</v>
      </c>
      <c s="6" r="Z993">
        <v>0</v>
      </c>
      <c s="6" r="AA993">
        <v>6</v>
      </c>
      <c s="6" r="AB993">
        <v>6</v>
      </c>
      <c s="6" r="AC993">
        <v>5</v>
      </c>
      <c s="6" r="AD993">
        <v>5</v>
      </c>
      <c t="s" s="6" r="AE993">
        <v>92</v>
      </c>
      <c t="s" s="6" r="AF993">
        <v>92</v>
      </c>
      <c t="s" s="6" r="AG993">
        <v>92</v>
      </c>
      <c t="s" s="6" r="AH993">
        <v>92</v>
      </c>
      <c t="s" s="6" r="AI993">
        <v>92</v>
      </c>
      <c s="6" r="AJ993">
        <v>5</v>
      </c>
      <c t="s" s="6" r="AK993">
        <v>92</v>
      </c>
      <c s="6" r="AL993">
        <v>5</v>
      </c>
      <c t="s" s="6" r="AM993">
        <v>92</v>
      </c>
      <c t="s" s="6" r="AN993">
        <v>92</v>
      </c>
      <c s="6" r="AP993">
        <v>6</v>
      </c>
      <c t="s" s="6" r="AR993">
        <v>7399</v>
      </c>
      <c s="6" r="AS993">
        <v>0</v>
      </c>
      <c s="6" r="AT993">
        <v>0</v>
      </c>
      <c s="6" r="AU993">
        <v>0</v>
      </c>
      <c s="6" r="AV993">
        <v>0</v>
      </c>
      <c s="6" r="AW993">
        <v>0</v>
      </c>
      <c s="6" r="AX993">
        <v>0</v>
      </c>
      <c s="6" r="AY993">
        <v>0</v>
      </c>
      <c s="6" r="AZ993">
        <v>1</v>
      </c>
      <c s="6" r="BA993">
        <v>0</v>
      </c>
      <c s="6" r="BB993">
        <v>0</v>
      </c>
      <c s="6" r="BC993">
        <v>0</v>
      </c>
      <c s="6" r="BD993">
        <v>1</v>
      </c>
      <c s="6" r="BE993">
        <v>0</v>
      </c>
      <c s="6" r="BF993">
        <v>0</v>
      </c>
      <c s="6" r="BG993">
        <v>0</v>
      </c>
      <c s="6" r="BH993">
        <v>0</v>
      </c>
      <c s="6" r="BI993">
        <v>0</v>
      </c>
      <c s="6" r="BJ993">
        <v>0</v>
      </c>
      <c s="6" r="BK993">
        <v>0</v>
      </c>
      <c s="6" r="BL993">
        <v>0</v>
      </c>
      <c s="6" r="BM993">
        <v>0</v>
      </c>
      <c s="6" r="BN993">
        <v>0</v>
      </c>
      <c s="6" r="BO993">
        <v>0</v>
      </c>
      <c s="6" r="BP993">
        <v>0</v>
      </c>
      <c s="6" r="BQ993">
        <v>0</v>
      </c>
      <c t="str" s="6" r="BR993">
        <f>HYPERLINK("http://www.d20pfsrd.com/magic/all-spells/c/contagion","Contagion, Greater")</f>
        <v>Contagion, Greater</v>
      </c>
      <c s="6" r="BS993">
        <v>1015</v>
      </c>
      <c t="s" s="6" r="BT993">
        <v>92</v>
      </c>
      <c s="6" r="BY993">
        <v>0</v>
      </c>
    </row>
    <row customHeight="1" r="994" ht="14.25">
      <c t="s" s="6" r="A994">
        <v>7400</v>
      </c>
      <c t="s" s="6" r="B994">
        <v>131</v>
      </c>
      <c t="s" s="6" r="E994">
        <v>973</v>
      </c>
      <c t="s" s="6" r="F994">
        <v>81</v>
      </c>
      <c t="s" s="6" r="G994">
        <v>106</v>
      </c>
      <c s="6" r="H994">
        <v>0</v>
      </c>
      <c t="s" s="6" r="I994">
        <v>107</v>
      </c>
      <c t="s" s="6" r="L994">
        <v>7401</v>
      </c>
      <c t="s" s="6" r="M994">
        <v>220</v>
      </c>
      <c s="6" r="N994">
        <v>0</v>
      </c>
      <c s="6" r="O994">
        <v>0</v>
      </c>
      <c t="s" s="6" r="P994">
        <v>7402</v>
      </c>
      <c t="s" s="6" r="Q994">
        <v>87</v>
      </c>
      <c t="s" s="6" r="R994">
        <v>7403</v>
      </c>
      <c t="s" s="6" r="S994">
        <v>7404</v>
      </c>
      <c t="s" s="6" r="T994">
        <v>7122</v>
      </c>
      <c t="s" s="6" r="U994">
        <v>7405</v>
      </c>
      <c s="6" r="V994">
        <v>1</v>
      </c>
      <c s="6" r="W994">
        <v>1</v>
      </c>
      <c s="6" r="X994">
        <v>0</v>
      </c>
      <c s="6" r="Y994">
        <v>0</v>
      </c>
      <c s="6" r="Z994">
        <v>0</v>
      </c>
      <c s="6" r="AA994">
        <v>7</v>
      </c>
      <c s="6" r="AB994">
        <v>7</v>
      </c>
      <c t="s" s="6" r="AC994">
        <v>92</v>
      </c>
      <c t="s" s="6" r="AD994">
        <v>92</v>
      </c>
      <c t="s" s="6" r="AE994">
        <v>92</v>
      </c>
      <c t="s" s="6" r="AF994">
        <v>92</v>
      </c>
      <c t="s" s="6" r="AG994">
        <v>92</v>
      </c>
      <c t="s" s="6" r="AH994">
        <v>92</v>
      </c>
      <c t="s" s="6" r="AI994">
        <v>92</v>
      </c>
      <c t="s" s="6" r="AJ994">
        <v>92</v>
      </c>
      <c t="s" s="6" r="AK994">
        <v>92</v>
      </c>
      <c t="s" s="6" r="AL994">
        <v>92</v>
      </c>
      <c t="s" s="6" r="AM994">
        <v>92</v>
      </c>
      <c t="s" s="6" r="AN994">
        <v>92</v>
      </c>
      <c s="6" r="AP994">
        <v>7</v>
      </c>
      <c t="s" s="6" r="AR994">
        <v>7406</v>
      </c>
      <c s="6" r="AS994">
        <v>0</v>
      </c>
      <c s="6" r="AT994">
        <v>0</v>
      </c>
      <c s="6" r="AU994">
        <v>0</v>
      </c>
      <c s="6" r="AV994">
        <v>0</v>
      </c>
      <c s="6" r="AW994">
        <v>0</v>
      </c>
      <c s="6" r="AX994">
        <v>0</v>
      </c>
      <c s="6" r="AY994">
        <v>0</v>
      </c>
      <c s="6" r="AZ994">
        <v>0</v>
      </c>
      <c s="6" r="BA994">
        <v>0</v>
      </c>
      <c s="6" r="BB994">
        <v>0</v>
      </c>
      <c s="6" r="BC994">
        <v>0</v>
      </c>
      <c s="6" r="BD994">
        <v>0</v>
      </c>
      <c s="6" r="BE994">
        <v>0</v>
      </c>
      <c s="6" r="BF994">
        <v>0</v>
      </c>
      <c s="6" r="BG994">
        <v>0</v>
      </c>
      <c s="6" r="BH994">
        <v>0</v>
      </c>
      <c s="6" r="BI994">
        <v>0</v>
      </c>
      <c s="6" r="BJ994">
        <v>0</v>
      </c>
      <c s="6" r="BK994">
        <v>0</v>
      </c>
      <c s="6" r="BL994">
        <v>0</v>
      </c>
      <c s="6" r="BM994">
        <v>0</v>
      </c>
      <c s="6" r="BN994">
        <v>0</v>
      </c>
      <c s="6" r="BO994">
        <v>0</v>
      </c>
      <c s="6" r="BP994">
        <v>0</v>
      </c>
      <c s="6" r="BQ994">
        <v>0</v>
      </c>
      <c t="str" s="6" r="BR994">
        <f>HYPERLINK("http://www.d20pfsrd.com/magic/all-spells/c/control-construct","Control Construct")</f>
        <v>Control Construct</v>
      </c>
      <c s="6" r="BS994">
        <v>1016</v>
      </c>
      <c t="s" s="6" r="BT994">
        <v>92</v>
      </c>
      <c s="6" r="BY994">
        <v>0</v>
      </c>
    </row>
    <row customHeight="1" r="995" ht="14.25">
      <c t="s" s="6" r="A995">
        <v>7407</v>
      </c>
      <c t="s" s="6" r="B995">
        <v>115</v>
      </c>
      <c t="s" s="6" r="C995">
        <v>116</v>
      </c>
      <c t="s" s="6" r="D995">
        <v>117</v>
      </c>
      <c t="s" s="6" r="E995">
        <v>7408</v>
      </c>
      <c t="s" s="6" r="F995">
        <v>81</v>
      </c>
      <c t="s" s="6" r="G995">
        <v>106</v>
      </c>
      <c s="6" r="H995">
        <v>0</v>
      </c>
      <c t="s" s="6" r="I995">
        <v>107</v>
      </c>
      <c t="s" s="6" r="L995">
        <v>4244</v>
      </c>
      <c t="s" s="6" r="M995">
        <v>99</v>
      </c>
      <c s="6" r="N995">
        <v>0</v>
      </c>
      <c s="6" r="O995">
        <v>0</v>
      </c>
      <c t="s" s="6" r="P995">
        <v>221</v>
      </c>
      <c t="s" s="6" r="Q995">
        <v>188</v>
      </c>
      <c t="s" s="6" r="R995">
        <v>7409</v>
      </c>
      <c t="s" s="6" r="S995">
        <v>7410</v>
      </c>
      <c t="s" s="6" r="T995">
        <v>7122</v>
      </c>
      <c t="s" s="6" r="U995">
        <v>7411</v>
      </c>
      <c s="6" r="V995">
        <v>1</v>
      </c>
      <c s="6" r="W995">
        <v>1</v>
      </c>
      <c s="6" r="X995">
        <v>0</v>
      </c>
      <c s="6" r="Y995">
        <v>0</v>
      </c>
      <c s="6" r="Z995">
        <v>0</v>
      </c>
      <c s="6" r="AA995">
        <v>4</v>
      </c>
      <c s="6" r="AB995">
        <v>4</v>
      </c>
      <c s="6" r="AC995">
        <v>4</v>
      </c>
      <c t="s" s="6" r="AD995">
        <v>92</v>
      </c>
      <c t="s" s="6" r="AE995">
        <v>92</v>
      </c>
      <c s="6" r="AF995">
        <v>3</v>
      </c>
      <c t="s" s="6" r="AG995">
        <v>92</v>
      </c>
      <c t="s" s="6" r="AH995">
        <v>92</v>
      </c>
      <c s="6" r="AI995">
        <v>3</v>
      </c>
      <c t="s" s="6" r="AJ995">
        <v>92</v>
      </c>
      <c t="s" s="6" r="AK995">
        <v>92</v>
      </c>
      <c s="6" r="AL995">
        <v>4</v>
      </c>
      <c t="s" s="6" r="AM995">
        <v>92</v>
      </c>
      <c t="s" s="6" r="AN995">
        <v>92</v>
      </c>
      <c s="6" r="AP995">
        <v>4</v>
      </c>
      <c t="s" s="6" r="AR995">
        <v>7412</v>
      </c>
      <c s="6" r="AS995">
        <v>0</v>
      </c>
      <c s="6" r="AT995">
        <v>0</v>
      </c>
      <c s="6" r="AU995">
        <v>0</v>
      </c>
      <c s="6" r="AV995">
        <v>0</v>
      </c>
      <c s="6" r="AW995">
        <v>0</v>
      </c>
      <c s="6" r="AX995">
        <v>0</v>
      </c>
      <c s="6" r="AY995">
        <v>0</v>
      </c>
      <c s="6" r="AZ995">
        <v>0</v>
      </c>
      <c s="6" r="BA995">
        <v>0</v>
      </c>
      <c s="6" r="BB995">
        <v>0</v>
      </c>
      <c s="6" r="BC995">
        <v>0</v>
      </c>
      <c s="6" r="BD995">
        <v>0</v>
      </c>
      <c s="6" r="BE995">
        <v>0</v>
      </c>
      <c s="6" r="BF995">
        <v>0</v>
      </c>
      <c s="6" r="BG995">
        <v>0</v>
      </c>
      <c s="6" r="BH995">
        <v>0</v>
      </c>
      <c s="6" r="BI995">
        <v>0</v>
      </c>
      <c s="6" r="BJ995">
        <v>0</v>
      </c>
      <c s="6" r="BK995">
        <v>0</v>
      </c>
      <c s="6" r="BL995">
        <v>1</v>
      </c>
      <c s="6" r="BM995">
        <v>0</v>
      </c>
      <c s="6" r="BN995">
        <v>0</v>
      </c>
      <c s="6" r="BO995">
        <v>0</v>
      </c>
      <c s="6" r="BP995">
        <v>0</v>
      </c>
      <c s="6" r="BQ995">
        <v>0</v>
      </c>
      <c t="str" s="6" r="BR995">
        <f>HYPERLINK("http://www.d20pfsrd.com/magic/all-spells/c/control-summoned-creature","Control Summoned Creature")</f>
        <v>Control Summoned Creature</v>
      </c>
      <c s="6" r="BS995">
        <v>1017</v>
      </c>
      <c t="s" s="6" r="BT995">
        <v>92</v>
      </c>
      <c t="s" s="6" r="BV995">
        <v>407</v>
      </c>
      <c s="6" r="BY995">
        <v>0</v>
      </c>
    </row>
    <row customHeight="1" r="996" ht="14.25">
      <c t="s" s="6" r="A996">
        <v>7413</v>
      </c>
      <c t="s" s="6" r="B996">
        <v>78</v>
      </c>
      <c t="s" s="6" r="C996">
        <v>79</v>
      </c>
      <c t="s" s="6" r="D996">
        <v>44</v>
      </c>
      <c t="s" s="6" r="E996">
        <v>7117</v>
      </c>
      <c t="s" s="6" r="F996">
        <v>81</v>
      </c>
      <c t="s" s="6" r="G996">
        <v>106</v>
      </c>
      <c s="6" r="H996">
        <v>0</v>
      </c>
      <c t="s" s="6" r="I996">
        <v>120</v>
      </c>
      <c t="s" s="6" r="L996">
        <v>420</v>
      </c>
      <c t="s" s="6" r="M996">
        <v>1764</v>
      </c>
      <c s="6" r="N996">
        <v>0</v>
      </c>
      <c s="6" r="O996">
        <v>0</v>
      </c>
      <c t="s" s="6" r="P996">
        <v>86</v>
      </c>
      <c t="s" s="6" r="Q996">
        <v>188</v>
      </c>
      <c t="s" s="6" r="R996">
        <v>7414</v>
      </c>
      <c t="s" s="6" r="S996">
        <v>7415</v>
      </c>
      <c t="s" s="6" r="T996">
        <v>7122</v>
      </c>
      <c t="s" s="6" r="U996">
        <v>7416</v>
      </c>
      <c s="6" r="V996">
        <v>1</v>
      </c>
      <c s="6" r="W996">
        <v>1</v>
      </c>
      <c s="6" r="X996">
        <v>0</v>
      </c>
      <c s="6" r="Y996">
        <v>0</v>
      </c>
      <c s="6" r="Z996">
        <v>0</v>
      </c>
      <c s="6" r="AA996">
        <v>5</v>
      </c>
      <c s="6" r="AB996">
        <v>5</v>
      </c>
      <c t="s" s="6" r="AC996">
        <v>92</v>
      </c>
      <c t="s" s="6" r="AD996">
        <v>92</v>
      </c>
      <c t="s" s="6" r="AE996">
        <v>92</v>
      </c>
      <c t="s" s="6" r="AF996">
        <v>92</v>
      </c>
      <c t="s" s="6" r="AG996">
        <v>92</v>
      </c>
      <c t="s" s="6" r="AH996">
        <v>92</v>
      </c>
      <c t="s" s="6" r="AI996">
        <v>92</v>
      </c>
      <c t="s" s="6" r="AJ996">
        <v>92</v>
      </c>
      <c t="s" s="6" r="AK996">
        <v>92</v>
      </c>
      <c t="s" s="6" r="AL996">
        <v>92</v>
      </c>
      <c t="s" s="6" r="AM996">
        <v>92</v>
      </c>
      <c s="6" r="AN996">
        <v>5</v>
      </c>
      <c s="6" r="AP996">
        <v>5</v>
      </c>
      <c t="s" s="6" r="AR996">
        <v>7417</v>
      </c>
      <c s="6" r="AS996">
        <v>1</v>
      </c>
      <c s="6" r="AT996">
        <v>0</v>
      </c>
      <c s="6" r="AU996">
        <v>0</v>
      </c>
      <c s="6" r="AV996">
        <v>0</v>
      </c>
      <c s="6" r="AW996">
        <v>0</v>
      </c>
      <c s="6" r="AX996">
        <v>0</v>
      </c>
      <c s="6" r="AY996">
        <v>0</v>
      </c>
      <c s="6" r="AZ996">
        <v>0</v>
      </c>
      <c s="6" r="BA996">
        <v>0</v>
      </c>
      <c s="6" r="BB996">
        <v>0</v>
      </c>
      <c s="6" r="BC996">
        <v>0</v>
      </c>
      <c s="6" r="BD996">
        <v>0</v>
      </c>
      <c s="6" r="BE996">
        <v>0</v>
      </c>
      <c s="6" r="BF996">
        <v>0</v>
      </c>
      <c s="6" r="BG996">
        <v>0</v>
      </c>
      <c s="6" r="BH996">
        <v>0</v>
      </c>
      <c s="6" r="BI996">
        <v>0</v>
      </c>
      <c s="6" r="BJ996">
        <v>0</v>
      </c>
      <c s="6" r="BK996">
        <v>0</v>
      </c>
      <c s="6" r="BL996">
        <v>0</v>
      </c>
      <c s="6" r="BM996">
        <v>0</v>
      </c>
      <c s="6" r="BN996">
        <v>0</v>
      </c>
      <c s="6" r="BO996">
        <v>0</v>
      </c>
      <c s="6" r="BP996">
        <v>0</v>
      </c>
      <c s="6" r="BQ996">
        <v>0</v>
      </c>
      <c t="str" s="6" r="BR996">
        <f>HYPERLINK("http://www.d20pfsrd.com/magic/all-spells/c/corrosive-consumption","Corrosive Consumption")</f>
        <v>Corrosive Consumption</v>
      </c>
      <c s="6" r="BS996">
        <v>1018</v>
      </c>
      <c t="s" s="6" r="BT996">
        <v>92</v>
      </c>
      <c s="6" r="BY996">
        <v>0</v>
      </c>
    </row>
    <row customHeight="1" r="997" ht="14.25">
      <c t="s" s="6" r="A997">
        <v>7418</v>
      </c>
      <c t="s" s="6" r="B997">
        <v>78</v>
      </c>
      <c t="s" s="6" r="C997">
        <v>79</v>
      </c>
      <c t="s" s="6" r="D997">
        <v>44</v>
      </c>
      <c t="s" s="6" r="E997">
        <v>7419</v>
      </c>
      <c t="s" s="6" r="F997">
        <v>81</v>
      </c>
      <c t="s" s="6" r="G997">
        <v>106</v>
      </c>
      <c s="6" r="H997">
        <v>0</v>
      </c>
      <c t="s" s="6" r="I997">
        <v>120</v>
      </c>
      <c t="s" s="6" r="L997">
        <v>3064</v>
      </c>
      <c t="s" s="6" r="M997">
        <v>109</v>
      </c>
      <c s="6" r="N997">
        <v>0</v>
      </c>
      <c s="6" r="O997">
        <v>0</v>
      </c>
      <c t="s" s="6" r="P997">
        <v>86</v>
      </c>
      <c t="s" s="6" r="Q997">
        <v>188</v>
      </c>
      <c t="s" s="6" r="R997">
        <v>7420</v>
      </c>
      <c t="s" s="6" r="S997">
        <v>7421</v>
      </c>
      <c t="s" s="6" r="T997">
        <v>7122</v>
      </c>
      <c t="s" s="6" r="U997">
        <v>7422</v>
      </c>
      <c s="6" r="V997">
        <v>1</v>
      </c>
      <c s="6" r="W997">
        <v>1</v>
      </c>
      <c s="6" r="X997">
        <v>0</v>
      </c>
      <c s="6" r="Y997">
        <v>0</v>
      </c>
      <c s="6" r="Z997">
        <v>0</v>
      </c>
      <c s="6" r="AA997">
        <v>1</v>
      </c>
      <c s="6" r="AB997">
        <v>1</v>
      </c>
      <c t="s" s="6" r="AC997">
        <v>92</v>
      </c>
      <c t="s" s="6" r="AD997">
        <v>92</v>
      </c>
      <c t="s" s="6" r="AE997">
        <v>92</v>
      </c>
      <c t="s" s="6" r="AF997">
        <v>92</v>
      </c>
      <c t="s" s="6" r="AG997">
        <v>92</v>
      </c>
      <c t="s" s="6" r="AH997">
        <v>92</v>
      </c>
      <c s="6" r="AI997">
        <v>1</v>
      </c>
      <c t="s" s="6" r="AJ997">
        <v>92</v>
      </c>
      <c t="s" s="6" r="AK997">
        <v>92</v>
      </c>
      <c t="s" s="6" r="AL997">
        <v>92</v>
      </c>
      <c t="s" s="6" r="AM997">
        <v>92</v>
      </c>
      <c s="6" r="AN997">
        <v>1</v>
      </c>
      <c s="6" r="AP997">
        <v>1</v>
      </c>
      <c t="s" s="6" r="AR997">
        <v>7423</v>
      </c>
      <c s="6" r="AS997">
        <v>1</v>
      </c>
      <c s="6" r="AT997">
        <v>0</v>
      </c>
      <c s="6" r="AU997">
        <v>0</v>
      </c>
      <c s="6" r="AV997">
        <v>0</v>
      </c>
      <c s="6" r="AW997">
        <v>0</v>
      </c>
      <c s="6" r="AX997">
        <v>0</v>
      </c>
      <c s="6" r="AY997">
        <v>0</v>
      </c>
      <c s="6" r="AZ997">
        <v>0</v>
      </c>
      <c s="6" r="BA997">
        <v>0</v>
      </c>
      <c s="6" r="BB997">
        <v>0</v>
      </c>
      <c s="6" r="BC997">
        <v>0</v>
      </c>
      <c s="6" r="BD997">
        <v>0</v>
      </c>
      <c s="6" r="BE997">
        <v>0</v>
      </c>
      <c s="6" r="BF997">
        <v>0</v>
      </c>
      <c s="6" r="BG997">
        <v>0</v>
      </c>
      <c s="6" r="BH997">
        <v>0</v>
      </c>
      <c s="6" r="BI997">
        <v>0</v>
      </c>
      <c s="6" r="BJ997">
        <v>0</v>
      </c>
      <c s="6" r="BK997">
        <v>0</v>
      </c>
      <c s="6" r="BL997">
        <v>0</v>
      </c>
      <c s="6" r="BM997">
        <v>0</v>
      </c>
      <c s="6" r="BN997">
        <v>0</v>
      </c>
      <c s="6" r="BO997">
        <v>0</v>
      </c>
      <c s="6" r="BP997">
        <v>0</v>
      </c>
      <c s="6" r="BQ997">
        <v>0</v>
      </c>
      <c t="str" s="6" r="BR997">
        <f>HYPERLINK("http://www.d20pfsrd.com/magic/all-spells/c/corrosive-touch","Corrosive Touch")</f>
        <v>Corrosive Touch</v>
      </c>
      <c s="6" r="BS997">
        <v>1019</v>
      </c>
      <c t="s" s="6" r="BT997">
        <v>92</v>
      </c>
      <c s="6" r="BY997">
        <v>0</v>
      </c>
    </row>
    <row customHeight="1" r="998" ht="14.25">
      <c t="s" s="6" r="A998">
        <v>7424</v>
      </c>
      <c t="s" s="6" r="B998">
        <v>131</v>
      </c>
      <c t="s" s="6" r="E998">
        <v>7425</v>
      </c>
      <c t="s" s="6" r="F998">
        <v>81</v>
      </c>
      <c t="s" s="6" r="G998">
        <v>106</v>
      </c>
      <c s="6" r="H998">
        <v>0</v>
      </c>
      <c t="s" s="6" r="I998">
        <v>120</v>
      </c>
      <c t="s" s="6" r="L998">
        <v>420</v>
      </c>
      <c t="s" s="6" r="M998">
        <v>209</v>
      </c>
      <c s="6" r="N998">
        <v>0</v>
      </c>
      <c s="6" r="O998">
        <v>0</v>
      </c>
      <c t="s" s="6" r="P998">
        <v>421</v>
      </c>
      <c t="s" s="6" r="Q998">
        <v>123</v>
      </c>
      <c t="s" s="6" r="R998">
        <v>7426</v>
      </c>
      <c t="s" s="6" r="S998">
        <v>7427</v>
      </c>
      <c t="s" s="6" r="T998">
        <v>7122</v>
      </c>
      <c t="s" s="6" r="U998">
        <v>7428</v>
      </c>
      <c s="6" r="V998">
        <v>1</v>
      </c>
      <c s="6" r="W998">
        <v>1</v>
      </c>
      <c s="6" r="X998">
        <v>0</v>
      </c>
      <c s="6" r="Y998">
        <v>0</v>
      </c>
      <c s="6" r="Z998">
        <v>0</v>
      </c>
      <c s="6" r="AA998">
        <v>3</v>
      </c>
      <c s="6" r="AB998">
        <v>3</v>
      </c>
      <c t="s" s="6" r="AC998">
        <v>92</v>
      </c>
      <c t="s" s="6" r="AD998">
        <v>92</v>
      </c>
      <c t="s" s="6" r="AE998">
        <v>92</v>
      </c>
      <c t="s" s="6" r="AF998">
        <v>92</v>
      </c>
      <c t="s" s="6" r="AG998">
        <v>92</v>
      </c>
      <c s="6" r="AH998">
        <v>3</v>
      </c>
      <c t="s" s="6" r="AI998">
        <v>92</v>
      </c>
      <c s="6" r="AJ998">
        <v>3</v>
      </c>
      <c s="6" r="AK998">
        <v>3</v>
      </c>
      <c t="s" s="6" r="AL998">
        <v>92</v>
      </c>
      <c t="s" s="6" r="AM998">
        <v>92</v>
      </c>
      <c t="s" s="6" r="AN998">
        <v>92</v>
      </c>
      <c s="6" r="AP998">
        <v>3</v>
      </c>
      <c t="s" s="6" r="AR998">
        <v>7429</v>
      </c>
      <c s="6" r="AS998">
        <v>0</v>
      </c>
      <c s="6" r="AT998">
        <v>0</v>
      </c>
      <c s="6" r="AU998">
        <v>0</v>
      </c>
      <c s="6" r="AV998">
        <v>0</v>
      </c>
      <c s="6" r="AW998">
        <v>0</v>
      </c>
      <c s="6" r="AX998">
        <v>0</v>
      </c>
      <c s="6" r="AY998">
        <v>0</v>
      </c>
      <c s="6" r="AZ998">
        <v>0</v>
      </c>
      <c s="6" r="BA998">
        <v>0</v>
      </c>
      <c s="6" r="BB998">
        <v>0</v>
      </c>
      <c s="6" r="BC998">
        <v>0</v>
      </c>
      <c s="6" r="BD998">
        <v>0</v>
      </c>
      <c s="6" r="BE998">
        <v>0</v>
      </c>
      <c s="6" r="BF998">
        <v>0</v>
      </c>
      <c s="6" r="BG998">
        <v>0</v>
      </c>
      <c s="6" r="BH998">
        <v>0</v>
      </c>
      <c s="6" r="BI998">
        <v>0</v>
      </c>
      <c s="6" r="BJ998">
        <v>0</v>
      </c>
      <c s="6" r="BK998">
        <v>0</v>
      </c>
      <c s="6" r="BL998">
        <v>0</v>
      </c>
      <c s="6" r="BM998">
        <v>0</v>
      </c>
      <c s="6" r="BN998">
        <v>0</v>
      </c>
      <c s="6" r="BO998">
        <v>0</v>
      </c>
      <c s="6" r="BP998">
        <v>0</v>
      </c>
      <c s="6" r="BQ998">
        <v>0</v>
      </c>
      <c t="str" s="6" r="BR998">
        <f>HYPERLINK("http://www.d20pfsrd.com/magic/all-spells/c/countless-eyes","Countless Eyes")</f>
        <v>Countless Eyes</v>
      </c>
      <c s="6" r="BS998">
        <v>1020</v>
      </c>
      <c t="s" s="6" r="BT998">
        <v>92</v>
      </c>
      <c s="6" r="BY998">
        <v>0</v>
      </c>
    </row>
    <row customHeight="1" r="999" ht="14.25">
      <c t="s" s="6" r="A999">
        <v>7430</v>
      </c>
      <c t="s" s="6" r="B999">
        <v>78</v>
      </c>
      <c t="s" s="6" r="C999">
        <v>79</v>
      </c>
      <c t="s" s="6" r="E999">
        <v>1379</v>
      </c>
      <c t="s" s="6" r="F999">
        <v>7431</v>
      </c>
      <c t="s" s="6" r="G999">
        <v>7432</v>
      </c>
      <c s="6" r="H999">
        <v>1</v>
      </c>
      <c t="s" s="6" r="I999">
        <v>813</v>
      </c>
      <c t="s" s="6" r="K999">
        <v>7433</v>
      </c>
      <c t="s" s="6" r="M999">
        <v>7434</v>
      </c>
      <c s="6" r="N999">
        <v>0</v>
      </c>
      <c s="6" r="O999">
        <v>0</v>
      </c>
      <c t="s" s="6" r="P999">
        <v>86</v>
      </c>
      <c t="s" s="6" r="Q999">
        <v>87</v>
      </c>
      <c t="s" s="6" r="R999">
        <v>7435</v>
      </c>
      <c t="s" s="6" r="S999">
        <v>7436</v>
      </c>
      <c t="s" s="6" r="T999">
        <v>7122</v>
      </c>
      <c t="s" s="6" r="U999">
        <v>7437</v>
      </c>
      <c s="6" r="V999">
        <v>1</v>
      </c>
      <c s="6" r="W999">
        <v>1</v>
      </c>
      <c s="6" r="X999">
        <v>0</v>
      </c>
      <c s="6" r="Y999">
        <v>0</v>
      </c>
      <c s="6" r="Z999">
        <v>0</v>
      </c>
      <c s="6" r="AA999">
        <v>8</v>
      </c>
      <c s="6" r="AB999">
        <v>8</v>
      </c>
      <c s="6" r="AC999">
        <v>8</v>
      </c>
      <c t="s" s="6" r="AD999">
        <v>92</v>
      </c>
      <c t="s" s="6" r="AE999">
        <v>92</v>
      </c>
      <c t="s" s="6" r="AF999">
        <v>92</v>
      </c>
      <c t="s" s="6" r="AG999">
        <v>92</v>
      </c>
      <c t="s" s="6" r="AH999">
        <v>92</v>
      </c>
      <c s="6" r="AI999">
        <v>6</v>
      </c>
      <c s="6" r="AJ999">
        <v>8</v>
      </c>
      <c t="s" s="6" r="AK999">
        <v>92</v>
      </c>
      <c s="6" r="AL999">
        <v>8</v>
      </c>
      <c t="s" s="6" r="AM999">
        <v>92</v>
      </c>
      <c t="s" s="6" r="AN999">
        <v>92</v>
      </c>
      <c s="6" r="AP999">
        <v>8</v>
      </c>
      <c t="s" s="6" r="AR999">
        <v>7438</v>
      </c>
      <c s="6" r="AS999">
        <v>0</v>
      </c>
      <c s="6" r="AT999">
        <v>0</v>
      </c>
      <c s="6" r="AU999">
        <v>0</v>
      </c>
      <c s="6" r="AV999">
        <v>0</v>
      </c>
      <c s="6" r="AW999">
        <v>0</v>
      </c>
      <c s="6" r="AX999">
        <v>0</v>
      </c>
      <c s="6" r="AY999">
        <v>0</v>
      </c>
      <c s="6" r="AZ999">
        <v>0</v>
      </c>
      <c s="6" r="BA999">
        <v>0</v>
      </c>
      <c s="6" r="BB999">
        <v>0</v>
      </c>
      <c s="6" r="BC999">
        <v>0</v>
      </c>
      <c s="6" r="BD999">
        <v>0</v>
      </c>
      <c s="6" r="BE999">
        <v>0</v>
      </c>
      <c s="6" r="BF999">
        <v>0</v>
      </c>
      <c s="6" r="BG999">
        <v>0</v>
      </c>
      <c s="6" r="BH999">
        <v>0</v>
      </c>
      <c s="6" r="BI999">
        <v>0</v>
      </c>
      <c s="6" r="BJ999">
        <v>0</v>
      </c>
      <c s="6" r="BK999">
        <v>0</v>
      </c>
      <c s="6" r="BL999">
        <v>0</v>
      </c>
      <c s="6" r="BM999">
        <v>0</v>
      </c>
      <c s="6" r="BN999">
        <v>0</v>
      </c>
      <c s="6" r="BO999">
        <v>0</v>
      </c>
      <c s="6" r="BP999">
        <v>0</v>
      </c>
      <c s="6" r="BQ999">
        <v>0</v>
      </c>
      <c t="str" s="6" r="BR999">
        <f>HYPERLINK("http://www.d20pfsrd.com/magic/all-spells/c/create-demiplane","Create Demiplane")</f>
        <v>Create Demiplane</v>
      </c>
      <c s="6" r="BS999">
        <v>1021</v>
      </c>
      <c s="6" r="BT999">
        <v>500</v>
      </c>
      <c s="6" r="BY999">
        <v>0</v>
      </c>
    </row>
    <row customHeight="1" r="1000" ht="14.25">
      <c t="s" s="6" r="A1000">
        <v>7439</v>
      </c>
      <c t="s" s="6" r="B1000">
        <v>78</v>
      </c>
      <c t="s" s="6" r="C1000">
        <v>79</v>
      </c>
      <c t="s" s="6" r="E1000">
        <v>4280</v>
      </c>
      <c t="s" s="6" r="F1000">
        <v>7440</v>
      </c>
      <c t="s" s="6" r="G1000">
        <v>7432</v>
      </c>
      <c s="6" r="H1000">
        <v>1</v>
      </c>
      <c t="s" s="6" r="I1000">
        <v>813</v>
      </c>
      <c t="s" s="6" r="K1000">
        <v>7441</v>
      </c>
      <c t="s" s="6" r="M1000">
        <v>200</v>
      </c>
      <c s="6" r="N1000">
        <v>0</v>
      </c>
      <c s="6" r="O1000">
        <v>0</v>
      </c>
      <c t="s" s="6" r="P1000">
        <v>86</v>
      </c>
      <c t="s" s="6" r="Q1000">
        <v>87</v>
      </c>
      <c t="s" s="6" r="R1000">
        <v>7442</v>
      </c>
      <c t="s" s="6" r="S1000">
        <v>7443</v>
      </c>
      <c t="s" s="6" r="T1000">
        <v>7122</v>
      </c>
      <c t="s" s="6" r="U1000">
        <v>7444</v>
      </c>
      <c s="6" r="V1000">
        <v>1</v>
      </c>
      <c s="6" r="W1000">
        <v>1</v>
      </c>
      <c s="6" r="X1000">
        <v>0</v>
      </c>
      <c s="6" r="Y1000">
        <v>0</v>
      </c>
      <c s="6" r="Z1000">
        <v>0</v>
      </c>
      <c s="6" r="AA1000">
        <v>7</v>
      </c>
      <c s="6" r="AB1000">
        <v>7</v>
      </c>
      <c s="6" r="AC1000">
        <v>7</v>
      </c>
      <c t="s" s="6" r="AD1000">
        <v>92</v>
      </c>
      <c t="s" s="6" r="AE1000">
        <v>92</v>
      </c>
      <c t="s" s="6" r="AF1000">
        <v>92</v>
      </c>
      <c t="s" s="6" r="AG1000">
        <v>92</v>
      </c>
      <c t="s" s="6" r="AH1000">
        <v>92</v>
      </c>
      <c s="6" r="AI1000">
        <v>5</v>
      </c>
      <c s="6" r="AJ1000">
        <v>7</v>
      </c>
      <c t="s" s="6" r="AK1000">
        <v>92</v>
      </c>
      <c s="6" r="AL1000">
        <v>7</v>
      </c>
      <c t="s" s="6" r="AM1000">
        <v>92</v>
      </c>
      <c t="s" s="6" r="AN1000">
        <v>92</v>
      </c>
      <c s="6" r="AP1000">
        <v>7</v>
      </c>
      <c t="s" s="6" r="AR1000">
        <v>7445</v>
      </c>
      <c s="6" r="AS1000">
        <v>0</v>
      </c>
      <c s="6" r="AT1000">
        <v>0</v>
      </c>
      <c s="6" r="AU1000">
        <v>0</v>
      </c>
      <c s="6" r="AV1000">
        <v>0</v>
      </c>
      <c s="6" r="AW1000">
        <v>0</v>
      </c>
      <c s="6" r="AX1000">
        <v>0</v>
      </c>
      <c s="6" r="AY1000">
        <v>0</v>
      </c>
      <c s="6" r="AZ1000">
        <v>0</v>
      </c>
      <c s="6" r="BA1000">
        <v>0</v>
      </c>
      <c s="6" r="BB1000">
        <v>0</v>
      </c>
      <c s="6" r="BC1000">
        <v>0</v>
      </c>
      <c s="6" r="BD1000">
        <v>0</v>
      </c>
      <c s="6" r="BE1000">
        <v>0</v>
      </c>
      <c s="6" r="BF1000">
        <v>0</v>
      </c>
      <c s="6" r="BG1000">
        <v>0</v>
      </c>
      <c s="6" r="BH1000">
        <v>0</v>
      </c>
      <c s="6" r="BI1000">
        <v>0</v>
      </c>
      <c s="6" r="BJ1000">
        <v>0</v>
      </c>
      <c s="6" r="BK1000">
        <v>0</v>
      </c>
      <c s="6" r="BL1000">
        <v>0</v>
      </c>
      <c s="6" r="BM1000">
        <v>0</v>
      </c>
      <c s="6" r="BN1000">
        <v>0</v>
      </c>
      <c s="6" r="BO1000">
        <v>0</v>
      </c>
      <c s="6" r="BP1000">
        <v>0</v>
      </c>
      <c s="6" r="BQ1000">
        <v>0</v>
      </c>
      <c t="str" s="6" r="BR1000">
        <f>HYPERLINK("http://www.d20pfsrd.com/magic/all-spells/c/create-demiplane","Create Demiplane, Lesser")</f>
        <v>Create Demiplane, Lesser</v>
      </c>
      <c s="6" r="BS1000">
        <v>1022</v>
      </c>
      <c s="6" r="BT1000">
        <v>500</v>
      </c>
      <c s="6" r="BY1000">
        <v>0</v>
      </c>
    </row>
    <row customHeight="1" r="1001" ht="14.25">
      <c t="s" s="6" r="A1001">
        <v>7446</v>
      </c>
      <c t="s" s="6" r="B1001">
        <v>78</v>
      </c>
      <c t="s" s="6" r="C1001">
        <v>79</v>
      </c>
      <c t="s" s="6" r="E1001">
        <v>350</v>
      </c>
      <c t="s" s="6" r="F1001">
        <v>7447</v>
      </c>
      <c t="s" s="6" r="G1001">
        <v>7432</v>
      </c>
      <c s="6" r="H1001">
        <v>1</v>
      </c>
      <c t="s" s="6" r="I1001">
        <v>813</v>
      </c>
      <c t="s" s="6" r="K1001">
        <v>7448</v>
      </c>
      <c t="s" s="6" r="M1001">
        <v>7434</v>
      </c>
      <c s="6" r="N1001">
        <v>0</v>
      </c>
      <c s="6" r="O1001">
        <v>0</v>
      </c>
      <c t="s" s="6" r="P1001">
        <v>86</v>
      </c>
      <c t="s" s="6" r="Q1001">
        <v>87</v>
      </c>
      <c t="s" s="6" r="R1001">
        <v>7449</v>
      </c>
      <c t="s" s="6" r="S1001">
        <v>7450</v>
      </c>
      <c t="s" s="6" r="T1001">
        <v>7122</v>
      </c>
      <c t="s" s="6" r="U1001">
        <v>7451</v>
      </c>
      <c s="6" r="V1001">
        <v>1</v>
      </c>
      <c s="6" r="W1001">
        <v>1</v>
      </c>
      <c s="6" r="X1001">
        <v>0</v>
      </c>
      <c s="6" r="Y1001">
        <v>0</v>
      </c>
      <c s="6" r="Z1001">
        <v>0</v>
      </c>
      <c s="6" r="AA1001">
        <v>9</v>
      </c>
      <c s="6" r="AB1001">
        <v>9</v>
      </c>
      <c s="6" r="AC1001">
        <v>9</v>
      </c>
      <c t="s" s="6" r="AD1001">
        <v>92</v>
      </c>
      <c t="s" s="6" r="AE1001">
        <v>92</v>
      </c>
      <c t="s" s="6" r="AF1001">
        <v>92</v>
      </c>
      <c t="s" s="6" r="AG1001">
        <v>92</v>
      </c>
      <c t="s" s="6" r="AH1001">
        <v>92</v>
      </c>
      <c t="s" s="6" r="AI1001">
        <v>92</v>
      </c>
      <c s="6" r="AJ1001">
        <v>9</v>
      </c>
      <c t="s" s="6" r="AK1001">
        <v>92</v>
      </c>
      <c s="6" r="AL1001">
        <v>9</v>
      </c>
      <c t="s" s="6" r="AM1001">
        <v>92</v>
      </c>
      <c t="s" s="6" r="AN1001">
        <v>92</v>
      </c>
      <c s="6" r="AP1001">
        <v>9</v>
      </c>
      <c t="s" s="6" r="AR1001">
        <v>7452</v>
      </c>
      <c s="6" r="AS1001">
        <v>0</v>
      </c>
      <c s="6" r="AT1001">
        <v>0</v>
      </c>
      <c s="6" r="AU1001">
        <v>0</v>
      </c>
      <c s="6" r="AV1001">
        <v>0</v>
      </c>
      <c s="6" r="AW1001">
        <v>0</v>
      </c>
      <c s="6" r="AX1001">
        <v>0</v>
      </c>
      <c s="6" r="AY1001">
        <v>0</v>
      </c>
      <c s="6" r="AZ1001">
        <v>0</v>
      </c>
      <c s="6" r="BA1001">
        <v>0</v>
      </c>
      <c s="6" r="BB1001">
        <v>0</v>
      </c>
      <c s="6" r="BC1001">
        <v>0</v>
      </c>
      <c s="6" r="BD1001">
        <v>0</v>
      </c>
      <c s="6" r="BE1001">
        <v>0</v>
      </c>
      <c s="6" r="BF1001">
        <v>0</v>
      </c>
      <c s="6" r="BG1001">
        <v>0</v>
      </c>
      <c s="6" r="BH1001">
        <v>0</v>
      </c>
      <c s="6" r="BI1001">
        <v>0</v>
      </c>
      <c s="6" r="BJ1001">
        <v>0</v>
      </c>
      <c s="6" r="BK1001">
        <v>0</v>
      </c>
      <c s="6" r="BL1001">
        <v>0</v>
      </c>
      <c s="6" r="BM1001">
        <v>0</v>
      </c>
      <c s="6" r="BN1001">
        <v>0</v>
      </c>
      <c s="6" r="BO1001">
        <v>0</v>
      </c>
      <c s="6" r="BP1001">
        <v>0</v>
      </c>
      <c s="6" r="BQ1001">
        <v>0</v>
      </c>
      <c t="str" s="6" r="BR1001">
        <f>HYPERLINK("http://www.d20pfsrd.com/magic/all-spells/c/create-demiplane","Create Demiplane, Greater")</f>
        <v>Create Demiplane, Greater</v>
      </c>
      <c s="6" r="BS1001">
        <v>1023</v>
      </c>
      <c s="6" r="BT1001">
        <v>500</v>
      </c>
      <c s="6" r="BY1001">
        <v>0</v>
      </c>
    </row>
    <row customHeight="1" r="1002" ht="14.25">
      <c t="s" s="6" r="A1002">
        <v>7453</v>
      </c>
      <c t="s" s="6" r="B1002">
        <v>227</v>
      </c>
      <c t="s" s="6" r="D1002">
        <v>48</v>
      </c>
      <c t="s" s="6" r="E1002">
        <v>7454</v>
      </c>
      <c t="s" s="6" r="F1002">
        <v>81</v>
      </c>
      <c t="s" s="6" r="G1002">
        <v>106</v>
      </c>
      <c s="6" r="H1002">
        <v>0</v>
      </c>
      <c t="s" s="6" r="I1002">
        <v>107</v>
      </c>
      <c t="s" s="6" r="L1002">
        <v>1235</v>
      </c>
      <c t="s" s="6" r="M1002">
        <v>323</v>
      </c>
      <c s="6" r="N1002">
        <v>0</v>
      </c>
      <c s="6" r="O1002">
        <v>0</v>
      </c>
      <c t="s" s="6" r="P1002">
        <v>221</v>
      </c>
      <c t="s" s="6" r="Q1002">
        <v>188</v>
      </c>
      <c t="s" s="6" r="R1002">
        <v>7455</v>
      </c>
      <c t="s" s="6" r="S1002">
        <v>7456</v>
      </c>
      <c t="s" s="6" r="T1002">
        <v>7122</v>
      </c>
      <c t="s" s="6" r="U1002">
        <v>7457</v>
      </c>
      <c s="6" r="V1002">
        <v>1</v>
      </c>
      <c s="6" r="W1002">
        <v>1</v>
      </c>
      <c s="6" r="X1002">
        <v>0</v>
      </c>
      <c s="6" r="Y1002">
        <v>0</v>
      </c>
      <c s="6" r="Z1002">
        <v>0</v>
      </c>
      <c s="6" r="AA1002">
        <v>6</v>
      </c>
      <c s="6" r="AB1002">
        <v>6</v>
      </c>
      <c s="6" r="AC1002">
        <v>5</v>
      </c>
      <c t="s" s="6" r="AD1002">
        <v>92</v>
      </c>
      <c t="s" s="6" r="AE1002">
        <v>92</v>
      </c>
      <c t="s" s="6" r="AF1002">
        <v>92</v>
      </c>
      <c t="s" s="6" r="AG1002">
        <v>92</v>
      </c>
      <c t="s" s="6" r="AH1002">
        <v>92</v>
      </c>
      <c t="s" s="6" r="AI1002">
        <v>92</v>
      </c>
      <c s="6" r="AJ1002">
        <v>5</v>
      </c>
      <c t="s" s="6" r="AK1002">
        <v>92</v>
      </c>
      <c s="6" r="AL1002">
        <v>5</v>
      </c>
      <c t="s" s="6" r="AM1002">
        <v>92</v>
      </c>
      <c t="s" s="6" r="AN1002">
        <v>92</v>
      </c>
      <c s="6" r="AP1002">
        <v>6</v>
      </c>
      <c t="s" s="6" r="AR1002">
        <v>7458</v>
      </c>
      <c s="6" r="AS1002">
        <v>0</v>
      </c>
      <c s="6" r="AT1002">
        <v>0</v>
      </c>
      <c s="6" r="AU1002">
        <v>0</v>
      </c>
      <c s="6" r="AV1002">
        <v>0</v>
      </c>
      <c s="6" r="AW1002">
        <v>1</v>
      </c>
      <c s="6" r="AX1002">
        <v>0</v>
      </c>
      <c s="6" r="AY1002">
        <v>0</v>
      </c>
      <c s="6" r="AZ1002">
        <v>0</v>
      </c>
      <c s="6" r="BA1002">
        <v>0</v>
      </c>
      <c s="6" r="BB1002">
        <v>0</v>
      </c>
      <c s="6" r="BC1002">
        <v>0</v>
      </c>
      <c s="6" r="BD1002">
        <v>0</v>
      </c>
      <c s="6" r="BE1002">
        <v>0</v>
      </c>
      <c s="6" r="BF1002">
        <v>0</v>
      </c>
      <c s="6" r="BG1002">
        <v>0</v>
      </c>
      <c s="6" r="BH1002">
        <v>0</v>
      </c>
      <c s="6" r="BI1002">
        <v>0</v>
      </c>
      <c s="6" r="BJ1002">
        <v>0</v>
      </c>
      <c s="6" r="BK1002">
        <v>0</v>
      </c>
      <c s="6" r="BL1002">
        <v>0</v>
      </c>
      <c s="6" r="BM1002">
        <v>0</v>
      </c>
      <c s="6" r="BN1002">
        <v>0</v>
      </c>
      <c s="6" r="BO1002">
        <v>0</v>
      </c>
      <c s="6" r="BP1002">
        <v>0</v>
      </c>
      <c s="6" r="BQ1002">
        <v>0</v>
      </c>
      <c t="str" s="6" r="BR1002">
        <f>HYPERLINK("http://www.d20pfsrd.com/magic/all-spells/c/curse","Curse, Major")</f>
        <v>Curse, Major</v>
      </c>
      <c s="6" r="BS1002">
        <v>1024</v>
      </c>
      <c t="s" s="6" r="BT1002">
        <v>92</v>
      </c>
      <c s="6" r="BY1002">
        <v>0</v>
      </c>
    </row>
    <row customHeight="1" r="1003" ht="14.25">
      <c t="s" s="6" r="A1003">
        <v>7459</v>
      </c>
      <c t="s" s="6" r="B1003">
        <v>115</v>
      </c>
      <c t="s" s="6" r="C1003">
        <v>116</v>
      </c>
      <c t="s" s="6" r="D1003">
        <v>7460</v>
      </c>
      <c t="s" s="6" r="E1003">
        <v>7461</v>
      </c>
      <c t="s" s="6" r="F1003">
        <v>81</v>
      </c>
      <c t="s" s="6" r="G1003">
        <v>106</v>
      </c>
      <c s="6" r="H1003">
        <v>0</v>
      </c>
      <c t="s" s="6" r="I1003">
        <v>107</v>
      </c>
      <c t="s" s="6" r="L1003">
        <v>1235</v>
      </c>
      <c t="s" s="6" r="M1003">
        <v>323</v>
      </c>
      <c s="6" r="N1003">
        <v>0</v>
      </c>
      <c s="6" r="O1003">
        <v>0</v>
      </c>
      <c t="s" s="6" r="P1003">
        <v>221</v>
      </c>
      <c t="s" s="6" r="Q1003">
        <v>188</v>
      </c>
      <c t="s" s="6" r="R1003">
        <v>7462</v>
      </c>
      <c t="s" s="6" r="S1003">
        <v>7463</v>
      </c>
      <c t="s" s="6" r="T1003">
        <v>7122</v>
      </c>
      <c t="s" s="6" r="U1003">
        <v>7464</v>
      </c>
      <c s="6" r="V1003">
        <v>1</v>
      </c>
      <c s="6" r="W1003">
        <v>1</v>
      </c>
      <c s="6" r="X1003">
        <v>0</v>
      </c>
      <c s="6" r="Y1003">
        <v>0</v>
      </c>
      <c s="6" r="Z1003">
        <v>0</v>
      </c>
      <c s="6" r="AA1003">
        <v>5</v>
      </c>
      <c s="6" r="AB1003">
        <v>5</v>
      </c>
      <c t="s" s="6" r="AC1003">
        <v>92</v>
      </c>
      <c t="s" s="6" r="AD1003">
        <v>92</v>
      </c>
      <c t="s" s="6" r="AE1003">
        <v>92</v>
      </c>
      <c s="6" r="AF1003">
        <v>3</v>
      </c>
      <c t="s" s="6" r="AG1003">
        <v>92</v>
      </c>
      <c t="s" s="6" r="AH1003">
        <v>92</v>
      </c>
      <c t="s" s="6" r="AI1003">
        <v>92</v>
      </c>
      <c s="6" r="AJ1003">
        <v>5</v>
      </c>
      <c t="s" s="6" r="AK1003">
        <v>92</v>
      </c>
      <c t="s" s="6" r="AL1003">
        <v>92</v>
      </c>
      <c t="s" s="6" r="AM1003">
        <v>92</v>
      </c>
      <c t="s" s="6" r="AN1003">
        <v>92</v>
      </c>
      <c s="6" r="AP1003">
        <v>5</v>
      </c>
      <c t="s" s="6" r="AR1003">
        <v>7465</v>
      </c>
      <c s="6" r="AS1003">
        <v>0</v>
      </c>
      <c s="6" r="AT1003">
        <v>0</v>
      </c>
      <c s="6" r="AU1003">
        <v>0</v>
      </c>
      <c s="6" r="AV1003">
        <v>0</v>
      </c>
      <c s="6" r="AW1003">
        <v>1</v>
      </c>
      <c s="6" r="AX1003">
        <v>0</v>
      </c>
      <c s="6" r="AY1003">
        <v>0</v>
      </c>
      <c s="6" r="AZ1003">
        <v>0</v>
      </c>
      <c s="6" r="BA1003">
        <v>0</v>
      </c>
      <c s="6" r="BB1003">
        <v>0</v>
      </c>
      <c s="6" r="BC1003">
        <v>1</v>
      </c>
      <c s="6" r="BD1003">
        <v>0</v>
      </c>
      <c s="6" r="BE1003">
        <v>0</v>
      </c>
      <c s="6" r="BF1003">
        <v>0</v>
      </c>
      <c s="6" r="BG1003">
        <v>0</v>
      </c>
      <c s="6" r="BH1003">
        <v>0</v>
      </c>
      <c s="6" r="BI1003">
        <v>0</v>
      </c>
      <c s="6" r="BJ1003">
        <v>0</v>
      </c>
      <c s="6" r="BK1003">
        <v>0</v>
      </c>
      <c s="6" r="BL1003">
        <v>1</v>
      </c>
      <c s="6" r="BM1003">
        <v>0</v>
      </c>
      <c s="6" r="BN1003">
        <v>0</v>
      </c>
      <c s="6" r="BO1003">
        <v>0</v>
      </c>
      <c s="6" r="BP1003">
        <v>0</v>
      </c>
      <c s="6" r="BQ1003">
        <v>0</v>
      </c>
      <c t="str" s="6" r="BR1003">
        <f>HYPERLINK("http://www.d20pfsrd.com/magic/all-spells/c/curse-of-disgust","Curse of Disgust")</f>
        <v>Curse of Disgust</v>
      </c>
      <c s="6" r="BS1003">
        <v>1025</v>
      </c>
      <c t="s" s="6" r="BT1003">
        <v>92</v>
      </c>
      <c s="6" r="BY1003">
        <v>0</v>
      </c>
    </row>
    <row customHeight="1" r="1004" ht="14.25">
      <c t="s" s="6" r="A1004">
        <v>7466</v>
      </c>
      <c t="s" s="6" r="B1004">
        <v>162</v>
      </c>
      <c t="s" s="6" r="D1004">
        <v>48</v>
      </c>
      <c t="s" s="6" r="E1004">
        <v>7467</v>
      </c>
      <c t="s" s="6" r="F1004">
        <v>272</v>
      </c>
      <c t="s" s="6" r="G1004">
        <v>7468</v>
      </c>
      <c s="6" r="H1004">
        <v>1</v>
      </c>
      <c t="s" s="6" r="I1004">
        <v>97</v>
      </c>
      <c t="s" s="6" r="L1004">
        <v>1235</v>
      </c>
      <c t="s" s="6" r="M1004">
        <v>7232</v>
      </c>
      <c s="6" r="N1004">
        <v>0</v>
      </c>
      <c s="6" r="O1004">
        <v>0</v>
      </c>
      <c t="s" s="6" r="P1004">
        <v>221</v>
      </c>
      <c t="s" s="6" r="Q1004">
        <v>87</v>
      </c>
      <c t="s" s="6" r="R1004">
        <v>7469</v>
      </c>
      <c t="s" s="6" r="S1004">
        <v>7470</v>
      </c>
      <c t="s" s="6" r="T1004">
        <v>7122</v>
      </c>
      <c t="s" s="6" r="U1004">
        <v>7471</v>
      </c>
      <c s="6" r="V1004">
        <v>1</v>
      </c>
      <c s="6" r="W1004">
        <v>1</v>
      </c>
      <c s="6" r="X1004">
        <v>1</v>
      </c>
      <c s="6" r="Y1004">
        <v>0</v>
      </c>
      <c s="6" r="Z1004">
        <v>0</v>
      </c>
      <c s="6" r="AA1004">
        <v>4</v>
      </c>
      <c s="6" r="AB1004">
        <v>4</v>
      </c>
      <c s="6" r="AC1004">
        <v>5</v>
      </c>
      <c t="s" s="6" r="AD1004">
        <v>92</v>
      </c>
      <c t="s" s="6" r="AE1004">
        <v>92</v>
      </c>
      <c t="s" s="6" r="AF1004">
        <v>92</v>
      </c>
      <c t="s" s="6" r="AG1004">
        <v>92</v>
      </c>
      <c t="s" s="6" r="AH1004">
        <v>92</v>
      </c>
      <c t="s" s="6" r="AI1004">
        <v>92</v>
      </c>
      <c s="6" r="AJ1004">
        <v>4</v>
      </c>
      <c s="6" r="AK1004">
        <v>4</v>
      </c>
      <c s="6" r="AL1004">
        <v>5</v>
      </c>
      <c t="s" s="6" r="AM1004">
        <v>92</v>
      </c>
      <c t="s" s="6" r="AN1004">
        <v>92</v>
      </c>
      <c s="6" r="AP1004">
        <v>4</v>
      </c>
      <c t="s" s="6" r="AR1004">
        <v>7472</v>
      </c>
      <c s="6" r="AS1004">
        <v>0</v>
      </c>
      <c s="6" r="AT1004">
        <v>0</v>
      </c>
      <c s="6" r="AU1004">
        <v>0</v>
      </c>
      <c s="6" r="AV1004">
        <v>0</v>
      </c>
      <c s="6" r="AW1004">
        <v>1</v>
      </c>
      <c s="6" r="AX1004">
        <v>0</v>
      </c>
      <c s="6" r="AY1004">
        <v>0</v>
      </c>
      <c s="6" r="AZ1004">
        <v>0</v>
      </c>
      <c s="6" r="BA1004">
        <v>0</v>
      </c>
      <c s="6" r="BB1004">
        <v>0</v>
      </c>
      <c s="6" r="BC1004">
        <v>0</v>
      </c>
      <c s="6" r="BD1004">
        <v>0</v>
      </c>
      <c s="6" r="BE1004">
        <v>0</v>
      </c>
      <c s="6" r="BF1004">
        <v>0</v>
      </c>
      <c s="6" r="BG1004">
        <v>0</v>
      </c>
      <c s="6" r="BH1004">
        <v>0</v>
      </c>
      <c s="6" r="BI1004">
        <v>0</v>
      </c>
      <c s="6" r="BJ1004">
        <v>0</v>
      </c>
      <c s="6" r="BK1004">
        <v>0</v>
      </c>
      <c s="6" r="BL1004">
        <v>0</v>
      </c>
      <c s="6" r="BM1004">
        <v>0</v>
      </c>
      <c s="6" r="BN1004">
        <v>0</v>
      </c>
      <c s="6" r="BO1004">
        <v>0</v>
      </c>
      <c s="6" r="BP1004">
        <v>0</v>
      </c>
      <c s="6" r="BQ1004">
        <v>0</v>
      </c>
      <c t="str" s="6" r="BR1004">
        <f>HYPERLINK("http://www.d20pfsrd.com/magic/all-spells/c/curse-of-magic-negation","Curse of Magic Negation")</f>
        <v>Curse of Magic Negation</v>
      </c>
      <c s="6" r="BS1004">
        <v>1026</v>
      </c>
      <c s="6" r="BT1004">
        <v>250</v>
      </c>
      <c s="6" r="BY1004">
        <v>0</v>
      </c>
    </row>
    <row customHeight="1" r="1005" ht="14.25">
      <c t="s" s="6" r="A1005">
        <v>7473</v>
      </c>
      <c t="s" s="6" r="B1005">
        <v>227</v>
      </c>
      <c t="s" s="6" r="D1005">
        <v>7474</v>
      </c>
      <c t="s" s="6" r="E1005">
        <v>350</v>
      </c>
      <c t="s" s="6" r="F1005">
        <v>311</v>
      </c>
      <c t="s" s="6" r="G1005">
        <v>7475</v>
      </c>
      <c s="6" r="H1005">
        <v>1</v>
      </c>
      <c t="s" s="6" r="I1005">
        <v>120</v>
      </c>
      <c t="s" s="6" r="J1005">
        <v>7476</v>
      </c>
      <c t="s" s="6" r="M1005">
        <v>323</v>
      </c>
      <c s="6" r="N1005">
        <v>0</v>
      </c>
      <c s="6" r="O1005">
        <v>0</v>
      </c>
      <c t="s" s="6" r="P1005">
        <v>7402</v>
      </c>
      <c t="s" s="6" r="Q1005">
        <v>87</v>
      </c>
      <c t="s" s="6" r="R1005">
        <v>7477</v>
      </c>
      <c t="s" s="6" r="S1005">
        <v>7478</v>
      </c>
      <c t="s" s="6" r="T1005">
        <v>7122</v>
      </c>
      <c t="s" s="6" r="U1005">
        <v>7479</v>
      </c>
      <c s="6" r="V1005">
        <v>1</v>
      </c>
      <c s="6" r="W1005">
        <v>1</v>
      </c>
      <c s="6" r="X1005">
        <v>1</v>
      </c>
      <c s="6" r="Y1005">
        <v>0</v>
      </c>
      <c s="6" r="Z1005">
        <v>1</v>
      </c>
      <c s="6" r="AA1005">
        <v>9</v>
      </c>
      <c s="6" r="AB1005">
        <v>9</v>
      </c>
      <c s="6" r="AC1005">
        <v>9</v>
      </c>
      <c t="s" s="6" r="AD1005">
        <v>92</v>
      </c>
      <c t="s" s="6" r="AE1005">
        <v>92</v>
      </c>
      <c t="s" s="6" r="AF1005">
        <v>92</v>
      </c>
      <c t="s" s="6" r="AG1005">
        <v>92</v>
      </c>
      <c t="s" s="6" r="AH1005">
        <v>92</v>
      </c>
      <c t="s" s="6" r="AI1005">
        <v>92</v>
      </c>
      <c s="6" r="AJ1005">
        <v>9</v>
      </c>
      <c t="s" s="6" r="AK1005">
        <v>92</v>
      </c>
      <c s="6" r="AL1005">
        <v>9</v>
      </c>
      <c t="s" s="6" r="AM1005">
        <v>92</v>
      </c>
      <c t="s" s="6" r="AN1005">
        <v>92</v>
      </c>
      <c s="6" r="AP1005">
        <v>9</v>
      </c>
      <c t="s" s="6" r="AR1005">
        <v>7480</v>
      </c>
      <c s="6" r="AS1005">
        <v>0</v>
      </c>
      <c s="6" r="AT1005">
        <v>0</v>
      </c>
      <c s="6" r="AU1005">
        <v>0</v>
      </c>
      <c s="6" r="AV1005">
        <v>0</v>
      </c>
      <c s="6" r="AW1005">
        <v>1</v>
      </c>
      <c s="6" r="AX1005">
        <v>0</v>
      </c>
      <c s="6" r="AY1005">
        <v>0</v>
      </c>
      <c s="6" r="AZ1005">
        <v>0</v>
      </c>
      <c s="6" r="BA1005">
        <v>0</v>
      </c>
      <c s="6" r="BB1005">
        <v>0</v>
      </c>
      <c s="6" r="BC1005">
        <v>0</v>
      </c>
      <c s="6" r="BD1005">
        <v>1</v>
      </c>
      <c s="6" r="BE1005">
        <v>0</v>
      </c>
      <c s="6" r="BF1005">
        <v>0</v>
      </c>
      <c s="6" r="BG1005">
        <v>0</v>
      </c>
      <c s="6" r="BH1005">
        <v>0</v>
      </c>
      <c s="6" r="BI1005">
        <v>0</v>
      </c>
      <c s="6" r="BJ1005">
        <v>0</v>
      </c>
      <c s="6" r="BK1005">
        <v>0</v>
      </c>
      <c s="6" r="BL1005">
        <v>0</v>
      </c>
      <c s="6" r="BM1005">
        <v>0</v>
      </c>
      <c s="6" r="BN1005">
        <v>0</v>
      </c>
      <c s="6" r="BO1005">
        <v>0</v>
      </c>
      <c s="6" r="BP1005">
        <v>0</v>
      </c>
      <c s="6" r="BQ1005">
        <v>0</v>
      </c>
      <c t="str" s="6" r="BR1005">
        <f>HYPERLINK("http://www.d20pfsrd.com/magic/all-spells/c/cursed-earth","Cursed Earth")</f>
        <v>Cursed Earth</v>
      </c>
      <c s="6" r="BS1005">
        <v>1027</v>
      </c>
      <c s="6" r="BT1005">
        <v>10000</v>
      </c>
      <c s="6" r="BY1005">
        <v>0</v>
      </c>
    </row>
    <row customHeight="1" r="1006" ht="14.25">
      <c t="s" s="6" r="A1006">
        <v>7481</v>
      </c>
      <c t="s" s="6" r="B1006">
        <v>78</v>
      </c>
      <c t="s" s="6" r="C1006">
        <v>79</v>
      </c>
      <c t="s" s="6" r="D1006">
        <v>58</v>
      </c>
      <c t="s" s="6" r="E1006">
        <v>5599</v>
      </c>
      <c t="s" s="6" r="F1006">
        <v>81</v>
      </c>
      <c t="s" s="6" r="G1006">
        <v>7482</v>
      </c>
      <c s="6" r="H1006">
        <v>0</v>
      </c>
      <c t="s" s="6" r="I1006">
        <v>120</v>
      </c>
      <c t="s" s="6" r="L1006">
        <v>420</v>
      </c>
      <c t="s" s="6" r="M1006">
        <v>7483</v>
      </c>
      <c s="6" r="N1006">
        <v>1</v>
      </c>
      <c s="6" r="O1006">
        <v>0</v>
      </c>
      <c t="s" s="6" r="P1006">
        <v>421</v>
      </c>
      <c t="s" s="6" r="Q1006">
        <v>188</v>
      </c>
      <c t="s" s="6" r="R1006">
        <v>7484</v>
      </c>
      <c t="s" s="6" r="S1006">
        <v>7485</v>
      </c>
      <c t="s" s="6" r="T1006">
        <v>7122</v>
      </c>
      <c t="s" s="6" r="U1006">
        <v>7486</v>
      </c>
      <c s="6" r="V1006">
        <v>1</v>
      </c>
      <c s="6" r="W1006">
        <v>1</v>
      </c>
      <c s="6" r="X1006">
        <v>0</v>
      </c>
      <c s="6" r="Y1006">
        <v>0</v>
      </c>
      <c s="6" r="Z1006">
        <v>0</v>
      </c>
      <c s="6" r="AA1006">
        <v>2</v>
      </c>
      <c s="6" r="AB1006">
        <v>2</v>
      </c>
      <c t="s" s="6" r="AC1006">
        <v>92</v>
      </c>
      <c t="s" s="6" r="AD1006">
        <v>92</v>
      </c>
      <c t="s" s="6" r="AE1006">
        <v>92</v>
      </c>
      <c t="s" s="6" r="AF1006">
        <v>92</v>
      </c>
      <c t="s" s="6" r="AG1006">
        <v>92</v>
      </c>
      <c t="s" s="6" r="AH1006">
        <v>92</v>
      </c>
      <c s="6" r="AI1006">
        <v>2</v>
      </c>
      <c t="s" s="6" r="AJ1006">
        <v>92</v>
      </c>
      <c t="s" s="6" r="AK1006">
        <v>92</v>
      </c>
      <c t="s" s="6" r="AL1006">
        <v>92</v>
      </c>
      <c t="s" s="6" r="AM1006">
        <v>92</v>
      </c>
      <c t="s" s="6" r="AN1006">
        <v>92</v>
      </c>
      <c s="6" r="AP1006">
        <v>2</v>
      </c>
      <c t="s" s="6" r="AR1006">
        <v>7487</v>
      </c>
      <c s="6" r="AS1006">
        <v>0</v>
      </c>
      <c s="6" r="AT1006">
        <v>0</v>
      </c>
      <c s="6" r="AU1006">
        <v>0</v>
      </c>
      <c s="6" r="AV1006">
        <v>0</v>
      </c>
      <c s="6" r="AW1006">
        <v>0</v>
      </c>
      <c s="6" r="AX1006">
        <v>0</v>
      </c>
      <c s="6" r="AY1006">
        <v>0</v>
      </c>
      <c s="6" r="AZ1006">
        <v>0</v>
      </c>
      <c s="6" r="BA1006">
        <v>0</v>
      </c>
      <c s="6" r="BB1006">
        <v>0</v>
      </c>
      <c s="6" r="BC1006">
        <v>0</v>
      </c>
      <c s="6" r="BD1006">
        <v>0</v>
      </c>
      <c s="6" r="BE1006">
        <v>0</v>
      </c>
      <c s="6" r="BF1006">
        <v>0</v>
      </c>
      <c s="6" r="BG1006">
        <v>1</v>
      </c>
      <c s="6" r="BH1006">
        <v>0</v>
      </c>
      <c s="6" r="BI1006">
        <v>0</v>
      </c>
      <c s="6" r="BJ1006">
        <v>0</v>
      </c>
      <c s="6" r="BK1006">
        <v>0</v>
      </c>
      <c s="6" r="BL1006">
        <v>0</v>
      </c>
      <c s="6" r="BM1006">
        <v>0</v>
      </c>
      <c s="6" r="BN1006">
        <v>0</v>
      </c>
      <c s="6" r="BO1006">
        <v>0</v>
      </c>
      <c s="6" r="BP1006">
        <v>0</v>
      </c>
      <c s="6" r="BQ1006">
        <v>0</v>
      </c>
      <c t="str" s="6" r="BR1006">
        <f>HYPERLINK("http://www.d20pfsrd.com/magic/all-spells/c/cushioning-bands","Cushioning Bands")</f>
        <v>Cushioning Bands</v>
      </c>
      <c s="6" r="BS1006">
        <v>1028</v>
      </c>
      <c t="s" s="6" r="BT1006">
        <v>92</v>
      </c>
      <c s="6" r="BY1006">
        <v>0</v>
      </c>
    </row>
    <row customHeight="1" r="1007" ht="14.25">
      <c t="s" s="6" r="A1007">
        <v>7488</v>
      </c>
      <c t="s" s="6" r="B1007">
        <v>131</v>
      </c>
      <c t="s" s="6" r="E1007">
        <v>3011</v>
      </c>
      <c t="s" s="6" r="F1007">
        <v>81</v>
      </c>
      <c t="s" s="6" r="G1007">
        <v>251</v>
      </c>
      <c s="6" r="H1007">
        <v>0</v>
      </c>
      <c t="s" s="6" r="I1007">
        <v>155</v>
      </c>
      <c t="s" s="6" r="L1007">
        <v>156</v>
      </c>
      <c t="s" s="6" r="M1007">
        <v>99</v>
      </c>
      <c s="6" r="N1007">
        <v>0</v>
      </c>
      <c s="6" r="O1007">
        <v>0</v>
      </c>
      <c t="s" s="6" r="R1007">
        <v>7489</v>
      </c>
      <c t="s" s="6" r="S1007">
        <v>7490</v>
      </c>
      <c t="s" s="6" r="T1007">
        <v>7122</v>
      </c>
      <c t="s" s="6" r="U1007">
        <v>7491</v>
      </c>
      <c s="6" r="V1007">
        <v>1</v>
      </c>
      <c s="6" r="W1007">
        <v>0</v>
      </c>
      <c s="6" r="X1007">
        <v>0</v>
      </c>
      <c s="6" r="Y1007">
        <v>0</v>
      </c>
      <c s="6" r="Z1007">
        <v>0</v>
      </c>
      <c t="s" s="6" r="AA1007">
        <v>92</v>
      </c>
      <c t="s" s="6" r="AB1007">
        <v>92</v>
      </c>
      <c t="s" s="6" r="AC1007">
        <v>92</v>
      </c>
      <c t="s" s="6" r="AD1007">
        <v>92</v>
      </c>
      <c t="s" s="6" r="AE1007">
        <v>92</v>
      </c>
      <c s="6" r="AF1007">
        <v>4</v>
      </c>
      <c t="s" s="6" r="AG1007">
        <v>92</v>
      </c>
      <c t="s" s="6" r="AH1007">
        <v>92</v>
      </c>
      <c t="s" s="6" r="AI1007">
        <v>92</v>
      </c>
      <c t="s" s="6" r="AJ1007">
        <v>92</v>
      </c>
      <c t="s" s="6" r="AK1007">
        <v>92</v>
      </c>
      <c t="s" s="6" r="AL1007">
        <v>92</v>
      </c>
      <c t="s" s="6" r="AM1007">
        <v>92</v>
      </c>
      <c t="s" s="6" r="AN1007">
        <v>92</v>
      </c>
      <c s="6" r="AP1007">
        <v>4</v>
      </c>
      <c t="s" s="6" r="AR1007">
        <v>7492</v>
      </c>
      <c s="6" r="AS1007">
        <v>0</v>
      </c>
      <c s="6" r="AT1007">
        <v>0</v>
      </c>
      <c s="6" r="AU1007">
        <v>0</v>
      </c>
      <c s="6" r="AV1007">
        <v>0</v>
      </c>
      <c s="6" r="AW1007">
        <v>0</v>
      </c>
      <c s="6" r="AX1007">
        <v>0</v>
      </c>
      <c s="6" r="AY1007">
        <v>0</v>
      </c>
      <c s="6" r="AZ1007">
        <v>0</v>
      </c>
      <c s="6" r="BA1007">
        <v>0</v>
      </c>
      <c s="6" r="BB1007">
        <v>0</v>
      </c>
      <c s="6" r="BC1007">
        <v>0</v>
      </c>
      <c s="6" r="BD1007">
        <v>0</v>
      </c>
      <c s="6" r="BE1007">
        <v>0</v>
      </c>
      <c s="6" r="BF1007">
        <v>0</v>
      </c>
      <c s="6" r="BG1007">
        <v>0</v>
      </c>
      <c s="6" r="BH1007">
        <v>0</v>
      </c>
      <c s="6" r="BI1007">
        <v>0</v>
      </c>
      <c s="6" r="BJ1007">
        <v>0</v>
      </c>
      <c s="6" r="BK1007">
        <v>0</v>
      </c>
      <c s="6" r="BL1007">
        <v>0</v>
      </c>
      <c s="6" r="BM1007">
        <v>0</v>
      </c>
      <c s="6" r="BN1007">
        <v>0</v>
      </c>
      <c s="6" r="BO1007">
        <v>0</v>
      </c>
      <c s="6" r="BP1007">
        <v>0</v>
      </c>
      <c s="6" r="BQ1007">
        <v>0</v>
      </c>
      <c t="str" s="6" r="BR1007">
        <f>HYPERLINK("http://www.d20pfsrd.com/magic/all-spells/d/dance-of-a-hundred-cuts","Dance of a Hundred Cuts")</f>
        <v>Dance of a Hundred Cuts</v>
      </c>
      <c s="6" r="BS1007">
        <v>1029</v>
      </c>
      <c t="s" s="6" r="BT1007">
        <v>92</v>
      </c>
      <c s="6" r="BY1007">
        <v>0</v>
      </c>
    </row>
    <row customHeight="1" r="1008" ht="14.25">
      <c t="s" s="6" r="A1008">
        <v>7493</v>
      </c>
      <c t="s" s="6" r="B1008">
        <v>131</v>
      </c>
      <c t="s" s="6" r="E1008">
        <v>4408</v>
      </c>
      <c t="s" s="6" r="F1008">
        <v>81</v>
      </c>
      <c t="s" s="6" r="G1008">
        <v>251</v>
      </c>
      <c s="6" r="H1008">
        <v>0</v>
      </c>
      <c t="s" s="6" r="I1008">
        <v>155</v>
      </c>
      <c t="s" s="6" r="L1008">
        <v>156</v>
      </c>
      <c t="s" s="6" r="M1008">
        <v>99</v>
      </c>
      <c s="6" r="N1008">
        <v>0</v>
      </c>
      <c s="6" r="O1008">
        <v>0</v>
      </c>
      <c t="s" s="6" r="R1008">
        <v>7494</v>
      </c>
      <c t="s" s="6" r="S1008">
        <v>7495</v>
      </c>
      <c t="s" s="6" r="T1008">
        <v>7122</v>
      </c>
      <c t="s" s="6" r="U1008">
        <v>7496</v>
      </c>
      <c s="6" r="V1008">
        <v>1</v>
      </c>
      <c s="6" r="W1008">
        <v>0</v>
      </c>
      <c s="6" r="X1008">
        <v>0</v>
      </c>
      <c s="6" r="Y1008">
        <v>0</v>
      </c>
      <c s="6" r="Z1008">
        <v>0</v>
      </c>
      <c t="s" s="6" r="AA1008">
        <v>92</v>
      </c>
      <c t="s" s="6" r="AB1008">
        <v>92</v>
      </c>
      <c t="s" s="6" r="AC1008">
        <v>92</v>
      </c>
      <c t="s" s="6" r="AD1008">
        <v>92</v>
      </c>
      <c t="s" s="6" r="AE1008">
        <v>92</v>
      </c>
      <c s="6" r="AF1008">
        <v>6</v>
      </c>
      <c t="s" s="6" r="AG1008">
        <v>92</v>
      </c>
      <c t="s" s="6" r="AH1008">
        <v>92</v>
      </c>
      <c t="s" s="6" r="AI1008">
        <v>92</v>
      </c>
      <c t="s" s="6" r="AJ1008">
        <v>92</v>
      </c>
      <c t="s" s="6" r="AK1008">
        <v>92</v>
      </c>
      <c t="s" s="6" r="AL1008">
        <v>92</v>
      </c>
      <c t="s" s="6" r="AM1008">
        <v>92</v>
      </c>
      <c t="s" s="6" r="AN1008">
        <v>92</v>
      </c>
      <c s="6" r="AP1008">
        <v>6</v>
      </c>
      <c t="s" s="6" r="AR1008">
        <v>7497</v>
      </c>
      <c s="6" r="AS1008">
        <v>0</v>
      </c>
      <c s="6" r="AT1008">
        <v>0</v>
      </c>
      <c s="6" r="AU1008">
        <v>0</v>
      </c>
      <c s="6" r="AV1008">
        <v>0</v>
      </c>
      <c s="6" r="AW1008">
        <v>0</v>
      </c>
      <c s="6" r="AX1008">
        <v>0</v>
      </c>
      <c s="6" r="AY1008">
        <v>0</v>
      </c>
      <c s="6" r="AZ1008">
        <v>0</v>
      </c>
      <c s="6" r="BA1008">
        <v>0</v>
      </c>
      <c s="6" r="BB1008">
        <v>0</v>
      </c>
      <c s="6" r="BC1008">
        <v>0</v>
      </c>
      <c s="6" r="BD1008">
        <v>0</v>
      </c>
      <c s="6" r="BE1008">
        <v>0</v>
      </c>
      <c s="6" r="BF1008">
        <v>0</v>
      </c>
      <c s="6" r="BG1008">
        <v>0</v>
      </c>
      <c s="6" r="BH1008">
        <v>0</v>
      </c>
      <c s="6" r="BI1008">
        <v>0</v>
      </c>
      <c s="6" r="BJ1008">
        <v>0</v>
      </c>
      <c s="6" r="BK1008">
        <v>0</v>
      </c>
      <c s="6" r="BL1008">
        <v>0</v>
      </c>
      <c s="6" r="BM1008">
        <v>0</v>
      </c>
      <c s="6" r="BN1008">
        <v>0</v>
      </c>
      <c s="6" r="BO1008">
        <v>0</v>
      </c>
      <c s="6" r="BP1008">
        <v>0</v>
      </c>
      <c s="6" r="BQ1008">
        <v>0</v>
      </c>
      <c t="str" s="6" r="BR1008">
        <f>HYPERLINK("http://www.d20pfsrd.com/magic/all-spells/d/dance-of-a-thousand-cuts","Dance of a Thousand Cuts")</f>
        <v>Dance of a Thousand Cuts</v>
      </c>
      <c s="6" r="BS1008">
        <v>1030</v>
      </c>
      <c t="s" s="6" r="BT1008">
        <v>92</v>
      </c>
      <c s="6" r="BY1008">
        <v>0</v>
      </c>
    </row>
    <row customHeight="1" r="1009" ht="14.25">
      <c t="s" s="6" r="A1009">
        <v>7498</v>
      </c>
      <c t="s" s="6" r="B1009">
        <v>131</v>
      </c>
      <c t="s" s="6" r="E1009">
        <v>7499</v>
      </c>
      <c t="s" s="6" r="F1009">
        <v>81</v>
      </c>
      <c t="s" s="6" r="G1009">
        <v>1146</v>
      </c>
      <c s="6" r="H1009">
        <v>0</v>
      </c>
      <c t="s" s="6" r="I1009">
        <v>120</v>
      </c>
      <c t="s" s="6" r="L1009">
        <v>420</v>
      </c>
      <c t="s" s="6" r="M1009">
        <v>209</v>
      </c>
      <c s="6" r="N1009">
        <v>0</v>
      </c>
      <c s="6" r="O1009">
        <v>0</v>
      </c>
      <c t="s" s="6" r="P1009">
        <v>421</v>
      </c>
      <c t="s" s="6" r="Q1009">
        <v>123</v>
      </c>
      <c t="s" s="6" r="R1009">
        <v>7500</v>
      </c>
      <c t="s" s="6" r="S1009">
        <v>7501</v>
      </c>
      <c t="s" s="6" r="T1009">
        <v>7122</v>
      </c>
      <c t="s" s="6" r="U1009">
        <v>7502</v>
      </c>
      <c s="6" r="V1009">
        <v>1</v>
      </c>
      <c s="6" r="W1009">
        <v>1</v>
      </c>
      <c s="6" r="X1009">
        <v>1</v>
      </c>
      <c s="6" r="Y1009">
        <v>0</v>
      </c>
      <c s="6" r="Z1009">
        <v>0</v>
      </c>
      <c s="6" r="AA1009">
        <v>4</v>
      </c>
      <c s="6" r="AB1009">
        <v>4</v>
      </c>
      <c t="s" s="6" r="AC1009">
        <v>92</v>
      </c>
      <c t="s" s="6" r="AD1009">
        <v>92</v>
      </c>
      <c s="6" r="AE1009">
        <v>4</v>
      </c>
      <c t="s" s="6" r="AF1009">
        <v>92</v>
      </c>
      <c t="s" s="6" r="AG1009">
        <v>92</v>
      </c>
      <c s="6" r="AH1009">
        <v>4</v>
      </c>
      <c t="s" s="6" r="AI1009">
        <v>92</v>
      </c>
      <c t="s" s="6" r="AJ1009">
        <v>92</v>
      </c>
      <c t="s" s="6" r="AK1009">
        <v>92</v>
      </c>
      <c t="s" s="6" r="AL1009">
        <v>92</v>
      </c>
      <c s="6" r="AM1009">
        <v>4</v>
      </c>
      <c t="s" s="6" r="AN1009">
        <v>92</v>
      </c>
      <c s="6" r="AP1009">
        <v>4</v>
      </c>
      <c t="s" s="6" r="AR1009">
        <v>7503</v>
      </c>
      <c s="6" r="AS1009">
        <v>0</v>
      </c>
      <c s="6" r="AT1009">
        <v>0</v>
      </c>
      <c s="6" r="AU1009">
        <v>0</v>
      </c>
      <c s="6" r="AV1009">
        <v>0</v>
      </c>
      <c s="6" r="AW1009">
        <v>0</v>
      </c>
      <c s="6" r="AX1009">
        <v>0</v>
      </c>
      <c s="6" r="AY1009">
        <v>0</v>
      </c>
      <c s="6" r="AZ1009">
        <v>0</v>
      </c>
      <c s="6" r="BA1009">
        <v>0</v>
      </c>
      <c s="6" r="BB1009">
        <v>0</v>
      </c>
      <c s="6" r="BC1009">
        <v>0</v>
      </c>
      <c s="6" r="BD1009">
        <v>0</v>
      </c>
      <c s="6" r="BE1009">
        <v>0</v>
      </c>
      <c s="6" r="BF1009">
        <v>0</v>
      </c>
      <c s="6" r="BG1009">
        <v>0</v>
      </c>
      <c s="6" r="BH1009">
        <v>0</v>
      </c>
      <c s="6" r="BI1009">
        <v>0</v>
      </c>
      <c s="6" r="BJ1009">
        <v>0</v>
      </c>
      <c s="6" r="BK1009">
        <v>0</v>
      </c>
      <c s="6" r="BL1009">
        <v>0</v>
      </c>
      <c s="6" r="BM1009">
        <v>0</v>
      </c>
      <c s="6" r="BN1009">
        <v>0</v>
      </c>
      <c s="6" r="BO1009">
        <v>0</v>
      </c>
      <c s="6" r="BP1009">
        <v>0</v>
      </c>
      <c s="6" r="BQ1009">
        <v>0</v>
      </c>
      <c t="str" s="6" r="BR1009">
        <f>HYPERLINK("http://www.d20pfsrd.com/magic/all-spells/d/darkvision","Darkvision, Greater")</f>
        <v>Darkvision, Greater</v>
      </c>
      <c s="6" r="BS1009">
        <v>1031</v>
      </c>
      <c t="s" s="6" r="BT1009">
        <v>92</v>
      </c>
      <c s="6" r="BY1009">
        <v>0</v>
      </c>
    </row>
    <row customHeight="1" r="1010" ht="14.25">
      <c t="s" s="6" r="A1010">
        <v>7504</v>
      </c>
      <c t="s" s="6" r="B1010">
        <v>115</v>
      </c>
      <c t="s" s="6" r="C1010">
        <v>116</v>
      </c>
      <c t="s" s="6" r="D1010">
        <v>117</v>
      </c>
      <c t="s" s="6" r="E1010">
        <v>7505</v>
      </c>
      <c t="s" s="6" r="F1010">
        <v>81</v>
      </c>
      <c t="s" s="6" r="G1010">
        <v>106</v>
      </c>
      <c s="6" r="H1010">
        <v>0</v>
      </c>
      <c t="s" s="6" r="I1010">
        <v>97</v>
      </c>
      <c t="s" s="6" r="L1010">
        <v>7506</v>
      </c>
      <c t="s" s="6" r="M1010">
        <v>272</v>
      </c>
      <c s="6" r="N1010">
        <v>0</v>
      </c>
      <c s="6" r="O1010">
        <v>0</v>
      </c>
      <c t="s" s="6" r="P1010">
        <v>221</v>
      </c>
      <c t="s" s="6" r="Q1010">
        <v>188</v>
      </c>
      <c t="s" s="6" r="R1010">
        <v>7507</v>
      </c>
      <c t="s" s="6" r="S1010">
        <v>7508</v>
      </c>
      <c t="s" s="6" r="T1010">
        <v>7122</v>
      </c>
      <c t="s" s="6" r="U1010">
        <v>7509</v>
      </c>
      <c s="6" r="V1010">
        <v>1</v>
      </c>
      <c s="6" r="W1010">
        <v>1</v>
      </c>
      <c s="6" r="X1010">
        <v>0</v>
      </c>
      <c s="6" r="Y1010">
        <v>0</v>
      </c>
      <c s="6" r="Z1010">
        <v>0</v>
      </c>
      <c s="6" r="AA1010">
        <v>4</v>
      </c>
      <c s="6" r="AB1010">
        <v>4</v>
      </c>
      <c t="s" s="6" r="AC1010">
        <v>92</v>
      </c>
      <c t="s" s="6" r="AD1010">
        <v>92</v>
      </c>
      <c t="s" s="6" r="AE1010">
        <v>92</v>
      </c>
      <c s="6" r="AF1010">
        <v>4</v>
      </c>
      <c t="s" s="6" r="AG1010">
        <v>92</v>
      </c>
      <c t="s" s="6" r="AH1010">
        <v>92</v>
      </c>
      <c s="6" r="AI1010">
        <v>4</v>
      </c>
      <c s="6" r="AJ1010">
        <v>4</v>
      </c>
      <c s="6" r="AK1010">
        <v>4</v>
      </c>
      <c t="s" s="6" r="AL1010">
        <v>92</v>
      </c>
      <c t="s" s="6" r="AM1010">
        <v>92</v>
      </c>
      <c t="s" s="6" r="AN1010">
        <v>92</v>
      </c>
      <c s="6" r="AP1010">
        <v>4</v>
      </c>
      <c t="s" s="6" r="AR1010">
        <v>7510</v>
      </c>
      <c s="6" r="AS1010">
        <v>0</v>
      </c>
      <c s="6" r="AT1010">
        <v>0</v>
      </c>
      <c s="6" r="AU1010">
        <v>0</v>
      </c>
      <c s="6" r="AV1010">
        <v>0</v>
      </c>
      <c s="6" r="AW1010">
        <v>0</v>
      </c>
      <c s="6" r="AX1010">
        <v>0</v>
      </c>
      <c s="6" r="AY1010">
        <v>0</v>
      </c>
      <c s="6" r="AZ1010">
        <v>0</v>
      </c>
      <c s="6" r="BA1010">
        <v>0</v>
      </c>
      <c s="6" r="BB1010">
        <v>0</v>
      </c>
      <c s="6" r="BC1010">
        <v>0</v>
      </c>
      <c s="6" r="BD1010">
        <v>0</v>
      </c>
      <c s="6" r="BE1010">
        <v>0</v>
      </c>
      <c s="6" r="BF1010">
        <v>0</v>
      </c>
      <c s="6" r="BG1010">
        <v>0</v>
      </c>
      <c s="6" r="BH1010">
        <v>0</v>
      </c>
      <c s="6" r="BI1010">
        <v>0</v>
      </c>
      <c s="6" r="BJ1010">
        <v>0</v>
      </c>
      <c s="6" r="BK1010">
        <v>0</v>
      </c>
      <c s="6" r="BL1010">
        <v>1</v>
      </c>
      <c s="6" r="BM1010">
        <v>0</v>
      </c>
      <c s="6" r="BN1010">
        <v>0</v>
      </c>
      <c s="6" r="BO1010">
        <v>0</v>
      </c>
      <c s="6" r="BP1010">
        <v>0</v>
      </c>
      <c s="6" r="BQ1010">
        <v>0</v>
      </c>
      <c t="str" s="6" r="BR1010">
        <f>HYPERLINK("http://www.d20pfsrd.com/magic/all-spells/d/daze","Daze, Mass")</f>
        <v>Daze, Mass</v>
      </c>
      <c s="6" r="BS1010">
        <v>1032</v>
      </c>
      <c t="s" s="6" r="BT1010">
        <v>92</v>
      </c>
      <c s="6" r="BY1010">
        <v>0</v>
      </c>
    </row>
    <row customHeight="1" r="1011" ht="14.25">
      <c t="s" s="6" r="A1011">
        <v>7511</v>
      </c>
      <c t="s" s="6" r="B1011">
        <v>227</v>
      </c>
      <c t="s" s="6" r="E1011">
        <v>7512</v>
      </c>
      <c t="s" s="6" r="F1011">
        <v>81</v>
      </c>
      <c t="s" s="6" r="G1011">
        <v>7513</v>
      </c>
      <c s="6" r="H1011">
        <v>0</v>
      </c>
      <c t="s" s="6" r="I1011">
        <v>120</v>
      </c>
      <c t="s" s="6" r="L1011">
        <v>7514</v>
      </c>
      <c t="s" s="6" r="M1011">
        <v>7515</v>
      </c>
      <c s="6" r="N1011">
        <v>0</v>
      </c>
      <c s="6" r="O1011">
        <v>0</v>
      </c>
      <c t="s" s="6" r="P1011">
        <v>5197</v>
      </c>
      <c t="s" s="6" r="Q1011">
        <v>536</v>
      </c>
      <c t="s" s="6" r="R1011">
        <v>7516</v>
      </c>
      <c t="s" s="6" r="S1011">
        <v>7517</v>
      </c>
      <c t="s" s="6" r="T1011">
        <v>7122</v>
      </c>
      <c t="s" s="6" r="U1011">
        <v>7518</v>
      </c>
      <c s="6" r="V1011">
        <v>1</v>
      </c>
      <c s="6" r="W1011">
        <v>1</v>
      </c>
      <c s="6" r="X1011">
        <v>1</v>
      </c>
      <c s="6" r="Y1011">
        <v>0</v>
      </c>
      <c s="6" r="Z1011">
        <v>0</v>
      </c>
      <c s="6" r="AA1011">
        <v>1</v>
      </c>
      <c s="6" r="AB1011">
        <v>1</v>
      </c>
      <c s="6" r="AC1011">
        <v>1</v>
      </c>
      <c s="6" r="AD1011">
        <v>1</v>
      </c>
      <c t="s" s="6" r="AE1011">
        <v>92</v>
      </c>
      <c t="s" s="6" r="AF1011">
        <v>92</v>
      </c>
      <c t="s" s="6" r="AG1011">
        <v>92</v>
      </c>
      <c t="s" s="6" r="AH1011">
        <v>92</v>
      </c>
      <c t="s" s="6" r="AI1011">
        <v>92</v>
      </c>
      <c s="6" r="AJ1011">
        <v>1</v>
      </c>
      <c t="s" s="6" r="AK1011">
        <v>92</v>
      </c>
      <c s="6" r="AL1011">
        <v>1</v>
      </c>
      <c t="s" s="6" r="AM1011">
        <v>92</v>
      </c>
      <c t="s" s="6" r="AN1011">
        <v>92</v>
      </c>
      <c s="6" r="AP1011">
        <v>1</v>
      </c>
      <c t="s" s="6" r="AR1011">
        <v>7519</v>
      </c>
      <c s="6" r="AS1011">
        <v>0</v>
      </c>
      <c s="6" r="AT1011">
        <v>0</v>
      </c>
      <c s="6" r="AU1011">
        <v>0</v>
      </c>
      <c s="6" r="AV1011">
        <v>0</v>
      </c>
      <c s="6" r="AW1011">
        <v>0</v>
      </c>
      <c s="6" r="AX1011">
        <v>0</v>
      </c>
      <c s="6" r="AY1011">
        <v>0</v>
      </c>
      <c s="6" r="AZ1011">
        <v>0</v>
      </c>
      <c s="6" r="BA1011">
        <v>0</v>
      </c>
      <c s="6" r="BB1011">
        <v>0</v>
      </c>
      <c s="6" r="BC1011">
        <v>0</v>
      </c>
      <c s="6" r="BD1011">
        <v>0</v>
      </c>
      <c s="6" r="BE1011">
        <v>0</v>
      </c>
      <c s="6" r="BF1011">
        <v>0</v>
      </c>
      <c s="6" r="BG1011">
        <v>0</v>
      </c>
      <c s="6" r="BH1011">
        <v>0</v>
      </c>
      <c s="6" r="BI1011">
        <v>0</v>
      </c>
      <c s="6" r="BJ1011">
        <v>0</v>
      </c>
      <c s="6" r="BK1011">
        <v>0</v>
      </c>
      <c s="6" r="BL1011">
        <v>0</v>
      </c>
      <c s="6" r="BM1011">
        <v>0</v>
      </c>
      <c s="6" r="BN1011">
        <v>0</v>
      </c>
      <c s="6" r="BO1011">
        <v>0</v>
      </c>
      <c s="6" r="BP1011">
        <v>0</v>
      </c>
      <c s="6" r="BQ1011">
        <v>0</v>
      </c>
      <c t="str" s="6" r="BR1011">
        <f>HYPERLINK("http://www.d20pfsrd.com/magic/all-spells/d/decompose-corpse","Decompose Corpse")</f>
        <v>Decompose Corpse</v>
      </c>
      <c s="6" r="BS1011">
        <v>1033</v>
      </c>
      <c t="s" s="6" r="BT1011">
        <v>92</v>
      </c>
      <c s="6" r="BY1011">
        <v>0</v>
      </c>
    </row>
    <row customHeight="1" r="1012" ht="14.25">
      <c t="s" s="6" r="A1012">
        <v>7520</v>
      </c>
      <c t="s" s="6" r="B1012">
        <v>493</v>
      </c>
      <c t="s" s="6" r="D1012">
        <v>53</v>
      </c>
      <c t="s" s="6" r="E1012">
        <v>7521</v>
      </c>
      <c t="s" s="6" r="F1012">
        <v>81</v>
      </c>
      <c t="s" s="6" r="G1012">
        <v>7522</v>
      </c>
      <c s="6" r="H1012">
        <v>0</v>
      </c>
      <c t="s" s="6" r="I1012">
        <v>155</v>
      </c>
      <c t="s" s="6" r="L1012">
        <v>156</v>
      </c>
      <c t="s" s="6" r="M1012">
        <v>7523</v>
      </c>
      <c s="6" r="N1012">
        <v>0</v>
      </c>
      <c s="6" r="O1012">
        <v>0</v>
      </c>
      <c t="s" s="6" r="R1012">
        <v>7524</v>
      </c>
      <c t="s" s="6" r="S1012">
        <v>7525</v>
      </c>
      <c t="s" s="6" r="T1012">
        <v>7122</v>
      </c>
      <c t="s" s="6" r="U1012">
        <v>7526</v>
      </c>
      <c s="6" r="V1012">
        <v>1</v>
      </c>
      <c s="6" r="W1012">
        <v>1</v>
      </c>
      <c s="6" r="X1012">
        <v>1</v>
      </c>
      <c s="6" r="Y1012">
        <v>0</v>
      </c>
      <c s="6" r="Z1012">
        <v>0</v>
      </c>
      <c s="6" r="AA1012">
        <v>2</v>
      </c>
      <c s="6" r="AB1012">
        <v>2</v>
      </c>
      <c t="s" s="6" r="AC1012">
        <v>92</v>
      </c>
      <c t="s" s="6" r="AD1012">
        <v>92</v>
      </c>
      <c t="s" s="6" r="AE1012">
        <v>92</v>
      </c>
      <c t="s" s="6" r="AF1012">
        <v>92</v>
      </c>
      <c t="s" s="6" r="AG1012">
        <v>92</v>
      </c>
      <c s="6" r="AH1012">
        <v>2</v>
      </c>
      <c t="s" s="6" r="AI1012">
        <v>92</v>
      </c>
      <c t="s" s="6" r="AJ1012">
        <v>92</v>
      </c>
      <c t="s" s="6" r="AK1012">
        <v>92</v>
      </c>
      <c t="s" s="6" r="AL1012">
        <v>92</v>
      </c>
      <c t="s" s="6" r="AM1012">
        <v>92</v>
      </c>
      <c s="6" r="AN1012">
        <v>2</v>
      </c>
      <c s="6" r="AP1012">
        <v>2</v>
      </c>
      <c t="s" s="6" r="AR1012">
        <v>7527</v>
      </c>
      <c s="6" r="AS1012">
        <v>0</v>
      </c>
      <c s="6" r="AT1012">
        <v>0</v>
      </c>
      <c s="6" r="AU1012">
        <v>0</v>
      </c>
      <c s="6" r="AV1012">
        <v>0</v>
      </c>
      <c s="6" r="AW1012">
        <v>0</v>
      </c>
      <c s="6" r="AX1012">
        <v>0</v>
      </c>
      <c s="6" r="AY1012">
        <v>0</v>
      </c>
      <c s="6" r="AZ1012">
        <v>0</v>
      </c>
      <c s="6" r="BA1012">
        <v>0</v>
      </c>
      <c s="6" r="BB1012">
        <v>1</v>
      </c>
      <c s="6" r="BC1012">
        <v>0</v>
      </c>
      <c s="6" r="BD1012">
        <v>0</v>
      </c>
      <c s="6" r="BE1012">
        <v>0</v>
      </c>
      <c s="6" r="BF1012">
        <v>0</v>
      </c>
      <c s="6" r="BG1012">
        <v>0</v>
      </c>
      <c s="6" r="BH1012">
        <v>0</v>
      </c>
      <c s="6" r="BI1012">
        <v>0</v>
      </c>
      <c s="6" r="BJ1012">
        <v>0</v>
      </c>
      <c s="6" r="BK1012">
        <v>0</v>
      </c>
      <c s="6" r="BL1012">
        <v>0</v>
      </c>
      <c s="6" r="BM1012">
        <v>0</v>
      </c>
      <c s="6" r="BN1012">
        <v>0</v>
      </c>
      <c s="6" r="BO1012">
        <v>0</v>
      </c>
      <c s="6" r="BP1012">
        <v>0</v>
      </c>
      <c s="6" r="BQ1012">
        <v>0</v>
      </c>
      <c t="str" s="6" r="BR1012">
        <f>HYPERLINK("http://www.d20pfsrd.com/magic/all-spells/d/defensive-shock","Defensive Shock")</f>
        <v>Defensive Shock</v>
      </c>
      <c s="6" r="BS1012">
        <v>1034</v>
      </c>
      <c t="s" s="6" r="BT1012">
        <v>92</v>
      </c>
      <c s="6" r="BY1012">
        <v>0</v>
      </c>
    </row>
    <row customHeight="1" r="1013" ht="14.25">
      <c t="s" s="6" r="A1013">
        <v>7528</v>
      </c>
      <c t="s" s="6" r="B1013">
        <v>115</v>
      </c>
      <c t="s" s="6" r="D1013">
        <v>54</v>
      </c>
      <c t="s" s="6" r="E1013">
        <v>7529</v>
      </c>
      <c t="s" s="6" r="F1013">
        <v>81</v>
      </c>
      <c t="s" s="6" r="G1013">
        <v>106</v>
      </c>
      <c s="6" r="H1013">
        <v>0</v>
      </c>
      <c t="s" s="6" r="I1013">
        <v>107</v>
      </c>
      <c t="s" s="6" r="L1013">
        <v>1235</v>
      </c>
      <c t="s" s="6" r="M1013">
        <v>209</v>
      </c>
      <c s="6" r="N1013">
        <v>0</v>
      </c>
      <c s="6" r="O1013">
        <v>0</v>
      </c>
      <c t="s" s="6" r="P1013">
        <v>221</v>
      </c>
      <c t="s" s="6" r="Q1013">
        <v>188</v>
      </c>
      <c t="s" s="6" r="R1013">
        <v>7530</v>
      </c>
      <c t="s" s="6" r="S1013">
        <v>7531</v>
      </c>
      <c t="s" s="6" r="T1013">
        <v>7122</v>
      </c>
      <c t="s" s="6" r="U1013">
        <v>7532</v>
      </c>
      <c s="6" r="V1013">
        <v>1</v>
      </c>
      <c s="6" r="W1013">
        <v>1</v>
      </c>
      <c s="6" r="X1013">
        <v>0</v>
      </c>
      <c s="6" r="Y1013">
        <v>0</v>
      </c>
      <c s="6" r="Z1013">
        <v>0</v>
      </c>
      <c s="6" r="AA1013">
        <v>2</v>
      </c>
      <c s="6" r="AB1013">
        <v>2</v>
      </c>
      <c s="6" r="AC1013">
        <v>2</v>
      </c>
      <c t="s" s="6" r="AD1013">
        <v>92</v>
      </c>
      <c t="s" s="6" r="AE1013">
        <v>92</v>
      </c>
      <c s="6" r="AF1013">
        <v>2</v>
      </c>
      <c t="s" s="6" r="AG1013">
        <v>92</v>
      </c>
      <c t="s" s="6" r="AH1013">
        <v>92</v>
      </c>
      <c t="s" s="6" r="AI1013">
        <v>92</v>
      </c>
      <c s="6" r="AJ1013">
        <v>2</v>
      </c>
      <c s="6" r="AK1013">
        <v>2</v>
      </c>
      <c s="6" r="AL1013">
        <v>2</v>
      </c>
      <c t="s" s="6" r="AM1013">
        <v>92</v>
      </c>
      <c t="s" s="6" r="AN1013">
        <v>92</v>
      </c>
      <c s="6" r="AP1013">
        <v>2</v>
      </c>
      <c t="s" s="6" r="AR1013">
        <v>7533</v>
      </c>
      <c s="6" r="AS1013">
        <v>0</v>
      </c>
      <c s="6" r="AT1013">
        <v>0</v>
      </c>
      <c s="6" r="AU1013">
        <v>0</v>
      </c>
      <c s="6" r="AV1013">
        <v>0</v>
      </c>
      <c s="6" r="AW1013">
        <v>0</v>
      </c>
      <c s="6" r="AX1013">
        <v>0</v>
      </c>
      <c s="6" r="AY1013">
        <v>0</v>
      </c>
      <c s="6" r="AZ1013">
        <v>0</v>
      </c>
      <c s="6" r="BA1013">
        <v>0</v>
      </c>
      <c s="6" r="BB1013">
        <v>0</v>
      </c>
      <c s="6" r="BC1013">
        <v>1</v>
      </c>
      <c s="6" r="BD1013">
        <v>0</v>
      </c>
      <c s="6" r="BE1013">
        <v>0</v>
      </c>
      <c s="6" r="BF1013">
        <v>0</v>
      </c>
      <c s="6" r="BG1013">
        <v>0</v>
      </c>
      <c s="6" r="BH1013">
        <v>0</v>
      </c>
      <c s="6" r="BI1013">
        <v>0</v>
      </c>
      <c s="6" r="BJ1013">
        <v>0</v>
      </c>
      <c s="6" r="BK1013">
        <v>0</v>
      </c>
      <c s="6" r="BL1013">
        <v>0</v>
      </c>
      <c s="6" r="BM1013">
        <v>0</v>
      </c>
      <c s="6" r="BN1013">
        <v>0</v>
      </c>
      <c s="6" r="BO1013">
        <v>0</v>
      </c>
      <c s="6" r="BP1013">
        <v>0</v>
      </c>
      <c s="6" r="BQ1013">
        <v>0</v>
      </c>
      <c t="str" s="6" r="BR1013">
        <f>HYPERLINK("http://www.d20pfsrd.com/magic/all-spells/d/delay-pain","Delay Pain")</f>
        <v>Delay Pain</v>
      </c>
      <c s="6" r="BS1013">
        <v>1035</v>
      </c>
      <c t="s" s="6" r="BT1013">
        <v>92</v>
      </c>
      <c s="6" r="BY1013">
        <v>0</v>
      </c>
    </row>
    <row customHeight="1" r="1014" ht="14.25">
      <c t="s" s="6" r="A1014">
        <v>7534</v>
      </c>
      <c t="s" s="6" r="B1014">
        <v>115</v>
      </c>
      <c t="s" s="6" r="C1014">
        <v>116</v>
      </c>
      <c t="s" s="6" r="D1014">
        <v>7379</v>
      </c>
      <c t="s" s="6" r="E1014">
        <v>730</v>
      </c>
      <c t="s" s="6" r="F1014">
        <v>81</v>
      </c>
      <c t="s" s="6" r="G1014">
        <v>106</v>
      </c>
      <c s="6" r="H1014">
        <v>0</v>
      </c>
      <c t="s" s="6" r="I1014">
        <v>107</v>
      </c>
      <c t="s" s="6" r="L1014">
        <v>1235</v>
      </c>
      <c t="s" s="6" r="M1014">
        <v>197</v>
      </c>
      <c s="6" r="N1014">
        <v>0</v>
      </c>
      <c s="6" r="O1014">
        <v>0</v>
      </c>
      <c t="s" s="6" r="P1014">
        <v>221</v>
      </c>
      <c t="s" s="6" r="Q1014">
        <v>188</v>
      </c>
      <c t="s" s="6" r="R1014">
        <v>7535</v>
      </c>
      <c t="s" s="6" r="S1014">
        <v>7536</v>
      </c>
      <c t="s" s="6" r="T1014">
        <v>7122</v>
      </c>
      <c t="s" s="6" r="U1014">
        <v>7537</v>
      </c>
      <c s="6" r="V1014">
        <v>1</v>
      </c>
      <c s="6" r="W1014">
        <v>1</v>
      </c>
      <c s="6" r="X1014">
        <v>0</v>
      </c>
      <c s="6" r="Y1014">
        <v>0</v>
      </c>
      <c s="6" r="Z1014">
        <v>0</v>
      </c>
      <c s="6" r="AA1014">
        <v>1</v>
      </c>
      <c s="6" r="AB1014">
        <v>1</v>
      </c>
      <c t="s" s="6" r="AC1014">
        <v>92</v>
      </c>
      <c t="s" s="6" r="AD1014">
        <v>92</v>
      </c>
      <c t="s" s="6" r="AE1014">
        <v>92</v>
      </c>
      <c s="6" r="AF1014">
        <v>1</v>
      </c>
      <c t="s" s="6" r="AG1014">
        <v>92</v>
      </c>
      <c t="s" s="6" r="AH1014">
        <v>92</v>
      </c>
      <c t="s" s="6" r="AI1014">
        <v>92</v>
      </c>
      <c s="6" r="AJ1014">
        <v>1</v>
      </c>
      <c t="s" s="6" r="AK1014">
        <v>92</v>
      </c>
      <c t="s" s="6" r="AL1014">
        <v>92</v>
      </c>
      <c t="s" s="6" r="AM1014">
        <v>92</v>
      </c>
      <c t="s" s="6" r="AN1014">
        <v>92</v>
      </c>
      <c s="6" r="AP1014">
        <v>1</v>
      </c>
      <c t="s" s="6" r="AR1014">
        <v>7538</v>
      </c>
      <c s="6" r="AS1014">
        <v>0</v>
      </c>
      <c s="6" r="AT1014">
        <v>0</v>
      </c>
      <c s="6" r="AU1014">
        <v>0</v>
      </c>
      <c s="6" r="AV1014">
        <v>0</v>
      </c>
      <c s="6" r="AW1014">
        <v>0</v>
      </c>
      <c s="6" r="AX1014">
        <v>0</v>
      </c>
      <c s="6" r="AY1014">
        <v>0</v>
      </c>
      <c s="6" r="AZ1014">
        <v>0</v>
      </c>
      <c s="6" r="BA1014">
        <v>0</v>
      </c>
      <c s="6" r="BB1014">
        <v>0</v>
      </c>
      <c s="6" r="BC1014">
        <v>1</v>
      </c>
      <c s="6" r="BD1014">
        <v>0</v>
      </c>
      <c s="6" r="BE1014">
        <v>0</v>
      </c>
      <c s="6" r="BF1014">
        <v>0</v>
      </c>
      <c s="6" r="BG1014">
        <v>0</v>
      </c>
      <c s="6" r="BH1014">
        <v>0</v>
      </c>
      <c s="6" r="BI1014">
        <v>0</v>
      </c>
      <c s="6" r="BJ1014">
        <v>0</v>
      </c>
      <c s="6" r="BK1014">
        <v>0</v>
      </c>
      <c s="6" r="BL1014">
        <v>1</v>
      </c>
      <c s="6" r="BM1014">
        <v>0</v>
      </c>
      <c s="6" r="BN1014">
        <v>0</v>
      </c>
      <c s="6" r="BO1014">
        <v>0</v>
      </c>
      <c s="6" r="BP1014">
        <v>0</v>
      </c>
      <c s="6" r="BQ1014">
        <v>0</v>
      </c>
      <c t="str" s="6" r="BR1014">
        <f>HYPERLINK("http://www.d20pfsrd.com/magic/all-spells/d/delusional-pride","Delusional Pride")</f>
        <v>Delusional Pride</v>
      </c>
      <c s="6" r="BS1014">
        <v>1036</v>
      </c>
      <c t="s" s="6" r="BT1014">
        <v>92</v>
      </c>
      <c s="6" r="BY1014">
        <v>0</v>
      </c>
    </row>
    <row customHeight="1" r="1015" ht="14.25">
      <c t="s" s="6" r="A1015">
        <v>7539</v>
      </c>
      <c t="s" s="6" r="B1015">
        <v>174</v>
      </c>
      <c t="s" s="6" r="E1015">
        <v>7540</v>
      </c>
      <c t="s" s="6" r="F1015">
        <v>81</v>
      </c>
      <c t="s" s="6" r="G1015">
        <v>106</v>
      </c>
      <c s="6" r="H1015">
        <v>0</v>
      </c>
      <c t="s" s="6" r="I1015">
        <v>107</v>
      </c>
      <c t="s" s="6" r="J1015">
        <v>1293</v>
      </c>
      <c t="s" s="6" r="L1015">
        <v>1293</v>
      </c>
      <c t="s" s="6" r="M1015">
        <v>109</v>
      </c>
      <c s="6" r="N1015">
        <v>0</v>
      </c>
      <c s="6" r="O1015">
        <v>0</v>
      </c>
      <c t="s" s="6" r="P1015">
        <v>86</v>
      </c>
      <c t="s" s="6" r="Q1015">
        <v>87</v>
      </c>
      <c t="s" s="6" r="R1015">
        <v>7541</v>
      </c>
      <c t="s" s="6" r="S1015">
        <v>7542</v>
      </c>
      <c t="s" s="6" r="T1015">
        <v>7122</v>
      </c>
      <c t="s" s="6" r="U1015">
        <v>7543</v>
      </c>
      <c s="6" r="V1015">
        <v>1</v>
      </c>
      <c s="6" r="W1015">
        <v>1</v>
      </c>
      <c s="6" r="X1015">
        <v>0</v>
      </c>
      <c s="6" r="Y1015">
        <v>0</v>
      </c>
      <c s="6" r="Z1015">
        <v>0</v>
      </c>
      <c t="s" s="6" r="AA1015">
        <v>92</v>
      </c>
      <c t="s" s="6" r="AB1015">
        <v>92</v>
      </c>
      <c s="6" r="AC1015">
        <v>1</v>
      </c>
      <c s="6" r="AD1015">
        <v>1</v>
      </c>
      <c s="6" r="AE1015">
        <v>1</v>
      </c>
      <c t="s" s="6" r="AF1015">
        <v>92</v>
      </c>
      <c s="6" r="AG1015">
        <v>1</v>
      </c>
      <c t="s" s="6" r="AH1015">
        <v>92</v>
      </c>
      <c t="s" s="6" r="AI1015">
        <v>92</v>
      </c>
      <c s="6" r="AJ1015">
        <v>1</v>
      </c>
      <c t="s" s="6" r="AK1015">
        <v>92</v>
      </c>
      <c s="6" r="AL1015">
        <v>1</v>
      </c>
      <c t="s" s="6" r="AM1015">
        <v>92</v>
      </c>
      <c t="s" s="6" r="AN1015">
        <v>92</v>
      </c>
      <c s="6" r="AP1015">
        <v>1</v>
      </c>
      <c t="s" s="6" r="AR1015">
        <v>7544</v>
      </c>
      <c s="6" r="AS1015">
        <v>0</v>
      </c>
      <c s="6" r="AT1015">
        <v>0</v>
      </c>
      <c s="6" r="AU1015">
        <v>0</v>
      </c>
      <c s="6" r="AV1015">
        <v>0</v>
      </c>
      <c s="6" r="AW1015">
        <v>0</v>
      </c>
      <c s="6" r="AX1015">
        <v>0</v>
      </c>
      <c s="6" r="AY1015">
        <v>0</v>
      </c>
      <c s="6" r="AZ1015">
        <v>0</v>
      </c>
      <c s="6" r="BA1015">
        <v>0</v>
      </c>
      <c s="6" r="BB1015">
        <v>0</v>
      </c>
      <c s="6" r="BC1015">
        <v>0</v>
      </c>
      <c s="6" r="BD1015">
        <v>0</v>
      </c>
      <c s="6" r="BE1015">
        <v>0</v>
      </c>
      <c s="6" r="BF1015">
        <v>0</v>
      </c>
      <c s="6" r="BG1015">
        <v>0</v>
      </c>
      <c s="6" r="BH1015">
        <v>0</v>
      </c>
      <c s="6" r="BI1015">
        <v>0</v>
      </c>
      <c s="6" r="BJ1015">
        <v>0</v>
      </c>
      <c s="6" r="BK1015">
        <v>0</v>
      </c>
      <c s="6" r="BL1015">
        <v>0</v>
      </c>
      <c s="6" r="BM1015">
        <v>0</v>
      </c>
      <c s="6" r="BN1015">
        <v>0</v>
      </c>
      <c s="6" r="BO1015">
        <v>0</v>
      </c>
      <c s="6" r="BP1015">
        <v>0</v>
      </c>
      <c s="6" r="BQ1015">
        <v>0</v>
      </c>
      <c t="str" s="6" r="BR1015">
        <f>HYPERLINK("http://www.d20pfsrd.com/magic/all-spells/d/diagnose-disease","Diagnose Disease")</f>
        <v>Diagnose Disease</v>
      </c>
      <c s="6" r="BS1015">
        <v>1037</v>
      </c>
      <c t="s" s="6" r="BT1015">
        <v>92</v>
      </c>
      <c s="6" r="BY1015">
        <v>0</v>
      </c>
    </row>
    <row customHeight="1" r="1016" ht="14.25">
      <c t="s" s="6" r="A1016">
        <v>7545</v>
      </c>
      <c t="s" s="6" r="B1016">
        <v>131</v>
      </c>
      <c t="s" s="6" r="D1016">
        <v>48</v>
      </c>
      <c t="s" s="6" r="E1016">
        <v>7546</v>
      </c>
      <c t="s" s="6" r="F1016">
        <v>81</v>
      </c>
      <c t="s" s="6" r="G1016">
        <v>106</v>
      </c>
      <c s="6" r="H1016">
        <v>0</v>
      </c>
      <c t="s" s="6" r="I1016">
        <v>120</v>
      </c>
      <c t="s" s="6" r="L1016">
        <v>420</v>
      </c>
      <c t="s" s="6" r="M1016">
        <v>200</v>
      </c>
      <c s="6" r="N1016">
        <v>0</v>
      </c>
      <c s="6" r="O1016">
        <v>0</v>
      </c>
      <c t="s" s="6" r="P1016">
        <v>221</v>
      </c>
      <c t="s" s="6" r="Q1016">
        <v>188</v>
      </c>
      <c t="s" s="6" r="R1016">
        <v>7547</v>
      </c>
      <c t="s" s="6" r="S1016">
        <v>7548</v>
      </c>
      <c t="s" s="6" r="T1016">
        <v>7122</v>
      </c>
      <c t="s" s="6" r="U1016">
        <v>7549</v>
      </c>
      <c s="6" r="V1016">
        <v>1</v>
      </c>
      <c s="6" r="W1016">
        <v>1</v>
      </c>
      <c s="6" r="X1016">
        <v>0</v>
      </c>
      <c s="6" r="Y1016">
        <v>0</v>
      </c>
      <c s="6" r="Z1016">
        <v>0</v>
      </c>
      <c s="6" r="AA1016">
        <v>2</v>
      </c>
      <c s="6" r="AB1016">
        <v>2</v>
      </c>
      <c s="6" r="AC1016">
        <v>2</v>
      </c>
      <c t="s" s="6" r="AD1016">
        <v>92</v>
      </c>
      <c t="s" s="6" r="AE1016">
        <v>92</v>
      </c>
      <c t="s" s="6" r="AF1016">
        <v>92</v>
      </c>
      <c t="s" s="6" r="AG1016">
        <v>92</v>
      </c>
      <c t="s" s="6" r="AH1016">
        <v>92</v>
      </c>
      <c t="s" s="6" r="AI1016">
        <v>92</v>
      </c>
      <c s="6" r="AJ1016">
        <v>2</v>
      </c>
      <c t="s" s="6" r="AK1016">
        <v>92</v>
      </c>
      <c s="6" r="AL1016">
        <v>2</v>
      </c>
      <c t="s" s="6" r="AM1016">
        <v>92</v>
      </c>
      <c t="s" s="6" r="AN1016">
        <v>92</v>
      </c>
      <c s="6" r="AP1016">
        <v>2</v>
      </c>
      <c t="s" s="6" r="AR1016">
        <v>7550</v>
      </c>
      <c s="6" r="AS1016">
        <v>0</v>
      </c>
      <c s="6" r="AT1016">
        <v>0</v>
      </c>
      <c s="6" r="AU1016">
        <v>0</v>
      </c>
      <c s="6" r="AV1016">
        <v>0</v>
      </c>
      <c s="6" r="AW1016">
        <v>1</v>
      </c>
      <c s="6" r="AX1016">
        <v>0</v>
      </c>
      <c s="6" r="AY1016">
        <v>0</v>
      </c>
      <c s="6" r="AZ1016">
        <v>0</v>
      </c>
      <c s="6" r="BA1016">
        <v>0</v>
      </c>
      <c s="6" r="BB1016">
        <v>0</v>
      </c>
      <c s="6" r="BC1016">
        <v>0</v>
      </c>
      <c s="6" r="BD1016">
        <v>0</v>
      </c>
      <c s="6" r="BE1016">
        <v>0</v>
      </c>
      <c s="6" r="BF1016">
        <v>0</v>
      </c>
      <c s="6" r="BG1016">
        <v>0</v>
      </c>
      <c s="6" r="BH1016">
        <v>0</v>
      </c>
      <c s="6" r="BI1016">
        <v>0</v>
      </c>
      <c s="6" r="BJ1016">
        <v>0</v>
      </c>
      <c s="6" r="BK1016">
        <v>0</v>
      </c>
      <c s="6" r="BL1016">
        <v>0</v>
      </c>
      <c s="6" r="BM1016">
        <v>0</v>
      </c>
      <c s="6" r="BN1016">
        <v>0</v>
      </c>
      <c s="6" r="BO1016">
        <v>0</v>
      </c>
      <c s="6" r="BP1016">
        <v>0</v>
      </c>
      <c s="6" r="BQ1016">
        <v>0</v>
      </c>
      <c t="str" s="6" r="BR1016">
        <f>HYPERLINK("http://www.d20pfsrd.com/magic/all-spells/d/disfiguring-touch","Disfiguring Touch")</f>
        <v>Disfiguring Touch</v>
      </c>
      <c s="6" r="BS1016">
        <v>1038</v>
      </c>
      <c t="s" s="6" r="BT1016">
        <v>92</v>
      </c>
      <c t="s" s="6" r="BW1016">
        <v>7551</v>
      </c>
      <c t="s" s="6" r="BX1016">
        <v>7552</v>
      </c>
      <c s="6" r="BY1016">
        <v>1</v>
      </c>
    </row>
    <row customHeight="1" r="1017" ht="14.25">
      <c t="s" s="6" r="A1017">
        <v>7553</v>
      </c>
      <c t="s" s="6" r="B1017">
        <v>579</v>
      </c>
      <c t="s" s="6" r="C1017">
        <v>580</v>
      </c>
      <c t="s" s="6" r="E1017">
        <v>7554</v>
      </c>
      <c t="s" s="6" r="F1017">
        <v>81</v>
      </c>
      <c t="s" s="6" r="G1017">
        <v>106</v>
      </c>
      <c s="6" r="H1017">
        <v>0</v>
      </c>
      <c t="s" s="6" r="I1017">
        <v>120</v>
      </c>
      <c t="s" s="6" r="L1017">
        <v>420</v>
      </c>
      <c t="s" s="6" r="M1017">
        <v>7555</v>
      </c>
      <c s="6" r="N1017">
        <v>1</v>
      </c>
      <c s="6" r="O1017">
        <v>0</v>
      </c>
      <c t="s" s="6" r="R1017">
        <v>7556</v>
      </c>
      <c t="s" s="6" r="S1017">
        <v>7557</v>
      </c>
      <c t="s" s="6" r="T1017">
        <v>7122</v>
      </c>
      <c t="s" s="6" r="U1017">
        <v>7558</v>
      </c>
      <c s="6" r="V1017">
        <v>1</v>
      </c>
      <c s="6" r="W1017">
        <v>1</v>
      </c>
      <c s="6" r="X1017">
        <v>0</v>
      </c>
      <c s="6" r="Y1017">
        <v>0</v>
      </c>
      <c s="6" r="Z1017">
        <v>0</v>
      </c>
      <c s="6" r="AA1017">
        <v>2</v>
      </c>
      <c s="6" r="AB1017">
        <v>2</v>
      </c>
      <c t="s" s="6" r="AC1017">
        <v>92</v>
      </c>
      <c t="s" s="6" r="AD1017">
        <v>92</v>
      </c>
      <c t="s" s="6" r="AE1017">
        <v>92</v>
      </c>
      <c s="6" r="AF1017">
        <v>2</v>
      </c>
      <c t="s" s="6" r="AG1017">
        <v>92</v>
      </c>
      <c t="s" s="6" r="AH1017">
        <v>92</v>
      </c>
      <c t="s" s="6" r="AI1017">
        <v>92</v>
      </c>
      <c t="s" s="6" r="AJ1017">
        <v>92</v>
      </c>
      <c s="6" r="AK1017">
        <v>2</v>
      </c>
      <c t="s" s="6" r="AL1017">
        <v>92</v>
      </c>
      <c t="s" s="6" r="AM1017">
        <v>92</v>
      </c>
      <c t="s" s="6" r="AN1017">
        <v>92</v>
      </c>
      <c s="6" r="AP1017">
        <v>2</v>
      </c>
      <c t="s" s="6" r="AR1017">
        <v>7559</v>
      </c>
      <c s="6" r="AS1017">
        <v>0</v>
      </c>
      <c s="6" r="AT1017">
        <v>0</v>
      </c>
      <c s="6" r="AU1017">
        <v>0</v>
      </c>
      <c s="6" r="AV1017">
        <v>0</v>
      </c>
      <c s="6" r="AW1017">
        <v>0</v>
      </c>
      <c s="6" r="AX1017">
        <v>0</v>
      </c>
      <c s="6" r="AY1017">
        <v>0</v>
      </c>
      <c s="6" r="AZ1017">
        <v>0</v>
      </c>
      <c s="6" r="BA1017">
        <v>0</v>
      </c>
      <c s="6" r="BB1017">
        <v>0</v>
      </c>
      <c s="6" r="BC1017">
        <v>0</v>
      </c>
      <c s="6" r="BD1017">
        <v>0</v>
      </c>
      <c s="6" r="BE1017">
        <v>0</v>
      </c>
      <c s="6" r="BF1017">
        <v>0</v>
      </c>
      <c s="6" r="BG1017">
        <v>0</v>
      </c>
      <c s="6" r="BH1017">
        <v>0</v>
      </c>
      <c s="6" r="BI1017">
        <v>0</v>
      </c>
      <c s="6" r="BJ1017">
        <v>0</v>
      </c>
      <c s="6" r="BK1017">
        <v>0</v>
      </c>
      <c s="6" r="BL1017">
        <v>0</v>
      </c>
      <c s="6" r="BM1017">
        <v>0</v>
      </c>
      <c s="6" r="BN1017">
        <v>0</v>
      </c>
      <c s="6" r="BO1017">
        <v>0</v>
      </c>
      <c s="6" r="BP1017">
        <v>0</v>
      </c>
      <c s="6" r="BQ1017">
        <v>0</v>
      </c>
      <c t="str" s="6" r="BR1017">
        <f>HYPERLINK("http://www.d20pfsrd.com/magic/all-spells/d/disguise-other","Disguise Other")</f>
        <v>Disguise Other</v>
      </c>
      <c s="6" r="BS1017">
        <v>1039</v>
      </c>
      <c t="s" s="6" r="BT1017">
        <v>92</v>
      </c>
      <c s="6" r="BY1017">
        <v>0</v>
      </c>
    </row>
    <row customHeight="1" r="1018" ht="14.25">
      <c t="s" s="6" r="A1018">
        <v>7560</v>
      </c>
      <c t="s" s="6" r="B1018">
        <v>493</v>
      </c>
      <c t="s" s="6" r="D1018">
        <v>67</v>
      </c>
      <c t="s" s="6" r="E1018">
        <v>7561</v>
      </c>
      <c t="s" s="6" r="F1018">
        <v>81</v>
      </c>
      <c t="s" s="6" r="G1018">
        <v>106</v>
      </c>
      <c s="6" r="H1018">
        <v>0</v>
      </c>
      <c t="s" s="6" r="I1018">
        <v>97</v>
      </c>
      <c t="s" s="6" r="J1018">
        <v>6543</v>
      </c>
      <c t="s" s="6" r="M1018">
        <v>483</v>
      </c>
      <c s="6" r="N1018">
        <v>1</v>
      </c>
      <c s="6" r="O1018">
        <v>0</v>
      </c>
      <c t="s" s="6" r="P1018">
        <v>86</v>
      </c>
      <c t="s" s="6" r="Q1018">
        <v>188</v>
      </c>
      <c t="s" s="6" r="R1018">
        <v>7562</v>
      </c>
      <c t="s" s="6" r="S1018">
        <v>7563</v>
      </c>
      <c t="s" s="6" r="T1018">
        <v>7122</v>
      </c>
      <c t="s" s="6" r="U1018">
        <v>7564</v>
      </c>
      <c s="6" r="V1018">
        <v>1</v>
      </c>
      <c s="6" r="W1018">
        <v>1</v>
      </c>
      <c s="6" r="X1018">
        <v>0</v>
      </c>
      <c s="6" r="Y1018">
        <v>0</v>
      </c>
      <c s="6" r="Z1018">
        <v>0</v>
      </c>
      <c s="6" r="AA1018">
        <v>3</v>
      </c>
      <c s="6" r="AB1018">
        <v>3</v>
      </c>
      <c t="s" s="6" r="AC1018">
        <v>92</v>
      </c>
      <c t="s" s="6" r="AD1018">
        <v>92</v>
      </c>
      <c t="s" s="6" r="AE1018">
        <v>92</v>
      </c>
      <c s="6" r="AF1018">
        <v>2</v>
      </c>
      <c t="s" s="6" r="AG1018">
        <v>92</v>
      </c>
      <c t="s" s="6" r="AH1018">
        <v>92</v>
      </c>
      <c t="s" s="6" r="AI1018">
        <v>92</v>
      </c>
      <c t="s" s="6" r="AJ1018">
        <v>92</v>
      </c>
      <c t="s" s="6" r="AK1018">
        <v>92</v>
      </c>
      <c t="s" s="6" r="AL1018">
        <v>92</v>
      </c>
      <c t="s" s="6" r="AM1018">
        <v>92</v>
      </c>
      <c t="s" s="6" r="AN1018">
        <v>92</v>
      </c>
      <c s="6" r="AP1018">
        <v>3</v>
      </c>
      <c t="s" s="6" r="AR1018">
        <v>7565</v>
      </c>
      <c s="6" r="AS1018">
        <v>0</v>
      </c>
      <c s="6" r="AT1018">
        <v>0</v>
      </c>
      <c s="6" r="AU1018">
        <v>0</v>
      </c>
      <c s="6" r="AV1018">
        <v>0</v>
      </c>
      <c s="6" r="AW1018">
        <v>0</v>
      </c>
      <c s="6" r="AX1018">
        <v>0</v>
      </c>
      <c s="6" r="AY1018">
        <v>0</v>
      </c>
      <c s="6" r="AZ1018">
        <v>0</v>
      </c>
      <c s="6" r="BA1018">
        <v>0</v>
      </c>
      <c s="6" r="BB1018">
        <v>0</v>
      </c>
      <c s="6" r="BC1018">
        <v>0</v>
      </c>
      <c s="6" r="BD1018">
        <v>0</v>
      </c>
      <c s="6" r="BE1018">
        <v>0</v>
      </c>
      <c s="6" r="BF1018">
        <v>0</v>
      </c>
      <c s="6" r="BG1018">
        <v>0</v>
      </c>
      <c s="6" r="BH1018">
        <v>0</v>
      </c>
      <c s="6" r="BI1018">
        <v>0</v>
      </c>
      <c s="6" r="BJ1018">
        <v>0</v>
      </c>
      <c s="6" r="BK1018">
        <v>0</v>
      </c>
      <c s="6" r="BL1018">
        <v>0</v>
      </c>
      <c s="6" r="BM1018">
        <v>0</v>
      </c>
      <c s="6" r="BN1018">
        <v>0</v>
      </c>
      <c s="6" r="BO1018">
        <v>0</v>
      </c>
      <c s="6" r="BP1018">
        <v>1</v>
      </c>
      <c s="6" r="BQ1018">
        <v>0</v>
      </c>
      <c t="str" s="6" r="BR1018">
        <f>HYPERLINK("http://www.d20pfsrd.com/magic/all-spells/d/distracting-cacophony","Distracting Cacophony")</f>
        <v>Distracting Cacophony</v>
      </c>
      <c s="6" r="BS1018">
        <v>1040</v>
      </c>
      <c t="s" s="6" r="BT1018">
        <v>92</v>
      </c>
      <c t="s" s="6" r="BV1018">
        <v>2317</v>
      </c>
      <c s="6" r="BY1018">
        <v>0</v>
      </c>
    </row>
    <row customHeight="1" r="1019" ht="14.25">
      <c t="s" s="6" r="A1019">
        <v>7566</v>
      </c>
      <c t="s" s="6" r="B1019">
        <v>493</v>
      </c>
      <c t="s" s="6" r="D1019">
        <v>67</v>
      </c>
      <c t="s" s="6" r="E1019">
        <v>7567</v>
      </c>
      <c t="s" s="6" r="F1019">
        <v>272</v>
      </c>
      <c t="s" s="6" r="G1019">
        <v>106</v>
      </c>
      <c s="6" r="H1019">
        <v>0</v>
      </c>
      <c t="s" s="6" r="I1019">
        <v>107</v>
      </c>
      <c t="s" s="6" r="L1019">
        <v>7568</v>
      </c>
      <c t="s" s="6" r="M1019">
        <v>99</v>
      </c>
      <c s="6" r="N1019">
        <v>0</v>
      </c>
      <c s="6" r="O1019">
        <v>0</v>
      </c>
      <c t="s" s="6" r="P1019">
        <v>187</v>
      </c>
      <c t="s" s="6" r="Q1019">
        <v>188</v>
      </c>
      <c t="s" s="6" r="R1019">
        <v>7569</v>
      </c>
      <c t="s" s="6" r="S1019">
        <v>7570</v>
      </c>
      <c t="s" s="6" r="T1019">
        <v>7122</v>
      </c>
      <c t="s" s="6" r="U1019">
        <v>7571</v>
      </c>
      <c s="6" r="V1019">
        <v>1</v>
      </c>
      <c s="6" r="W1019">
        <v>1</v>
      </c>
      <c s="6" r="X1019">
        <v>0</v>
      </c>
      <c s="6" r="Y1019">
        <v>0</v>
      </c>
      <c s="6" r="Z1019">
        <v>0</v>
      </c>
      <c t="s" s="6" r="AA1019">
        <v>92</v>
      </c>
      <c t="s" s="6" r="AB1019">
        <v>92</v>
      </c>
      <c t="s" s="6" r="AC1019">
        <v>92</v>
      </c>
      <c t="s" s="6" r="AD1019">
        <v>92</v>
      </c>
      <c t="s" s="6" r="AE1019">
        <v>92</v>
      </c>
      <c s="6" r="AF1019">
        <v>2</v>
      </c>
      <c t="s" s="6" r="AG1019">
        <v>92</v>
      </c>
      <c t="s" s="6" r="AH1019">
        <v>92</v>
      </c>
      <c t="s" s="6" r="AI1019">
        <v>92</v>
      </c>
      <c t="s" s="6" r="AJ1019">
        <v>92</v>
      </c>
      <c s="6" r="AK1019">
        <v>2</v>
      </c>
      <c t="s" s="6" r="AL1019">
        <v>92</v>
      </c>
      <c t="s" s="6" r="AM1019">
        <v>92</v>
      </c>
      <c t="s" s="6" r="AN1019">
        <v>92</v>
      </c>
      <c s="6" r="AP1019">
        <v>2</v>
      </c>
      <c t="s" s="6" r="AR1019">
        <v>7572</v>
      </c>
      <c s="6" r="AS1019">
        <v>0</v>
      </c>
      <c s="6" r="AT1019">
        <v>0</v>
      </c>
      <c s="6" r="AU1019">
        <v>0</v>
      </c>
      <c s="6" r="AV1019">
        <v>0</v>
      </c>
      <c s="6" r="AW1019">
        <v>0</v>
      </c>
      <c s="6" r="AX1019">
        <v>0</v>
      </c>
      <c s="6" r="AY1019">
        <v>0</v>
      </c>
      <c s="6" r="AZ1019">
        <v>0</v>
      </c>
      <c s="6" r="BA1019">
        <v>0</v>
      </c>
      <c s="6" r="BB1019">
        <v>0</v>
      </c>
      <c s="6" r="BC1019">
        <v>0</v>
      </c>
      <c s="6" r="BD1019">
        <v>0</v>
      </c>
      <c s="6" r="BE1019">
        <v>0</v>
      </c>
      <c s="6" r="BF1019">
        <v>0</v>
      </c>
      <c s="6" r="BG1019">
        <v>0</v>
      </c>
      <c s="6" r="BH1019">
        <v>0</v>
      </c>
      <c s="6" r="BI1019">
        <v>0</v>
      </c>
      <c s="6" r="BJ1019">
        <v>0</v>
      </c>
      <c s="6" r="BK1019">
        <v>0</v>
      </c>
      <c s="6" r="BL1019">
        <v>0</v>
      </c>
      <c s="6" r="BM1019">
        <v>0</v>
      </c>
      <c s="6" r="BN1019">
        <v>0</v>
      </c>
      <c s="6" r="BO1019">
        <v>0</v>
      </c>
      <c s="6" r="BP1019">
        <v>1</v>
      </c>
      <c s="6" r="BQ1019">
        <v>0</v>
      </c>
      <c t="str" s="6" r="BR1019">
        <f>HYPERLINK("http://www.d20pfsrd.com/magic/all-spells/d/distressing-tone","Distressing Tone")</f>
        <v>Distressing Tone</v>
      </c>
      <c s="6" r="BS1019">
        <v>1041</v>
      </c>
      <c t="s" s="6" r="BT1019">
        <v>92</v>
      </c>
      <c s="6" r="BY1019">
        <v>0</v>
      </c>
    </row>
    <row customHeight="1" r="1020" ht="14.25">
      <c t="s" s="6" r="A1020">
        <v>7573</v>
      </c>
      <c t="s" s="6" r="B1020">
        <v>131</v>
      </c>
      <c t="s" s="6" r="E1020">
        <v>5505</v>
      </c>
      <c t="s" s="6" r="F1020">
        <v>81</v>
      </c>
      <c t="s" s="6" r="G1020">
        <v>106</v>
      </c>
      <c s="6" r="H1020">
        <v>0</v>
      </c>
      <c t="s" s="6" r="I1020">
        <v>155</v>
      </c>
      <c t="s" s="6" r="L1020">
        <v>156</v>
      </c>
      <c t="s" s="6" r="M1020">
        <v>7574</v>
      </c>
      <c s="6" r="N1020">
        <v>0</v>
      </c>
      <c s="6" r="O1020">
        <v>0</v>
      </c>
      <c t="s" s="6" r="R1020">
        <v>7575</v>
      </c>
      <c t="s" s="6" r="S1020">
        <v>7576</v>
      </c>
      <c t="s" s="6" r="T1020">
        <v>7122</v>
      </c>
      <c t="s" s="6" r="U1020">
        <v>7577</v>
      </c>
      <c s="6" r="V1020">
        <v>1</v>
      </c>
      <c s="6" r="W1020">
        <v>1</v>
      </c>
      <c s="6" r="X1020">
        <v>0</v>
      </c>
      <c s="6" r="Y1020">
        <v>0</v>
      </c>
      <c s="6" r="Z1020">
        <v>0</v>
      </c>
      <c t="s" s="6" r="AA1020">
        <v>92</v>
      </c>
      <c t="s" s="6" r="AB1020">
        <v>92</v>
      </c>
      <c t="s" s="6" r="AC1020">
        <v>92</v>
      </c>
      <c t="s" s="6" r="AD1020">
        <v>92</v>
      </c>
      <c t="s" s="6" r="AE1020">
        <v>92</v>
      </c>
      <c t="s" s="6" r="AF1020">
        <v>92</v>
      </c>
      <c t="s" s="6" r="AG1020">
        <v>92</v>
      </c>
      <c t="s" s="6" r="AH1020">
        <v>92</v>
      </c>
      <c t="s" s="6" r="AI1020">
        <v>92</v>
      </c>
      <c t="s" s="6" r="AJ1020">
        <v>92</v>
      </c>
      <c s="6" r="AK1020">
        <v>5</v>
      </c>
      <c t="s" s="6" r="AL1020">
        <v>92</v>
      </c>
      <c t="s" s="6" r="AM1020">
        <v>92</v>
      </c>
      <c t="s" s="6" r="AN1020">
        <v>92</v>
      </c>
      <c s="6" r="AP1020">
        <v>5</v>
      </c>
      <c t="s" s="6" r="AR1020">
        <v>7578</v>
      </c>
      <c s="6" r="AS1020">
        <v>0</v>
      </c>
      <c s="6" r="AT1020">
        <v>0</v>
      </c>
      <c s="6" r="AU1020">
        <v>0</v>
      </c>
      <c s="6" r="AV1020">
        <v>0</v>
      </c>
      <c s="6" r="AW1020">
        <v>0</v>
      </c>
      <c s="6" r="AX1020">
        <v>0</v>
      </c>
      <c s="6" r="AY1020">
        <v>0</v>
      </c>
      <c s="6" r="AZ1020">
        <v>0</v>
      </c>
      <c s="6" r="BA1020">
        <v>0</v>
      </c>
      <c s="6" r="BB1020">
        <v>0</v>
      </c>
      <c s="6" r="BC1020">
        <v>0</v>
      </c>
      <c s="6" r="BD1020">
        <v>0</v>
      </c>
      <c s="6" r="BE1020">
        <v>0</v>
      </c>
      <c s="6" r="BF1020">
        <v>0</v>
      </c>
      <c s="6" r="BG1020">
        <v>0</v>
      </c>
      <c s="6" r="BH1020">
        <v>0</v>
      </c>
      <c s="6" r="BI1020">
        <v>0</v>
      </c>
      <c s="6" r="BJ1020">
        <v>0</v>
      </c>
      <c s="6" r="BK1020">
        <v>0</v>
      </c>
      <c s="6" r="BL1020">
        <v>0</v>
      </c>
      <c s="6" r="BM1020">
        <v>0</v>
      </c>
      <c s="6" r="BN1020">
        <v>0</v>
      </c>
      <c s="6" r="BO1020">
        <v>0</v>
      </c>
      <c s="6" r="BP1020">
        <v>0</v>
      </c>
      <c s="6" r="BQ1020">
        <v>0</v>
      </c>
      <c t="str" s="6" r="BR1020">
        <f>HYPERLINK("http://www.d20pfsrd.com/magic/all-spells/d/divine-pursuit","Divine Pursuit")</f>
        <v>Divine Pursuit</v>
      </c>
      <c s="6" r="BS1020">
        <v>1042</v>
      </c>
      <c t="s" s="6" r="BT1020">
        <v>92</v>
      </c>
      <c t="s" s="6" r="BW1020">
        <v>7579</v>
      </c>
      <c s="6" r="BY1020">
        <v>1</v>
      </c>
    </row>
    <row customHeight="1" r="1021" ht="14.25">
      <c t="s" s="6" r="A1021">
        <v>7580</v>
      </c>
      <c t="s" s="6" r="B1021">
        <v>493</v>
      </c>
      <c t="s" s="6" r="D1021">
        <v>55</v>
      </c>
      <c t="s" s="6" r="E1021">
        <v>7581</v>
      </c>
      <c t="s" s="6" r="F1021">
        <v>81</v>
      </c>
      <c t="s" s="6" r="G1021">
        <v>119</v>
      </c>
      <c s="6" r="H1021">
        <v>0</v>
      </c>
      <c t="s" s="6" r="I1021">
        <v>107</v>
      </c>
      <c t="s" s="6" r="K1021">
        <v>7582</v>
      </c>
      <c t="s" s="6" r="M1021">
        <v>7583</v>
      </c>
      <c s="6" r="N1021">
        <v>0</v>
      </c>
      <c s="6" r="O1021">
        <v>0</v>
      </c>
      <c t="s" s="6" r="P1021">
        <v>7202</v>
      </c>
      <c t="s" s="6" r="Q1021">
        <v>188</v>
      </c>
      <c t="s" s="6" r="R1021">
        <v>7584</v>
      </c>
      <c t="s" s="6" r="S1021">
        <v>7585</v>
      </c>
      <c t="s" s="6" r="T1021">
        <v>7122</v>
      </c>
      <c t="s" s="6" r="U1021">
        <v>7586</v>
      </c>
      <c s="6" r="V1021">
        <v>1</v>
      </c>
      <c s="6" r="W1021">
        <v>1</v>
      </c>
      <c s="6" r="X1021">
        <v>0</v>
      </c>
      <c s="6" r="Y1021">
        <v>0</v>
      </c>
      <c s="6" r="Z1021">
        <v>1</v>
      </c>
      <c t="s" s="6" r="AA1021">
        <v>92</v>
      </c>
      <c t="s" s="6" r="AB1021">
        <v>92</v>
      </c>
      <c s="6" r="AC1021">
        <v>2</v>
      </c>
      <c t="s" s="6" r="AD1021">
        <v>92</v>
      </c>
      <c t="s" s="6" r="AE1021">
        <v>92</v>
      </c>
      <c t="s" s="6" r="AF1021">
        <v>92</v>
      </c>
      <c t="s" s="6" r="AG1021">
        <v>92</v>
      </c>
      <c t="s" s="6" r="AH1021">
        <v>92</v>
      </c>
      <c t="s" s="6" r="AI1021">
        <v>92</v>
      </c>
      <c t="s" s="6" r="AJ1021">
        <v>92</v>
      </c>
      <c t="s" s="6" r="AK1021">
        <v>92</v>
      </c>
      <c s="6" r="AL1021">
        <v>2</v>
      </c>
      <c t="s" s="6" r="AM1021">
        <v>92</v>
      </c>
      <c t="s" s="6" r="AN1021">
        <v>92</v>
      </c>
      <c s="6" r="AP1021">
        <v>2</v>
      </c>
      <c t="s" s="6" r="AR1021">
        <v>7587</v>
      </c>
      <c s="6" r="AS1021">
        <v>0</v>
      </c>
      <c s="6" r="AT1021">
        <v>0</v>
      </c>
      <c s="6" r="AU1021">
        <v>0</v>
      </c>
      <c s="6" r="AV1021">
        <v>0</v>
      </c>
      <c s="6" r="AW1021">
        <v>0</v>
      </c>
      <c s="6" r="AX1021">
        <v>0</v>
      </c>
      <c s="6" r="AY1021">
        <v>0</v>
      </c>
      <c s="6" r="AZ1021">
        <v>0</v>
      </c>
      <c s="6" r="BA1021">
        <v>0</v>
      </c>
      <c s="6" r="BB1021">
        <v>0</v>
      </c>
      <c s="6" r="BC1021">
        <v>0</v>
      </c>
      <c s="6" r="BD1021">
        <v>1</v>
      </c>
      <c s="6" r="BE1021">
        <v>0</v>
      </c>
      <c s="6" r="BF1021">
        <v>0</v>
      </c>
      <c s="6" r="BG1021">
        <v>0</v>
      </c>
      <c s="6" r="BH1021">
        <v>0</v>
      </c>
      <c s="6" r="BI1021">
        <v>0</v>
      </c>
      <c s="6" r="BJ1021">
        <v>0</v>
      </c>
      <c s="6" r="BK1021">
        <v>0</v>
      </c>
      <c s="6" r="BL1021">
        <v>0</v>
      </c>
      <c s="6" r="BM1021">
        <v>0</v>
      </c>
      <c s="6" r="BN1021">
        <v>0</v>
      </c>
      <c s="6" r="BO1021">
        <v>0</v>
      </c>
      <c s="6" r="BP1021">
        <v>0</v>
      </c>
      <c s="6" r="BQ1021">
        <v>0</v>
      </c>
      <c t="str" s="6" r="BR1021">
        <f>HYPERLINK("http://www.d20pfsrd.com/magic/all-spells/d/dread-bolt","Dread Bolt")</f>
        <v>Dread Bolt</v>
      </c>
      <c s="6" r="BS1021">
        <v>1043</v>
      </c>
      <c t="s" s="6" r="BT1021">
        <v>92</v>
      </c>
      <c s="6" r="BY1021">
        <v>0</v>
      </c>
    </row>
    <row customHeight="1" r="1022" ht="14.25">
      <c t="s" s="6" r="A1022">
        <v>7588</v>
      </c>
      <c t="s" s="6" r="B1022">
        <v>78</v>
      </c>
      <c t="s" s="6" r="C1022">
        <v>1042</v>
      </c>
      <c t="s" s="6" r="D1022">
        <v>59</v>
      </c>
      <c t="s" s="6" r="E1022">
        <v>7589</v>
      </c>
      <c t="s" s="6" r="F1022">
        <v>272</v>
      </c>
      <c t="s" s="6" r="G1022">
        <v>119</v>
      </c>
      <c s="6" r="H1022">
        <v>0</v>
      </c>
      <c t="s" s="6" r="I1022">
        <v>83</v>
      </c>
      <c t="s" s="6" r="K1022">
        <v>7590</v>
      </c>
      <c t="s" s="6" r="M1022">
        <v>209</v>
      </c>
      <c s="6" r="N1022">
        <v>0</v>
      </c>
      <c s="6" r="O1022">
        <v>0</v>
      </c>
      <c t="s" s="6" r="P1022">
        <v>86</v>
      </c>
      <c t="s" s="6" r="Q1022">
        <v>87</v>
      </c>
      <c t="s" s="6" r="R1022">
        <v>7591</v>
      </c>
      <c t="s" s="6" r="S1022">
        <v>7592</v>
      </c>
      <c t="s" s="6" r="T1022">
        <v>7122</v>
      </c>
      <c t="s" s="6" r="U1022">
        <v>7593</v>
      </c>
      <c s="6" r="V1022">
        <v>1</v>
      </c>
      <c s="6" r="W1022">
        <v>1</v>
      </c>
      <c s="6" r="X1022">
        <v>0</v>
      </c>
      <c s="6" r="Y1022">
        <v>0</v>
      </c>
      <c s="6" r="Z1022">
        <v>1</v>
      </c>
      <c t="s" s="6" r="AA1022">
        <v>92</v>
      </c>
      <c t="s" s="6" r="AB1022">
        <v>92</v>
      </c>
      <c t="s" s="6" r="AC1022">
        <v>92</v>
      </c>
      <c s="6" r="AD1022">
        <v>6</v>
      </c>
      <c t="s" s="6" r="AE1022">
        <v>92</v>
      </c>
      <c t="s" s="6" r="AF1022">
        <v>92</v>
      </c>
      <c t="s" s="6" r="AG1022">
        <v>92</v>
      </c>
      <c t="s" s="6" r="AH1022">
        <v>92</v>
      </c>
      <c s="6" r="AI1022">
        <v>6</v>
      </c>
      <c t="s" s="6" r="AJ1022">
        <v>92</v>
      </c>
      <c t="s" s="6" r="AK1022">
        <v>92</v>
      </c>
      <c t="s" s="6" r="AL1022">
        <v>92</v>
      </c>
      <c t="s" s="6" r="AM1022">
        <v>92</v>
      </c>
      <c t="s" s="6" r="AN1022">
        <v>92</v>
      </c>
      <c s="6" r="AP1022">
        <v>6</v>
      </c>
      <c t="s" s="6" r="AR1022">
        <v>7594</v>
      </c>
      <c s="6" r="AS1022">
        <v>0</v>
      </c>
      <c s="6" r="AT1022">
        <v>0</v>
      </c>
      <c s="6" r="AU1022">
        <v>0</v>
      </c>
      <c s="6" r="AV1022">
        <v>0</v>
      </c>
      <c s="6" r="AW1022">
        <v>0</v>
      </c>
      <c s="6" r="AX1022">
        <v>0</v>
      </c>
      <c s="6" r="AY1022">
        <v>0</v>
      </c>
      <c s="6" r="AZ1022">
        <v>0</v>
      </c>
      <c s="6" r="BA1022">
        <v>0</v>
      </c>
      <c s="6" r="BB1022">
        <v>0</v>
      </c>
      <c s="6" r="BC1022">
        <v>0</v>
      </c>
      <c s="6" r="BD1022">
        <v>0</v>
      </c>
      <c s="6" r="BE1022">
        <v>0</v>
      </c>
      <c s="6" r="BF1022">
        <v>0</v>
      </c>
      <c s="6" r="BG1022">
        <v>0</v>
      </c>
      <c s="6" r="BH1022">
        <v>1</v>
      </c>
      <c s="6" r="BI1022">
        <v>0</v>
      </c>
      <c s="6" r="BJ1022">
        <v>0</v>
      </c>
      <c s="6" r="BK1022">
        <v>0</v>
      </c>
      <c s="6" r="BL1022">
        <v>0</v>
      </c>
      <c s="6" r="BM1022">
        <v>0</v>
      </c>
      <c s="6" r="BN1022">
        <v>0</v>
      </c>
      <c s="6" r="BO1022">
        <v>0</v>
      </c>
      <c s="6" r="BP1022">
        <v>0</v>
      </c>
      <c s="6" r="BQ1022">
        <v>0</v>
      </c>
      <c t="str" s="6" r="BR1022">
        <f>HYPERLINK("http://www.d20pfsrd.com/magic/all-spells/e/eagle-aerie","Eagle Aerie")</f>
        <v>Eagle Aerie</v>
      </c>
      <c s="6" r="BS1022">
        <v>1044</v>
      </c>
      <c t="s" s="6" r="BT1022">
        <v>92</v>
      </c>
      <c s="6" r="BY1022">
        <v>0</v>
      </c>
    </row>
    <row customHeight="1" r="1023" ht="14.25">
      <c t="s" s="6" r="A1023">
        <v>7595</v>
      </c>
      <c t="s" s="6" r="B1023">
        <v>493</v>
      </c>
      <c t="s" s="6" r="D1023">
        <v>67</v>
      </c>
      <c t="s" s="6" r="E1023">
        <v>7596</v>
      </c>
      <c t="s" s="6" r="F1023">
        <v>81</v>
      </c>
      <c t="s" s="6" r="G1023">
        <v>106</v>
      </c>
      <c s="6" r="H1023">
        <v>0</v>
      </c>
      <c t="s" s="6" r="I1023">
        <v>107</v>
      </c>
      <c t="s" s="6" r="L1023">
        <v>1235</v>
      </c>
      <c t="s" s="6" r="M1023">
        <v>834</v>
      </c>
      <c s="6" r="N1023">
        <v>0</v>
      </c>
      <c s="6" r="O1023">
        <v>0</v>
      </c>
      <c t="s" s="6" r="P1023">
        <v>7597</v>
      </c>
      <c t="s" s="6" r="Q1023">
        <v>188</v>
      </c>
      <c t="s" s="6" r="R1023">
        <v>7598</v>
      </c>
      <c t="s" s="6" r="S1023">
        <v>7599</v>
      </c>
      <c t="s" s="6" r="T1023">
        <v>7122</v>
      </c>
      <c t="s" s="6" r="U1023">
        <v>7600</v>
      </c>
      <c s="6" r="V1023">
        <v>1</v>
      </c>
      <c s="6" r="W1023">
        <v>1</v>
      </c>
      <c s="6" r="X1023">
        <v>0</v>
      </c>
      <c s="6" r="Y1023">
        <v>0</v>
      </c>
      <c s="6" r="Z1023">
        <v>0</v>
      </c>
      <c s="6" r="AA1023">
        <v>1</v>
      </c>
      <c s="6" r="AB1023">
        <v>1</v>
      </c>
      <c t="s" s="6" r="AC1023">
        <v>92</v>
      </c>
      <c t="s" s="6" r="AD1023">
        <v>92</v>
      </c>
      <c t="s" s="6" r="AE1023">
        <v>92</v>
      </c>
      <c s="6" r="AF1023">
        <v>1</v>
      </c>
      <c t="s" s="6" r="AG1023">
        <v>92</v>
      </c>
      <c t="s" s="6" r="AH1023">
        <v>92</v>
      </c>
      <c t="s" s="6" r="AI1023">
        <v>92</v>
      </c>
      <c s="6" r="AJ1023">
        <v>1</v>
      </c>
      <c s="6" r="AK1023">
        <v>1</v>
      </c>
      <c t="s" s="6" r="AL1023">
        <v>92</v>
      </c>
      <c t="s" s="6" r="AM1023">
        <v>92</v>
      </c>
      <c t="s" s="6" r="AN1023">
        <v>92</v>
      </c>
      <c s="6" r="AP1023">
        <v>1</v>
      </c>
      <c t="s" s="6" r="AR1023">
        <v>7601</v>
      </c>
      <c s="6" r="AS1023">
        <v>0</v>
      </c>
      <c s="6" r="AT1023">
        <v>0</v>
      </c>
      <c s="6" r="AU1023">
        <v>0</v>
      </c>
      <c s="6" r="AV1023">
        <v>0</v>
      </c>
      <c s="6" r="AW1023">
        <v>0</v>
      </c>
      <c s="6" r="AX1023">
        <v>0</v>
      </c>
      <c s="6" r="AY1023">
        <v>0</v>
      </c>
      <c s="6" r="AZ1023">
        <v>0</v>
      </c>
      <c s="6" r="BA1023">
        <v>0</v>
      </c>
      <c s="6" r="BB1023">
        <v>0</v>
      </c>
      <c s="6" r="BC1023">
        <v>0</v>
      </c>
      <c s="6" r="BD1023">
        <v>0</v>
      </c>
      <c s="6" r="BE1023">
        <v>0</v>
      </c>
      <c s="6" r="BF1023">
        <v>0</v>
      </c>
      <c s="6" r="BG1023">
        <v>0</v>
      </c>
      <c s="6" r="BH1023">
        <v>0</v>
      </c>
      <c s="6" r="BI1023">
        <v>0</v>
      </c>
      <c s="6" r="BJ1023">
        <v>0</v>
      </c>
      <c s="6" r="BK1023">
        <v>0</v>
      </c>
      <c s="6" r="BL1023">
        <v>0</v>
      </c>
      <c s="6" r="BM1023">
        <v>0</v>
      </c>
      <c s="6" r="BN1023">
        <v>0</v>
      </c>
      <c s="6" r="BO1023">
        <v>0</v>
      </c>
      <c s="6" r="BP1023">
        <v>1</v>
      </c>
      <c s="6" r="BQ1023">
        <v>0</v>
      </c>
      <c t="str" s="6" r="BR1023">
        <f>HYPERLINK("http://www.d20pfsrd.com/magic/all-spells/e/ear-piercing-scream","Ear-Piercing Scream")</f>
        <v>Ear-Piercing Scream</v>
      </c>
      <c s="6" r="BS1023">
        <v>1045</v>
      </c>
      <c t="s" s="6" r="BT1023">
        <v>92</v>
      </c>
      <c t="s" s="6" r="BW1023">
        <v>7602</v>
      </c>
      <c t="s" s="6" r="BX1023">
        <v>7603</v>
      </c>
      <c s="6" r="BY1023">
        <v>1</v>
      </c>
    </row>
    <row customHeight="1" r="1024" ht="14.25">
      <c t="s" s="6" r="A1024">
        <v>7604</v>
      </c>
      <c t="s" s="6" r="B1024">
        <v>131</v>
      </c>
      <c t="s" s="6" r="D1024">
        <v>67</v>
      </c>
      <c t="s" s="6" r="E1024">
        <v>7605</v>
      </c>
      <c t="s" s="6" r="F1024">
        <v>81</v>
      </c>
      <c t="s" s="6" r="G1024">
        <v>251</v>
      </c>
      <c s="6" r="H1024">
        <v>0</v>
      </c>
      <c t="s" s="6" r="I1024">
        <v>155</v>
      </c>
      <c t="s" s="6" r="L1024">
        <v>156</v>
      </c>
      <c t="s" s="6" r="M1024">
        <v>5005</v>
      </c>
      <c s="6" r="N1024">
        <v>0</v>
      </c>
      <c s="6" r="O1024">
        <v>0</v>
      </c>
      <c t="s" s="6" r="R1024">
        <v>7606</v>
      </c>
      <c t="s" s="6" r="S1024">
        <v>7607</v>
      </c>
      <c t="s" s="6" r="T1024">
        <v>7122</v>
      </c>
      <c t="s" s="6" r="U1024">
        <v>7608</v>
      </c>
      <c s="6" r="V1024">
        <v>1</v>
      </c>
      <c s="6" r="W1024">
        <v>0</v>
      </c>
      <c s="6" r="X1024">
        <v>0</v>
      </c>
      <c s="6" r="Y1024">
        <v>0</v>
      </c>
      <c s="6" r="Z1024">
        <v>0</v>
      </c>
      <c s="6" r="AA1024">
        <v>5</v>
      </c>
      <c s="6" r="AB1024">
        <v>5</v>
      </c>
      <c t="s" s="6" r="AC1024">
        <v>92</v>
      </c>
      <c s="6" r="AD1024">
        <v>4</v>
      </c>
      <c t="s" s="6" r="AE1024">
        <v>92</v>
      </c>
      <c s="6" r="AF1024">
        <v>4</v>
      </c>
      <c t="s" s="6" r="AG1024">
        <v>92</v>
      </c>
      <c s="6" r="AH1024">
        <v>4</v>
      </c>
      <c t="s" s="6" r="AI1024">
        <v>92</v>
      </c>
      <c t="s" s="6" r="AJ1024">
        <v>92</v>
      </c>
      <c t="s" s="6" r="AK1024">
        <v>92</v>
      </c>
      <c t="s" s="6" r="AL1024">
        <v>92</v>
      </c>
      <c t="s" s="6" r="AM1024">
        <v>92</v>
      </c>
      <c t="s" s="6" r="AN1024">
        <v>92</v>
      </c>
      <c s="6" r="AP1024">
        <v>5</v>
      </c>
      <c t="s" s="6" r="AR1024">
        <v>7609</v>
      </c>
      <c s="6" r="AS1024">
        <v>0</v>
      </c>
      <c s="6" r="AT1024">
        <v>0</v>
      </c>
      <c s="6" r="AU1024">
        <v>0</v>
      </c>
      <c s="6" r="AV1024">
        <v>0</v>
      </c>
      <c s="6" r="AW1024">
        <v>0</v>
      </c>
      <c s="6" r="AX1024">
        <v>0</v>
      </c>
      <c s="6" r="AY1024">
        <v>0</v>
      </c>
      <c s="6" r="AZ1024">
        <v>0</v>
      </c>
      <c s="6" r="BA1024">
        <v>0</v>
      </c>
      <c s="6" r="BB1024">
        <v>0</v>
      </c>
      <c s="6" r="BC1024">
        <v>0</v>
      </c>
      <c s="6" r="BD1024">
        <v>0</v>
      </c>
      <c s="6" r="BE1024">
        <v>0</v>
      </c>
      <c s="6" r="BF1024">
        <v>0</v>
      </c>
      <c s="6" r="BG1024">
        <v>0</v>
      </c>
      <c s="6" r="BH1024">
        <v>0</v>
      </c>
      <c s="6" r="BI1024">
        <v>0</v>
      </c>
      <c s="6" r="BJ1024">
        <v>0</v>
      </c>
      <c s="6" r="BK1024">
        <v>0</v>
      </c>
      <c s="6" r="BL1024">
        <v>0</v>
      </c>
      <c s="6" r="BM1024">
        <v>0</v>
      </c>
      <c s="6" r="BN1024">
        <v>0</v>
      </c>
      <c s="6" r="BO1024">
        <v>0</v>
      </c>
      <c s="6" r="BP1024">
        <v>1</v>
      </c>
      <c s="6" r="BQ1024">
        <v>0</v>
      </c>
      <c t="str" s="6" r="BR1024">
        <f>HYPERLINK("http://www.d20pfsrd.com/magic/all-spells/e/echolocation","Echolocation")</f>
        <v>Echolocation</v>
      </c>
      <c s="6" r="BS1024">
        <v>1046</v>
      </c>
      <c t="s" s="6" r="BT1024">
        <v>92</v>
      </c>
      <c s="6" r="BY1024">
        <v>0</v>
      </c>
    </row>
    <row customHeight="1" r="1025" ht="14.25">
      <c t="s" s="6" r="A1025">
        <v>7610</v>
      </c>
      <c t="s" s="6" r="B1025">
        <v>227</v>
      </c>
      <c t="s" s="6" r="D1025">
        <v>7611</v>
      </c>
      <c t="s" s="6" r="E1025">
        <v>7612</v>
      </c>
      <c t="s" s="6" r="F1025">
        <v>7613</v>
      </c>
      <c t="s" s="6" r="G1025">
        <v>106</v>
      </c>
      <c s="6" r="H1025">
        <v>0</v>
      </c>
      <c t="s" s="6" r="I1025">
        <v>107</v>
      </c>
      <c t="s" s="6" r="L1025">
        <v>1235</v>
      </c>
      <c t="s" s="6" r="M1025">
        <v>109</v>
      </c>
      <c s="6" r="N1025">
        <v>0</v>
      </c>
      <c s="6" r="O1025">
        <v>0</v>
      </c>
      <c t="s" s="6" r="P1025">
        <v>187</v>
      </c>
      <c t="s" s="6" r="Q1025">
        <v>188</v>
      </c>
      <c t="s" s="6" r="R1025">
        <v>7614</v>
      </c>
      <c t="s" s="6" r="S1025">
        <v>7615</v>
      </c>
      <c t="s" s="6" r="T1025">
        <v>7122</v>
      </c>
      <c t="s" s="6" r="U1025">
        <v>7616</v>
      </c>
      <c s="6" r="V1025">
        <v>1</v>
      </c>
      <c s="6" r="W1025">
        <v>1</v>
      </c>
      <c s="6" r="X1025">
        <v>0</v>
      </c>
      <c s="6" r="Y1025">
        <v>0</v>
      </c>
      <c s="6" r="Z1025">
        <v>0</v>
      </c>
      <c s="6" r="AA1025">
        <v>3</v>
      </c>
      <c s="6" r="AB1025">
        <v>3</v>
      </c>
      <c t="s" s="6" r="AC1025">
        <v>92</v>
      </c>
      <c t="s" s="6" r="AD1025">
        <v>92</v>
      </c>
      <c t="s" s="6" r="AE1025">
        <v>92</v>
      </c>
      <c t="s" s="6" r="AF1025">
        <v>92</v>
      </c>
      <c t="s" s="6" r="AG1025">
        <v>92</v>
      </c>
      <c t="s" s="6" r="AH1025">
        <v>92</v>
      </c>
      <c t="s" s="6" r="AI1025">
        <v>92</v>
      </c>
      <c s="6" r="AJ1025">
        <v>3</v>
      </c>
      <c s="6" r="AK1025">
        <v>3</v>
      </c>
      <c t="s" s="6" r="AL1025">
        <v>92</v>
      </c>
      <c t="s" s="6" r="AM1025">
        <v>92</v>
      </c>
      <c t="s" s="6" r="AN1025">
        <v>92</v>
      </c>
      <c s="6" r="AP1025">
        <v>3</v>
      </c>
      <c t="s" s="6" r="AR1025">
        <v>7617</v>
      </c>
      <c s="6" r="AS1025">
        <v>0</v>
      </c>
      <c s="6" r="AT1025">
        <v>0</v>
      </c>
      <c s="6" r="AU1025">
        <v>0</v>
      </c>
      <c s="6" r="AV1025">
        <v>0</v>
      </c>
      <c s="6" r="AW1025">
        <v>1</v>
      </c>
      <c s="6" r="AX1025">
        <v>0</v>
      </c>
      <c s="6" r="AY1025">
        <v>0</v>
      </c>
      <c s="6" r="AZ1025">
        <v>1</v>
      </c>
      <c s="6" r="BA1025">
        <v>0</v>
      </c>
      <c s="6" r="BB1025">
        <v>0</v>
      </c>
      <c s="6" r="BC1025">
        <v>0</v>
      </c>
      <c s="6" r="BD1025">
        <v>1</v>
      </c>
      <c s="6" r="BE1025">
        <v>0</v>
      </c>
      <c s="6" r="BF1025">
        <v>0</v>
      </c>
      <c s="6" r="BG1025">
        <v>0</v>
      </c>
      <c s="6" r="BH1025">
        <v>0</v>
      </c>
      <c s="6" r="BI1025">
        <v>0</v>
      </c>
      <c s="6" r="BJ1025">
        <v>0</v>
      </c>
      <c s="6" r="BK1025">
        <v>0</v>
      </c>
      <c s="6" r="BL1025">
        <v>0</v>
      </c>
      <c s="6" r="BM1025">
        <v>0</v>
      </c>
      <c s="6" r="BN1025">
        <v>0</v>
      </c>
      <c s="6" r="BO1025">
        <v>0</v>
      </c>
      <c s="6" r="BP1025">
        <v>0</v>
      </c>
      <c s="6" r="BQ1025">
        <v>0</v>
      </c>
      <c t="str" s="6" r="BR1025">
        <f>HYPERLINK("http://www.d20pfsrd.com/magic/all-spells/e/eldritch-fever","Eldritch Fever")</f>
        <v>Eldritch Fever</v>
      </c>
      <c s="6" r="BS1025">
        <v>1047</v>
      </c>
      <c t="s" s="6" r="BT1025">
        <v>92</v>
      </c>
      <c s="6" r="BY1025">
        <v>0</v>
      </c>
    </row>
    <row customHeight="1" r="1026" ht="14.25">
      <c t="s" s="6" r="A1026">
        <v>7618</v>
      </c>
      <c t="s" s="6" r="B1026">
        <v>115</v>
      </c>
      <c t="s" s="6" r="C1026">
        <v>116</v>
      </c>
      <c t="s" s="6" r="D1026">
        <v>7379</v>
      </c>
      <c t="s" s="6" r="E1026">
        <v>7619</v>
      </c>
      <c t="s" s="6" r="F1026">
        <v>81</v>
      </c>
      <c t="s" s="6" r="G1026">
        <v>106</v>
      </c>
      <c s="6" r="H1026">
        <v>0</v>
      </c>
      <c t="s" s="6" r="I1026">
        <v>97</v>
      </c>
      <c t="s" s="6" r="L1026">
        <v>620</v>
      </c>
      <c t="s" s="6" r="M1026">
        <v>99</v>
      </c>
      <c s="6" r="N1026">
        <v>0</v>
      </c>
      <c s="6" r="O1026">
        <v>0</v>
      </c>
      <c t="s" s="6" r="P1026">
        <v>221</v>
      </c>
      <c t="s" s="6" r="Q1026">
        <v>188</v>
      </c>
      <c t="s" s="6" r="R1026">
        <v>7620</v>
      </c>
      <c t="s" s="6" r="S1026">
        <v>7621</v>
      </c>
      <c t="s" s="6" r="T1026">
        <v>7122</v>
      </c>
      <c t="s" s="6" r="U1026">
        <v>7622</v>
      </c>
      <c s="6" r="V1026">
        <v>1</v>
      </c>
      <c s="6" r="W1026">
        <v>1</v>
      </c>
      <c s="6" r="X1026">
        <v>0</v>
      </c>
      <c s="6" r="Y1026">
        <v>0</v>
      </c>
      <c s="6" r="Z1026">
        <v>0</v>
      </c>
      <c s="6" r="AA1026">
        <v>6</v>
      </c>
      <c s="6" r="AB1026">
        <v>6</v>
      </c>
      <c t="s" s="6" r="AC1026">
        <v>92</v>
      </c>
      <c t="s" s="6" r="AD1026">
        <v>92</v>
      </c>
      <c t="s" s="6" r="AE1026">
        <v>92</v>
      </c>
      <c s="6" r="AF1026">
        <v>4</v>
      </c>
      <c t="s" s="6" r="AG1026">
        <v>92</v>
      </c>
      <c t="s" s="6" r="AH1026">
        <v>92</v>
      </c>
      <c t="s" s="6" r="AI1026">
        <v>92</v>
      </c>
      <c t="s" s="6" r="AJ1026">
        <v>92</v>
      </c>
      <c t="s" s="6" r="AK1026">
        <v>92</v>
      </c>
      <c t="s" s="6" r="AL1026">
        <v>92</v>
      </c>
      <c t="s" s="6" r="AM1026">
        <v>92</v>
      </c>
      <c t="s" s="6" r="AN1026">
        <v>92</v>
      </c>
      <c s="6" r="AP1026">
        <v>6</v>
      </c>
      <c t="s" s="6" r="AR1026">
        <v>7623</v>
      </c>
      <c s="6" r="AS1026">
        <v>0</v>
      </c>
      <c s="6" r="AT1026">
        <v>0</v>
      </c>
      <c s="6" r="AU1026">
        <v>0</v>
      </c>
      <c s="6" r="AV1026">
        <v>0</v>
      </c>
      <c s="6" r="AW1026">
        <v>0</v>
      </c>
      <c s="6" r="AX1026">
        <v>0</v>
      </c>
      <c s="6" r="AY1026">
        <v>0</v>
      </c>
      <c s="6" r="AZ1026">
        <v>0</v>
      </c>
      <c s="6" r="BA1026">
        <v>0</v>
      </c>
      <c s="6" r="BB1026">
        <v>0</v>
      </c>
      <c s="6" r="BC1026">
        <v>1</v>
      </c>
      <c s="6" r="BD1026">
        <v>0</v>
      </c>
      <c s="6" r="BE1026">
        <v>0</v>
      </c>
      <c s="6" r="BF1026">
        <v>0</v>
      </c>
      <c s="6" r="BG1026">
        <v>0</v>
      </c>
      <c s="6" r="BH1026">
        <v>0</v>
      </c>
      <c s="6" r="BI1026">
        <v>0</v>
      </c>
      <c s="6" r="BJ1026">
        <v>0</v>
      </c>
      <c s="6" r="BK1026">
        <v>0</v>
      </c>
      <c s="6" r="BL1026">
        <v>1</v>
      </c>
      <c s="6" r="BM1026">
        <v>0</v>
      </c>
      <c s="6" r="BN1026">
        <v>0</v>
      </c>
      <c s="6" r="BO1026">
        <v>0</v>
      </c>
      <c s="6" r="BP1026">
        <v>0</v>
      </c>
      <c s="6" r="BQ1026">
        <v>0</v>
      </c>
      <c t="str" s="6" r="BR1026">
        <f>HYPERLINK("http://www.d20pfsrd.com/magic/all-spells/e/envious-urge","Envious Urge")</f>
        <v>Envious Urge</v>
      </c>
      <c s="6" r="BS1026">
        <v>1048</v>
      </c>
      <c t="s" s="6" r="BT1026">
        <v>92</v>
      </c>
      <c t="s" s="6" r="BV1026">
        <v>2317</v>
      </c>
      <c s="6" r="BY1026">
        <v>0</v>
      </c>
    </row>
    <row customHeight="1" r="1027" ht="14.25">
      <c t="s" s="6" r="A1027">
        <v>7624</v>
      </c>
      <c t="s" s="6" r="B1027">
        <v>227</v>
      </c>
      <c t="s" s="6" r="D1027">
        <v>7394</v>
      </c>
      <c t="s" s="6" r="E1027">
        <v>7625</v>
      </c>
      <c t="s" s="6" r="F1027">
        <v>81</v>
      </c>
      <c t="s" s="6" r="G1027">
        <v>106</v>
      </c>
      <c s="6" r="H1027">
        <v>0</v>
      </c>
      <c t="s" s="6" r="I1027">
        <v>107</v>
      </c>
      <c t="s" s="6" r="L1027">
        <v>7626</v>
      </c>
      <c t="s" s="6" r="M1027">
        <v>109</v>
      </c>
      <c s="6" r="N1027">
        <v>0</v>
      </c>
      <c s="6" r="O1027">
        <v>0</v>
      </c>
      <c t="s" s="6" r="P1027">
        <v>187</v>
      </c>
      <c t="s" s="6" r="Q1027">
        <v>188</v>
      </c>
      <c t="s" s="6" r="R1027">
        <v>7627</v>
      </c>
      <c t="s" s="6" r="S1027">
        <v>7628</v>
      </c>
      <c t="s" s="6" r="T1027">
        <v>7122</v>
      </c>
      <c t="s" s="6" r="U1027">
        <v>7629</v>
      </c>
      <c s="6" r="V1027">
        <v>1</v>
      </c>
      <c s="6" r="W1027">
        <v>1</v>
      </c>
      <c s="6" r="X1027">
        <v>0</v>
      </c>
      <c s="6" r="Y1027">
        <v>0</v>
      </c>
      <c s="6" r="Z1027">
        <v>0</v>
      </c>
      <c s="6" r="AA1027">
        <v>7</v>
      </c>
      <c s="6" r="AB1027">
        <v>7</v>
      </c>
      <c s="6" r="AC1027">
        <v>6</v>
      </c>
      <c s="6" r="AD1027">
        <v>6</v>
      </c>
      <c t="s" s="6" r="AE1027">
        <v>92</v>
      </c>
      <c t="s" s="6" r="AF1027">
        <v>92</v>
      </c>
      <c t="s" s="6" r="AG1027">
        <v>92</v>
      </c>
      <c t="s" s="6" r="AH1027">
        <v>92</v>
      </c>
      <c t="s" s="6" r="AI1027">
        <v>92</v>
      </c>
      <c s="6" r="AJ1027">
        <v>6</v>
      </c>
      <c t="s" s="6" r="AK1027">
        <v>92</v>
      </c>
      <c s="6" r="AL1027">
        <v>6</v>
      </c>
      <c t="s" s="6" r="AM1027">
        <v>92</v>
      </c>
      <c t="s" s="6" r="AN1027">
        <v>92</v>
      </c>
      <c s="6" r="AP1027">
        <v>7</v>
      </c>
      <c t="s" s="6" r="AR1027">
        <v>7630</v>
      </c>
      <c s="6" r="AS1027">
        <v>0</v>
      </c>
      <c s="6" r="AT1027">
        <v>0</v>
      </c>
      <c s="6" r="AU1027">
        <v>0</v>
      </c>
      <c s="6" r="AV1027">
        <v>0</v>
      </c>
      <c s="6" r="AW1027">
        <v>0</v>
      </c>
      <c s="6" r="AX1027">
        <v>0</v>
      </c>
      <c s="6" r="AY1027">
        <v>0</v>
      </c>
      <c s="6" r="AZ1027">
        <v>1</v>
      </c>
      <c s="6" r="BA1027">
        <v>0</v>
      </c>
      <c s="6" r="BB1027">
        <v>0</v>
      </c>
      <c s="6" r="BC1027">
        <v>0</v>
      </c>
      <c s="6" r="BD1027">
        <v>1</v>
      </c>
      <c s="6" r="BE1027">
        <v>0</v>
      </c>
      <c s="6" r="BF1027">
        <v>0</v>
      </c>
      <c s="6" r="BG1027">
        <v>0</v>
      </c>
      <c s="6" r="BH1027">
        <v>0</v>
      </c>
      <c s="6" r="BI1027">
        <v>0</v>
      </c>
      <c s="6" r="BJ1027">
        <v>0</v>
      </c>
      <c s="6" r="BK1027">
        <v>0</v>
      </c>
      <c s="6" r="BL1027">
        <v>0</v>
      </c>
      <c s="6" r="BM1027">
        <v>0</v>
      </c>
      <c s="6" r="BN1027">
        <v>0</v>
      </c>
      <c s="6" r="BO1027">
        <v>0</v>
      </c>
      <c s="6" r="BP1027">
        <v>0</v>
      </c>
      <c s="6" r="BQ1027">
        <v>0</v>
      </c>
      <c t="str" s="6" r="BR1027">
        <f>HYPERLINK("http://www.d20pfsrd.com/magic/all-spells/e/epidemic","Epidemic")</f>
        <v>Epidemic</v>
      </c>
      <c s="6" r="BS1027">
        <v>1049</v>
      </c>
      <c t="s" s="6" r="BT1027">
        <v>92</v>
      </c>
      <c s="6" r="BY1027">
        <v>0</v>
      </c>
    </row>
    <row customHeight="1" r="1028" ht="14.25">
      <c t="s" s="6" r="A1028">
        <v>7631</v>
      </c>
      <c t="s" s="6" r="B1028">
        <v>131</v>
      </c>
      <c t="s" s="6" r="D1028">
        <v>44</v>
      </c>
      <c t="s" s="6" r="E1028">
        <v>7632</v>
      </c>
      <c t="s" s="6" r="F1028">
        <v>81</v>
      </c>
      <c t="s" s="6" r="G1028">
        <v>106</v>
      </c>
      <c s="6" r="H1028">
        <v>0</v>
      </c>
      <c t="s" s="6" r="I1028">
        <v>155</v>
      </c>
      <c t="s" s="6" r="L1028">
        <v>156</v>
      </c>
      <c t="s" s="6" r="M1028">
        <v>5513</v>
      </c>
      <c s="6" r="N1028">
        <v>1</v>
      </c>
      <c s="6" r="O1028">
        <v>0</v>
      </c>
      <c t="s" s="6" r="P1028">
        <v>7597</v>
      </c>
      <c t="s" s="6" r="Q1028">
        <v>188</v>
      </c>
      <c t="s" s="6" r="R1028">
        <v>7633</v>
      </c>
      <c t="s" s="6" r="S1028">
        <v>7634</v>
      </c>
      <c t="s" s="6" r="T1028">
        <v>7122</v>
      </c>
      <c t="s" s="6" r="U1028">
        <v>7635</v>
      </c>
      <c s="6" r="V1028">
        <v>1</v>
      </c>
      <c s="6" r="W1028">
        <v>1</v>
      </c>
      <c s="6" r="X1028">
        <v>0</v>
      </c>
      <c s="6" r="Y1028">
        <v>0</v>
      </c>
      <c s="6" r="Z1028">
        <v>0</v>
      </c>
      <c s="6" r="AA1028">
        <v>3</v>
      </c>
      <c s="6" r="AB1028">
        <v>3</v>
      </c>
      <c t="s" s="6" r="AC1028">
        <v>92</v>
      </c>
      <c t="s" s="6" r="AD1028">
        <v>92</v>
      </c>
      <c t="s" s="6" r="AE1028">
        <v>92</v>
      </c>
      <c t="s" s="6" r="AF1028">
        <v>92</v>
      </c>
      <c t="s" s="6" r="AG1028">
        <v>92</v>
      </c>
      <c s="6" r="AH1028">
        <v>3</v>
      </c>
      <c t="s" s="6" r="AI1028">
        <v>92</v>
      </c>
      <c s="6" r="AJ1028">
        <v>3</v>
      </c>
      <c t="s" s="6" r="AK1028">
        <v>92</v>
      </c>
      <c t="s" s="6" r="AL1028">
        <v>92</v>
      </c>
      <c t="s" s="6" r="AM1028">
        <v>92</v>
      </c>
      <c t="s" s="6" r="AN1028">
        <v>92</v>
      </c>
      <c s="6" r="AP1028">
        <v>3</v>
      </c>
      <c t="s" s="6" r="AR1028">
        <v>7636</v>
      </c>
      <c s="6" r="AS1028">
        <v>1</v>
      </c>
      <c s="6" r="AT1028">
        <v>0</v>
      </c>
      <c s="6" r="AU1028">
        <v>0</v>
      </c>
      <c s="6" r="AV1028">
        <v>0</v>
      </c>
      <c s="6" r="AW1028">
        <v>0</v>
      </c>
      <c s="6" r="AX1028">
        <v>0</v>
      </c>
      <c s="6" r="AY1028">
        <v>0</v>
      </c>
      <c s="6" r="AZ1028">
        <v>0</v>
      </c>
      <c s="6" r="BA1028">
        <v>0</v>
      </c>
      <c s="6" r="BB1028">
        <v>0</v>
      </c>
      <c s="6" r="BC1028">
        <v>0</v>
      </c>
      <c s="6" r="BD1028">
        <v>0</v>
      </c>
      <c s="6" r="BE1028">
        <v>0</v>
      </c>
      <c s="6" r="BF1028">
        <v>0</v>
      </c>
      <c s="6" r="BG1028">
        <v>0</v>
      </c>
      <c s="6" r="BH1028">
        <v>0</v>
      </c>
      <c s="6" r="BI1028">
        <v>0</v>
      </c>
      <c s="6" r="BJ1028">
        <v>0</v>
      </c>
      <c s="6" r="BK1028">
        <v>0</v>
      </c>
      <c s="6" r="BL1028">
        <v>0</v>
      </c>
      <c s="6" r="BM1028">
        <v>0</v>
      </c>
      <c s="6" r="BN1028">
        <v>0</v>
      </c>
      <c s="6" r="BO1028">
        <v>0</v>
      </c>
      <c s="6" r="BP1028">
        <v>0</v>
      </c>
      <c s="6" r="BQ1028">
        <v>0</v>
      </c>
      <c t="str" s="6" r="BR1028">
        <f>HYPERLINK("http://www.d20pfsrd.com/magic/all-spells/e/eruptive-pustules","Eruptive Pustules")</f>
        <v>Eruptive Pustules</v>
      </c>
      <c s="6" r="BS1028">
        <v>1050</v>
      </c>
      <c t="s" s="6" r="BT1028">
        <v>92</v>
      </c>
      <c s="6" r="BY1028">
        <v>0</v>
      </c>
    </row>
    <row customHeight="1" r="1029" ht="14.25">
      <c t="s" s="6" r="A1029">
        <v>7637</v>
      </c>
      <c t="s" s="6" r="B1029">
        <v>131</v>
      </c>
      <c t="s" s="6" r="C1029">
        <v>152</v>
      </c>
      <c t="s" s="6" r="D1029">
        <v>4381</v>
      </c>
      <c t="s" s="6" r="E1029">
        <v>6274</v>
      </c>
      <c t="s" s="6" r="F1029">
        <v>81</v>
      </c>
      <c t="s" s="6" r="G1029">
        <v>106</v>
      </c>
      <c s="6" r="H1029">
        <v>0</v>
      </c>
      <c t="s" s="6" r="I1029">
        <v>120</v>
      </c>
      <c t="s" s="6" r="L1029">
        <v>420</v>
      </c>
      <c t="s" s="6" r="M1029">
        <v>99</v>
      </c>
      <c s="6" r="N1029">
        <v>0</v>
      </c>
      <c s="6" r="O1029">
        <v>0</v>
      </c>
      <c t="s" s="6" r="P1029">
        <v>7597</v>
      </c>
      <c t="s" s="6" r="Q1029">
        <v>188</v>
      </c>
      <c t="s" s="6" r="R1029">
        <v>7638</v>
      </c>
      <c t="s" s="6" r="S1029">
        <v>7639</v>
      </c>
      <c t="s" s="6" r="T1029">
        <v>7122</v>
      </c>
      <c t="s" s="6" r="U1029">
        <v>7640</v>
      </c>
      <c s="6" r="V1029">
        <v>1</v>
      </c>
      <c s="6" r="W1029">
        <v>1</v>
      </c>
      <c s="6" r="X1029">
        <v>0</v>
      </c>
      <c s="6" r="Y1029">
        <v>0</v>
      </c>
      <c s="6" r="Z1029">
        <v>0</v>
      </c>
      <c s="6" r="AA1029">
        <v>3</v>
      </c>
      <c s="6" r="AB1029">
        <v>3</v>
      </c>
      <c t="s" s="6" r="AC1029">
        <v>92</v>
      </c>
      <c t="s" s="6" r="AD1029">
        <v>92</v>
      </c>
      <c t="s" s="6" r="AE1029">
        <v>92</v>
      </c>
      <c t="s" s="6" r="AF1029">
        <v>92</v>
      </c>
      <c t="s" s="6" r="AG1029">
        <v>92</v>
      </c>
      <c t="s" s="6" r="AH1029">
        <v>92</v>
      </c>
      <c t="s" s="6" r="AI1029">
        <v>92</v>
      </c>
      <c s="6" r="AJ1029">
        <v>3</v>
      </c>
      <c t="s" s="6" r="AK1029">
        <v>92</v>
      </c>
      <c t="s" s="6" r="AL1029">
        <v>92</v>
      </c>
      <c t="s" s="6" r="AM1029">
        <v>92</v>
      </c>
      <c t="s" s="6" r="AN1029">
        <v>92</v>
      </c>
      <c s="6" r="AP1029">
        <v>3</v>
      </c>
      <c t="s" s="6" r="AR1029">
        <v>7641</v>
      </c>
      <c s="6" r="AS1029">
        <v>0</v>
      </c>
      <c s="6" r="AT1029">
        <v>0</v>
      </c>
      <c s="6" r="AU1029">
        <v>0</v>
      </c>
      <c s="6" r="AV1029">
        <v>0</v>
      </c>
      <c s="6" r="AW1029">
        <v>0</v>
      </c>
      <c s="6" r="AX1029">
        <v>0</v>
      </c>
      <c s="6" r="AY1029">
        <v>0</v>
      </c>
      <c s="6" r="AZ1029">
        <v>0</v>
      </c>
      <c s="6" r="BA1029">
        <v>0</v>
      </c>
      <c s="6" r="BB1029">
        <v>0</v>
      </c>
      <c s="6" r="BC1029">
        <v>0</v>
      </c>
      <c s="6" r="BD1029">
        <v>1</v>
      </c>
      <c s="6" r="BE1029">
        <v>0</v>
      </c>
      <c s="6" r="BF1029">
        <v>0</v>
      </c>
      <c s="6" r="BG1029">
        <v>0</v>
      </c>
      <c s="6" r="BH1029">
        <v>0</v>
      </c>
      <c s="6" r="BI1029">
        <v>0</v>
      </c>
      <c s="6" r="BJ1029">
        <v>0</v>
      </c>
      <c s="6" r="BK1029">
        <v>0</v>
      </c>
      <c s="6" r="BL1029">
        <v>0</v>
      </c>
      <c s="6" r="BM1029">
        <v>1</v>
      </c>
      <c s="6" r="BN1029">
        <v>0</v>
      </c>
      <c s="6" r="BO1029">
        <v>0</v>
      </c>
      <c s="6" r="BP1029">
        <v>0</v>
      </c>
      <c s="6" r="BQ1029">
        <v>0</v>
      </c>
      <c t="str" s="6" r="BR1029">
        <f>HYPERLINK("http://www.d20pfsrd.com/magic/all-spells/e/excruciating-deformation","Excruciating Deformation")</f>
        <v>Excruciating Deformation</v>
      </c>
      <c s="6" r="BS1029">
        <v>1051</v>
      </c>
      <c t="s" s="6" r="BT1029">
        <v>92</v>
      </c>
      <c s="6" r="BY1029">
        <v>0</v>
      </c>
    </row>
    <row customHeight="1" r="1030" ht="14.25">
      <c t="s" s="6" r="A1030">
        <v>7642</v>
      </c>
      <c t="s" s="6" r="B1030">
        <v>579</v>
      </c>
      <c t="s" s="6" r="C1030">
        <v>66</v>
      </c>
      <c t="s" s="6" r="D1030">
        <v>66</v>
      </c>
      <c t="s" s="6" r="E1030">
        <v>2085</v>
      </c>
      <c t="s" s="6" r="F1030">
        <v>81</v>
      </c>
      <c t="s" s="6" r="G1030">
        <v>106</v>
      </c>
      <c s="6" r="H1030">
        <v>0</v>
      </c>
      <c t="s" s="6" r="I1030">
        <v>155</v>
      </c>
      <c t="s" s="6" r="K1030">
        <v>7643</v>
      </c>
      <c t="s" s="6" r="M1030">
        <v>483</v>
      </c>
      <c s="6" r="N1030">
        <v>1</v>
      </c>
      <c s="6" r="O1030">
        <v>0</v>
      </c>
      <c t="s" s="6" r="P1030">
        <v>86</v>
      </c>
      <c t="s" s="6" r="Q1030">
        <v>87</v>
      </c>
      <c t="s" s="6" r="R1030">
        <v>7644</v>
      </c>
      <c t="s" s="6" r="S1030">
        <v>7645</v>
      </c>
      <c t="s" s="6" r="T1030">
        <v>7122</v>
      </c>
      <c t="s" s="6" r="U1030">
        <v>7646</v>
      </c>
      <c s="6" r="V1030">
        <v>1</v>
      </c>
      <c s="6" r="W1030">
        <v>1</v>
      </c>
      <c s="6" r="X1030">
        <v>0</v>
      </c>
      <c s="6" r="Y1030">
        <v>0</v>
      </c>
      <c s="6" r="Z1030">
        <v>0</v>
      </c>
      <c t="s" s="6" r="AA1030">
        <v>92</v>
      </c>
      <c t="s" s="6" r="AB1030">
        <v>92</v>
      </c>
      <c t="s" s="6" r="AC1030">
        <v>92</v>
      </c>
      <c t="s" s="6" r="AD1030">
        <v>92</v>
      </c>
      <c t="s" s="6" r="AE1030">
        <v>92</v>
      </c>
      <c s="6" r="AF1030">
        <v>3</v>
      </c>
      <c t="s" s="6" r="AG1030">
        <v>92</v>
      </c>
      <c t="s" s="6" r="AH1030">
        <v>92</v>
      </c>
      <c t="s" s="6" r="AI1030">
        <v>92</v>
      </c>
      <c t="s" s="6" r="AJ1030">
        <v>92</v>
      </c>
      <c t="s" s="6" r="AK1030">
        <v>92</v>
      </c>
      <c t="s" s="6" r="AL1030">
        <v>92</v>
      </c>
      <c t="s" s="6" r="AM1030">
        <v>92</v>
      </c>
      <c t="s" s="6" r="AN1030">
        <v>92</v>
      </c>
      <c s="6" r="AP1030">
        <v>3</v>
      </c>
      <c t="s" s="6" r="AR1030">
        <v>7647</v>
      </c>
      <c s="6" r="AS1030">
        <v>0</v>
      </c>
      <c s="6" r="AT1030">
        <v>0</v>
      </c>
      <c s="6" r="AU1030">
        <v>0</v>
      </c>
      <c s="6" r="AV1030">
        <v>0</v>
      </c>
      <c s="6" r="AW1030">
        <v>0</v>
      </c>
      <c s="6" r="AX1030">
        <v>0</v>
      </c>
      <c s="6" r="AY1030">
        <v>0</v>
      </c>
      <c s="6" r="AZ1030">
        <v>0</v>
      </c>
      <c s="6" r="BA1030">
        <v>0</v>
      </c>
      <c s="6" r="BB1030">
        <v>0</v>
      </c>
      <c s="6" r="BC1030">
        <v>0</v>
      </c>
      <c s="6" r="BD1030">
        <v>0</v>
      </c>
      <c s="6" r="BE1030">
        <v>0</v>
      </c>
      <c s="6" r="BF1030">
        <v>0</v>
      </c>
      <c s="6" r="BG1030">
        <v>0</v>
      </c>
      <c s="6" r="BH1030">
        <v>0</v>
      </c>
      <c s="6" r="BI1030">
        <v>0</v>
      </c>
      <c s="6" r="BJ1030">
        <v>0</v>
      </c>
      <c s="6" r="BK1030">
        <v>0</v>
      </c>
      <c s="6" r="BL1030">
        <v>0</v>
      </c>
      <c s="6" r="BM1030">
        <v>0</v>
      </c>
      <c s="6" r="BN1030">
        <v>0</v>
      </c>
      <c s="6" r="BO1030">
        <v>1</v>
      </c>
      <c s="6" r="BP1030">
        <v>0</v>
      </c>
      <c s="6" r="BQ1030">
        <v>0</v>
      </c>
      <c t="str" s="6" r="BR1030">
        <f>HYPERLINK("http://www.d20pfsrd.com/magic/all-spells/e/exquisite-accompaniment","Exquisite Accompaniment")</f>
        <v>Exquisite Accompaniment</v>
      </c>
      <c s="6" r="BS1030">
        <v>1052</v>
      </c>
      <c t="s" s="6" r="BT1030">
        <v>92</v>
      </c>
      <c s="6" r="BY1030">
        <v>0</v>
      </c>
    </row>
    <row customHeight="1" r="1031" ht="14.25">
      <c t="s" s="6" r="A1031">
        <v>7648</v>
      </c>
      <c t="s" s="6" r="B1031">
        <v>227</v>
      </c>
      <c t="s" s="6" r="E1031">
        <v>7649</v>
      </c>
      <c t="s" s="6" r="F1031">
        <v>81</v>
      </c>
      <c t="s" s="6" r="G1031">
        <v>1727</v>
      </c>
      <c s="6" r="H1031">
        <v>0</v>
      </c>
      <c t="s" s="6" r="I1031">
        <v>155</v>
      </c>
      <c t="s" s="6" r="L1031">
        <v>156</v>
      </c>
      <c t="s" s="6" r="M1031">
        <v>1728</v>
      </c>
      <c s="6" r="N1031">
        <v>0</v>
      </c>
      <c s="6" r="O1031">
        <v>0</v>
      </c>
      <c t="s" s="6" r="R1031">
        <v>7650</v>
      </c>
      <c t="s" s="6" r="S1031">
        <v>7651</v>
      </c>
      <c t="s" s="6" r="T1031">
        <v>7122</v>
      </c>
      <c t="s" s="6" r="U1031">
        <v>7652</v>
      </c>
      <c s="6" r="V1031">
        <v>1</v>
      </c>
      <c s="6" r="W1031">
        <v>1</v>
      </c>
      <c s="6" r="X1031">
        <v>1</v>
      </c>
      <c s="6" r="Y1031">
        <v>0</v>
      </c>
      <c s="6" r="Z1031">
        <v>0</v>
      </c>
      <c s="6" r="AA1031">
        <v>4</v>
      </c>
      <c s="6" r="AB1031">
        <v>4</v>
      </c>
      <c t="s" s="6" r="AC1031">
        <v>92</v>
      </c>
      <c t="s" s="6" r="AD1031">
        <v>92</v>
      </c>
      <c t="s" s="6" r="AE1031">
        <v>92</v>
      </c>
      <c t="s" s="6" r="AF1031">
        <v>92</v>
      </c>
      <c t="s" s="6" r="AG1031">
        <v>92</v>
      </c>
      <c s="6" r="AH1031">
        <v>4</v>
      </c>
      <c t="s" s="6" r="AI1031">
        <v>92</v>
      </c>
      <c s="6" r="AJ1031">
        <v>4</v>
      </c>
      <c t="s" s="6" r="AK1031">
        <v>92</v>
      </c>
      <c t="s" s="6" r="AL1031">
        <v>92</v>
      </c>
      <c t="s" s="6" r="AM1031">
        <v>92</v>
      </c>
      <c t="s" s="6" r="AN1031">
        <v>92</v>
      </c>
      <c s="6" r="AP1031">
        <v>4</v>
      </c>
      <c t="s" s="6" r="AR1031">
        <v>7653</v>
      </c>
      <c s="6" r="AS1031">
        <v>0</v>
      </c>
      <c s="6" r="AT1031">
        <v>0</v>
      </c>
      <c s="6" r="AU1031">
        <v>0</v>
      </c>
      <c s="6" r="AV1031">
        <v>0</v>
      </c>
      <c s="6" r="AW1031">
        <v>0</v>
      </c>
      <c s="6" r="AX1031">
        <v>0</v>
      </c>
      <c s="6" r="AY1031">
        <v>0</v>
      </c>
      <c s="6" r="AZ1031">
        <v>0</v>
      </c>
      <c s="6" r="BA1031">
        <v>0</v>
      </c>
      <c s="6" r="BB1031">
        <v>0</v>
      </c>
      <c s="6" r="BC1031">
        <v>0</v>
      </c>
      <c s="6" r="BD1031">
        <v>0</v>
      </c>
      <c s="6" r="BE1031">
        <v>0</v>
      </c>
      <c s="6" r="BF1031">
        <v>0</v>
      </c>
      <c s="6" r="BG1031">
        <v>0</v>
      </c>
      <c s="6" r="BH1031">
        <v>0</v>
      </c>
      <c s="6" r="BI1031">
        <v>0</v>
      </c>
      <c s="6" r="BJ1031">
        <v>0</v>
      </c>
      <c s="6" r="BK1031">
        <v>0</v>
      </c>
      <c s="6" r="BL1031">
        <v>0</v>
      </c>
      <c s="6" r="BM1031">
        <v>0</v>
      </c>
      <c s="6" r="BN1031">
        <v>0</v>
      </c>
      <c s="6" r="BO1031">
        <v>0</v>
      </c>
      <c s="6" r="BP1031">
        <v>0</v>
      </c>
      <c s="6" r="BQ1031">
        <v>0</v>
      </c>
      <c t="str" s="6" r="BR1031">
        <f>HYPERLINK("http://www.d20pfsrd.com/magic/all-spells/f/false-life","False Life, Greater")</f>
        <v>False Life, Greater</v>
      </c>
      <c s="6" r="BS1031">
        <v>1053</v>
      </c>
      <c t="s" s="6" r="BT1031">
        <v>92</v>
      </c>
      <c s="6" r="BY1031">
        <v>0</v>
      </c>
    </row>
    <row customHeight="1" r="1032" ht="14.25">
      <c t="s" s="6" r="A1032">
        <v>7654</v>
      </c>
      <c t="s" s="6" r="B1032">
        <v>227</v>
      </c>
      <c t="s" s="6" r="E1032">
        <v>1609</v>
      </c>
      <c t="s" s="6" r="F1032">
        <v>81</v>
      </c>
      <c t="s" s="6" r="G1032">
        <v>106</v>
      </c>
      <c s="6" r="H1032">
        <v>0</v>
      </c>
      <c t="s" s="6" r="I1032">
        <v>97</v>
      </c>
      <c t="s" s="6" r="L1032">
        <v>6536</v>
      </c>
      <c t="s" s="6" r="M1032">
        <v>2806</v>
      </c>
      <c s="6" r="N1032">
        <v>0</v>
      </c>
      <c s="6" r="O1032">
        <v>0</v>
      </c>
      <c t="s" s="6" r="P1032">
        <v>421</v>
      </c>
      <c t="s" s="6" r="Q1032">
        <v>188</v>
      </c>
      <c t="s" s="6" r="R1032">
        <v>7655</v>
      </c>
      <c t="s" s="6" r="S1032">
        <v>7656</v>
      </c>
      <c t="s" s="6" r="T1032">
        <v>7122</v>
      </c>
      <c t="s" s="6" r="U1032">
        <v>7657</v>
      </c>
      <c s="6" r="V1032">
        <v>1</v>
      </c>
      <c s="6" r="W1032">
        <v>1</v>
      </c>
      <c s="6" r="X1032">
        <v>0</v>
      </c>
      <c s="6" r="Y1032">
        <v>0</v>
      </c>
      <c s="6" r="Z1032">
        <v>0</v>
      </c>
      <c s="6" r="AA1032">
        <v>4</v>
      </c>
      <c s="6" r="AB1032">
        <v>4</v>
      </c>
      <c t="s" s="6" r="AC1032">
        <v>92</v>
      </c>
      <c t="s" s="6" r="AD1032">
        <v>92</v>
      </c>
      <c t="s" s="6" r="AE1032">
        <v>92</v>
      </c>
      <c t="s" s="6" r="AF1032">
        <v>92</v>
      </c>
      <c t="s" s="6" r="AG1032">
        <v>92</v>
      </c>
      <c t="s" s="6" r="AH1032">
        <v>92</v>
      </c>
      <c t="s" s="6" r="AI1032">
        <v>92</v>
      </c>
      <c s="6" r="AJ1032">
        <v>4</v>
      </c>
      <c t="s" s="6" r="AK1032">
        <v>92</v>
      </c>
      <c t="s" s="6" r="AL1032">
        <v>92</v>
      </c>
      <c t="s" s="6" r="AM1032">
        <v>92</v>
      </c>
      <c t="s" s="6" r="AN1032">
        <v>92</v>
      </c>
      <c s="6" r="AP1032">
        <v>4</v>
      </c>
      <c t="s" s="6" r="AR1032">
        <v>7658</v>
      </c>
      <c s="6" r="AS1032">
        <v>0</v>
      </c>
      <c s="6" r="AT1032">
        <v>0</v>
      </c>
      <c s="6" r="AU1032">
        <v>0</v>
      </c>
      <c s="6" r="AV1032">
        <v>0</v>
      </c>
      <c s="6" r="AW1032">
        <v>0</v>
      </c>
      <c s="6" r="AX1032">
        <v>0</v>
      </c>
      <c s="6" r="AY1032">
        <v>0</v>
      </c>
      <c s="6" r="AZ1032">
        <v>0</v>
      </c>
      <c s="6" r="BA1032">
        <v>0</v>
      </c>
      <c s="6" r="BB1032">
        <v>0</v>
      </c>
      <c s="6" r="BC1032">
        <v>0</v>
      </c>
      <c s="6" r="BD1032">
        <v>0</v>
      </c>
      <c s="6" r="BE1032">
        <v>0</v>
      </c>
      <c s="6" r="BF1032">
        <v>0</v>
      </c>
      <c s="6" r="BG1032">
        <v>0</v>
      </c>
      <c s="6" r="BH1032">
        <v>0</v>
      </c>
      <c s="6" r="BI1032">
        <v>0</v>
      </c>
      <c s="6" r="BJ1032">
        <v>0</v>
      </c>
      <c s="6" r="BK1032">
        <v>0</v>
      </c>
      <c s="6" r="BL1032">
        <v>0</v>
      </c>
      <c s="6" r="BM1032">
        <v>0</v>
      </c>
      <c s="6" r="BN1032">
        <v>0</v>
      </c>
      <c s="6" r="BO1032">
        <v>0</v>
      </c>
      <c s="6" r="BP1032">
        <v>0</v>
      </c>
      <c s="6" r="BQ1032">
        <v>0</v>
      </c>
      <c t="str" s="6" r="BR1032">
        <f>HYPERLINK("http://www.d20pfsrd.com/magic/all-spells/f/familiar-melding","Familiar Melding")</f>
        <v>Familiar Melding</v>
      </c>
      <c s="6" r="BS1032">
        <v>1054</v>
      </c>
      <c t="s" s="6" r="BT1032">
        <v>92</v>
      </c>
      <c s="6" r="BY1032">
        <v>0</v>
      </c>
    </row>
    <row customHeight="1" r="1033" ht="14.25">
      <c t="s" s="6" r="A1033">
        <v>7659</v>
      </c>
      <c t="s" s="6" r="B1033">
        <v>131</v>
      </c>
      <c t="s" s="6" r="D1033">
        <v>45</v>
      </c>
      <c t="s" s="6" r="E1033">
        <v>7660</v>
      </c>
      <c t="s" s="6" r="F1033">
        <v>81</v>
      </c>
      <c t="s" s="6" r="G1033">
        <v>106</v>
      </c>
      <c s="6" r="H1033">
        <v>0</v>
      </c>
      <c t="s" s="6" r="L1033">
        <v>7661</v>
      </c>
      <c t="s" s="6" r="M1033">
        <v>5513</v>
      </c>
      <c s="6" r="N1033">
        <v>1</v>
      </c>
      <c s="6" r="O1033">
        <v>0</v>
      </c>
      <c t="s" s="6" r="P1033">
        <v>7402</v>
      </c>
      <c t="s" s="6" r="Q1033">
        <v>188</v>
      </c>
      <c t="s" s="6" r="R1033">
        <v>7662</v>
      </c>
      <c t="s" s="6" r="S1033">
        <v>7663</v>
      </c>
      <c t="s" s="6" r="T1033">
        <v>7122</v>
      </c>
      <c t="s" s="6" r="U1033">
        <v>7664</v>
      </c>
      <c s="6" r="V1033">
        <v>1</v>
      </c>
      <c s="6" r="W1033">
        <v>1</v>
      </c>
      <c s="6" r="X1033">
        <v>0</v>
      </c>
      <c s="6" r="Y1033">
        <v>0</v>
      </c>
      <c s="6" r="Z1033">
        <v>0</v>
      </c>
      <c s="6" r="AA1033">
        <v>5</v>
      </c>
      <c s="6" r="AB1033">
        <v>5</v>
      </c>
      <c s="6" r="AC1033">
        <v>5</v>
      </c>
      <c s="6" r="AD1033">
        <v>5</v>
      </c>
      <c s="6" r="AE1033">
        <v>3</v>
      </c>
      <c t="s" s="6" r="AF1033">
        <v>92</v>
      </c>
      <c t="s" s="6" r="AG1033">
        <v>92</v>
      </c>
      <c t="s" s="6" r="AH1033">
        <v>92</v>
      </c>
      <c t="s" s="6" r="AI1033">
        <v>92</v>
      </c>
      <c t="s" s="6" r="AJ1033">
        <v>92</v>
      </c>
      <c t="s" s="6" r="AK1033">
        <v>92</v>
      </c>
      <c s="6" r="AL1033">
        <v>5</v>
      </c>
      <c t="s" s="6" r="AM1033">
        <v>92</v>
      </c>
      <c t="s" s="6" r="AN1033">
        <v>92</v>
      </c>
      <c s="6" r="AP1033">
        <v>5</v>
      </c>
      <c t="s" s="6" r="AR1033">
        <v>7665</v>
      </c>
      <c s="6" r="AS1033">
        <v>0</v>
      </c>
      <c s="6" r="AT1033">
        <v>1</v>
      </c>
      <c s="6" r="AU1033">
        <v>0</v>
      </c>
      <c s="6" r="AV1033">
        <v>0</v>
      </c>
      <c s="6" r="AW1033">
        <v>0</v>
      </c>
      <c s="6" r="AX1033">
        <v>0</v>
      </c>
      <c s="6" r="AY1033">
        <v>0</v>
      </c>
      <c s="6" r="AZ1033">
        <v>0</v>
      </c>
      <c s="6" r="BA1033">
        <v>0</v>
      </c>
      <c s="6" r="BB1033">
        <v>0</v>
      </c>
      <c s="6" r="BC1033">
        <v>0</v>
      </c>
      <c s="6" r="BD1033">
        <v>0</v>
      </c>
      <c s="6" r="BE1033">
        <v>0</v>
      </c>
      <c s="6" r="BF1033">
        <v>0</v>
      </c>
      <c s="6" r="BG1033">
        <v>0</v>
      </c>
      <c s="6" r="BH1033">
        <v>0</v>
      </c>
      <c s="6" r="BI1033">
        <v>0</v>
      </c>
      <c s="6" r="BJ1033">
        <v>0</v>
      </c>
      <c s="6" r="BK1033">
        <v>0</v>
      </c>
      <c s="6" r="BL1033">
        <v>0</v>
      </c>
      <c s="6" r="BM1033">
        <v>0</v>
      </c>
      <c s="6" r="BN1033">
        <v>0</v>
      </c>
      <c s="6" r="BO1033">
        <v>0</v>
      </c>
      <c s="6" r="BP1033">
        <v>0</v>
      </c>
      <c s="6" r="BQ1033">
        <v>0</v>
      </c>
      <c t="str" s="6" r="BR1033">
        <f>HYPERLINK("http://www.d20pfsrd.com/magic/all-spells/f/fickle-winds","Fickle Winds")</f>
        <v>Fickle Winds</v>
      </c>
      <c s="6" r="BS1033">
        <v>1055</v>
      </c>
      <c t="s" s="6" r="BT1033">
        <v>92</v>
      </c>
      <c s="6" r="BY1033">
        <v>0</v>
      </c>
    </row>
    <row customHeight="1" r="1034" ht="14.25">
      <c t="s" s="6" r="A1034">
        <v>7666</v>
      </c>
      <c t="s" s="6" r="B1034">
        <v>78</v>
      </c>
      <c t="s" s="6" r="C1034">
        <v>1042</v>
      </c>
      <c t="s" s="6" r="D1034">
        <v>55</v>
      </c>
      <c t="s" s="6" r="E1034">
        <v>7667</v>
      </c>
      <c t="s" s="6" r="F1034">
        <v>81</v>
      </c>
      <c t="s" s="6" r="G1034">
        <v>106</v>
      </c>
      <c s="6" r="H1034">
        <v>0</v>
      </c>
      <c t="s" s="6" r="I1034">
        <v>120</v>
      </c>
      <c t="s" s="6" r="L1034">
        <v>420</v>
      </c>
      <c t="s" s="6" r="M1034">
        <v>483</v>
      </c>
      <c s="6" r="N1034">
        <v>1</v>
      </c>
      <c s="6" r="O1034">
        <v>0</v>
      </c>
      <c t="s" s="6" r="P1034">
        <v>7597</v>
      </c>
      <c t="s" s="6" r="Q1034">
        <v>188</v>
      </c>
      <c t="s" s="6" r="R1034">
        <v>7668</v>
      </c>
      <c t="s" s="6" r="S1034">
        <v>7669</v>
      </c>
      <c t="s" s="6" r="T1034">
        <v>7122</v>
      </c>
      <c t="s" s="6" r="U1034">
        <v>7670</v>
      </c>
      <c s="6" r="V1034">
        <v>1</v>
      </c>
      <c s="6" r="W1034">
        <v>1</v>
      </c>
      <c s="6" r="X1034">
        <v>0</v>
      </c>
      <c s="6" r="Y1034">
        <v>0</v>
      </c>
      <c s="6" r="Z1034">
        <v>0</v>
      </c>
      <c s="6" r="AA1034">
        <v>4</v>
      </c>
      <c s="6" r="AB1034">
        <v>4</v>
      </c>
      <c s="6" r="AC1034">
        <v>4</v>
      </c>
      <c t="s" s="6" r="AD1034">
        <v>92</v>
      </c>
      <c t="s" s="6" r="AE1034">
        <v>92</v>
      </c>
      <c t="s" s="6" r="AF1034">
        <v>92</v>
      </c>
      <c t="s" s="6" r="AG1034">
        <v>92</v>
      </c>
      <c t="s" s="6" r="AH1034">
        <v>92</v>
      </c>
      <c t="s" s="6" r="AI1034">
        <v>92</v>
      </c>
      <c s="6" r="AJ1034">
        <v>4</v>
      </c>
      <c s="6" r="AK1034">
        <v>4</v>
      </c>
      <c s="6" r="AL1034">
        <v>4</v>
      </c>
      <c t="s" s="6" r="AM1034">
        <v>92</v>
      </c>
      <c t="s" s="6" r="AN1034">
        <v>92</v>
      </c>
      <c s="6" r="AP1034">
        <v>4</v>
      </c>
      <c t="s" s="6" r="AR1034">
        <v>7671</v>
      </c>
      <c s="6" r="AS1034">
        <v>0</v>
      </c>
      <c s="6" r="AT1034">
        <v>0</v>
      </c>
      <c s="6" r="AU1034">
        <v>0</v>
      </c>
      <c s="6" r="AV1034">
        <v>0</v>
      </c>
      <c s="6" r="AW1034">
        <v>0</v>
      </c>
      <c s="6" r="AX1034">
        <v>0</v>
      </c>
      <c s="6" r="AY1034">
        <v>0</v>
      </c>
      <c s="6" r="AZ1034">
        <v>0</v>
      </c>
      <c s="6" r="BA1034">
        <v>0</v>
      </c>
      <c s="6" r="BB1034">
        <v>0</v>
      </c>
      <c s="6" r="BC1034">
        <v>0</v>
      </c>
      <c s="6" r="BD1034">
        <v>1</v>
      </c>
      <c s="6" r="BE1034">
        <v>0</v>
      </c>
      <c s="6" r="BF1034">
        <v>0</v>
      </c>
      <c s="6" r="BG1034">
        <v>0</v>
      </c>
      <c s="6" r="BH1034">
        <v>0</v>
      </c>
      <c s="6" r="BI1034">
        <v>0</v>
      </c>
      <c s="6" r="BJ1034">
        <v>0</v>
      </c>
      <c s="6" r="BK1034">
        <v>0</v>
      </c>
      <c s="6" r="BL1034">
        <v>0</v>
      </c>
      <c s="6" r="BM1034">
        <v>0</v>
      </c>
      <c s="6" r="BN1034">
        <v>0</v>
      </c>
      <c s="6" r="BO1034">
        <v>0</v>
      </c>
      <c s="6" r="BP1034">
        <v>0</v>
      </c>
      <c s="6" r="BQ1034">
        <v>0</v>
      </c>
      <c t="s" s="6" r="BR1034">
        <v>92</v>
      </c>
      <c s="6" r="BS1034">
        <v>1056</v>
      </c>
      <c t="s" s="6" r="BT1034">
        <v>92</v>
      </c>
      <c s="6" r="BY1034">
        <v>0</v>
      </c>
    </row>
    <row customHeight="1" r="1035" ht="14.25">
      <c t="s" s="6" r="A1035">
        <v>7672</v>
      </c>
      <c t="s" s="6" r="B1035">
        <v>115</v>
      </c>
      <c t="s" s="6" r="C1035">
        <v>116</v>
      </c>
      <c t="s" s="6" r="D1035">
        <v>841</v>
      </c>
      <c t="s" s="6" r="E1035">
        <v>1266</v>
      </c>
      <c t="s" s="6" r="F1035">
        <v>81</v>
      </c>
      <c t="s" s="6" r="G1035">
        <v>251</v>
      </c>
      <c s="6" r="H1035">
        <v>0</v>
      </c>
      <c t="s" s="6" r="I1035">
        <v>7673</v>
      </c>
      <c t="s" s="6" r="L1035">
        <v>1235</v>
      </c>
      <c t="s" s="6" r="M1035">
        <v>272</v>
      </c>
      <c s="6" r="N1035">
        <v>0</v>
      </c>
      <c s="6" r="O1035">
        <v>0</v>
      </c>
      <c t="s" s="6" r="P1035">
        <v>221</v>
      </c>
      <c t="s" s="6" r="Q1035">
        <v>188</v>
      </c>
      <c t="s" s="6" r="R1035">
        <v>7674</v>
      </c>
      <c t="s" s="6" r="S1035">
        <v>7675</v>
      </c>
      <c t="s" s="6" r="T1035">
        <v>7122</v>
      </c>
      <c t="s" s="6" r="U1035">
        <v>7676</v>
      </c>
      <c s="6" r="V1035">
        <v>1</v>
      </c>
      <c s="6" r="W1035">
        <v>0</v>
      </c>
      <c s="6" r="X1035">
        <v>0</v>
      </c>
      <c s="6" r="Y1035">
        <v>0</v>
      </c>
      <c s="6" r="Z1035">
        <v>0</v>
      </c>
      <c t="s" s="6" r="AA1035">
        <v>92</v>
      </c>
      <c t="s" s="6" r="AB1035">
        <v>92</v>
      </c>
      <c s="6" r="AC1035">
        <v>1</v>
      </c>
      <c t="s" s="6" r="AD1035">
        <v>92</v>
      </c>
      <c t="s" s="6" r="AE1035">
        <v>92</v>
      </c>
      <c t="s" s="6" r="AF1035">
        <v>92</v>
      </c>
      <c t="s" s="6" r="AG1035">
        <v>92</v>
      </c>
      <c t="s" s="6" r="AH1035">
        <v>92</v>
      </c>
      <c t="s" s="6" r="AI1035">
        <v>92</v>
      </c>
      <c t="s" s="6" r="AJ1035">
        <v>92</v>
      </c>
      <c s="6" r="AK1035">
        <v>1</v>
      </c>
      <c s="6" r="AL1035">
        <v>1</v>
      </c>
      <c t="s" s="6" r="AM1035">
        <v>92</v>
      </c>
      <c t="s" s="6" r="AN1035">
        <v>92</v>
      </c>
      <c s="6" r="AP1035">
        <v>1</v>
      </c>
      <c t="s" s="6" r="AR1035">
        <v>7677</v>
      </c>
      <c s="6" r="AS1035">
        <v>0</v>
      </c>
      <c s="6" r="AT1035">
        <v>0</v>
      </c>
      <c s="6" r="AU1035">
        <v>0</v>
      </c>
      <c s="6" r="AV1035">
        <v>0</v>
      </c>
      <c s="6" r="AW1035">
        <v>0</v>
      </c>
      <c s="6" r="AX1035">
        <v>0</v>
      </c>
      <c s="6" r="AY1035">
        <v>0</v>
      </c>
      <c s="6" r="AZ1035">
        <v>0</v>
      </c>
      <c s="6" r="BA1035">
        <v>0</v>
      </c>
      <c s="6" r="BB1035">
        <v>0</v>
      </c>
      <c s="6" r="BC1035">
        <v>0</v>
      </c>
      <c s="6" r="BD1035">
        <v>0</v>
      </c>
      <c s="6" r="BE1035">
        <v>0</v>
      </c>
      <c s="6" r="BF1035">
        <v>0</v>
      </c>
      <c s="6" r="BG1035">
        <v>0</v>
      </c>
      <c s="6" r="BH1035">
        <v>0</v>
      </c>
      <c s="6" r="BI1035">
        <v>1</v>
      </c>
      <c s="6" r="BJ1035">
        <v>0</v>
      </c>
      <c s="6" r="BK1035">
        <v>0</v>
      </c>
      <c s="6" r="BL1035">
        <v>1</v>
      </c>
      <c s="6" r="BM1035">
        <v>0</v>
      </c>
      <c s="6" r="BN1035">
        <v>0</v>
      </c>
      <c s="6" r="BO1035">
        <v>0</v>
      </c>
      <c s="6" r="BP1035">
        <v>0</v>
      </c>
      <c s="6" r="BQ1035">
        <v>0</v>
      </c>
      <c t="str" s="6" r="BR1035">
        <f>HYPERLINK("http://www.d20pfsrd.com/magic/all-spells/f/forbid-action","Forbid Action")</f>
        <v>Forbid Action</v>
      </c>
      <c s="6" r="BS1035">
        <v>1057</v>
      </c>
      <c t="s" s="6" r="BT1035">
        <v>92</v>
      </c>
      <c s="6" r="BY1035">
        <v>0</v>
      </c>
    </row>
    <row customHeight="1" r="1036" ht="14.25">
      <c t="s" s="6" r="A1036">
        <v>7678</v>
      </c>
      <c t="s" s="6" r="B1036">
        <v>115</v>
      </c>
      <c t="s" s="6" r="C1036">
        <v>116</v>
      </c>
      <c t="s" s="6" r="D1036">
        <v>841</v>
      </c>
      <c t="s" s="6" r="E1036">
        <v>851</v>
      </c>
      <c t="s" s="6" r="F1036">
        <v>81</v>
      </c>
      <c t="s" s="6" r="G1036">
        <v>251</v>
      </c>
      <c s="6" r="H1036">
        <v>0</v>
      </c>
      <c t="s" s="6" r="I1036">
        <v>7673</v>
      </c>
      <c t="s" s="6" r="L1036">
        <v>620</v>
      </c>
      <c t="s" s="6" r="M1036">
        <v>99</v>
      </c>
      <c s="6" r="N1036">
        <v>0</v>
      </c>
      <c s="6" r="O1036">
        <v>0</v>
      </c>
      <c t="s" s="6" r="P1036">
        <v>221</v>
      </c>
      <c t="s" s="6" r="Q1036">
        <v>188</v>
      </c>
      <c t="s" s="6" r="R1036">
        <v>7679</v>
      </c>
      <c t="s" s="6" r="S1036">
        <v>7680</v>
      </c>
      <c t="s" s="6" r="T1036">
        <v>7122</v>
      </c>
      <c t="s" s="6" r="U1036">
        <v>7681</v>
      </c>
      <c s="6" r="V1036">
        <v>1</v>
      </c>
      <c s="6" r="W1036">
        <v>0</v>
      </c>
      <c s="6" r="X1036">
        <v>0</v>
      </c>
      <c s="6" r="Y1036">
        <v>0</v>
      </c>
      <c s="6" r="Z1036">
        <v>0</v>
      </c>
      <c t="s" s="6" r="AA1036">
        <v>92</v>
      </c>
      <c t="s" s="6" r="AB1036">
        <v>92</v>
      </c>
      <c s="6" r="AC1036">
        <v>5</v>
      </c>
      <c t="s" s="6" r="AD1036">
        <v>92</v>
      </c>
      <c t="s" s="6" r="AE1036">
        <v>92</v>
      </c>
      <c t="s" s="6" r="AF1036">
        <v>92</v>
      </c>
      <c t="s" s="6" r="AG1036">
        <v>92</v>
      </c>
      <c t="s" s="6" r="AH1036">
        <v>92</v>
      </c>
      <c t="s" s="6" r="AI1036">
        <v>92</v>
      </c>
      <c t="s" s="6" r="AJ1036">
        <v>92</v>
      </c>
      <c s="6" r="AK1036">
        <v>5</v>
      </c>
      <c s="6" r="AL1036">
        <v>5</v>
      </c>
      <c t="s" s="6" r="AM1036">
        <v>92</v>
      </c>
      <c t="s" s="6" r="AN1036">
        <v>92</v>
      </c>
      <c s="6" r="AP1036">
        <v>5</v>
      </c>
      <c t="s" s="6" r="AR1036">
        <v>7682</v>
      </c>
      <c s="6" r="AS1036">
        <v>0</v>
      </c>
      <c s="6" r="AT1036">
        <v>0</v>
      </c>
      <c s="6" r="AU1036">
        <v>0</v>
      </c>
      <c s="6" r="AV1036">
        <v>0</v>
      </c>
      <c s="6" r="AW1036">
        <v>0</v>
      </c>
      <c s="6" r="AX1036">
        <v>0</v>
      </c>
      <c s="6" r="AY1036">
        <v>0</v>
      </c>
      <c s="6" r="AZ1036">
        <v>0</v>
      </c>
      <c s="6" r="BA1036">
        <v>0</v>
      </c>
      <c s="6" r="BB1036">
        <v>0</v>
      </c>
      <c s="6" r="BC1036">
        <v>0</v>
      </c>
      <c s="6" r="BD1036">
        <v>0</v>
      </c>
      <c s="6" r="BE1036">
        <v>0</v>
      </c>
      <c s="6" r="BF1036">
        <v>0</v>
      </c>
      <c s="6" r="BG1036">
        <v>0</v>
      </c>
      <c s="6" r="BH1036">
        <v>0</v>
      </c>
      <c s="6" r="BI1036">
        <v>1</v>
      </c>
      <c s="6" r="BJ1036">
        <v>0</v>
      </c>
      <c s="6" r="BK1036">
        <v>0</v>
      </c>
      <c s="6" r="BL1036">
        <v>1</v>
      </c>
      <c s="6" r="BM1036">
        <v>0</v>
      </c>
      <c s="6" r="BN1036">
        <v>0</v>
      </c>
      <c s="6" r="BO1036">
        <v>0</v>
      </c>
      <c s="6" r="BP1036">
        <v>0</v>
      </c>
      <c s="6" r="BQ1036">
        <v>0</v>
      </c>
      <c t="str" s="6" r="BR1036">
        <f>HYPERLINK("http://www.d20pfsrd.com/magic/all-spells/f/forbid-action","Forbid Action, Greater")</f>
        <v>Forbid Action, Greater</v>
      </c>
      <c s="6" r="BS1036">
        <v>1058</v>
      </c>
      <c t="s" s="6" r="BT1036">
        <v>92</v>
      </c>
      <c s="6" r="BY1036">
        <v>0</v>
      </c>
    </row>
    <row customHeight="1" r="1037" ht="14.25">
      <c t="s" s="6" r="A1037">
        <v>7683</v>
      </c>
      <c t="s" s="6" r="B1037">
        <v>493</v>
      </c>
      <c t="s" s="6" r="D1037">
        <v>58</v>
      </c>
      <c t="s" s="6" r="E1037">
        <v>7684</v>
      </c>
      <c t="s" s="6" r="F1037">
        <v>81</v>
      </c>
      <c t="s" s="6" r="G1037">
        <v>106</v>
      </c>
      <c s="6" r="H1037">
        <v>0</v>
      </c>
      <c t="s" s="6" r="I1037">
        <v>7685</v>
      </c>
      <c t="s" s="6" r="L1037">
        <v>7686</v>
      </c>
      <c t="s" s="6" r="M1037">
        <v>109</v>
      </c>
      <c s="6" r="N1037">
        <v>0</v>
      </c>
      <c s="6" r="O1037">
        <v>0</v>
      </c>
      <c t="s" s="6" r="P1037">
        <v>86</v>
      </c>
      <c t="s" s="6" r="Q1037">
        <v>188</v>
      </c>
      <c t="s" s="6" r="R1037">
        <v>7687</v>
      </c>
      <c t="s" s="6" r="S1037">
        <v>7688</v>
      </c>
      <c t="s" s="6" r="T1037">
        <v>7122</v>
      </c>
      <c t="s" s="6" r="U1037">
        <v>7689</v>
      </c>
      <c s="6" r="V1037">
        <v>1</v>
      </c>
      <c s="6" r="W1037">
        <v>1</v>
      </c>
      <c s="6" r="X1037">
        <v>0</v>
      </c>
      <c s="6" r="Y1037">
        <v>0</v>
      </c>
      <c s="6" r="Z1037">
        <v>0</v>
      </c>
      <c t="s" s="6" r="AA1037">
        <v>92</v>
      </c>
      <c t="s" s="6" r="AB1037">
        <v>92</v>
      </c>
      <c t="s" s="6" r="AC1037">
        <v>92</v>
      </c>
      <c t="s" s="6" r="AD1037">
        <v>92</v>
      </c>
      <c t="s" s="6" r="AE1037">
        <v>92</v>
      </c>
      <c t="s" s="6" r="AF1037">
        <v>92</v>
      </c>
      <c t="s" s="6" r="AG1037">
        <v>92</v>
      </c>
      <c t="s" s="6" r="AH1037">
        <v>92</v>
      </c>
      <c t="s" s="6" r="AI1037">
        <v>92</v>
      </c>
      <c t="s" s="6" r="AJ1037">
        <v>92</v>
      </c>
      <c t="s" s="6" r="AK1037">
        <v>92</v>
      </c>
      <c t="s" s="6" r="AL1037">
        <v>92</v>
      </c>
      <c t="s" s="6" r="AM1037">
        <v>92</v>
      </c>
      <c s="6" r="AN1037">
        <v>3</v>
      </c>
      <c s="6" r="AP1037">
        <v>3</v>
      </c>
      <c t="s" s="6" r="AR1037">
        <v>7690</v>
      </c>
      <c s="6" r="AS1037">
        <v>0</v>
      </c>
      <c s="6" r="AT1037">
        <v>0</v>
      </c>
      <c s="6" r="AU1037">
        <v>0</v>
      </c>
      <c s="6" r="AV1037">
        <v>0</v>
      </c>
      <c s="6" r="AW1037">
        <v>0</v>
      </c>
      <c s="6" r="AX1037">
        <v>0</v>
      </c>
      <c s="6" r="AY1037">
        <v>0</v>
      </c>
      <c s="6" r="AZ1037">
        <v>0</v>
      </c>
      <c s="6" r="BA1037">
        <v>0</v>
      </c>
      <c s="6" r="BB1037">
        <v>0</v>
      </c>
      <c s="6" r="BC1037">
        <v>0</v>
      </c>
      <c s="6" r="BD1037">
        <v>0</v>
      </c>
      <c s="6" r="BE1037">
        <v>0</v>
      </c>
      <c s="6" r="BF1037">
        <v>0</v>
      </c>
      <c s="6" r="BG1037">
        <v>1</v>
      </c>
      <c s="6" r="BH1037">
        <v>0</v>
      </c>
      <c s="6" r="BI1037">
        <v>0</v>
      </c>
      <c s="6" r="BJ1037">
        <v>0</v>
      </c>
      <c s="6" r="BK1037">
        <v>0</v>
      </c>
      <c s="6" r="BL1037">
        <v>0</v>
      </c>
      <c s="6" r="BM1037">
        <v>0</v>
      </c>
      <c s="6" r="BN1037">
        <v>0</v>
      </c>
      <c s="6" r="BO1037">
        <v>0</v>
      </c>
      <c s="6" r="BP1037">
        <v>0</v>
      </c>
      <c s="6" r="BQ1037">
        <v>0</v>
      </c>
      <c t="str" s="6" r="BR1037">
        <f>HYPERLINK("http://www.d20pfsrd.com/magic/all-spells/f/force-hook-charge","Force Hook Charge")</f>
        <v>Force Hook Charge</v>
      </c>
      <c s="6" r="BS1037">
        <v>1059</v>
      </c>
      <c t="s" s="6" r="BT1037">
        <v>92</v>
      </c>
      <c s="6" r="BY1037">
        <v>0</v>
      </c>
    </row>
    <row customHeight="1" r="1038" ht="14.25">
      <c t="s" s="6" r="A1038">
        <v>7691</v>
      </c>
      <c t="s" s="6" r="B1038">
        <v>493</v>
      </c>
      <c t="s" s="6" r="D1038">
        <v>58</v>
      </c>
      <c t="s" s="6" r="E1038">
        <v>7692</v>
      </c>
      <c t="s" s="6" r="F1038">
        <v>81</v>
      </c>
      <c t="s" s="6" r="G1038">
        <v>106</v>
      </c>
      <c s="6" r="H1038">
        <v>0</v>
      </c>
      <c t="s" s="6" r="I1038">
        <v>120</v>
      </c>
      <c t="s" s="6" r="L1038">
        <v>420</v>
      </c>
      <c t="s" s="6" r="M1038">
        <v>109</v>
      </c>
      <c s="6" r="N1038">
        <v>0</v>
      </c>
      <c s="6" r="O1038">
        <v>0</v>
      </c>
      <c t="s" s="6" r="P1038">
        <v>1254</v>
      </c>
      <c t="s" s="6" r="Q1038">
        <v>188</v>
      </c>
      <c t="s" s="6" r="R1038">
        <v>7693</v>
      </c>
      <c t="s" s="6" r="S1038">
        <v>7694</v>
      </c>
      <c t="s" s="6" r="T1038">
        <v>7122</v>
      </c>
      <c t="s" s="6" r="U1038">
        <v>7695</v>
      </c>
      <c s="6" r="V1038">
        <v>1</v>
      </c>
      <c s="6" r="W1038">
        <v>1</v>
      </c>
      <c s="6" r="X1038">
        <v>0</v>
      </c>
      <c s="6" r="Y1038">
        <v>0</v>
      </c>
      <c s="6" r="Z1038">
        <v>0</v>
      </c>
      <c s="6" r="AA1038">
        <v>3</v>
      </c>
      <c s="6" r="AB1038">
        <v>3</v>
      </c>
      <c t="s" s="6" r="AC1038">
        <v>92</v>
      </c>
      <c t="s" s="6" r="AD1038">
        <v>92</v>
      </c>
      <c t="s" s="6" r="AE1038">
        <v>92</v>
      </c>
      <c t="s" s="6" r="AF1038">
        <v>92</v>
      </c>
      <c t="s" s="6" r="AG1038">
        <v>92</v>
      </c>
      <c t="s" s="6" r="AH1038">
        <v>92</v>
      </c>
      <c t="s" s="6" r="AI1038">
        <v>92</v>
      </c>
      <c t="s" s="6" r="AJ1038">
        <v>92</v>
      </c>
      <c t="s" s="6" r="AK1038">
        <v>92</v>
      </c>
      <c t="s" s="6" r="AL1038">
        <v>92</v>
      </c>
      <c t="s" s="6" r="AM1038">
        <v>92</v>
      </c>
      <c s="6" r="AN1038">
        <v>3</v>
      </c>
      <c s="6" r="AP1038">
        <v>3</v>
      </c>
      <c t="s" s="6" r="AR1038">
        <v>7696</v>
      </c>
      <c s="6" r="AS1038">
        <v>0</v>
      </c>
      <c s="6" r="AT1038">
        <v>0</v>
      </c>
      <c s="6" r="AU1038">
        <v>0</v>
      </c>
      <c s="6" r="AV1038">
        <v>0</v>
      </c>
      <c s="6" r="AW1038">
        <v>0</v>
      </c>
      <c s="6" r="AX1038">
        <v>0</v>
      </c>
      <c s="6" r="AY1038">
        <v>0</v>
      </c>
      <c s="6" r="AZ1038">
        <v>0</v>
      </c>
      <c s="6" r="BA1038">
        <v>0</v>
      </c>
      <c s="6" r="BB1038">
        <v>0</v>
      </c>
      <c s="6" r="BC1038">
        <v>0</v>
      </c>
      <c s="6" r="BD1038">
        <v>0</v>
      </c>
      <c s="6" r="BE1038">
        <v>0</v>
      </c>
      <c s="6" r="BF1038">
        <v>0</v>
      </c>
      <c s="6" r="BG1038">
        <v>1</v>
      </c>
      <c s="6" r="BH1038">
        <v>0</v>
      </c>
      <c s="6" r="BI1038">
        <v>0</v>
      </c>
      <c s="6" r="BJ1038">
        <v>0</v>
      </c>
      <c s="6" r="BK1038">
        <v>0</v>
      </c>
      <c s="6" r="BL1038">
        <v>0</v>
      </c>
      <c s="6" r="BM1038">
        <v>0</v>
      </c>
      <c s="6" r="BN1038">
        <v>0</v>
      </c>
      <c s="6" r="BO1038">
        <v>0</v>
      </c>
      <c s="6" r="BP1038">
        <v>0</v>
      </c>
      <c s="6" r="BQ1038">
        <v>0</v>
      </c>
      <c t="str" s="6" r="BR1038">
        <f>HYPERLINK("http://www.d20pfsrd.com/magic/all-spells/f/force-punch","Force Punch")</f>
        <v>Force Punch</v>
      </c>
      <c s="6" r="BS1038">
        <v>1060</v>
      </c>
      <c t="s" s="6" r="BT1038">
        <v>92</v>
      </c>
      <c s="6" r="BY1038">
        <v>0</v>
      </c>
    </row>
    <row customHeight="1" r="1039" ht="14.25">
      <c t="s" s="6" r="A1039">
        <v>7697</v>
      </c>
      <c t="s" s="6" r="B1039">
        <v>131</v>
      </c>
      <c t="s" s="6" r="D1039">
        <v>67</v>
      </c>
      <c t="s" s="6" r="E1039">
        <v>7596</v>
      </c>
      <c t="s" s="6" r="F1039">
        <v>81</v>
      </c>
      <c t="s" s="6" r="G1039">
        <v>2086</v>
      </c>
      <c s="6" r="H1039">
        <v>0</v>
      </c>
      <c t="s" s="6" r="I1039">
        <v>97</v>
      </c>
      <c t="s" s="6" r="L1039">
        <v>1235</v>
      </c>
      <c t="s" s="6" r="M1039">
        <v>99</v>
      </c>
      <c s="6" r="N1039">
        <v>0</v>
      </c>
      <c s="6" r="O1039">
        <v>0</v>
      </c>
      <c t="s" s="6" r="P1039">
        <v>221</v>
      </c>
      <c t="s" s="6" r="Q1039">
        <v>188</v>
      </c>
      <c t="s" s="6" r="R1039">
        <v>7698</v>
      </c>
      <c t="s" s="6" r="S1039">
        <v>7699</v>
      </c>
      <c t="s" s="6" r="T1039">
        <v>7122</v>
      </c>
      <c t="s" s="6" r="U1039">
        <v>7700</v>
      </c>
      <c s="6" r="V1039">
        <v>0</v>
      </c>
      <c s="6" r="W1039">
        <v>1</v>
      </c>
      <c s="6" r="X1039">
        <v>0</v>
      </c>
      <c s="6" r="Y1039">
        <v>0</v>
      </c>
      <c s="6" r="Z1039">
        <v>0</v>
      </c>
      <c s="6" r="AA1039">
        <v>1</v>
      </c>
      <c s="6" r="AB1039">
        <v>1</v>
      </c>
      <c t="s" s="6" r="AC1039">
        <v>92</v>
      </c>
      <c t="s" s="6" r="AD1039">
        <v>92</v>
      </c>
      <c t="s" s="6" r="AE1039">
        <v>92</v>
      </c>
      <c s="6" r="AF1039">
        <v>1</v>
      </c>
      <c t="s" s="6" r="AG1039">
        <v>92</v>
      </c>
      <c t="s" s="6" r="AH1039">
        <v>92</v>
      </c>
      <c t="s" s="6" r="AI1039">
        <v>92</v>
      </c>
      <c s="6" r="AJ1039">
        <v>1</v>
      </c>
      <c s="6" r="AK1039">
        <v>1</v>
      </c>
      <c t="s" s="6" r="AL1039">
        <v>92</v>
      </c>
      <c t="s" s="6" r="AM1039">
        <v>92</v>
      </c>
      <c t="s" s="6" r="AN1039">
        <v>92</v>
      </c>
      <c s="6" r="AP1039">
        <v>1</v>
      </c>
      <c t="s" s="6" r="AR1039">
        <v>7701</v>
      </c>
      <c s="6" r="AS1039">
        <v>0</v>
      </c>
      <c s="6" r="AT1039">
        <v>0</v>
      </c>
      <c s="6" r="AU1039">
        <v>0</v>
      </c>
      <c s="6" r="AV1039">
        <v>0</v>
      </c>
      <c s="6" r="AW1039">
        <v>0</v>
      </c>
      <c s="6" r="AX1039">
        <v>0</v>
      </c>
      <c s="6" r="AY1039">
        <v>0</v>
      </c>
      <c s="6" r="AZ1039">
        <v>0</v>
      </c>
      <c s="6" r="BA1039">
        <v>0</v>
      </c>
      <c s="6" r="BB1039">
        <v>0</v>
      </c>
      <c s="6" r="BC1039">
        <v>0</v>
      </c>
      <c s="6" r="BD1039">
        <v>0</v>
      </c>
      <c s="6" r="BE1039">
        <v>0</v>
      </c>
      <c s="6" r="BF1039">
        <v>0</v>
      </c>
      <c s="6" r="BG1039">
        <v>0</v>
      </c>
      <c s="6" r="BH1039">
        <v>0</v>
      </c>
      <c s="6" r="BI1039">
        <v>0</v>
      </c>
      <c s="6" r="BJ1039">
        <v>0</v>
      </c>
      <c s="6" r="BK1039">
        <v>0</v>
      </c>
      <c s="6" r="BL1039">
        <v>0</v>
      </c>
      <c s="6" r="BM1039">
        <v>0</v>
      </c>
      <c s="6" r="BN1039">
        <v>0</v>
      </c>
      <c s="6" r="BO1039">
        <v>0</v>
      </c>
      <c s="6" r="BP1039">
        <v>1</v>
      </c>
      <c s="6" r="BQ1039">
        <v>0</v>
      </c>
      <c t="str" s="6" r="BR1039">
        <f>HYPERLINK("http://www.d20pfsrd.com/magic/all-spells/f/forced-quiet","Forced Quiet")</f>
        <v>Forced Quiet</v>
      </c>
      <c s="6" r="BS1039">
        <v>1061</v>
      </c>
      <c t="s" s="6" r="BT1039">
        <v>92</v>
      </c>
      <c s="6" r="BY1039">
        <v>0</v>
      </c>
    </row>
    <row customHeight="1" r="1040" ht="14.25">
      <c t="s" s="6" r="A1040">
        <v>7702</v>
      </c>
      <c t="s" s="6" r="B1040">
        <v>493</v>
      </c>
      <c t="s" s="6" r="D1040">
        <v>47</v>
      </c>
      <c t="s" s="6" r="E1040">
        <v>7703</v>
      </c>
      <c t="s" s="6" r="F1040">
        <v>81</v>
      </c>
      <c t="s" s="6" r="G1040">
        <v>106</v>
      </c>
      <c s="6" r="H1040">
        <v>0</v>
      </c>
      <c t="s" s="6" r="I1040">
        <v>120</v>
      </c>
      <c t="s" s="6" r="L1040">
        <v>420</v>
      </c>
      <c t="s" s="6" r="M1040">
        <v>109</v>
      </c>
      <c s="6" r="N1040">
        <v>0</v>
      </c>
      <c s="6" r="O1040">
        <v>0</v>
      </c>
      <c t="s" s="6" r="P1040">
        <v>86</v>
      </c>
      <c t="s" s="6" r="Q1040">
        <v>188</v>
      </c>
      <c t="s" s="6" r="R1040">
        <v>7704</v>
      </c>
      <c t="s" s="6" r="S1040">
        <v>7705</v>
      </c>
      <c t="s" s="6" r="T1040">
        <v>7122</v>
      </c>
      <c t="s" s="6" r="U1040">
        <v>7706</v>
      </c>
      <c s="6" r="V1040">
        <v>1</v>
      </c>
      <c s="6" r="W1040">
        <v>1</v>
      </c>
      <c s="6" r="X1040">
        <v>0</v>
      </c>
      <c s="6" r="Y1040">
        <v>0</v>
      </c>
      <c s="6" r="Z1040">
        <v>0</v>
      </c>
      <c s="6" r="AA1040">
        <v>2</v>
      </c>
      <c s="6" r="AB1040">
        <v>2</v>
      </c>
      <c t="s" s="6" r="AC1040">
        <v>92</v>
      </c>
      <c s="6" r="AD1040">
        <v>2</v>
      </c>
      <c t="s" s="6" r="AE1040">
        <v>92</v>
      </c>
      <c t="s" s="6" r="AF1040">
        <v>92</v>
      </c>
      <c t="s" s="6" r="AG1040">
        <v>92</v>
      </c>
      <c t="s" s="6" r="AH1040">
        <v>92</v>
      </c>
      <c t="s" s="6" r="AI1040">
        <v>92</v>
      </c>
      <c t="s" s="6" r="AJ1040">
        <v>92</v>
      </c>
      <c t="s" s="6" r="AK1040">
        <v>92</v>
      </c>
      <c t="s" s="6" r="AL1040">
        <v>92</v>
      </c>
      <c t="s" s="6" r="AM1040">
        <v>92</v>
      </c>
      <c s="6" r="AN1040">
        <v>2</v>
      </c>
      <c s="6" r="AP1040">
        <v>2</v>
      </c>
      <c t="s" s="6" r="AR1040">
        <v>7707</v>
      </c>
      <c s="6" r="AS1040">
        <v>0</v>
      </c>
      <c s="6" r="AT1040">
        <v>0</v>
      </c>
      <c s="6" r="AU1040">
        <v>0</v>
      </c>
      <c s="6" r="AV1040">
        <v>1</v>
      </c>
      <c s="6" r="AW1040">
        <v>0</v>
      </c>
      <c s="6" r="AX1040">
        <v>0</v>
      </c>
      <c s="6" r="AY1040">
        <v>0</v>
      </c>
      <c s="6" r="AZ1040">
        <v>0</v>
      </c>
      <c s="6" r="BA1040">
        <v>0</v>
      </c>
      <c s="6" r="BB1040">
        <v>0</v>
      </c>
      <c s="6" r="BC1040">
        <v>0</v>
      </c>
      <c s="6" r="BD1040">
        <v>0</v>
      </c>
      <c s="6" r="BE1040">
        <v>0</v>
      </c>
      <c s="6" r="BF1040">
        <v>0</v>
      </c>
      <c s="6" r="BG1040">
        <v>0</v>
      </c>
      <c s="6" r="BH1040">
        <v>0</v>
      </c>
      <c s="6" r="BI1040">
        <v>0</v>
      </c>
      <c s="6" r="BJ1040">
        <v>0</v>
      </c>
      <c s="6" r="BK1040">
        <v>0</v>
      </c>
      <c s="6" r="BL1040">
        <v>0</v>
      </c>
      <c s="6" r="BM1040">
        <v>0</v>
      </c>
      <c s="6" r="BN1040">
        <v>0</v>
      </c>
      <c s="6" r="BO1040">
        <v>0</v>
      </c>
      <c s="6" r="BP1040">
        <v>0</v>
      </c>
      <c s="6" r="BQ1040">
        <v>0</v>
      </c>
      <c t="str" s="6" r="BR1040">
        <f>HYPERLINK("http://www.d20pfsrd.com/magic/all-spells/f/frigid-touch","Frigid Touch")</f>
        <v>Frigid Touch</v>
      </c>
      <c s="6" r="BS1040">
        <v>1062</v>
      </c>
      <c t="s" s="6" r="BT1040">
        <v>92</v>
      </c>
      <c s="6" r="BY1040">
        <v>0</v>
      </c>
    </row>
    <row customHeight="1" r="1041" ht="14.25">
      <c t="s" s="6" r="A1041">
        <v>7708</v>
      </c>
      <c t="s" s="6" r="B1041">
        <v>131</v>
      </c>
      <c t="s" s="6" r="D1041">
        <v>47</v>
      </c>
      <c t="s" s="6" r="E1041">
        <v>7709</v>
      </c>
      <c t="s" s="6" r="F1041">
        <v>81</v>
      </c>
      <c t="s" s="6" r="G1041">
        <v>106</v>
      </c>
      <c s="6" r="H1041">
        <v>0</v>
      </c>
      <c t="s" s="6" r="I1041">
        <v>120</v>
      </c>
      <c t="s" s="6" r="L1041">
        <v>420</v>
      </c>
      <c t="s" s="6" r="M1041">
        <v>109</v>
      </c>
      <c s="6" r="N1041">
        <v>0</v>
      </c>
      <c s="6" r="O1041">
        <v>0</v>
      </c>
      <c t="s" s="6" r="P1041">
        <v>86</v>
      </c>
      <c t="s" s="6" r="Q1041">
        <v>188</v>
      </c>
      <c t="s" s="6" r="R1041">
        <v>7710</v>
      </c>
      <c t="s" s="6" r="S1041">
        <v>7711</v>
      </c>
      <c t="s" s="6" r="T1041">
        <v>7122</v>
      </c>
      <c t="s" s="6" r="U1041">
        <v>7712</v>
      </c>
      <c s="6" r="V1041">
        <v>1</v>
      </c>
      <c s="6" r="W1041">
        <v>1</v>
      </c>
      <c s="6" r="X1041">
        <v>0</v>
      </c>
      <c s="6" r="Y1041">
        <v>0</v>
      </c>
      <c s="6" r="Z1041">
        <v>0</v>
      </c>
      <c t="s" s="6" r="AA1041">
        <v>92</v>
      </c>
      <c t="s" s="6" r="AB1041">
        <v>92</v>
      </c>
      <c t="s" s="6" r="AC1041">
        <v>92</v>
      </c>
      <c s="6" r="AD1041">
        <v>1</v>
      </c>
      <c t="s" s="6" r="AE1041">
        <v>92</v>
      </c>
      <c t="s" s="6" r="AF1041">
        <v>92</v>
      </c>
      <c t="s" s="6" r="AG1041">
        <v>92</v>
      </c>
      <c t="s" s="6" r="AH1041">
        <v>92</v>
      </c>
      <c t="s" s="6" r="AI1041">
        <v>92</v>
      </c>
      <c s="6" r="AJ1041">
        <v>1</v>
      </c>
      <c t="s" s="6" r="AK1041">
        <v>92</v>
      </c>
      <c t="s" s="6" r="AL1041">
        <v>92</v>
      </c>
      <c t="s" s="6" r="AM1041">
        <v>92</v>
      </c>
      <c s="6" r="AN1041">
        <v>1</v>
      </c>
      <c s="6" r="AP1041">
        <v>1</v>
      </c>
      <c t="s" s="6" r="AR1041">
        <v>7713</v>
      </c>
      <c s="6" r="AS1041">
        <v>0</v>
      </c>
      <c s="6" r="AT1041">
        <v>0</v>
      </c>
      <c s="6" r="AU1041">
        <v>0</v>
      </c>
      <c s="6" r="AV1041">
        <v>1</v>
      </c>
      <c s="6" r="AW1041">
        <v>0</v>
      </c>
      <c s="6" r="AX1041">
        <v>0</v>
      </c>
      <c s="6" r="AY1041">
        <v>0</v>
      </c>
      <c s="6" r="AZ1041">
        <v>0</v>
      </c>
      <c s="6" r="BA1041">
        <v>0</v>
      </c>
      <c s="6" r="BB1041">
        <v>0</v>
      </c>
      <c s="6" r="BC1041">
        <v>0</v>
      </c>
      <c s="6" r="BD1041">
        <v>0</v>
      </c>
      <c s="6" r="BE1041">
        <v>0</v>
      </c>
      <c s="6" r="BF1041">
        <v>0</v>
      </c>
      <c s="6" r="BG1041">
        <v>0</v>
      </c>
      <c s="6" r="BH1041">
        <v>0</v>
      </c>
      <c s="6" r="BI1041">
        <v>0</v>
      </c>
      <c s="6" r="BJ1041">
        <v>0</v>
      </c>
      <c s="6" r="BK1041">
        <v>0</v>
      </c>
      <c s="6" r="BL1041">
        <v>0</v>
      </c>
      <c s="6" r="BM1041">
        <v>0</v>
      </c>
      <c s="6" r="BN1041">
        <v>0</v>
      </c>
      <c s="6" r="BO1041">
        <v>0</v>
      </c>
      <c s="6" r="BP1041">
        <v>0</v>
      </c>
      <c s="6" r="BQ1041">
        <v>0</v>
      </c>
      <c t="str" s="6" r="BR1041">
        <f>HYPERLINK("http://www.d20pfsrd.com/magic/all-spells/f/frostbite","Frostbite")</f>
        <v>Frostbite</v>
      </c>
      <c s="6" r="BS1041">
        <v>1063</v>
      </c>
      <c t="s" s="6" r="BT1041">
        <v>92</v>
      </c>
      <c s="6" r="BY1041">
        <v>0</v>
      </c>
    </row>
    <row customHeight="1" r="1042" ht="14.25">
      <c t="s" s="6" r="A1042">
        <v>7714</v>
      </c>
      <c t="s" s="6" r="B1042">
        <v>115</v>
      </c>
      <c t="s" s="6" r="C1042">
        <v>116</v>
      </c>
      <c t="s" s="6" r="D1042">
        <v>117</v>
      </c>
      <c t="s" s="6" r="E1042">
        <v>5326</v>
      </c>
      <c t="s" s="6" r="F1042">
        <v>81</v>
      </c>
      <c t="s" s="6" r="G1042">
        <v>106</v>
      </c>
      <c s="6" r="H1042">
        <v>0</v>
      </c>
      <c t="s" s="6" r="I1042">
        <v>7673</v>
      </c>
      <c t="s" s="6" r="L1042">
        <v>1235</v>
      </c>
      <c t="s" s="6" r="M1042">
        <v>7715</v>
      </c>
      <c s="6" r="N1042">
        <v>0</v>
      </c>
      <c s="6" r="O1042">
        <v>0</v>
      </c>
      <c t="s" s="6" r="P1042">
        <v>221</v>
      </c>
      <c t="s" s="6" r="Q1042">
        <v>188</v>
      </c>
      <c t="s" s="6" r="R1042">
        <v>7716</v>
      </c>
      <c t="s" s="6" r="S1042">
        <v>7717</v>
      </c>
      <c t="s" s="6" r="T1042">
        <v>7122</v>
      </c>
      <c t="s" s="6" r="U1042">
        <v>7718</v>
      </c>
      <c s="6" r="V1042">
        <v>1</v>
      </c>
      <c s="6" r="W1042">
        <v>1</v>
      </c>
      <c s="6" r="X1042">
        <v>0</v>
      </c>
      <c s="6" r="Y1042">
        <v>0</v>
      </c>
      <c s="6" r="Z1042">
        <v>0</v>
      </c>
      <c t="s" s="6" r="AA1042">
        <v>92</v>
      </c>
      <c t="s" s="6" r="AB1042">
        <v>92</v>
      </c>
      <c t="s" s="6" r="AC1042">
        <v>92</v>
      </c>
      <c t="s" s="6" r="AD1042">
        <v>92</v>
      </c>
      <c t="s" s="6" r="AE1042">
        <v>92</v>
      </c>
      <c s="6" r="AF1042">
        <v>1</v>
      </c>
      <c t="s" s="6" r="AG1042">
        <v>92</v>
      </c>
      <c t="s" s="6" r="AH1042">
        <v>92</v>
      </c>
      <c t="s" s="6" r="AI1042">
        <v>92</v>
      </c>
      <c s="6" r="AJ1042">
        <v>1</v>
      </c>
      <c t="s" s="6" r="AK1042">
        <v>92</v>
      </c>
      <c t="s" s="6" r="AL1042">
        <v>92</v>
      </c>
      <c t="s" s="6" r="AM1042">
        <v>92</v>
      </c>
      <c t="s" s="6" r="AN1042">
        <v>92</v>
      </c>
      <c s="6" r="AP1042">
        <v>1</v>
      </c>
      <c t="s" s="6" r="AR1042">
        <v>7719</v>
      </c>
      <c s="6" r="AS1042">
        <v>0</v>
      </c>
      <c s="6" r="AT1042">
        <v>0</v>
      </c>
      <c s="6" r="AU1042">
        <v>0</v>
      </c>
      <c s="6" r="AV1042">
        <v>0</v>
      </c>
      <c s="6" r="AW1042">
        <v>0</v>
      </c>
      <c s="6" r="AX1042">
        <v>0</v>
      </c>
      <c s="6" r="AY1042">
        <v>0</v>
      </c>
      <c s="6" r="AZ1042">
        <v>0</v>
      </c>
      <c s="6" r="BA1042">
        <v>0</v>
      </c>
      <c s="6" r="BB1042">
        <v>0</v>
      </c>
      <c s="6" r="BC1042">
        <v>0</v>
      </c>
      <c s="6" r="BD1042">
        <v>0</v>
      </c>
      <c s="6" r="BE1042">
        <v>0</v>
      </c>
      <c s="6" r="BF1042">
        <v>0</v>
      </c>
      <c s="6" r="BG1042">
        <v>0</v>
      </c>
      <c s="6" r="BH1042">
        <v>0</v>
      </c>
      <c s="6" r="BI1042">
        <v>0</v>
      </c>
      <c s="6" r="BJ1042">
        <v>0</v>
      </c>
      <c s="6" r="BK1042">
        <v>0</v>
      </c>
      <c s="6" r="BL1042">
        <v>1</v>
      </c>
      <c s="6" r="BM1042">
        <v>0</v>
      </c>
      <c s="6" r="BN1042">
        <v>0</v>
      </c>
      <c s="6" r="BO1042">
        <v>0</v>
      </c>
      <c s="6" r="BP1042">
        <v>0</v>
      </c>
      <c s="6" r="BQ1042">
        <v>0</v>
      </c>
      <c t="str" s="6" r="BR1042">
        <f>HYPERLINK("http://www.d20pfsrd.com/magic/all-spells/f/fumbletongue","Fumbletongue")</f>
        <v>Fumbletongue</v>
      </c>
      <c s="6" r="BS1042">
        <v>1064</v>
      </c>
      <c t="s" s="6" r="BT1042">
        <v>92</v>
      </c>
      <c s="6" r="BY1042">
        <v>0</v>
      </c>
    </row>
    <row customHeight="1" r="1043" ht="14.25">
      <c t="s" s="6" r="A1043">
        <v>7720</v>
      </c>
      <c t="s" s="6" r="B1043">
        <v>227</v>
      </c>
      <c t="s" s="6" r="D1043">
        <v>51</v>
      </c>
      <c t="s" s="6" r="E1043">
        <v>641</v>
      </c>
      <c t="s" s="6" r="F1043">
        <v>81</v>
      </c>
      <c t="s" s="6" r="G1043">
        <v>106</v>
      </c>
      <c s="6" r="H1043">
        <v>0</v>
      </c>
      <c t="s" s="6" r="I1043">
        <v>120</v>
      </c>
      <c t="s" s="6" r="L1043">
        <v>420</v>
      </c>
      <c t="s" s="6" r="M1043">
        <v>7721</v>
      </c>
      <c s="6" r="N1043">
        <v>0</v>
      </c>
      <c s="6" r="O1043">
        <v>0</v>
      </c>
      <c t="s" s="6" r="P1043">
        <v>187</v>
      </c>
      <c t="s" s="6" r="Q1043">
        <v>188</v>
      </c>
      <c t="s" s="6" r="R1043">
        <v>7722</v>
      </c>
      <c t="s" s="6" r="S1043">
        <v>7723</v>
      </c>
      <c t="s" s="6" r="T1043">
        <v>7122</v>
      </c>
      <c t="s" s="6" r="U1043">
        <v>7724</v>
      </c>
      <c s="6" r="V1043">
        <v>1</v>
      </c>
      <c s="6" r="W1043">
        <v>1</v>
      </c>
      <c s="6" r="X1043">
        <v>0</v>
      </c>
      <c s="6" r="Y1043">
        <v>0</v>
      </c>
      <c s="6" r="Z1043">
        <v>0</v>
      </c>
      <c t="s" s="6" r="AA1043">
        <v>92</v>
      </c>
      <c t="s" s="6" r="AB1043">
        <v>92</v>
      </c>
      <c t="s" s="6" r="AC1043">
        <v>92</v>
      </c>
      <c s="6" r="AD1043">
        <v>3</v>
      </c>
      <c t="s" s="6" r="AE1043">
        <v>92</v>
      </c>
      <c t="s" s="6" r="AF1043">
        <v>92</v>
      </c>
      <c t="s" s="6" r="AG1043">
        <v>92</v>
      </c>
      <c t="s" s="6" r="AH1043">
        <v>92</v>
      </c>
      <c t="s" s="6" r="AI1043">
        <v>92</v>
      </c>
      <c t="s" s="6" r="AJ1043">
        <v>92</v>
      </c>
      <c t="s" s="6" r="AK1043">
        <v>92</v>
      </c>
      <c t="s" s="6" r="AL1043">
        <v>92</v>
      </c>
      <c t="s" s="6" r="AM1043">
        <v>92</v>
      </c>
      <c t="s" s="6" r="AN1043">
        <v>92</v>
      </c>
      <c s="6" r="AP1043">
        <v>3</v>
      </c>
      <c t="s" s="6" r="AR1043">
        <v>7725</v>
      </c>
      <c s="6" r="AS1043">
        <v>0</v>
      </c>
      <c s="6" r="AT1043">
        <v>0</v>
      </c>
      <c s="6" r="AU1043">
        <v>0</v>
      </c>
      <c s="6" r="AV1043">
        <v>0</v>
      </c>
      <c s="6" r="AW1043">
        <v>0</v>
      </c>
      <c s="6" r="AX1043">
        <v>0</v>
      </c>
      <c s="6" r="AY1043">
        <v>0</v>
      </c>
      <c s="6" r="AZ1043">
        <v>1</v>
      </c>
      <c s="6" r="BA1043">
        <v>0</v>
      </c>
      <c s="6" r="BB1043">
        <v>0</v>
      </c>
      <c s="6" r="BC1043">
        <v>0</v>
      </c>
      <c s="6" r="BD1043">
        <v>0</v>
      </c>
      <c s="6" r="BE1043">
        <v>0</v>
      </c>
      <c s="6" r="BF1043">
        <v>0</v>
      </c>
      <c s="6" r="BG1043">
        <v>0</v>
      </c>
      <c s="6" r="BH1043">
        <v>0</v>
      </c>
      <c s="6" r="BI1043">
        <v>0</v>
      </c>
      <c s="6" r="BJ1043">
        <v>0</v>
      </c>
      <c s="6" r="BK1043">
        <v>0</v>
      </c>
      <c s="6" r="BL1043">
        <v>0</v>
      </c>
      <c s="6" r="BM1043">
        <v>0</v>
      </c>
      <c s="6" r="BN1043">
        <v>0</v>
      </c>
      <c s="6" r="BO1043">
        <v>0</v>
      </c>
      <c s="6" r="BP1043">
        <v>0</v>
      </c>
      <c s="6" r="BQ1043">
        <v>0</v>
      </c>
      <c t="str" s="6" r="BR1043">
        <f>HYPERLINK("http://www.d20pfsrd.com/magic/all-spells/f/fungal-infestation","Fungal Infestation")</f>
        <v>Fungal Infestation</v>
      </c>
      <c s="6" r="BS1043">
        <v>1065</v>
      </c>
      <c t="s" s="6" r="BT1043">
        <v>92</v>
      </c>
      <c s="6" r="BY1043">
        <v>0</v>
      </c>
    </row>
    <row customHeight="1" r="1044" ht="14.25">
      <c t="s" s="6" r="A1044">
        <v>7726</v>
      </c>
      <c t="s" s="6" r="B1044">
        <v>579</v>
      </c>
      <c t="s" s="6" r="C1044">
        <v>580</v>
      </c>
      <c t="s" s="6" r="E1044">
        <v>7727</v>
      </c>
      <c t="s" s="6" r="F1044">
        <v>81</v>
      </c>
      <c t="s" s="6" r="G1044">
        <v>106</v>
      </c>
      <c s="6" r="H1044">
        <v>0</v>
      </c>
      <c t="s" s="6" r="I1044">
        <v>155</v>
      </c>
      <c t="s" s="6" r="L1044">
        <v>156</v>
      </c>
      <c t="s" s="6" r="M1044">
        <v>7555</v>
      </c>
      <c s="6" r="N1044">
        <v>1</v>
      </c>
      <c s="6" r="O1044">
        <v>0</v>
      </c>
      <c t="s" s="6" r="R1044">
        <v>7728</v>
      </c>
      <c t="s" s="6" r="S1044">
        <v>7729</v>
      </c>
      <c t="s" s="6" r="T1044">
        <v>7122</v>
      </c>
      <c t="s" s="6" r="U1044">
        <v>7730</v>
      </c>
      <c s="6" r="V1044">
        <v>1</v>
      </c>
      <c s="6" r="W1044">
        <v>1</v>
      </c>
      <c s="6" r="X1044">
        <v>0</v>
      </c>
      <c s="6" r="Y1044">
        <v>0</v>
      </c>
      <c s="6" r="Z1044">
        <v>0</v>
      </c>
      <c s="6" r="AA1044">
        <v>2</v>
      </c>
      <c s="6" r="AB1044">
        <v>2</v>
      </c>
      <c t="s" s="6" r="AC1044">
        <v>92</v>
      </c>
      <c t="s" s="6" r="AD1044">
        <v>92</v>
      </c>
      <c t="s" s="6" r="AE1044">
        <v>92</v>
      </c>
      <c s="6" r="AF1044">
        <v>2</v>
      </c>
      <c t="s" s="6" r="AG1044">
        <v>92</v>
      </c>
      <c s="6" r="AH1044">
        <v>2</v>
      </c>
      <c t="s" s="6" r="AI1044">
        <v>92</v>
      </c>
      <c s="6" r="AJ1044">
        <v>2</v>
      </c>
      <c s="6" r="AK1044">
        <v>2</v>
      </c>
      <c t="s" s="6" r="AL1044">
        <v>92</v>
      </c>
      <c t="s" s="6" r="AM1044">
        <v>92</v>
      </c>
      <c t="s" s="6" r="AN1044">
        <v>92</v>
      </c>
      <c s="6" r="AP1044">
        <v>2</v>
      </c>
      <c t="s" s="6" r="AR1044">
        <v>7731</v>
      </c>
      <c s="6" r="AS1044">
        <v>0</v>
      </c>
      <c s="6" r="AT1044">
        <v>0</v>
      </c>
      <c s="6" r="AU1044">
        <v>0</v>
      </c>
      <c s="6" r="AV1044">
        <v>0</v>
      </c>
      <c s="6" r="AW1044">
        <v>0</v>
      </c>
      <c s="6" r="AX1044">
        <v>0</v>
      </c>
      <c s="6" r="AY1044">
        <v>0</v>
      </c>
      <c s="6" r="AZ1044">
        <v>0</v>
      </c>
      <c s="6" r="BA1044">
        <v>0</v>
      </c>
      <c s="6" r="BB1044">
        <v>0</v>
      </c>
      <c s="6" r="BC1044">
        <v>0</v>
      </c>
      <c s="6" r="BD1044">
        <v>0</v>
      </c>
      <c s="6" r="BE1044">
        <v>0</v>
      </c>
      <c s="6" r="BF1044">
        <v>0</v>
      </c>
      <c s="6" r="BG1044">
        <v>0</v>
      </c>
      <c s="6" r="BH1044">
        <v>0</v>
      </c>
      <c s="6" r="BI1044">
        <v>0</v>
      </c>
      <c s="6" r="BJ1044">
        <v>0</v>
      </c>
      <c s="6" r="BK1044">
        <v>0</v>
      </c>
      <c s="6" r="BL1044">
        <v>0</v>
      </c>
      <c s="6" r="BM1044">
        <v>0</v>
      </c>
      <c s="6" r="BN1044">
        <v>0</v>
      </c>
      <c s="6" r="BO1044">
        <v>0</v>
      </c>
      <c s="6" r="BP1044">
        <v>0</v>
      </c>
      <c s="6" r="BQ1044">
        <v>0</v>
      </c>
      <c t="str" s="6" r="BR1044">
        <f>HYPERLINK("http://www.d20pfsrd.com/magic/all-spells/g/ghostly-disguise","Ghostly Disguise")</f>
        <v>Ghostly Disguise</v>
      </c>
      <c s="6" r="BS1044">
        <v>1066</v>
      </c>
      <c t="s" s="6" r="BT1044">
        <v>92</v>
      </c>
      <c s="6" r="BY1044">
        <v>0</v>
      </c>
    </row>
    <row customHeight="1" r="1045" ht="14.25">
      <c t="s" s="6" r="A1045">
        <v>7732</v>
      </c>
      <c t="s" s="6" r="B1045">
        <v>227</v>
      </c>
      <c t="s" s="6" r="D1045">
        <v>7733</v>
      </c>
      <c t="s" s="6" r="E1045">
        <v>2085</v>
      </c>
      <c t="s" s="6" r="F1045">
        <v>81</v>
      </c>
      <c t="s" s="6" r="G1045">
        <v>106</v>
      </c>
      <c s="6" r="H1045">
        <v>0</v>
      </c>
      <c t="s" s="6" r="I1045">
        <v>107</v>
      </c>
      <c t="s" s="6" r="J1045">
        <v>6238</v>
      </c>
      <c t="s" s="6" r="M1045">
        <v>2957</v>
      </c>
      <c s="6" r="N1045">
        <v>0</v>
      </c>
      <c s="6" r="O1045">
        <v>0</v>
      </c>
      <c t="s" s="6" r="P1045">
        <v>221</v>
      </c>
      <c t="s" s="6" r="Q1045">
        <v>188</v>
      </c>
      <c t="s" s="6" r="R1045">
        <v>7734</v>
      </c>
      <c t="s" s="6" r="S1045">
        <v>7735</v>
      </c>
      <c t="s" s="6" r="T1045">
        <v>7122</v>
      </c>
      <c t="s" s="6" r="U1045">
        <v>7736</v>
      </c>
      <c s="6" r="V1045">
        <v>1</v>
      </c>
      <c s="6" r="W1045">
        <v>1</v>
      </c>
      <c s="6" r="X1045">
        <v>0</v>
      </c>
      <c s="6" r="Y1045">
        <v>0</v>
      </c>
      <c s="6" r="Z1045">
        <v>0</v>
      </c>
      <c t="s" s="6" r="AA1045">
        <v>92</v>
      </c>
      <c t="s" s="6" r="AB1045">
        <v>92</v>
      </c>
      <c t="s" s="6" r="AC1045">
        <v>92</v>
      </c>
      <c t="s" s="6" r="AD1045">
        <v>92</v>
      </c>
      <c t="s" s="6" r="AE1045">
        <v>92</v>
      </c>
      <c s="6" r="AF1045">
        <v>3</v>
      </c>
      <c t="s" s="6" r="AG1045">
        <v>92</v>
      </c>
      <c t="s" s="6" r="AH1045">
        <v>92</v>
      </c>
      <c t="s" s="6" r="AI1045">
        <v>92</v>
      </c>
      <c t="s" s="6" r="AJ1045">
        <v>92</v>
      </c>
      <c t="s" s="6" r="AK1045">
        <v>92</v>
      </c>
      <c t="s" s="6" r="AL1045">
        <v>92</v>
      </c>
      <c t="s" s="6" r="AM1045">
        <v>92</v>
      </c>
      <c t="s" s="6" r="AN1045">
        <v>92</v>
      </c>
      <c s="6" r="AP1045">
        <v>3</v>
      </c>
      <c t="s" s="6" r="AR1045">
        <v>7737</v>
      </c>
      <c s="6" r="AS1045">
        <v>0</v>
      </c>
      <c s="6" r="AT1045">
        <v>0</v>
      </c>
      <c s="6" r="AU1045">
        <v>0</v>
      </c>
      <c s="6" r="AV1045">
        <v>0</v>
      </c>
      <c s="6" r="AW1045">
        <v>0</v>
      </c>
      <c s="6" r="AX1045">
        <v>0</v>
      </c>
      <c s="6" r="AY1045">
        <v>0</v>
      </c>
      <c s="6" r="AZ1045">
        <v>0</v>
      </c>
      <c s="6" r="BA1045">
        <v>0</v>
      </c>
      <c s="6" r="BB1045">
        <v>0</v>
      </c>
      <c s="6" r="BC1045">
        <v>0</v>
      </c>
      <c s="6" r="BD1045">
        <v>0</v>
      </c>
      <c s="6" r="BE1045">
        <v>0</v>
      </c>
      <c s="6" r="BF1045">
        <v>0</v>
      </c>
      <c s="6" r="BG1045">
        <v>0</v>
      </c>
      <c s="6" r="BH1045">
        <v>0</v>
      </c>
      <c s="6" r="BI1045">
        <v>0</v>
      </c>
      <c s="6" r="BJ1045">
        <v>0</v>
      </c>
      <c s="6" r="BK1045">
        <v>0</v>
      </c>
      <c s="6" r="BL1045">
        <v>1</v>
      </c>
      <c s="6" r="BM1045">
        <v>1</v>
      </c>
      <c s="6" r="BN1045">
        <v>0</v>
      </c>
      <c s="6" r="BO1045">
        <v>0</v>
      </c>
      <c s="6" r="BP1045">
        <v>0</v>
      </c>
      <c s="6" r="BQ1045">
        <v>0</v>
      </c>
      <c t="str" s="6" r="BR1045">
        <f>HYPERLINK("http://www.d20pfsrd.com/magic/all-spells/h/haunting-choir","Haunting Choir")</f>
        <v>Haunting Choir</v>
      </c>
      <c s="6" r="BS1045">
        <v>1067</v>
      </c>
      <c t="s" s="6" r="BT1045">
        <v>92</v>
      </c>
      <c s="6" r="BY1045">
        <v>0</v>
      </c>
    </row>
    <row customHeight="1" r="1046" ht="14.25">
      <c t="s" s="6" r="A1046">
        <v>7738</v>
      </c>
      <c t="s" s="6" r="B1046">
        <v>579</v>
      </c>
      <c t="s" s="6" r="C1046">
        <v>2047</v>
      </c>
      <c t="s" s="6" r="D1046">
        <v>7739</v>
      </c>
      <c t="s" s="6" r="E1046">
        <v>7740</v>
      </c>
      <c t="s" s="6" r="F1046">
        <v>81</v>
      </c>
      <c t="s" s="6" r="G1046">
        <v>106</v>
      </c>
      <c s="6" r="H1046">
        <v>0</v>
      </c>
      <c t="s" s="6" r="I1046">
        <v>804</v>
      </c>
      <c t="s" s="6" r="K1046">
        <v>821</v>
      </c>
      <c t="s" s="6" r="M1046">
        <v>5513</v>
      </c>
      <c s="6" r="N1046">
        <v>1</v>
      </c>
      <c s="6" r="O1046">
        <v>0</v>
      </c>
      <c t="s" s="6" r="P1046">
        <v>7202</v>
      </c>
      <c t="s" s="6" r="Q1046">
        <v>87</v>
      </c>
      <c t="s" s="6" r="R1046">
        <v>7741</v>
      </c>
      <c t="s" s="6" r="S1046">
        <v>7742</v>
      </c>
      <c t="s" s="6" r="T1046">
        <v>7122</v>
      </c>
      <c t="s" s="6" r="U1046">
        <v>7743</v>
      </c>
      <c s="6" r="V1046">
        <v>1</v>
      </c>
      <c s="6" r="W1046">
        <v>1</v>
      </c>
      <c s="6" r="X1046">
        <v>0</v>
      </c>
      <c s="6" r="Y1046">
        <v>0</v>
      </c>
      <c s="6" r="Z1046">
        <v>0</v>
      </c>
      <c s="6" r="AA1046">
        <v>2</v>
      </c>
      <c s="6" r="AB1046">
        <v>2</v>
      </c>
      <c t="s" s="6" r="AC1046">
        <v>92</v>
      </c>
      <c t="s" s="6" r="AD1046">
        <v>92</v>
      </c>
      <c t="s" s="6" r="AE1046">
        <v>92</v>
      </c>
      <c s="6" r="AF1046">
        <v>2</v>
      </c>
      <c t="s" s="6" r="AG1046">
        <v>92</v>
      </c>
      <c t="s" s="6" r="AH1046">
        <v>92</v>
      </c>
      <c t="s" s="6" r="AI1046">
        <v>92</v>
      </c>
      <c s="6" r="AJ1046">
        <v>2</v>
      </c>
      <c t="s" s="6" r="AK1046">
        <v>92</v>
      </c>
      <c t="s" s="6" r="AL1046">
        <v>92</v>
      </c>
      <c t="s" s="6" r="AM1046">
        <v>92</v>
      </c>
      <c t="s" s="6" r="AN1046">
        <v>92</v>
      </c>
      <c s="6" r="AP1046">
        <v>2</v>
      </c>
      <c t="s" s="6" r="AR1046">
        <v>7744</v>
      </c>
      <c s="6" r="AS1046">
        <v>0</v>
      </c>
      <c s="6" r="AT1046">
        <v>0</v>
      </c>
      <c s="6" r="AU1046">
        <v>0</v>
      </c>
      <c s="6" r="AV1046">
        <v>0</v>
      </c>
      <c s="6" r="AW1046">
        <v>0</v>
      </c>
      <c s="6" r="AX1046">
        <v>0</v>
      </c>
      <c s="6" r="AY1046">
        <v>0</v>
      </c>
      <c s="6" r="AZ1046">
        <v>0</v>
      </c>
      <c s="6" r="BA1046">
        <v>0</v>
      </c>
      <c s="6" r="BB1046">
        <v>0</v>
      </c>
      <c s="6" r="BC1046">
        <v>0</v>
      </c>
      <c s="6" r="BD1046">
        <v>0</v>
      </c>
      <c s="6" r="BE1046">
        <v>1</v>
      </c>
      <c s="6" r="BF1046">
        <v>0</v>
      </c>
      <c s="6" r="BG1046">
        <v>0</v>
      </c>
      <c s="6" r="BH1046">
        <v>0</v>
      </c>
      <c s="6" r="BI1046">
        <v>0</v>
      </c>
      <c s="6" r="BJ1046">
        <v>0</v>
      </c>
      <c s="6" r="BK1046">
        <v>0</v>
      </c>
      <c s="6" r="BL1046">
        <v>0</v>
      </c>
      <c s="6" r="BM1046">
        <v>0</v>
      </c>
      <c s="6" r="BN1046">
        <v>0</v>
      </c>
      <c s="6" r="BO1046">
        <v>1</v>
      </c>
      <c s="6" r="BP1046">
        <v>0</v>
      </c>
      <c s="6" r="BQ1046">
        <v>0</v>
      </c>
      <c t="str" s="6" r="BR1046">
        <f>HYPERLINK("http://www.d20pfsrd.com/magic/all-spells/h/haunting-mists","Haunting Mists")</f>
        <v>Haunting Mists</v>
      </c>
      <c s="6" r="BS1046">
        <v>1068</v>
      </c>
      <c t="s" s="6" r="BT1046">
        <v>92</v>
      </c>
      <c s="6" r="BY1046">
        <v>0</v>
      </c>
    </row>
    <row customHeight="1" r="1047" ht="14.25">
      <c t="s" s="6" r="A1047">
        <v>7745</v>
      </c>
      <c t="s" s="6" r="B1047">
        <v>162</v>
      </c>
      <c t="s" s="6" r="E1047">
        <v>7746</v>
      </c>
      <c t="s" s="6" r="F1047">
        <v>81</v>
      </c>
      <c t="s" s="6" r="G1047">
        <v>106</v>
      </c>
      <c s="6" r="H1047">
        <v>0</v>
      </c>
      <c t="s" s="6" r="I1047">
        <v>120</v>
      </c>
      <c t="s" s="6" r="L1047">
        <v>420</v>
      </c>
      <c t="s" s="6" r="M1047">
        <v>209</v>
      </c>
      <c s="6" r="N1047">
        <v>0</v>
      </c>
      <c s="6" r="O1047">
        <v>0</v>
      </c>
      <c t="s" s="6" r="P1047">
        <v>421</v>
      </c>
      <c t="s" s="6" r="Q1047">
        <v>123</v>
      </c>
      <c t="s" s="6" r="R1047">
        <v>7747</v>
      </c>
      <c t="s" s="6" r="S1047">
        <v>7748</v>
      </c>
      <c t="s" s="6" r="T1047">
        <v>7122</v>
      </c>
      <c t="s" s="6" r="U1047">
        <v>7749</v>
      </c>
      <c s="6" r="V1047">
        <v>1</v>
      </c>
      <c s="6" r="W1047">
        <v>1</v>
      </c>
      <c s="6" r="X1047">
        <v>0</v>
      </c>
      <c s="6" r="Y1047">
        <v>0</v>
      </c>
      <c s="6" r="Z1047">
        <v>0</v>
      </c>
      <c t="s" s="6" r="AA1047">
        <v>92</v>
      </c>
      <c t="s" s="6" r="AB1047">
        <v>92</v>
      </c>
      <c t="s" s="6" r="AC1047">
        <v>92</v>
      </c>
      <c t="s" s="6" r="AD1047">
        <v>92</v>
      </c>
      <c t="s" s="6" r="AE1047">
        <v>92</v>
      </c>
      <c t="s" s="6" r="AF1047">
        <v>92</v>
      </c>
      <c t="s" s="6" r="AG1047">
        <v>92</v>
      </c>
      <c t="s" s="6" r="AH1047">
        <v>92</v>
      </c>
      <c t="s" s="6" r="AI1047">
        <v>92</v>
      </c>
      <c s="6" r="AJ1047">
        <v>1</v>
      </c>
      <c s="6" r="AK1047">
        <v>1</v>
      </c>
      <c t="s" s="6" r="AL1047">
        <v>92</v>
      </c>
      <c t="s" s="6" r="AM1047">
        <v>92</v>
      </c>
      <c t="s" s="6" r="AN1047">
        <v>92</v>
      </c>
      <c s="6" r="AP1047">
        <v>1</v>
      </c>
      <c t="s" s="6" r="AR1047">
        <v>7750</v>
      </c>
      <c s="6" r="AS1047">
        <v>0</v>
      </c>
      <c s="6" r="AT1047">
        <v>0</v>
      </c>
      <c s="6" r="AU1047">
        <v>0</v>
      </c>
      <c s="6" r="AV1047">
        <v>0</v>
      </c>
      <c s="6" r="AW1047">
        <v>0</v>
      </c>
      <c s="6" r="AX1047">
        <v>0</v>
      </c>
      <c s="6" r="AY1047">
        <v>0</v>
      </c>
      <c s="6" r="AZ1047">
        <v>0</v>
      </c>
      <c s="6" r="BA1047">
        <v>0</v>
      </c>
      <c s="6" r="BB1047">
        <v>0</v>
      </c>
      <c s="6" r="BC1047">
        <v>0</v>
      </c>
      <c s="6" r="BD1047">
        <v>0</v>
      </c>
      <c s="6" r="BE1047">
        <v>0</v>
      </c>
      <c s="6" r="BF1047">
        <v>0</v>
      </c>
      <c s="6" r="BG1047">
        <v>0</v>
      </c>
      <c s="6" r="BH1047">
        <v>0</v>
      </c>
      <c s="6" r="BI1047">
        <v>0</v>
      </c>
      <c s="6" r="BJ1047">
        <v>0</v>
      </c>
      <c s="6" r="BK1047">
        <v>0</v>
      </c>
      <c s="6" r="BL1047">
        <v>0</v>
      </c>
      <c s="6" r="BM1047">
        <v>0</v>
      </c>
      <c s="6" r="BN1047">
        <v>0</v>
      </c>
      <c s="6" r="BO1047">
        <v>0</v>
      </c>
      <c s="6" r="BP1047">
        <v>0</v>
      </c>
      <c s="6" r="BQ1047">
        <v>0</v>
      </c>
      <c t="str" s="6" r="BR1047">
        <f>HYPERLINK("http://www.d20pfsrd.com/magic/all-spells/h/hex-ward","Hex Ward")</f>
        <v>Hex Ward</v>
      </c>
      <c s="6" r="BS1047">
        <v>1069</v>
      </c>
      <c t="s" s="6" r="BT1047">
        <v>92</v>
      </c>
      <c t="s" s="6" r="BW1047">
        <v>7751</v>
      </c>
      <c t="s" s="6" r="BX1047">
        <v>7752</v>
      </c>
      <c s="6" r="BY1047">
        <v>1</v>
      </c>
    </row>
    <row customHeight="1" r="1048" ht="14.25">
      <c t="s" s="6" r="A1048">
        <v>7753</v>
      </c>
      <c t="s" s="6" r="B1048">
        <v>131</v>
      </c>
      <c t="s" s="6" r="D1048">
        <v>7754</v>
      </c>
      <c t="s" s="6" r="E1048">
        <v>4979</v>
      </c>
      <c t="s" s="6" r="F1048">
        <v>81</v>
      </c>
      <c t="s" s="6" r="G1048">
        <v>7755</v>
      </c>
      <c s="6" r="H1048">
        <v>1</v>
      </c>
      <c t="s" s="6" r="I1048">
        <v>97</v>
      </c>
      <c t="s" s="6" r="K1048">
        <v>7756</v>
      </c>
      <c t="s" s="6" r="M1048">
        <v>7757</v>
      </c>
      <c s="6" r="N1048">
        <v>0</v>
      </c>
      <c s="6" r="O1048">
        <v>0</v>
      </c>
      <c t="s" s="6" r="P1048">
        <v>7758</v>
      </c>
      <c t="s" s="6" r="Q1048">
        <v>188</v>
      </c>
      <c t="s" s="6" r="R1048">
        <v>7759</v>
      </c>
      <c t="s" s="6" r="S1048">
        <v>7760</v>
      </c>
      <c t="s" s="6" r="T1048">
        <v>7122</v>
      </c>
      <c t="s" s="6" r="U1048">
        <v>7761</v>
      </c>
      <c s="6" r="V1048">
        <v>1</v>
      </c>
      <c s="6" r="W1048">
        <v>1</v>
      </c>
      <c s="6" r="X1048">
        <v>1</v>
      </c>
      <c s="6" r="Y1048">
        <v>0</v>
      </c>
      <c s="6" r="Z1048">
        <v>0</v>
      </c>
      <c t="s" s="6" r="AA1048">
        <v>92</v>
      </c>
      <c t="s" s="6" r="AB1048">
        <v>92</v>
      </c>
      <c s="6" r="AC1048">
        <v>5</v>
      </c>
      <c t="s" s="6" r="AD1048">
        <v>92</v>
      </c>
      <c t="s" s="6" r="AE1048">
        <v>92</v>
      </c>
      <c t="s" s="6" r="AF1048">
        <v>92</v>
      </c>
      <c t="s" s="6" r="AG1048">
        <v>92</v>
      </c>
      <c t="s" s="6" r="AH1048">
        <v>92</v>
      </c>
      <c t="s" s="6" r="AI1048">
        <v>92</v>
      </c>
      <c t="s" s="6" r="AJ1048">
        <v>92</v>
      </c>
      <c t="s" s="6" r="AK1048">
        <v>92</v>
      </c>
      <c s="6" r="AL1048">
        <v>5</v>
      </c>
      <c t="s" s="6" r="AM1048">
        <v>92</v>
      </c>
      <c t="s" s="6" r="AN1048">
        <v>92</v>
      </c>
      <c s="6" r="AP1048">
        <v>5</v>
      </c>
      <c t="s" s="6" r="AR1048">
        <v>7762</v>
      </c>
      <c s="6" r="AS1048">
        <v>0</v>
      </c>
      <c s="6" r="AT1048">
        <v>0</v>
      </c>
      <c s="6" r="AU1048">
        <v>0</v>
      </c>
      <c s="6" r="AV1048">
        <v>1</v>
      </c>
      <c s="6" r="AW1048">
        <v>0</v>
      </c>
      <c s="6" r="AX1048">
        <v>0</v>
      </c>
      <c s="6" r="AY1048">
        <v>0</v>
      </c>
      <c s="6" r="AZ1048">
        <v>0</v>
      </c>
      <c s="6" r="BA1048">
        <v>0</v>
      </c>
      <c s="6" r="BB1048">
        <v>0</v>
      </c>
      <c s="6" r="BC1048">
        <v>0</v>
      </c>
      <c s="6" r="BD1048">
        <v>0</v>
      </c>
      <c s="6" r="BE1048">
        <v>0</v>
      </c>
      <c s="6" r="BF1048">
        <v>0</v>
      </c>
      <c s="6" r="BG1048">
        <v>0</v>
      </c>
      <c s="6" r="BH1048">
        <v>1</v>
      </c>
      <c s="6" r="BI1048">
        <v>0</v>
      </c>
      <c s="6" r="BJ1048">
        <v>0</v>
      </c>
      <c s="6" r="BK1048">
        <v>0</v>
      </c>
      <c s="6" r="BL1048">
        <v>0</v>
      </c>
      <c s="6" r="BM1048">
        <v>0</v>
      </c>
      <c s="6" r="BN1048">
        <v>0</v>
      </c>
      <c s="6" r="BO1048">
        <v>0</v>
      </c>
      <c s="6" r="BP1048">
        <v>0</v>
      </c>
      <c s="6" r="BQ1048">
        <v>1</v>
      </c>
      <c t="str" s="6" r="BR1048">
        <f>HYPERLINK("http://www.d20pfsrd.com/magic/all-spells/h/holy-ice","Holy Ice")</f>
        <v>Holy Ice</v>
      </c>
      <c s="6" r="BS1048">
        <v>1070</v>
      </c>
      <c s="6" r="BT1048">
        <v>25</v>
      </c>
      <c s="6" r="BY1048">
        <v>0</v>
      </c>
    </row>
    <row customHeight="1" r="1049" ht="14.25">
      <c t="s" s="6" r="A1049">
        <v>7763</v>
      </c>
      <c t="s" s="6" r="B1049">
        <v>162</v>
      </c>
      <c t="s" s="6" r="E1049">
        <v>5295</v>
      </c>
      <c t="s" s="6" r="F1049">
        <v>81</v>
      </c>
      <c t="s" s="6" r="G1049">
        <v>106</v>
      </c>
      <c s="6" r="H1049">
        <v>0</v>
      </c>
      <c t="s" s="6" r="I1049">
        <v>155</v>
      </c>
      <c t="s" s="6" r="L1049">
        <v>156</v>
      </c>
      <c t="s" s="6" r="M1049">
        <v>5005</v>
      </c>
      <c s="6" r="N1049">
        <v>0</v>
      </c>
      <c s="6" r="O1049">
        <v>0</v>
      </c>
      <c t="s" s="6" r="P1049">
        <v>86</v>
      </c>
      <c t="s" s="6" r="Q1049">
        <v>87</v>
      </c>
      <c t="s" s="6" r="R1049">
        <v>7764</v>
      </c>
      <c t="s" s="6" r="S1049">
        <v>7765</v>
      </c>
      <c t="s" s="6" r="T1049">
        <v>7122</v>
      </c>
      <c t="s" s="6" r="U1049">
        <v>7766</v>
      </c>
      <c s="6" r="V1049">
        <v>1</v>
      </c>
      <c s="6" r="W1049">
        <v>1</v>
      </c>
      <c s="6" r="X1049">
        <v>0</v>
      </c>
      <c s="6" r="Y1049">
        <v>0</v>
      </c>
      <c s="6" r="Z1049">
        <v>0</v>
      </c>
      <c t="s" s="6" r="AA1049">
        <v>92</v>
      </c>
      <c t="s" s="6" r="AB1049">
        <v>92</v>
      </c>
      <c t="s" s="6" r="AC1049">
        <v>92</v>
      </c>
      <c t="s" s="6" r="AD1049">
        <v>92</v>
      </c>
      <c t="s" s="6" r="AE1049">
        <v>92</v>
      </c>
      <c t="s" s="6" r="AF1049">
        <v>92</v>
      </c>
      <c s="6" r="AG1049">
        <v>2</v>
      </c>
      <c t="s" s="6" r="AH1049">
        <v>92</v>
      </c>
      <c t="s" s="6" r="AI1049">
        <v>92</v>
      </c>
      <c t="s" s="6" r="AJ1049">
        <v>92</v>
      </c>
      <c t="s" s="6" r="AK1049">
        <v>92</v>
      </c>
      <c t="s" s="6" r="AL1049">
        <v>92</v>
      </c>
      <c t="s" s="6" r="AM1049">
        <v>92</v>
      </c>
      <c t="s" s="6" r="AN1049">
        <v>92</v>
      </c>
      <c s="6" r="AP1049">
        <v>2</v>
      </c>
      <c t="s" s="6" r="AR1049">
        <v>7767</v>
      </c>
      <c s="6" r="AS1049">
        <v>0</v>
      </c>
      <c s="6" r="AT1049">
        <v>0</v>
      </c>
      <c s="6" r="AU1049">
        <v>0</v>
      </c>
      <c s="6" r="AV1049">
        <v>0</v>
      </c>
      <c s="6" r="AW1049">
        <v>0</v>
      </c>
      <c s="6" r="AX1049">
        <v>0</v>
      </c>
      <c s="6" r="AY1049">
        <v>0</v>
      </c>
      <c s="6" r="AZ1049">
        <v>0</v>
      </c>
      <c s="6" r="BA1049">
        <v>0</v>
      </c>
      <c s="6" r="BB1049">
        <v>0</v>
      </c>
      <c s="6" r="BC1049">
        <v>0</v>
      </c>
      <c s="6" r="BD1049">
        <v>0</v>
      </c>
      <c s="6" r="BE1049">
        <v>0</v>
      </c>
      <c s="6" r="BF1049">
        <v>0</v>
      </c>
      <c s="6" r="BG1049">
        <v>0</v>
      </c>
      <c s="6" r="BH1049">
        <v>0</v>
      </c>
      <c s="6" r="BI1049">
        <v>0</v>
      </c>
      <c s="6" r="BJ1049">
        <v>0</v>
      </c>
      <c s="6" r="BK1049">
        <v>0</v>
      </c>
      <c s="6" r="BL1049">
        <v>0</v>
      </c>
      <c s="6" r="BM1049">
        <v>0</v>
      </c>
      <c s="6" r="BN1049">
        <v>0</v>
      </c>
      <c s="6" r="BO1049">
        <v>0</v>
      </c>
      <c s="6" r="BP1049">
        <v>0</v>
      </c>
      <c s="6" r="BQ1049">
        <v>0</v>
      </c>
      <c t="str" s="6" r="BR1049">
        <f>HYPERLINK("http://www.d20pfsrd.com/magic/all-spells/h/holy-shield","Holy Shield")</f>
        <v>Holy Shield</v>
      </c>
      <c s="6" r="BS1049">
        <v>1071</v>
      </c>
      <c t="s" s="6" r="BT1049">
        <v>92</v>
      </c>
      <c s="6" r="BY1049">
        <v>0</v>
      </c>
    </row>
    <row customHeight="1" r="1050" ht="14.25">
      <c t="s" s="6" r="A1050">
        <v>7768</v>
      </c>
      <c t="s" s="6" r="B1050">
        <v>493</v>
      </c>
      <c t="s" s="6" r="D1050">
        <v>67</v>
      </c>
      <c t="s" s="6" r="E1050">
        <v>7769</v>
      </c>
      <c t="s" s="6" r="F1050">
        <v>81</v>
      </c>
      <c t="s" s="6" r="G1050">
        <v>2086</v>
      </c>
      <c s="6" r="H1050">
        <v>0</v>
      </c>
      <c t="s" s="6" r="I1050">
        <v>155</v>
      </c>
      <c t="s" s="6" r="K1050">
        <v>7770</v>
      </c>
      <c t="s" s="6" r="M1050">
        <v>272</v>
      </c>
      <c s="6" r="N1050">
        <v>0</v>
      </c>
      <c s="6" r="O1050">
        <v>0</v>
      </c>
      <c t="s" s="6" r="P1050">
        <v>86</v>
      </c>
      <c t="s" s="6" r="Q1050">
        <v>87</v>
      </c>
      <c t="s" s="6" r="R1050">
        <v>7771</v>
      </c>
      <c t="s" s="6" r="S1050">
        <v>7772</v>
      </c>
      <c t="s" s="6" r="T1050">
        <v>7122</v>
      </c>
      <c t="s" s="6" r="U1050">
        <v>7773</v>
      </c>
      <c s="6" r="V1050">
        <v>0</v>
      </c>
      <c s="6" r="W1050">
        <v>1</v>
      </c>
      <c s="6" r="X1050">
        <v>0</v>
      </c>
      <c s="6" r="Y1050">
        <v>0</v>
      </c>
      <c s="6" r="Z1050">
        <v>0</v>
      </c>
      <c t="s" s="6" r="AA1050">
        <v>92</v>
      </c>
      <c t="s" s="6" r="AB1050">
        <v>92</v>
      </c>
      <c t="s" s="6" r="AC1050">
        <v>92</v>
      </c>
      <c t="s" s="6" r="AD1050">
        <v>92</v>
      </c>
      <c s="6" r="AE1050">
        <v>1</v>
      </c>
      <c s="6" r="AF1050">
        <v>1</v>
      </c>
      <c s="6" r="AG1050">
        <v>1</v>
      </c>
      <c t="s" s="6" r="AH1050">
        <v>92</v>
      </c>
      <c t="s" s="6" r="AI1050">
        <v>92</v>
      </c>
      <c t="s" s="6" r="AJ1050">
        <v>92</v>
      </c>
      <c s="6" r="AK1050">
        <v>1</v>
      </c>
      <c t="s" s="6" r="AL1050">
        <v>92</v>
      </c>
      <c t="s" s="6" r="AM1050">
        <v>92</v>
      </c>
      <c t="s" s="6" r="AN1050">
        <v>92</v>
      </c>
      <c s="6" r="AP1050">
        <v>1</v>
      </c>
      <c t="s" s="6" r="AR1050">
        <v>7774</v>
      </c>
      <c s="6" r="AS1050">
        <v>0</v>
      </c>
      <c s="6" r="AT1050">
        <v>0</v>
      </c>
      <c s="6" r="AU1050">
        <v>0</v>
      </c>
      <c s="6" r="AV1050">
        <v>0</v>
      </c>
      <c s="6" r="AW1050">
        <v>0</v>
      </c>
      <c s="6" r="AX1050">
        <v>0</v>
      </c>
      <c s="6" r="AY1050">
        <v>0</v>
      </c>
      <c s="6" r="AZ1050">
        <v>0</v>
      </c>
      <c s="6" r="BA1050">
        <v>0</v>
      </c>
      <c s="6" r="BB1050">
        <v>0</v>
      </c>
      <c s="6" r="BC1050">
        <v>0</v>
      </c>
      <c s="6" r="BD1050">
        <v>0</v>
      </c>
      <c s="6" r="BE1050">
        <v>0</v>
      </c>
      <c s="6" r="BF1050">
        <v>0</v>
      </c>
      <c s="6" r="BG1050">
        <v>0</v>
      </c>
      <c s="6" r="BH1050">
        <v>0</v>
      </c>
      <c s="6" r="BI1050">
        <v>0</v>
      </c>
      <c s="6" r="BJ1050">
        <v>0</v>
      </c>
      <c s="6" r="BK1050">
        <v>0</v>
      </c>
      <c s="6" r="BL1050">
        <v>0</v>
      </c>
      <c s="6" r="BM1050">
        <v>0</v>
      </c>
      <c s="6" r="BN1050">
        <v>0</v>
      </c>
      <c s="6" r="BO1050">
        <v>0</v>
      </c>
      <c s="6" r="BP1050">
        <v>1</v>
      </c>
      <c s="6" r="BQ1050">
        <v>0</v>
      </c>
      <c t="str" s="6" r="BR1050">
        <f>HYPERLINK("http://www.d20pfsrd.com/magic/all-spells/h/horn-of-pursuit","Horn of Pursuit")</f>
        <v>Horn of Pursuit</v>
      </c>
      <c s="6" r="BS1050">
        <v>1072</v>
      </c>
      <c t="s" s="6" r="BT1050">
        <v>92</v>
      </c>
      <c s="6" r="BY1050">
        <v>0</v>
      </c>
    </row>
    <row customHeight="1" r="1051" ht="14.25">
      <c t="s" s="6" r="A1051">
        <v>7775</v>
      </c>
      <c t="s" s="6" r="B1051">
        <v>227</v>
      </c>
      <c t="s" s="6" r="D1051">
        <v>7776</v>
      </c>
      <c t="s" s="6" r="E1051">
        <v>7777</v>
      </c>
      <c t="s" s="6" r="F1051">
        <v>81</v>
      </c>
      <c t="s" s="6" r="G1051">
        <v>7778</v>
      </c>
      <c s="6" r="H1051">
        <v>0</v>
      </c>
      <c t="s" s="6" r="I1051">
        <v>107</v>
      </c>
      <c t="s" s="6" r="L1051">
        <v>6280</v>
      </c>
      <c t="s" s="6" r="M1051">
        <v>99</v>
      </c>
      <c s="6" r="N1051">
        <v>0</v>
      </c>
      <c s="6" r="O1051">
        <v>0</v>
      </c>
      <c t="s" s="6" r="P1051">
        <v>187</v>
      </c>
      <c t="s" s="6" r="Q1051">
        <v>188</v>
      </c>
      <c t="s" s="6" r="R1051">
        <v>7779</v>
      </c>
      <c t="s" s="6" r="S1051">
        <v>7780</v>
      </c>
      <c t="s" s="6" r="T1051">
        <v>7122</v>
      </c>
      <c t="s" s="6" r="U1051">
        <v>7781</v>
      </c>
      <c s="6" r="V1051">
        <v>1</v>
      </c>
      <c s="6" r="W1051">
        <v>1</v>
      </c>
      <c s="6" r="X1051">
        <v>1</v>
      </c>
      <c s="6" r="Y1051">
        <v>0</v>
      </c>
      <c s="6" r="Z1051">
        <v>0</v>
      </c>
      <c s="6" r="AA1051">
        <v>3</v>
      </c>
      <c s="6" r="AB1051">
        <v>3</v>
      </c>
      <c t="s" s="6" r="AC1051">
        <v>92</v>
      </c>
      <c t="s" s="6" r="AD1051">
        <v>92</v>
      </c>
      <c t="s" s="6" r="AE1051">
        <v>92</v>
      </c>
      <c t="s" s="6" r="AF1051">
        <v>92</v>
      </c>
      <c t="s" s="6" r="AG1051">
        <v>92</v>
      </c>
      <c t="s" s="6" r="AH1051">
        <v>92</v>
      </c>
      <c t="s" s="6" r="AI1051">
        <v>92</v>
      </c>
      <c s="6" r="AJ1051">
        <v>3</v>
      </c>
      <c s="6" r="AK1051">
        <v>2</v>
      </c>
      <c t="s" s="6" r="AL1051">
        <v>92</v>
      </c>
      <c t="s" s="6" r="AM1051">
        <v>92</v>
      </c>
      <c t="s" s="6" r="AN1051">
        <v>92</v>
      </c>
      <c s="6" r="AP1051">
        <v>3</v>
      </c>
      <c t="s" s="6" r="AR1051">
        <v>7782</v>
      </c>
      <c s="6" r="AS1051">
        <v>0</v>
      </c>
      <c s="6" r="AT1051">
        <v>0</v>
      </c>
      <c s="6" r="AU1051">
        <v>0</v>
      </c>
      <c s="6" r="AV1051">
        <v>0</v>
      </c>
      <c s="6" r="AW1051">
        <v>0</v>
      </c>
      <c s="6" r="AX1051">
        <v>0</v>
      </c>
      <c s="6" r="AY1051">
        <v>1</v>
      </c>
      <c s="6" r="AZ1051">
        <v>0</v>
      </c>
      <c s="6" r="BA1051">
        <v>0</v>
      </c>
      <c s="6" r="BB1051">
        <v>0</v>
      </c>
      <c s="6" r="BC1051">
        <v>0</v>
      </c>
      <c s="6" r="BD1051">
        <v>0</v>
      </c>
      <c s="6" r="BE1051">
        <v>0</v>
      </c>
      <c s="6" r="BF1051">
        <v>0</v>
      </c>
      <c s="6" r="BG1051">
        <v>0</v>
      </c>
      <c s="6" r="BH1051">
        <v>0</v>
      </c>
      <c s="6" r="BI1051">
        <v>0</v>
      </c>
      <c s="6" r="BJ1051">
        <v>0</v>
      </c>
      <c s="6" r="BK1051">
        <v>0</v>
      </c>
      <c s="6" r="BL1051">
        <v>0</v>
      </c>
      <c s="6" r="BM1051">
        <v>1</v>
      </c>
      <c s="6" r="BN1051">
        <v>0</v>
      </c>
      <c s="6" r="BO1051">
        <v>0</v>
      </c>
      <c s="6" r="BP1051">
        <v>0</v>
      </c>
      <c s="6" r="BQ1051">
        <v>0</v>
      </c>
      <c t="str" s="6" r="BR1051">
        <f>HYPERLINK("http://www.d20pfsrd.com/magic/all-spells/h/howling-agony","Howling Agony")</f>
        <v>Howling Agony</v>
      </c>
      <c s="6" r="BS1051">
        <v>1073</v>
      </c>
      <c t="s" s="6" r="BT1051">
        <v>92</v>
      </c>
      <c s="6" r="BY1051">
        <v>0</v>
      </c>
    </row>
    <row customHeight="1" r="1052" ht="14.25">
      <c t="s" s="6" r="A1052">
        <v>7783</v>
      </c>
      <c t="s" s="6" r="B1052">
        <v>131</v>
      </c>
      <c t="s" s="6" r="D1052">
        <v>47</v>
      </c>
      <c t="s" s="6" r="E1052">
        <v>344</v>
      </c>
      <c t="s" s="6" r="F1052">
        <v>81</v>
      </c>
      <c t="s" s="6" r="G1052">
        <v>106</v>
      </c>
      <c s="6" r="H1052">
        <v>0</v>
      </c>
      <c t="s" s="6" r="I1052">
        <v>155</v>
      </c>
      <c t="s" s="6" r="L1052">
        <v>156</v>
      </c>
      <c t="s" s="6" r="M1052">
        <v>5513</v>
      </c>
      <c s="6" r="N1052">
        <v>1</v>
      </c>
      <c s="6" r="O1052">
        <v>0</v>
      </c>
      <c t="s" s="6" r="R1052">
        <v>7784</v>
      </c>
      <c t="s" s="6" r="S1052">
        <v>7785</v>
      </c>
      <c t="s" s="6" r="T1052">
        <v>7122</v>
      </c>
      <c t="s" s="6" r="U1052">
        <v>7786</v>
      </c>
      <c s="6" r="V1052">
        <v>1</v>
      </c>
      <c s="6" r="W1052">
        <v>1</v>
      </c>
      <c s="6" r="X1052">
        <v>0</v>
      </c>
      <c s="6" r="Y1052">
        <v>0</v>
      </c>
      <c s="6" r="Z1052">
        <v>0</v>
      </c>
      <c s="6" r="AA1052">
        <v>7</v>
      </c>
      <c s="6" r="AB1052">
        <v>7</v>
      </c>
      <c t="s" s="6" r="AC1052">
        <v>92</v>
      </c>
      <c t="s" s="6" r="AD1052">
        <v>92</v>
      </c>
      <c t="s" s="6" r="AE1052">
        <v>92</v>
      </c>
      <c t="s" s="6" r="AF1052">
        <v>92</v>
      </c>
      <c t="s" s="6" r="AG1052">
        <v>92</v>
      </c>
      <c t="s" s="6" r="AH1052">
        <v>92</v>
      </c>
      <c t="s" s="6" r="AI1052">
        <v>92</v>
      </c>
      <c s="6" r="AJ1052">
        <v>7</v>
      </c>
      <c t="s" s="6" r="AK1052">
        <v>92</v>
      </c>
      <c t="s" s="6" r="AL1052">
        <v>92</v>
      </c>
      <c t="s" s="6" r="AM1052">
        <v>92</v>
      </c>
      <c t="s" s="6" r="AN1052">
        <v>92</v>
      </c>
      <c s="6" r="AP1052">
        <v>7</v>
      </c>
      <c t="s" s="6" r="AR1052">
        <v>7787</v>
      </c>
      <c s="6" r="AS1052">
        <v>0</v>
      </c>
      <c s="6" r="AT1052">
        <v>0</v>
      </c>
      <c s="6" r="AU1052">
        <v>0</v>
      </c>
      <c s="6" r="AV1052">
        <v>1</v>
      </c>
      <c s="6" r="AW1052">
        <v>0</v>
      </c>
      <c s="6" r="AX1052">
        <v>0</v>
      </c>
      <c s="6" r="AY1052">
        <v>0</v>
      </c>
      <c s="6" r="AZ1052">
        <v>0</v>
      </c>
      <c s="6" r="BA1052">
        <v>0</v>
      </c>
      <c s="6" r="BB1052">
        <v>0</v>
      </c>
      <c s="6" r="BC1052">
        <v>0</v>
      </c>
      <c s="6" r="BD1052">
        <v>0</v>
      </c>
      <c s="6" r="BE1052">
        <v>0</v>
      </c>
      <c s="6" r="BF1052">
        <v>0</v>
      </c>
      <c s="6" r="BG1052">
        <v>0</v>
      </c>
      <c s="6" r="BH1052">
        <v>0</v>
      </c>
      <c s="6" r="BI1052">
        <v>0</v>
      </c>
      <c s="6" r="BJ1052">
        <v>0</v>
      </c>
      <c s="6" r="BK1052">
        <v>0</v>
      </c>
      <c s="6" r="BL1052">
        <v>0</v>
      </c>
      <c s="6" r="BM1052">
        <v>0</v>
      </c>
      <c s="6" r="BN1052">
        <v>0</v>
      </c>
      <c s="6" r="BO1052">
        <v>0</v>
      </c>
      <c s="6" r="BP1052">
        <v>0</v>
      </c>
      <c s="6" r="BQ1052">
        <v>0</v>
      </c>
      <c t="str" s="6" r="BR1052">
        <f>HYPERLINK("http://www.d20pfsrd.com/magic/all-spells/i/ice-body","Ice Body")</f>
        <v>Ice Body</v>
      </c>
      <c s="6" r="BS1052">
        <v>1074</v>
      </c>
      <c t="s" s="6" r="BT1052">
        <v>92</v>
      </c>
      <c s="6" r="BY1052">
        <v>0</v>
      </c>
    </row>
    <row customHeight="1" r="1053" ht="14.25">
      <c t="s" s="6" r="A1053">
        <v>7788</v>
      </c>
      <c t="s" s="6" r="B1053">
        <v>78</v>
      </c>
      <c t="s" s="6" r="C1053">
        <v>1356</v>
      </c>
      <c t="s" s="6" r="D1053">
        <v>47</v>
      </c>
      <c t="s" s="6" r="E1053">
        <v>7789</v>
      </c>
      <c t="s" s="6" r="F1053">
        <v>81</v>
      </c>
      <c t="s" s="6" r="G1053">
        <v>251</v>
      </c>
      <c s="6" r="H1053">
        <v>0</v>
      </c>
      <c t="s" s="6" r="I1053">
        <v>83</v>
      </c>
      <c t="s" s="6" r="L1053">
        <v>1235</v>
      </c>
      <c t="s" s="6" r="M1053">
        <v>7790</v>
      </c>
      <c s="6" r="N1053">
        <v>0</v>
      </c>
      <c s="6" r="O1053">
        <v>0</v>
      </c>
      <c t="s" s="6" r="P1053">
        <v>221</v>
      </c>
      <c t="s" s="6" r="Q1053">
        <v>188</v>
      </c>
      <c t="s" s="6" r="R1053">
        <v>7791</v>
      </c>
      <c t="s" s="6" r="S1053">
        <v>7792</v>
      </c>
      <c t="s" s="6" r="T1053">
        <v>7122</v>
      </c>
      <c t="s" s="6" r="U1053">
        <v>7793</v>
      </c>
      <c s="6" r="V1053">
        <v>1</v>
      </c>
      <c s="6" r="W1053">
        <v>0</v>
      </c>
      <c s="6" r="X1053">
        <v>0</v>
      </c>
      <c s="6" r="Y1053">
        <v>0</v>
      </c>
      <c s="6" r="Z1053">
        <v>0</v>
      </c>
      <c s="6" r="AA1053">
        <v>6</v>
      </c>
      <c s="6" r="AB1053">
        <v>6</v>
      </c>
      <c t="s" s="6" r="AC1053">
        <v>92</v>
      </c>
      <c t="s" s="6" r="AD1053">
        <v>92</v>
      </c>
      <c t="s" s="6" r="AE1053">
        <v>92</v>
      </c>
      <c t="s" s="6" r="AF1053">
        <v>92</v>
      </c>
      <c t="s" s="6" r="AG1053">
        <v>92</v>
      </c>
      <c t="s" s="6" r="AH1053">
        <v>92</v>
      </c>
      <c s="6" r="AI1053">
        <v>5</v>
      </c>
      <c s="6" r="AJ1053">
        <v>6</v>
      </c>
      <c t="s" s="6" r="AK1053">
        <v>92</v>
      </c>
      <c t="s" s="6" r="AL1053">
        <v>92</v>
      </c>
      <c t="s" s="6" r="AM1053">
        <v>92</v>
      </c>
      <c t="s" s="6" r="AN1053">
        <v>92</v>
      </c>
      <c s="6" r="AP1053">
        <v>6</v>
      </c>
      <c t="s" s="6" r="AR1053">
        <v>7794</v>
      </c>
      <c s="6" r="AS1053">
        <v>0</v>
      </c>
      <c s="6" r="AT1053">
        <v>0</v>
      </c>
      <c s="6" r="AU1053">
        <v>0</v>
      </c>
      <c s="6" r="AV1053">
        <v>1</v>
      </c>
      <c s="6" r="AW1053">
        <v>0</v>
      </c>
      <c s="6" r="AX1053">
        <v>0</v>
      </c>
      <c s="6" r="AY1053">
        <v>0</v>
      </c>
      <c s="6" r="AZ1053">
        <v>0</v>
      </c>
      <c s="6" r="BA1053">
        <v>0</v>
      </c>
      <c s="6" r="BB1053">
        <v>0</v>
      </c>
      <c s="6" r="BC1053">
        <v>0</v>
      </c>
      <c s="6" r="BD1053">
        <v>0</v>
      </c>
      <c s="6" r="BE1053">
        <v>0</v>
      </c>
      <c s="6" r="BF1053">
        <v>0</v>
      </c>
      <c s="6" r="BG1053">
        <v>0</v>
      </c>
      <c s="6" r="BH1053">
        <v>0</v>
      </c>
      <c s="6" r="BI1053">
        <v>0</v>
      </c>
      <c s="6" r="BJ1053">
        <v>0</v>
      </c>
      <c s="6" r="BK1053">
        <v>0</v>
      </c>
      <c s="6" r="BL1053">
        <v>0</v>
      </c>
      <c s="6" r="BM1053">
        <v>0</v>
      </c>
      <c s="6" r="BN1053">
        <v>0</v>
      </c>
      <c s="6" r="BO1053">
        <v>0</v>
      </c>
      <c s="6" r="BP1053">
        <v>0</v>
      </c>
      <c s="6" r="BQ1053">
        <v>0</v>
      </c>
      <c t="str" s="6" r="BR1053">
        <f>HYPERLINK("http://www.d20pfsrd.com/magic/all-spells/i/ice-crystal-teleport","Ice Crystal Teleport")</f>
        <v>Ice Crystal Teleport</v>
      </c>
      <c s="6" r="BS1053">
        <v>1075</v>
      </c>
      <c t="s" s="6" r="BT1053">
        <v>92</v>
      </c>
      <c s="6" r="BY1053">
        <v>0</v>
      </c>
    </row>
    <row customHeight="1" r="1054" ht="14.25">
      <c t="s" s="6" r="A1054">
        <v>7795</v>
      </c>
      <c t="s" s="6" r="B1054">
        <v>78</v>
      </c>
      <c t="s" s="6" r="C1054">
        <v>79</v>
      </c>
      <c t="s" s="6" r="D1054">
        <v>47</v>
      </c>
      <c t="s" s="6" r="E1054">
        <v>2702</v>
      </c>
      <c t="s" s="6" r="F1054">
        <v>81</v>
      </c>
      <c t="s" s="6" r="G1054">
        <v>106</v>
      </c>
      <c s="6" r="H1054">
        <v>0</v>
      </c>
      <c t="s" s="6" r="I1054">
        <v>813</v>
      </c>
      <c t="s" s="6" r="K1054">
        <v>7796</v>
      </c>
      <c t="s" s="6" r="M1054">
        <v>2718</v>
      </c>
      <c s="6" r="N1054">
        <v>0</v>
      </c>
      <c s="6" r="O1054">
        <v>0</v>
      </c>
      <c t="s" s="6" r="P1054">
        <v>86</v>
      </c>
      <c t="s" s="6" r="Q1054">
        <v>87</v>
      </c>
      <c t="s" s="6" r="R1054">
        <v>7797</v>
      </c>
      <c t="s" s="6" r="S1054">
        <v>7798</v>
      </c>
      <c t="s" s="6" r="T1054">
        <v>7122</v>
      </c>
      <c t="s" s="6" r="U1054">
        <v>7799</v>
      </c>
      <c s="6" r="V1054">
        <v>1</v>
      </c>
      <c s="6" r="W1054">
        <v>1</v>
      </c>
      <c s="6" r="X1054">
        <v>0</v>
      </c>
      <c s="6" r="Y1054">
        <v>0</v>
      </c>
      <c s="6" r="Z1054">
        <v>0</v>
      </c>
      <c s="6" r="AA1054">
        <v>1</v>
      </c>
      <c s="6" r="AB1054">
        <v>1</v>
      </c>
      <c t="s" s="6" r="AC1054">
        <v>92</v>
      </c>
      <c t="s" s="6" r="AD1054">
        <v>92</v>
      </c>
      <c t="s" s="6" r="AE1054">
        <v>92</v>
      </c>
      <c t="s" s="6" r="AF1054">
        <v>92</v>
      </c>
      <c t="s" s="6" r="AG1054">
        <v>92</v>
      </c>
      <c t="s" s="6" r="AH1054">
        <v>92</v>
      </c>
      <c s="6" r="AI1054">
        <v>1</v>
      </c>
      <c s="6" r="AJ1054">
        <v>1</v>
      </c>
      <c t="s" s="6" r="AK1054">
        <v>92</v>
      </c>
      <c t="s" s="6" r="AL1054">
        <v>92</v>
      </c>
      <c t="s" s="6" r="AM1054">
        <v>92</v>
      </c>
      <c t="s" s="6" r="AN1054">
        <v>92</v>
      </c>
      <c s="6" r="AP1054">
        <v>1</v>
      </c>
      <c t="s" s="6" r="AR1054">
        <v>7800</v>
      </c>
      <c s="6" r="AS1054">
        <v>0</v>
      </c>
      <c s="6" r="AT1054">
        <v>0</v>
      </c>
      <c s="6" r="AU1054">
        <v>0</v>
      </c>
      <c s="6" r="AV1054">
        <v>1</v>
      </c>
      <c s="6" r="AW1054">
        <v>0</v>
      </c>
      <c s="6" r="AX1054">
        <v>0</v>
      </c>
      <c s="6" r="AY1054">
        <v>0</v>
      </c>
      <c s="6" r="AZ1054">
        <v>0</v>
      </c>
      <c s="6" r="BA1054">
        <v>0</v>
      </c>
      <c s="6" r="BB1054">
        <v>0</v>
      </c>
      <c s="6" r="BC1054">
        <v>0</v>
      </c>
      <c s="6" r="BD1054">
        <v>0</v>
      </c>
      <c s="6" r="BE1054">
        <v>0</v>
      </c>
      <c s="6" r="BF1054">
        <v>0</v>
      </c>
      <c s="6" r="BG1054">
        <v>0</v>
      </c>
      <c s="6" r="BH1054">
        <v>0</v>
      </c>
      <c s="6" r="BI1054">
        <v>0</v>
      </c>
      <c s="6" r="BJ1054">
        <v>0</v>
      </c>
      <c s="6" r="BK1054">
        <v>0</v>
      </c>
      <c s="6" r="BL1054">
        <v>0</v>
      </c>
      <c s="6" r="BM1054">
        <v>0</v>
      </c>
      <c s="6" r="BN1054">
        <v>0</v>
      </c>
      <c s="6" r="BO1054">
        <v>0</v>
      </c>
      <c s="6" r="BP1054">
        <v>0</v>
      </c>
      <c s="6" r="BQ1054">
        <v>0</v>
      </c>
      <c t="str" s="6" r="BR1054">
        <f>HYPERLINK("http://www.d20pfsrd.com/magic/all-spells/i/icicle-dagger","Icicle Dagger")</f>
        <v>Icicle Dagger</v>
      </c>
      <c s="6" r="BS1054">
        <v>1076</v>
      </c>
      <c t="s" s="6" r="BT1054">
        <v>92</v>
      </c>
      <c s="6" r="BY1054">
        <v>0</v>
      </c>
    </row>
    <row customHeight="1" r="1055" ht="14.25">
      <c t="s" s="6" r="A1055">
        <v>7801</v>
      </c>
      <c t="s" s="6" r="B1055">
        <v>493</v>
      </c>
      <c t="s" s="6" r="D1055">
        <v>47</v>
      </c>
      <c t="s" s="6" r="E1055">
        <v>1709</v>
      </c>
      <c t="s" s="6" r="F1055">
        <v>81</v>
      </c>
      <c t="s" s="6" r="G1055">
        <v>106</v>
      </c>
      <c s="6" r="H1055">
        <v>0</v>
      </c>
      <c t="s" s="6" r="I1055">
        <v>7802</v>
      </c>
      <c t="s" s="6" r="L1055">
        <v>1235</v>
      </c>
      <c t="s" s="6" r="M1055">
        <v>7574</v>
      </c>
      <c s="6" r="N1055">
        <v>0</v>
      </c>
      <c s="6" r="O1055">
        <v>0</v>
      </c>
      <c t="s" s="6" r="P1055">
        <v>4129</v>
      </c>
      <c t="s" s="6" r="Q1055">
        <v>188</v>
      </c>
      <c t="s" s="6" r="R1055">
        <v>7803</v>
      </c>
      <c t="s" s="6" r="S1055">
        <v>7804</v>
      </c>
      <c t="s" s="6" r="T1055">
        <v>7122</v>
      </c>
      <c t="s" s="6" r="U1055">
        <v>7805</v>
      </c>
      <c s="6" r="V1055">
        <v>1</v>
      </c>
      <c s="6" r="W1055">
        <v>1</v>
      </c>
      <c s="6" r="X1055">
        <v>0</v>
      </c>
      <c s="6" r="Y1055">
        <v>0</v>
      </c>
      <c s="6" r="Z1055">
        <v>0</v>
      </c>
      <c s="6" r="AA1055">
        <v>5</v>
      </c>
      <c s="6" r="AB1055">
        <v>5</v>
      </c>
      <c t="s" s="6" r="AC1055">
        <v>92</v>
      </c>
      <c t="s" s="6" r="AD1055">
        <v>92</v>
      </c>
      <c t="s" s="6" r="AE1055">
        <v>92</v>
      </c>
      <c t="s" s="6" r="AF1055">
        <v>92</v>
      </c>
      <c t="s" s="6" r="AG1055">
        <v>92</v>
      </c>
      <c t="s" s="6" r="AH1055">
        <v>92</v>
      </c>
      <c t="s" s="6" r="AI1055">
        <v>92</v>
      </c>
      <c t="s" s="6" r="AJ1055">
        <v>92</v>
      </c>
      <c t="s" s="6" r="AK1055">
        <v>92</v>
      </c>
      <c t="s" s="6" r="AL1055">
        <v>92</v>
      </c>
      <c t="s" s="6" r="AM1055">
        <v>92</v>
      </c>
      <c t="s" s="6" r="AN1055">
        <v>92</v>
      </c>
      <c s="6" r="AP1055">
        <v>5</v>
      </c>
      <c t="s" s="6" r="AR1055">
        <v>7806</v>
      </c>
      <c s="6" r="AS1055">
        <v>0</v>
      </c>
      <c s="6" r="AT1055">
        <v>0</v>
      </c>
      <c s="6" r="AU1055">
        <v>0</v>
      </c>
      <c s="6" r="AV1055">
        <v>1</v>
      </c>
      <c s="6" r="AW1055">
        <v>0</v>
      </c>
      <c s="6" r="AX1055">
        <v>0</v>
      </c>
      <c s="6" r="AY1055">
        <v>0</v>
      </c>
      <c s="6" r="AZ1055">
        <v>0</v>
      </c>
      <c s="6" r="BA1055">
        <v>0</v>
      </c>
      <c s="6" r="BB1055">
        <v>0</v>
      </c>
      <c s="6" r="BC1055">
        <v>0</v>
      </c>
      <c s="6" r="BD1055">
        <v>0</v>
      </c>
      <c s="6" r="BE1055">
        <v>0</v>
      </c>
      <c s="6" r="BF1055">
        <v>0</v>
      </c>
      <c s="6" r="BG1055">
        <v>0</v>
      </c>
      <c s="6" r="BH1055">
        <v>0</v>
      </c>
      <c s="6" r="BI1055">
        <v>0</v>
      </c>
      <c s="6" r="BJ1055">
        <v>0</v>
      </c>
      <c s="6" r="BK1055">
        <v>0</v>
      </c>
      <c s="6" r="BL1055">
        <v>0</v>
      </c>
      <c s="6" r="BM1055">
        <v>0</v>
      </c>
      <c s="6" r="BN1055">
        <v>0</v>
      </c>
      <c s="6" r="BO1055">
        <v>0</v>
      </c>
      <c s="6" r="BP1055">
        <v>0</v>
      </c>
      <c s="6" r="BQ1055">
        <v>0</v>
      </c>
      <c t="str" s="6" r="BR1055">
        <f>HYPERLINK("http://www.d20pfsrd.com/magic/all-spells/i/icy-prison","Icy Prison")</f>
        <v>Icy Prison</v>
      </c>
      <c s="6" r="BS1055">
        <v>1077</v>
      </c>
      <c t="s" s="6" r="BT1055">
        <v>92</v>
      </c>
      <c s="6" r="BY1055">
        <v>0</v>
      </c>
    </row>
    <row customHeight="1" r="1056" ht="14.25">
      <c t="s" s="6" r="A1056">
        <v>7807</v>
      </c>
      <c t="s" s="6" r="B1056">
        <v>493</v>
      </c>
      <c t="s" s="6" r="D1056">
        <v>47</v>
      </c>
      <c t="s" s="6" r="E1056">
        <v>1058</v>
      </c>
      <c t="s" s="6" r="F1056">
        <v>81</v>
      </c>
      <c t="s" s="6" r="G1056">
        <v>106</v>
      </c>
      <c s="6" r="H1056">
        <v>0</v>
      </c>
      <c t="s" s="6" r="I1056">
        <v>7802</v>
      </c>
      <c t="s" s="6" r="L1056">
        <v>7808</v>
      </c>
      <c t="s" s="6" r="M1056">
        <v>7574</v>
      </c>
      <c s="6" r="N1056">
        <v>0</v>
      </c>
      <c s="6" r="O1056">
        <v>0</v>
      </c>
      <c t="s" s="6" r="P1056">
        <v>4129</v>
      </c>
      <c t="s" s="6" r="Q1056">
        <v>188</v>
      </c>
      <c t="s" s="6" r="R1056">
        <v>7809</v>
      </c>
      <c t="s" s="6" r="S1056">
        <v>7810</v>
      </c>
      <c t="s" s="6" r="T1056">
        <v>7122</v>
      </c>
      <c t="s" s="6" r="U1056">
        <v>7811</v>
      </c>
      <c s="6" r="V1056">
        <v>1</v>
      </c>
      <c s="6" r="W1056">
        <v>1</v>
      </c>
      <c s="6" r="X1056">
        <v>0</v>
      </c>
      <c s="6" r="Y1056">
        <v>0</v>
      </c>
      <c s="6" r="Z1056">
        <v>0</v>
      </c>
      <c s="6" r="AA1056">
        <v>9</v>
      </c>
      <c s="6" r="AB1056">
        <v>9</v>
      </c>
      <c t="s" s="6" r="AC1056">
        <v>92</v>
      </c>
      <c t="s" s="6" r="AD1056">
        <v>92</v>
      </c>
      <c t="s" s="6" r="AE1056">
        <v>92</v>
      </c>
      <c t="s" s="6" r="AF1056">
        <v>92</v>
      </c>
      <c t="s" s="6" r="AG1056">
        <v>92</v>
      </c>
      <c t="s" s="6" r="AH1056">
        <v>92</v>
      </c>
      <c t="s" s="6" r="AI1056">
        <v>92</v>
      </c>
      <c t="s" s="6" r="AJ1056">
        <v>92</v>
      </c>
      <c t="s" s="6" r="AK1056">
        <v>92</v>
      </c>
      <c t="s" s="6" r="AL1056">
        <v>92</v>
      </c>
      <c t="s" s="6" r="AM1056">
        <v>92</v>
      </c>
      <c t="s" s="6" r="AN1056">
        <v>92</v>
      </c>
      <c s="6" r="AP1056">
        <v>9</v>
      </c>
      <c t="s" s="6" r="AR1056">
        <v>7812</v>
      </c>
      <c s="6" r="AS1056">
        <v>0</v>
      </c>
      <c s="6" r="AT1056">
        <v>0</v>
      </c>
      <c s="6" r="AU1056">
        <v>0</v>
      </c>
      <c s="6" r="AV1056">
        <v>1</v>
      </c>
      <c s="6" r="AW1056">
        <v>0</v>
      </c>
      <c s="6" r="AX1056">
        <v>0</v>
      </c>
      <c s="6" r="AY1056">
        <v>0</v>
      </c>
      <c s="6" r="AZ1056">
        <v>0</v>
      </c>
      <c s="6" r="BA1056">
        <v>0</v>
      </c>
      <c s="6" r="BB1056">
        <v>0</v>
      </c>
      <c s="6" r="BC1056">
        <v>0</v>
      </c>
      <c s="6" r="BD1056">
        <v>0</v>
      </c>
      <c s="6" r="BE1056">
        <v>0</v>
      </c>
      <c s="6" r="BF1056">
        <v>0</v>
      </c>
      <c s="6" r="BG1056">
        <v>0</v>
      </c>
      <c s="6" r="BH1056">
        <v>0</v>
      </c>
      <c s="6" r="BI1056">
        <v>0</v>
      </c>
      <c s="6" r="BJ1056">
        <v>0</v>
      </c>
      <c s="6" r="BK1056">
        <v>0</v>
      </c>
      <c s="6" r="BL1056">
        <v>0</v>
      </c>
      <c s="6" r="BM1056">
        <v>0</v>
      </c>
      <c s="6" r="BN1056">
        <v>0</v>
      </c>
      <c s="6" r="BO1056">
        <v>0</v>
      </c>
      <c s="6" r="BP1056">
        <v>0</v>
      </c>
      <c s="6" r="BQ1056">
        <v>0</v>
      </c>
      <c t="str" s="6" r="BR1056">
        <f>HYPERLINK("http://www.d20pfsrd.com/magic/all-spells/i/icy-prison","Icy Prison, Mass")</f>
        <v>Icy Prison, Mass</v>
      </c>
      <c s="6" r="BS1056">
        <v>1078</v>
      </c>
      <c t="s" s="6" r="BT1056">
        <v>92</v>
      </c>
      <c s="6" r="BY1056">
        <v>0</v>
      </c>
    </row>
    <row customHeight="1" r="1057" ht="14.25">
      <c t="s" s="6" r="A1057">
        <v>7813</v>
      </c>
      <c t="s" s="6" r="B1057">
        <v>131</v>
      </c>
      <c t="s" s="6" r="E1057">
        <v>7814</v>
      </c>
      <c t="s" s="6" r="F1057">
        <v>81</v>
      </c>
      <c t="s" s="6" r="G1057">
        <v>119</v>
      </c>
      <c s="6" r="H1057">
        <v>0</v>
      </c>
      <c t="s" s="6" r="I1057">
        <v>107</v>
      </c>
      <c t="s" s="6" r="L1057">
        <v>1235</v>
      </c>
      <c t="s" s="6" r="M1057">
        <v>2718</v>
      </c>
      <c s="6" r="N1057">
        <v>0</v>
      </c>
      <c s="6" r="O1057">
        <v>0</v>
      </c>
      <c t="s" s="6" r="P1057">
        <v>2206</v>
      </c>
      <c t="s" s="6" r="Q1057">
        <v>188</v>
      </c>
      <c t="s" s="6" r="R1057">
        <v>7815</v>
      </c>
      <c t="s" s="6" r="S1057">
        <v>7816</v>
      </c>
      <c t="s" s="6" r="T1057">
        <v>7122</v>
      </c>
      <c t="s" s="6" r="U1057">
        <v>7817</v>
      </c>
      <c s="6" r="V1057">
        <v>1</v>
      </c>
      <c s="6" r="W1057">
        <v>1</v>
      </c>
      <c s="6" r="X1057">
        <v>0</v>
      </c>
      <c s="6" r="Y1057">
        <v>0</v>
      </c>
      <c s="6" r="Z1057">
        <v>1</v>
      </c>
      <c t="s" s="6" r="AA1057">
        <v>92</v>
      </c>
      <c t="s" s="6" r="AB1057">
        <v>92</v>
      </c>
      <c s="6" r="AC1057">
        <v>2</v>
      </c>
      <c t="s" s="6" r="AD1057">
        <v>92</v>
      </c>
      <c t="s" s="6" r="AE1057">
        <v>92</v>
      </c>
      <c t="s" s="6" r="AF1057">
        <v>92</v>
      </c>
      <c t="s" s="6" r="AG1057">
        <v>92</v>
      </c>
      <c t="s" s="6" r="AH1057">
        <v>92</v>
      </c>
      <c t="s" s="6" r="AI1057">
        <v>92</v>
      </c>
      <c t="s" s="6" r="AJ1057">
        <v>92</v>
      </c>
      <c t="s" s="6" r="AK1057">
        <v>92</v>
      </c>
      <c s="6" r="AL1057">
        <v>2</v>
      </c>
      <c t="s" s="6" r="AM1057">
        <v>92</v>
      </c>
      <c t="s" s="6" r="AN1057">
        <v>92</v>
      </c>
      <c s="6" r="AP1057">
        <v>2</v>
      </c>
      <c t="s" s="6" r="AR1057">
        <v>7818</v>
      </c>
      <c s="6" r="AS1057">
        <v>0</v>
      </c>
      <c s="6" r="AT1057">
        <v>0</v>
      </c>
      <c s="6" r="AU1057">
        <v>0</v>
      </c>
      <c s="6" r="AV1057">
        <v>0</v>
      </c>
      <c s="6" r="AW1057">
        <v>0</v>
      </c>
      <c s="6" r="AX1057">
        <v>0</v>
      </c>
      <c s="6" r="AY1057">
        <v>0</v>
      </c>
      <c s="6" r="AZ1057">
        <v>0</v>
      </c>
      <c s="6" r="BA1057">
        <v>0</v>
      </c>
      <c s="6" r="BB1057">
        <v>0</v>
      </c>
      <c s="6" r="BC1057">
        <v>0</v>
      </c>
      <c s="6" r="BD1057">
        <v>0</v>
      </c>
      <c s="6" r="BE1057">
        <v>0</v>
      </c>
      <c s="6" r="BF1057">
        <v>0</v>
      </c>
      <c s="6" r="BG1057">
        <v>0</v>
      </c>
      <c s="6" r="BH1057">
        <v>0</v>
      </c>
      <c s="6" r="BI1057">
        <v>0</v>
      </c>
      <c s="6" r="BJ1057">
        <v>0</v>
      </c>
      <c s="6" r="BK1057">
        <v>0</v>
      </c>
      <c s="6" r="BL1057">
        <v>0</v>
      </c>
      <c s="6" r="BM1057">
        <v>0</v>
      </c>
      <c s="6" r="BN1057">
        <v>0</v>
      </c>
      <c s="6" r="BO1057">
        <v>0</v>
      </c>
      <c s="6" r="BP1057">
        <v>0</v>
      </c>
      <c s="6" r="BQ1057">
        <v>0</v>
      </c>
      <c t="str" s="6" r="BR1057">
        <f>HYPERLINK("http://www.d20pfsrd.com/magic/all-spells/i/imbue-with-aura","Imbue with Aura")</f>
        <v>Imbue with Aura</v>
      </c>
      <c s="6" r="BS1057">
        <v>1079</v>
      </c>
      <c t="s" s="6" r="BT1057">
        <v>92</v>
      </c>
      <c s="6" r="BY1057">
        <v>0</v>
      </c>
    </row>
    <row customHeight="1" r="1058" ht="14.25">
      <c t="s" s="6" r="A1058">
        <v>7819</v>
      </c>
      <c t="s" s="6" r="B1058">
        <v>78</v>
      </c>
      <c t="s" s="6" r="C1058">
        <v>1356</v>
      </c>
      <c t="s" s="6" r="E1058">
        <v>1599</v>
      </c>
      <c t="s" s="6" r="F1058">
        <v>81</v>
      </c>
      <c t="s" s="6" r="G1058">
        <v>251</v>
      </c>
      <c s="6" r="H1058">
        <v>0</v>
      </c>
      <c t="s" s="6" r="I1058">
        <v>4452</v>
      </c>
      <c t="s" s="6" r="L1058">
        <v>1358</v>
      </c>
      <c t="s" s="6" r="M1058">
        <v>109</v>
      </c>
      <c s="6" r="N1058">
        <v>0</v>
      </c>
      <c s="6" r="O1058">
        <v>0</v>
      </c>
      <c t="s" s="6" r="P1058">
        <v>1359</v>
      </c>
      <c t="s" s="6" r="Q1058">
        <v>1360</v>
      </c>
      <c t="s" s="6" r="R1058">
        <v>7820</v>
      </c>
      <c t="s" s="6" r="S1058">
        <v>7821</v>
      </c>
      <c t="s" s="6" r="T1058">
        <v>7122</v>
      </c>
      <c t="s" s="6" r="U1058">
        <v>7822</v>
      </c>
      <c s="6" r="V1058">
        <v>1</v>
      </c>
      <c s="6" r="W1058">
        <v>0</v>
      </c>
      <c s="6" r="X1058">
        <v>0</v>
      </c>
      <c s="6" r="Y1058">
        <v>0</v>
      </c>
      <c s="6" r="Z1058">
        <v>0</v>
      </c>
      <c s="6" r="AA1058">
        <v>9</v>
      </c>
      <c s="6" r="AB1058">
        <v>9</v>
      </c>
      <c s="6" r="AC1058">
        <v>9</v>
      </c>
      <c t="s" s="6" r="AD1058">
        <v>92</v>
      </c>
      <c t="s" s="6" r="AE1058">
        <v>92</v>
      </c>
      <c t="s" s="6" r="AF1058">
        <v>92</v>
      </c>
      <c t="s" s="6" r="AG1058">
        <v>92</v>
      </c>
      <c t="s" s="6" r="AH1058">
        <v>92</v>
      </c>
      <c t="s" s="6" r="AI1058">
        <v>92</v>
      </c>
      <c t="s" s="6" r="AJ1058">
        <v>92</v>
      </c>
      <c t="s" s="6" r="AK1058">
        <v>92</v>
      </c>
      <c s="6" r="AL1058">
        <v>9</v>
      </c>
      <c t="s" s="6" r="AM1058">
        <v>92</v>
      </c>
      <c t="s" s="6" r="AN1058">
        <v>92</v>
      </c>
      <c s="6" r="AP1058">
        <v>9</v>
      </c>
      <c t="s" s="6" r="AR1058">
        <v>7823</v>
      </c>
      <c s="6" r="AS1058">
        <v>0</v>
      </c>
      <c s="6" r="AT1058">
        <v>0</v>
      </c>
      <c s="6" r="AU1058">
        <v>0</v>
      </c>
      <c s="6" r="AV1058">
        <v>0</v>
      </c>
      <c s="6" r="AW1058">
        <v>0</v>
      </c>
      <c s="6" r="AX1058">
        <v>0</v>
      </c>
      <c s="6" r="AY1058">
        <v>0</v>
      </c>
      <c s="6" r="AZ1058">
        <v>0</v>
      </c>
      <c s="6" r="BA1058">
        <v>0</v>
      </c>
      <c s="6" r="BB1058">
        <v>0</v>
      </c>
      <c s="6" r="BC1058">
        <v>0</v>
      </c>
      <c s="6" r="BD1058">
        <v>0</v>
      </c>
      <c s="6" r="BE1058">
        <v>0</v>
      </c>
      <c s="6" r="BF1058">
        <v>0</v>
      </c>
      <c s="6" r="BG1058">
        <v>0</v>
      </c>
      <c s="6" r="BH1058">
        <v>0</v>
      </c>
      <c s="6" r="BI1058">
        <v>0</v>
      </c>
      <c s="6" r="BJ1058">
        <v>0</v>
      </c>
      <c s="6" r="BK1058">
        <v>0</v>
      </c>
      <c s="6" r="BL1058">
        <v>0</v>
      </c>
      <c s="6" r="BM1058">
        <v>0</v>
      </c>
      <c s="6" r="BN1058">
        <v>0</v>
      </c>
      <c s="6" r="BO1058">
        <v>0</v>
      </c>
      <c s="6" r="BP1058">
        <v>0</v>
      </c>
      <c s="6" r="BQ1058">
        <v>0</v>
      </c>
      <c t="str" s="6" r="BR1058">
        <f>HYPERLINK("http://www.d20pfsrd.com/magic/all-spells/i/interplanetary-teleport","Interplanetary Teleport")</f>
        <v>Interplanetary Teleport</v>
      </c>
      <c s="6" r="BS1058">
        <v>1080</v>
      </c>
      <c t="s" s="6" r="BT1058">
        <v>92</v>
      </c>
      <c s="6" r="BY1058">
        <v>0</v>
      </c>
    </row>
    <row customHeight="1" r="1059" ht="14.25">
      <c t="s" s="6" r="A1059">
        <v>7824</v>
      </c>
      <c t="s" s="6" r="B1059">
        <v>227</v>
      </c>
      <c t="s" s="6" r="D1059">
        <v>4381</v>
      </c>
      <c t="s" s="6" r="E1059">
        <v>7825</v>
      </c>
      <c t="s" s="6" r="F1059">
        <v>272</v>
      </c>
      <c t="s" s="6" r="G1059">
        <v>106</v>
      </c>
      <c s="6" r="H1059">
        <v>0</v>
      </c>
      <c t="s" s="6" r="I1059">
        <v>120</v>
      </c>
      <c t="s" s="6" r="L1059">
        <v>121</v>
      </c>
      <c t="s" s="6" r="M1059">
        <v>2718</v>
      </c>
      <c s="6" r="N1059">
        <v>0</v>
      </c>
      <c s="6" r="O1059">
        <v>0</v>
      </c>
      <c t="s" s="6" r="P1059">
        <v>187</v>
      </c>
      <c t="s" s="6" r="Q1059">
        <v>188</v>
      </c>
      <c t="s" s="6" r="R1059">
        <v>7826</v>
      </c>
      <c t="s" s="6" r="S1059">
        <v>7827</v>
      </c>
      <c t="s" s="6" r="T1059">
        <v>7122</v>
      </c>
      <c t="s" s="6" r="U1059">
        <v>7828</v>
      </c>
      <c s="6" r="V1059">
        <v>1</v>
      </c>
      <c s="6" r="W1059">
        <v>1</v>
      </c>
      <c s="6" r="X1059">
        <v>0</v>
      </c>
      <c s="6" r="Y1059">
        <v>0</v>
      </c>
      <c s="6" r="Z1059">
        <v>0</v>
      </c>
      <c s="6" r="AA1059">
        <v>1</v>
      </c>
      <c s="6" r="AB1059">
        <v>1</v>
      </c>
      <c t="s" s="6" r="AC1059">
        <v>92</v>
      </c>
      <c t="s" s="6" r="AD1059">
        <v>92</v>
      </c>
      <c t="s" s="6" r="AE1059">
        <v>92</v>
      </c>
      <c t="s" s="6" r="AF1059">
        <v>92</v>
      </c>
      <c t="s" s="6" r="AG1059">
        <v>92</v>
      </c>
      <c t="s" s="6" r="AH1059">
        <v>92</v>
      </c>
      <c t="s" s="6" r="AI1059">
        <v>92</v>
      </c>
      <c s="6" r="AJ1059">
        <v>1</v>
      </c>
      <c s="6" r="AK1059">
        <v>1</v>
      </c>
      <c t="s" s="6" r="AL1059">
        <v>92</v>
      </c>
      <c t="s" s="6" r="AM1059">
        <v>92</v>
      </c>
      <c t="s" s="6" r="AN1059">
        <v>92</v>
      </c>
      <c s="6" r="AP1059">
        <v>1</v>
      </c>
      <c t="s" s="6" r="AR1059">
        <v>7829</v>
      </c>
      <c s="6" r="AS1059">
        <v>0</v>
      </c>
      <c s="6" r="AT1059">
        <v>0</v>
      </c>
      <c s="6" r="AU1059">
        <v>0</v>
      </c>
      <c s="6" r="AV1059">
        <v>0</v>
      </c>
      <c s="6" r="AW1059">
        <v>0</v>
      </c>
      <c s="6" r="AX1059">
        <v>0</v>
      </c>
      <c s="6" r="AY1059">
        <v>0</v>
      </c>
      <c s="6" r="AZ1059">
        <v>0</v>
      </c>
      <c s="6" r="BA1059">
        <v>0</v>
      </c>
      <c s="6" r="BB1059">
        <v>0</v>
      </c>
      <c s="6" r="BC1059">
        <v>0</v>
      </c>
      <c s="6" r="BD1059">
        <v>1</v>
      </c>
      <c s="6" r="BE1059">
        <v>0</v>
      </c>
      <c s="6" r="BF1059">
        <v>0</v>
      </c>
      <c s="6" r="BG1059">
        <v>0</v>
      </c>
      <c s="6" r="BH1059">
        <v>0</v>
      </c>
      <c s="6" r="BI1059">
        <v>0</v>
      </c>
      <c s="6" r="BJ1059">
        <v>0</v>
      </c>
      <c s="6" r="BK1059">
        <v>0</v>
      </c>
      <c s="6" r="BL1059">
        <v>0</v>
      </c>
      <c s="6" r="BM1059">
        <v>1</v>
      </c>
      <c s="6" r="BN1059">
        <v>0</v>
      </c>
      <c s="6" r="BO1059">
        <v>0</v>
      </c>
      <c s="6" r="BP1059">
        <v>0</v>
      </c>
      <c s="6" r="BQ1059">
        <v>0</v>
      </c>
      <c t="str" s="6" r="BR1059">
        <f>HYPERLINK("http://www.d20pfsrd.com/magic/all-spells/i/interrogation","Interrogation")</f>
        <v>Interrogation</v>
      </c>
      <c s="6" r="BS1059">
        <v>1081</v>
      </c>
      <c t="s" s="6" r="BT1059">
        <v>92</v>
      </c>
      <c s="6" r="BY1059">
        <v>0</v>
      </c>
    </row>
    <row customHeight="1" r="1060" ht="14.25">
      <c t="s" s="6" r="A1060">
        <v>7830</v>
      </c>
      <c t="s" s="6" r="B1060">
        <v>227</v>
      </c>
      <c t="s" s="6" r="D1060">
        <v>4381</v>
      </c>
      <c t="s" s="6" r="E1060">
        <v>5410</v>
      </c>
      <c t="s" s="6" r="F1060">
        <v>272</v>
      </c>
      <c t="s" s="6" r="G1060">
        <v>106</v>
      </c>
      <c s="6" r="H1060">
        <v>0</v>
      </c>
      <c t="s" s="6" r="I1060">
        <v>120</v>
      </c>
      <c t="s" s="6" r="L1060">
        <v>121</v>
      </c>
      <c t="s" s="6" r="M1060">
        <v>2718</v>
      </c>
      <c s="6" r="N1060">
        <v>0</v>
      </c>
      <c s="6" r="O1060">
        <v>0</v>
      </c>
      <c t="s" s="6" r="P1060">
        <v>187</v>
      </c>
      <c t="s" s="6" r="Q1060">
        <v>188</v>
      </c>
      <c t="s" s="6" r="R1060">
        <v>7831</v>
      </c>
      <c t="s" s="6" r="S1060">
        <v>7832</v>
      </c>
      <c t="s" s="6" r="T1060">
        <v>7122</v>
      </c>
      <c t="s" s="6" r="U1060">
        <v>7833</v>
      </c>
      <c s="6" r="V1060">
        <v>1</v>
      </c>
      <c s="6" r="W1060">
        <v>1</v>
      </c>
      <c s="6" r="X1060">
        <v>0</v>
      </c>
      <c s="6" r="Y1060">
        <v>0</v>
      </c>
      <c s="6" r="Z1060">
        <v>0</v>
      </c>
      <c t="s" s="6" r="AA1060">
        <v>92</v>
      </c>
      <c t="s" s="6" r="AB1060">
        <v>92</v>
      </c>
      <c t="s" s="6" r="AC1060">
        <v>92</v>
      </c>
      <c t="s" s="6" r="AD1060">
        <v>92</v>
      </c>
      <c t="s" s="6" r="AE1060">
        <v>92</v>
      </c>
      <c t="s" s="6" r="AF1060">
        <v>92</v>
      </c>
      <c t="s" s="6" r="AG1060">
        <v>92</v>
      </c>
      <c t="s" s="6" r="AH1060">
        <v>92</v>
      </c>
      <c t="s" s="6" r="AI1060">
        <v>92</v>
      </c>
      <c t="s" s="6" r="AJ1060">
        <v>92</v>
      </c>
      <c s="6" r="AK1060">
        <v>4</v>
      </c>
      <c t="s" s="6" r="AL1060">
        <v>92</v>
      </c>
      <c t="s" s="6" r="AM1060">
        <v>92</v>
      </c>
      <c t="s" s="6" r="AN1060">
        <v>92</v>
      </c>
      <c s="6" r="AP1060">
        <v>4</v>
      </c>
      <c t="s" s="6" r="AR1060">
        <v>7834</v>
      </c>
      <c s="6" r="AS1060">
        <v>0</v>
      </c>
      <c s="6" r="AT1060">
        <v>0</v>
      </c>
      <c s="6" r="AU1060">
        <v>0</v>
      </c>
      <c s="6" r="AV1060">
        <v>0</v>
      </c>
      <c s="6" r="AW1060">
        <v>0</v>
      </c>
      <c s="6" r="AX1060">
        <v>0</v>
      </c>
      <c s="6" r="AY1060">
        <v>0</v>
      </c>
      <c s="6" r="AZ1060">
        <v>0</v>
      </c>
      <c s="6" r="BA1060">
        <v>0</v>
      </c>
      <c s="6" r="BB1060">
        <v>0</v>
      </c>
      <c s="6" r="BC1060">
        <v>0</v>
      </c>
      <c s="6" r="BD1060">
        <v>1</v>
      </c>
      <c s="6" r="BE1060">
        <v>0</v>
      </c>
      <c s="6" r="BF1060">
        <v>0</v>
      </c>
      <c s="6" r="BG1060">
        <v>0</v>
      </c>
      <c s="6" r="BH1060">
        <v>0</v>
      </c>
      <c s="6" r="BI1060">
        <v>0</v>
      </c>
      <c s="6" r="BJ1060">
        <v>0</v>
      </c>
      <c s="6" r="BK1060">
        <v>0</v>
      </c>
      <c s="6" r="BL1060">
        <v>0</v>
      </c>
      <c s="6" r="BM1060">
        <v>1</v>
      </c>
      <c s="6" r="BN1060">
        <v>0</v>
      </c>
      <c s="6" r="BO1060">
        <v>0</v>
      </c>
      <c s="6" r="BP1060">
        <v>0</v>
      </c>
      <c s="6" r="BQ1060">
        <v>0</v>
      </c>
      <c t="str" s="6" r="BR1060">
        <f>HYPERLINK("http://www.d20pfsrd.com/magic/all-spells/i/interrogation","Interrogation, Greater")</f>
        <v>Interrogation, Greater</v>
      </c>
      <c s="6" r="BS1060">
        <v>1082</v>
      </c>
      <c t="s" s="6" r="BT1060">
        <v>92</v>
      </c>
      <c s="6" r="BY1060">
        <v>0</v>
      </c>
    </row>
    <row customHeight="1" r="1061" ht="14.25">
      <c t="s" s="6" r="A1061">
        <v>7835</v>
      </c>
      <c t="s" s="6" r="B1061">
        <v>78</v>
      </c>
      <c t="s" s="6" r="C1061">
        <v>598</v>
      </c>
      <c t="s" s="6" r="D1061">
        <v>54</v>
      </c>
      <c t="s" s="6" r="E1061">
        <v>7836</v>
      </c>
      <c t="s" s="6" r="F1061">
        <v>81</v>
      </c>
      <c t="s" s="6" r="G1061">
        <v>106</v>
      </c>
      <c s="6" r="H1061">
        <v>0</v>
      </c>
      <c t="s" s="6" r="I1061">
        <v>897</v>
      </c>
      <c t="s" s="6" r="J1061">
        <v>7837</v>
      </c>
      <c t="s" s="6" r="M1061">
        <v>109</v>
      </c>
      <c s="6" r="N1061">
        <v>0</v>
      </c>
      <c s="6" r="O1061">
        <v>0</v>
      </c>
      <c t="s" s="6" r="P1061">
        <v>87</v>
      </c>
      <c t="s" s="6" r="Q1061">
        <v>188</v>
      </c>
      <c t="s" s="6" r="R1061">
        <v>7838</v>
      </c>
      <c t="s" s="6" r="S1061">
        <v>7839</v>
      </c>
      <c t="s" s="6" r="T1061">
        <v>7122</v>
      </c>
      <c t="s" s="6" r="U1061">
        <v>7840</v>
      </c>
      <c s="6" r="V1061">
        <v>1</v>
      </c>
      <c s="6" r="W1061">
        <v>1</v>
      </c>
      <c s="6" r="X1061">
        <v>0</v>
      </c>
      <c s="6" r="Y1061">
        <v>0</v>
      </c>
      <c s="6" r="Z1061">
        <v>0</v>
      </c>
      <c s="6" r="AA1061">
        <v>7</v>
      </c>
      <c s="6" r="AB1061">
        <v>7</v>
      </c>
      <c s="6" r="AC1061">
        <v>6</v>
      </c>
      <c t="s" s="6" r="AD1061">
        <v>92</v>
      </c>
      <c t="s" s="6" r="AE1061">
        <v>92</v>
      </c>
      <c s="6" r="AF1061">
        <v>5</v>
      </c>
      <c t="s" s="6" r="AG1061">
        <v>92</v>
      </c>
      <c t="s" s="6" r="AH1061">
        <v>92</v>
      </c>
      <c t="s" s="6" r="AI1061">
        <v>92</v>
      </c>
      <c t="s" s="6" r="AJ1061">
        <v>92</v>
      </c>
      <c t="s" s="6" r="AK1061">
        <v>92</v>
      </c>
      <c s="6" r="AL1061">
        <v>6</v>
      </c>
      <c t="s" s="6" r="AM1061">
        <v>92</v>
      </c>
      <c t="s" s="6" r="AN1061">
        <v>92</v>
      </c>
      <c s="6" r="AP1061">
        <v>7</v>
      </c>
      <c t="s" s="6" r="AR1061">
        <v>7841</v>
      </c>
      <c s="6" r="AS1061">
        <v>0</v>
      </c>
      <c s="6" r="AT1061">
        <v>0</v>
      </c>
      <c s="6" r="AU1061">
        <v>0</v>
      </c>
      <c s="6" r="AV1061">
        <v>0</v>
      </c>
      <c s="6" r="AW1061">
        <v>0</v>
      </c>
      <c s="6" r="AX1061">
        <v>0</v>
      </c>
      <c s="6" r="AY1061">
        <v>0</v>
      </c>
      <c s="6" r="AZ1061">
        <v>0</v>
      </c>
      <c s="6" r="BA1061">
        <v>0</v>
      </c>
      <c s="6" r="BB1061">
        <v>0</v>
      </c>
      <c s="6" r="BC1061">
        <v>1</v>
      </c>
      <c s="6" r="BD1061">
        <v>0</v>
      </c>
      <c s="6" r="BE1061">
        <v>0</v>
      </c>
      <c s="6" r="BF1061">
        <v>0</v>
      </c>
      <c s="6" r="BG1061">
        <v>0</v>
      </c>
      <c s="6" r="BH1061">
        <v>0</v>
      </c>
      <c s="6" r="BI1061">
        <v>0</v>
      </c>
      <c s="6" r="BJ1061">
        <v>0</v>
      </c>
      <c s="6" r="BK1061">
        <v>0</v>
      </c>
      <c s="6" r="BL1061">
        <v>0</v>
      </c>
      <c s="6" r="BM1061">
        <v>0</v>
      </c>
      <c s="6" r="BN1061">
        <v>0</v>
      </c>
      <c s="6" r="BO1061">
        <v>0</v>
      </c>
      <c s="6" r="BP1061">
        <v>0</v>
      </c>
      <c s="6" r="BQ1061">
        <v>0</v>
      </c>
      <c t="str" s="6" r="BR1061">
        <f>HYPERLINK("http://www.d20pfsrd.com/magic/all-spells/j/joyful-rapture","Joyful Rapture")</f>
        <v>Joyful Rapture</v>
      </c>
      <c s="6" r="BS1061">
        <v>1083</v>
      </c>
      <c t="s" s="6" r="BT1061">
        <v>92</v>
      </c>
      <c t="s" s="6" r="BU1061">
        <v>1596</v>
      </c>
      <c s="6" r="BY1061">
        <v>0</v>
      </c>
    </row>
    <row customHeight="1" r="1062" ht="14.25">
      <c t="s" s="6" r="A1062">
        <v>7842</v>
      </c>
      <c t="s" s="6" r="B1062">
        <v>78</v>
      </c>
      <c t="s" s="6" r="E1062">
        <v>730</v>
      </c>
      <c t="s" s="6" r="F1062">
        <v>81</v>
      </c>
      <c t="s" s="6" r="G1062">
        <v>2086</v>
      </c>
      <c s="6" r="H1062">
        <v>0</v>
      </c>
      <c t="s" s="6" r="I1062">
        <v>120</v>
      </c>
      <c t="s" s="6" r="L1062">
        <v>7843</v>
      </c>
      <c t="s" s="6" r="M1062">
        <v>109</v>
      </c>
      <c s="6" r="N1062">
        <v>0</v>
      </c>
      <c s="6" r="O1062">
        <v>0</v>
      </c>
      <c t="s" s="6" r="P1062">
        <v>7844</v>
      </c>
      <c t="s" s="6" r="Q1062">
        <v>536</v>
      </c>
      <c t="s" s="6" r="R1062">
        <v>7845</v>
      </c>
      <c t="s" s="6" r="S1062">
        <v>7846</v>
      </c>
      <c t="s" s="6" r="T1062">
        <v>7122</v>
      </c>
      <c t="s" s="6" r="U1062">
        <v>7847</v>
      </c>
      <c s="6" r="V1062">
        <v>0</v>
      </c>
      <c s="6" r="W1062">
        <v>1</v>
      </c>
      <c s="6" r="X1062">
        <v>0</v>
      </c>
      <c s="6" r="Y1062">
        <v>0</v>
      </c>
      <c s="6" r="Z1062">
        <v>0</v>
      </c>
      <c s="6" r="AA1062">
        <v>1</v>
      </c>
      <c s="6" r="AB1062">
        <v>1</v>
      </c>
      <c t="s" s="6" r="AC1062">
        <v>92</v>
      </c>
      <c t="s" s="6" r="AD1062">
        <v>92</v>
      </c>
      <c t="s" s="6" r="AE1062">
        <v>92</v>
      </c>
      <c s="6" r="AF1062">
        <v>1</v>
      </c>
      <c t="s" s="6" r="AG1062">
        <v>92</v>
      </c>
      <c t="s" s="6" r="AH1062">
        <v>92</v>
      </c>
      <c t="s" s="6" r="AI1062">
        <v>92</v>
      </c>
      <c s="6" r="AJ1062">
        <v>1</v>
      </c>
      <c t="s" s="6" r="AK1062">
        <v>92</v>
      </c>
      <c t="s" s="6" r="AL1062">
        <v>92</v>
      </c>
      <c t="s" s="6" r="AM1062">
        <v>92</v>
      </c>
      <c t="s" s="6" r="AN1062">
        <v>92</v>
      </c>
      <c s="6" r="AP1062">
        <v>1</v>
      </c>
      <c t="s" s="6" r="AR1062">
        <v>7848</v>
      </c>
      <c s="6" r="AS1062">
        <v>0</v>
      </c>
      <c s="6" r="AT1062">
        <v>0</v>
      </c>
      <c s="6" r="AU1062">
        <v>0</v>
      </c>
      <c s="6" r="AV1062">
        <v>0</v>
      </c>
      <c s="6" r="AW1062">
        <v>0</v>
      </c>
      <c s="6" r="AX1062">
        <v>0</v>
      </c>
      <c s="6" r="AY1062">
        <v>0</v>
      </c>
      <c s="6" r="AZ1062">
        <v>0</v>
      </c>
      <c s="6" r="BA1062">
        <v>0</v>
      </c>
      <c s="6" r="BB1062">
        <v>0</v>
      </c>
      <c s="6" r="BC1062">
        <v>0</v>
      </c>
      <c s="6" r="BD1062">
        <v>0</v>
      </c>
      <c s="6" r="BE1062">
        <v>0</v>
      </c>
      <c s="6" r="BF1062">
        <v>0</v>
      </c>
      <c s="6" r="BG1062">
        <v>0</v>
      </c>
      <c s="6" r="BH1062">
        <v>0</v>
      </c>
      <c s="6" r="BI1062">
        <v>0</v>
      </c>
      <c s="6" r="BJ1062">
        <v>0</v>
      </c>
      <c s="6" r="BK1062">
        <v>0</v>
      </c>
      <c s="6" r="BL1062">
        <v>0</v>
      </c>
      <c s="6" r="BM1062">
        <v>0</v>
      </c>
      <c s="6" r="BN1062">
        <v>0</v>
      </c>
      <c s="6" r="BO1062">
        <v>0</v>
      </c>
      <c s="6" r="BP1062">
        <v>0</v>
      </c>
      <c s="6" r="BQ1062">
        <v>0</v>
      </c>
      <c t="str" s="6" r="BR1062">
        <f>HYPERLINK("http://www.d20pfsrd.com/magic/all-spells/k/ki-arrow","Ki Arrow")</f>
        <v>Ki Arrow</v>
      </c>
      <c s="6" r="BS1062">
        <v>1084</v>
      </c>
      <c t="s" s="6" r="BT1062">
        <v>92</v>
      </c>
      <c s="6" r="BY1062">
        <v>0</v>
      </c>
    </row>
    <row customHeight="1" r="1063" ht="14.25">
      <c t="s" s="6" r="A1063">
        <v>7849</v>
      </c>
      <c t="s" s="6" r="B1063">
        <v>227</v>
      </c>
      <c t="s" s="6" r="D1063">
        <v>55</v>
      </c>
      <c t="s" s="6" r="E1063">
        <v>7850</v>
      </c>
      <c t="s" s="6" r="F1063">
        <v>81</v>
      </c>
      <c t="s" s="6" r="G1063">
        <v>106</v>
      </c>
      <c s="6" r="H1063">
        <v>0</v>
      </c>
      <c t="s" s="6" r="I1063">
        <v>155</v>
      </c>
      <c t="s" s="6" r="L1063">
        <v>156</v>
      </c>
      <c t="s" s="6" r="M1063">
        <v>5513</v>
      </c>
      <c s="6" r="N1063">
        <v>1</v>
      </c>
      <c s="6" r="O1063">
        <v>0</v>
      </c>
      <c t="s" s="6" r="R1063">
        <v>7851</v>
      </c>
      <c t="s" s="6" r="S1063">
        <v>7852</v>
      </c>
      <c t="s" s="6" r="T1063">
        <v>7122</v>
      </c>
      <c t="s" s="6" r="U1063">
        <v>7853</v>
      </c>
      <c s="6" r="V1063">
        <v>1</v>
      </c>
      <c s="6" r="W1063">
        <v>1</v>
      </c>
      <c s="6" r="X1063">
        <v>0</v>
      </c>
      <c s="6" r="Y1063">
        <v>0</v>
      </c>
      <c s="6" r="Z1063">
        <v>0</v>
      </c>
      <c s="6" r="AA1063">
        <v>3</v>
      </c>
      <c s="6" r="AB1063">
        <v>3</v>
      </c>
      <c s="6" r="AC1063">
        <v>3</v>
      </c>
      <c t="s" s="6" r="AD1063">
        <v>92</v>
      </c>
      <c t="s" s="6" r="AE1063">
        <v>92</v>
      </c>
      <c t="s" s="6" r="AF1063">
        <v>92</v>
      </c>
      <c t="s" s="6" r="AG1063">
        <v>92</v>
      </c>
      <c t="s" s="6" r="AH1063">
        <v>92</v>
      </c>
      <c t="s" s="6" r="AI1063">
        <v>92</v>
      </c>
      <c s="6" r="AJ1063">
        <v>3</v>
      </c>
      <c t="s" s="6" r="AK1063">
        <v>92</v>
      </c>
      <c s="6" r="AL1063">
        <v>3</v>
      </c>
      <c t="s" s="6" r="AM1063">
        <v>92</v>
      </c>
      <c t="s" s="6" r="AN1063">
        <v>92</v>
      </c>
      <c s="6" r="AP1063">
        <v>3</v>
      </c>
      <c t="s" s="6" r="AR1063">
        <v>7854</v>
      </c>
      <c s="6" r="AS1063">
        <v>0</v>
      </c>
      <c s="6" r="AT1063">
        <v>0</v>
      </c>
      <c s="6" r="AU1063">
        <v>0</v>
      </c>
      <c s="6" r="AV1063">
        <v>0</v>
      </c>
      <c s="6" r="AW1063">
        <v>0</v>
      </c>
      <c s="6" r="AX1063">
        <v>0</v>
      </c>
      <c s="6" r="AY1063">
        <v>0</v>
      </c>
      <c s="6" r="AZ1063">
        <v>0</v>
      </c>
      <c s="6" r="BA1063">
        <v>0</v>
      </c>
      <c s="6" r="BB1063">
        <v>0</v>
      </c>
      <c s="6" r="BC1063">
        <v>0</v>
      </c>
      <c s="6" r="BD1063">
        <v>1</v>
      </c>
      <c s="6" r="BE1063">
        <v>0</v>
      </c>
      <c s="6" r="BF1063">
        <v>0</v>
      </c>
      <c s="6" r="BG1063">
        <v>0</v>
      </c>
      <c s="6" r="BH1063">
        <v>0</v>
      </c>
      <c s="6" r="BI1063">
        <v>0</v>
      </c>
      <c s="6" r="BJ1063">
        <v>0</v>
      </c>
      <c s="6" r="BK1063">
        <v>0</v>
      </c>
      <c s="6" r="BL1063">
        <v>0</v>
      </c>
      <c s="6" r="BM1063">
        <v>0</v>
      </c>
      <c s="6" r="BN1063">
        <v>0</v>
      </c>
      <c s="6" r="BO1063">
        <v>0</v>
      </c>
      <c s="6" r="BP1063">
        <v>0</v>
      </c>
      <c s="6" r="BQ1063">
        <v>0</v>
      </c>
      <c t="str" s="6" r="BR1063">
        <f>HYPERLINK("http://www.d20pfsrd.com/magic/all-spells/k/ki-leech","Ki Leech")</f>
        <v>Ki Leech</v>
      </c>
      <c s="6" r="BS1063">
        <v>1085</v>
      </c>
      <c t="s" s="6" r="BT1063">
        <v>92</v>
      </c>
      <c s="6" r="BY1063">
        <v>0</v>
      </c>
    </row>
    <row customHeight="1" r="1064" ht="14.25">
      <c t="s" s="6" r="A1064">
        <v>7855</v>
      </c>
      <c t="s" s="6" r="B1064">
        <v>493</v>
      </c>
      <c t="s" s="6" r="D1064">
        <v>67</v>
      </c>
      <c t="s" s="6" r="E1064">
        <v>7856</v>
      </c>
      <c t="s" s="6" r="F1064">
        <v>81</v>
      </c>
      <c t="s" s="6" r="G1064">
        <v>106</v>
      </c>
      <c s="6" r="H1064">
        <v>0</v>
      </c>
      <c t="s" s="6" r="I1064">
        <v>7857</v>
      </c>
      <c t="s" s="6" r="L1064">
        <v>473</v>
      </c>
      <c t="s" s="6" r="M1064">
        <v>109</v>
      </c>
      <c s="6" r="N1064">
        <v>0</v>
      </c>
      <c s="6" r="O1064">
        <v>0</v>
      </c>
      <c t="s" s="6" r="P1064">
        <v>7597</v>
      </c>
      <c t="s" s="6" r="Q1064">
        <v>188</v>
      </c>
      <c t="s" s="6" r="R1064">
        <v>7858</v>
      </c>
      <c t="s" s="6" r="S1064">
        <v>7859</v>
      </c>
      <c t="s" s="6" r="T1064">
        <v>7122</v>
      </c>
      <c t="s" s="6" r="U1064">
        <v>7860</v>
      </c>
      <c s="6" r="V1064">
        <v>1</v>
      </c>
      <c s="6" r="W1064">
        <v>1</v>
      </c>
      <c s="6" r="X1064">
        <v>0</v>
      </c>
      <c s="6" r="Y1064">
        <v>0</v>
      </c>
      <c s="6" r="Z1064">
        <v>0</v>
      </c>
      <c s="6" r="AA1064">
        <v>7</v>
      </c>
      <c s="6" r="AB1064">
        <v>7</v>
      </c>
      <c t="s" s="6" r="AC1064">
        <v>92</v>
      </c>
      <c t="s" s="6" r="AD1064">
        <v>92</v>
      </c>
      <c t="s" s="6" r="AE1064">
        <v>92</v>
      </c>
      <c s="6" r="AF1064">
        <v>5</v>
      </c>
      <c t="s" s="6" r="AG1064">
        <v>92</v>
      </c>
      <c t="s" s="6" r="AH1064">
        <v>92</v>
      </c>
      <c t="s" s="6" r="AI1064">
        <v>92</v>
      </c>
      <c t="s" s="6" r="AJ1064">
        <v>92</v>
      </c>
      <c t="s" s="6" r="AK1064">
        <v>92</v>
      </c>
      <c t="s" s="6" r="AL1064">
        <v>92</v>
      </c>
      <c t="s" s="6" r="AM1064">
        <v>92</v>
      </c>
      <c t="s" s="6" r="AN1064">
        <v>92</v>
      </c>
      <c s="6" r="AP1064">
        <v>7</v>
      </c>
      <c t="s" s="6" r="AR1064">
        <v>7861</v>
      </c>
      <c s="6" r="AS1064">
        <v>0</v>
      </c>
      <c s="6" r="AT1064">
        <v>0</v>
      </c>
      <c s="6" r="AU1064">
        <v>0</v>
      </c>
      <c s="6" r="AV1064">
        <v>0</v>
      </c>
      <c s="6" r="AW1064">
        <v>0</v>
      </c>
      <c s="6" r="AX1064">
        <v>0</v>
      </c>
      <c s="6" r="AY1064">
        <v>0</v>
      </c>
      <c s="6" r="AZ1064">
        <v>0</v>
      </c>
      <c s="6" r="BA1064">
        <v>0</v>
      </c>
      <c s="6" r="BB1064">
        <v>0</v>
      </c>
      <c s="6" r="BC1064">
        <v>0</v>
      </c>
      <c s="6" r="BD1064">
        <v>0</v>
      </c>
      <c s="6" r="BE1064">
        <v>0</v>
      </c>
      <c s="6" r="BF1064">
        <v>0</v>
      </c>
      <c s="6" r="BG1064">
        <v>0</v>
      </c>
      <c s="6" r="BH1064">
        <v>0</v>
      </c>
      <c s="6" r="BI1064">
        <v>0</v>
      </c>
      <c s="6" r="BJ1064">
        <v>0</v>
      </c>
      <c s="6" r="BK1064">
        <v>0</v>
      </c>
      <c s="6" r="BL1064">
        <v>0</v>
      </c>
      <c s="6" r="BM1064">
        <v>0</v>
      </c>
      <c s="6" r="BN1064">
        <v>0</v>
      </c>
      <c s="6" r="BO1064">
        <v>0</v>
      </c>
      <c s="6" r="BP1064">
        <v>1</v>
      </c>
      <c s="6" r="BQ1064">
        <v>0</v>
      </c>
      <c t="str" s="6" r="BR1064">
        <f>HYPERLINK("http://www.d20pfsrd.com/magic/all-spells/k/ki-shout","Ki Shout")</f>
        <v>Ki Shout</v>
      </c>
      <c s="6" r="BS1064">
        <v>1086</v>
      </c>
      <c t="s" s="6" r="BT1064">
        <v>92</v>
      </c>
      <c s="6" r="BY1064">
        <v>0</v>
      </c>
    </row>
    <row customHeight="1" r="1065" ht="14.25">
      <c t="s" s="6" r="A1065">
        <v>7862</v>
      </c>
      <c t="s" s="6" r="B1065">
        <v>174</v>
      </c>
      <c t="s" s="6" r="E1065">
        <v>7863</v>
      </c>
      <c t="s" s="6" r="F1065">
        <v>197</v>
      </c>
      <c t="s" s="6" r="G1065">
        <v>7864</v>
      </c>
      <c s="6" r="H1065">
        <v>0</v>
      </c>
      <c t="s" s="6" r="I1065">
        <v>155</v>
      </c>
      <c t="s" s="6" r="L1065">
        <v>156</v>
      </c>
      <c t="s" s="6" r="M1065">
        <v>109</v>
      </c>
      <c s="6" r="N1065">
        <v>0</v>
      </c>
      <c s="6" r="O1065">
        <v>0</v>
      </c>
      <c t="s" s="6" r="P1065">
        <v>86</v>
      </c>
      <c t="s" s="6" r="Q1065">
        <v>87</v>
      </c>
      <c t="s" s="6" r="R1065">
        <v>7865</v>
      </c>
      <c t="s" s="6" r="S1065">
        <v>7866</v>
      </c>
      <c t="s" s="6" r="T1065">
        <v>7122</v>
      </c>
      <c t="s" s="6" r="U1065">
        <v>7867</v>
      </c>
      <c s="6" r="V1065">
        <v>1</v>
      </c>
      <c s="6" r="W1065">
        <v>1</v>
      </c>
      <c s="6" r="X1065">
        <v>0</v>
      </c>
      <c s="6" r="Y1065">
        <v>0</v>
      </c>
      <c s="6" r="Z1065">
        <v>1</v>
      </c>
      <c t="s" s="6" r="AA1065">
        <v>92</v>
      </c>
      <c t="s" s="6" r="AB1065">
        <v>92</v>
      </c>
      <c s="6" r="AC1065">
        <v>1</v>
      </c>
      <c t="s" s="6" r="AD1065">
        <v>92</v>
      </c>
      <c s="6" r="AE1065">
        <v>1</v>
      </c>
      <c t="s" s="6" r="AF1065">
        <v>92</v>
      </c>
      <c s="6" r="AG1065">
        <v>1</v>
      </c>
      <c t="s" s="6" r="AH1065">
        <v>92</v>
      </c>
      <c t="s" s="6" r="AI1065">
        <v>92</v>
      </c>
      <c t="s" s="6" r="AJ1065">
        <v>92</v>
      </c>
      <c s="6" r="AK1065">
        <v>1</v>
      </c>
      <c s="6" r="AL1065">
        <v>1</v>
      </c>
      <c t="s" s="6" r="AM1065">
        <v>92</v>
      </c>
      <c t="s" s="6" r="AN1065">
        <v>92</v>
      </c>
      <c s="6" r="AP1065">
        <v>1</v>
      </c>
      <c t="s" s="6" r="AR1065">
        <v>7868</v>
      </c>
      <c s="6" r="AS1065">
        <v>0</v>
      </c>
      <c s="6" r="AT1065">
        <v>0</v>
      </c>
      <c s="6" r="AU1065">
        <v>0</v>
      </c>
      <c s="6" r="AV1065">
        <v>0</v>
      </c>
      <c s="6" r="AW1065">
        <v>0</v>
      </c>
      <c s="6" r="AX1065">
        <v>0</v>
      </c>
      <c s="6" r="AY1065">
        <v>0</v>
      </c>
      <c s="6" r="AZ1065">
        <v>0</v>
      </c>
      <c s="6" r="BA1065">
        <v>0</v>
      </c>
      <c s="6" r="BB1065">
        <v>0</v>
      </c>
      <c s="6" r="BC1065">
        <v>0</v>
      </c>
      <c s="6" r="BD1065">
        <v>0</v>
      </c>
      <c s="6" r="BE1065">
        <v>0</v>
      </c>
      <c s="6" r="BF1065">
        <v>0</v>
      </c>
      <c s="6" r="BG1065">
        <v>0</v>
      </c>
      <c s="6" r="BH1065">
        <v>0</v>
      </c>
      <c s="6" r="BI1065">
        <v>0</v>
      </c>
      <c s="6" r="BJ1065">
        <v>0</v>
      </c>
      <c s="6" r="BK1065">
        <v>0</v>
      </c>
      <c s="6" r="BL1065">
        <v>0</v>
      </c>
      <c s="6" r="BM1065">
        <v>0</v>
      </c>
      <c s="6" r="BN1065">
        <v>0</v>
      </c>
      <c s="6" r="BO1065">
        <v>0</v>
      </c>
      <c s="6" r="BP1065">
        <v>0</v>
      </c>
      <c s="6" r="BQ1065">
        <v>0</v>
      </c>
      <c t="str" s="6" r="BR1065">
        <f>HYPERLINK("http://www.d20pfsrd.com/magic/all-spells/k/know-the-enemy","Know the Enemy")</f>
        <v>Know the Enemy</v>
      </c>
      <c s="6" r="BS1065">
        <v>1087</v>
      </c>
      <c t="s" s="6" r="BT1065">
        <v>92</v>
      </c>
      <c t="s" s="6" r="BW1065">
        <v>7869</v>
      </c>
      <c s="6" r="BY1065">
        <v>1</v>
      </c>
    </row>
    <row customHeight="1" r="1066" ht="14.25">
      <c t="s" s="6" r="A1066">
        <v>7870</v>
      </c>
      <c t="s" s="6" r="B1066">
        <v>493</v>
      </c>
      <c t="s" s="6" r="D1066">
        <v>58</v>
      </c>
      <c t="s" s="6" r="E1066">
        <v>7245</v>
      </c>
      <c t="s" s="6" r="F1066">
        <v>81</v>
      </c>
      <c t="s" s="6" r="G1066">
        <v>106</v>
      </c>
      <c s="6" r="H1066">
        <v>0</v>
      </c>
      <c t="s" s="6" r="I1066">
        <v>7871</v>
      </c>
      <c t="s" s="6" r="L1066">
        <v>1235</v>
      </c>
      <c t="s" s="6" r="M1066">
        <v>2718</v>
      </c>
      <c s="6" r="N1066">
        <v>0</v>
      </c>
      <c s="6" r="O1066">
        <v>0</v>
      </c>
      <c t="s" s="6" r="P1066">
        <v>1865</v>
      </c>
      <c t="s" s="6" r="Q1066">
        <v>188</v>
      </c>
      <c t="s" s="6" r="R1066">
        <v>7872</v>
      </c>
      <c t="s" s="6" r="S1066">
        <v>7873</v>
      </c>
      <c t="s" s="6" r="T1066">
        <v>7122</v>
      </c>
      <c t="s" s="6" r="U1066">
        <v>7874</v>
      </c>
      <c s="6" r="V1066">
        <v>1</v>
      </c>
      <c s="6" r="W1066">
        <v>1</v>
      </c>
      <c s="6" r="X1066">
        <v>0</v>
      </c>
      <c s="6" r="Y1066">
        <v>0</v>
      </c>
      <c s="6" r="Z1066">
        <v>0</v>
      </c>
      <c s="6" r="AA1066">
        <v>6</v>
      </c>
      <c s="6" r="AB1066">
        <v>6</v>
      </c>
      <c t="s" s="6" r="AC1066">
        <v>92</v>
      </c>
      <c t="s" s="6" r="AD1066">
        <v>92</v>
      </c>
      <c t="s" s="6" r="AE1066">
        <v>92</v>
      </c>
      <c t="s" s="6" r="AF1066">
        <v>92</v>
      </c>
      <c t="s" s="6" r="AG1066">
        <v>92</v>
      </c>
      <c t="s" s="6" r="AH1066">
        <v>92</v>
      </c>
      <c t="s" s="6" r="AI1066">
        <v>92</v>
      </c>
      <c t="s" s="6" r="AJ1066">
        <v>92</v>
      </c>
      <c s="6" r="AK1066">
        <v>4</v>
      </c>
      <c t="s" s="6" r="AL1066">
        <v>92</v>
      </c>
      <c t="s" s="6" r="AM1066">
        <v>92</v>
      </c>
      <c t="s" s="6" r="AN1066">
        <v>92</v>
      </c>
      <c s="6" r="AP1066">
        <v>6</v>
      </c>
      <c t="s" s="6" r="AR1066">
        <v>7875</v>
      </c>
      <c s="6" r="AS1066">
        <v>0</v>
      </c>
      <c s="6" r="AT1066">
        <v>0</v>
      </c>
      <c s="6" r="AU1066">
        <v>0</v>
      </c>
      <c s="6" r="AV1066">
        <v>0</v>
      </c>
      <c s="6" r="AW1066">
        <v>0</v>
      </c>
      <c s="6" r="AX1066">
        <v>0</v>
      </c>
      <c s="6" r="AY1066">
        <v>0</v>
      </c>
      <c s="6" r="AZ1066">
        <v>0</v>
      </c>
      <c s="6" r="BA1066">
        <v>0</v>
      </c>
      <c s="6" r="BB1066">
        <v>0</v>
      </c>
      <c s="6" r="BC1066">
        <v>0</v>
      </c>
      <c s="6" r="BD1066">
        <v>0</v>
      </c>
      <c s="6" r="BE1066">
        <v>0</v>
      </c>
      <c s="6" r="BF1066">
        <v>0</v>
      </c>
      <c s="6" r="BG1066">
        <v>1</v>
      </c>
      <c s="6" r="BH1066">
        <v>0</v>
      </c>
      <c s="6" r="BI1066">
        <v>0</v>
      </c>
      <c s="6" r="BJ1066">
        <v>0</v>
      </c>
      <c s="6" r="BK1066">
        <v>0</v>
      </c>
      <c s="6" r="BL1066">
        <v>0</v>
      </c>
      <c s="6" r="BM1066">
        <v>0</v>
      </c>
      <c s="6" r="BN1066">
        <v>0</v>
      </c>
      <c s="6" r="BO1066">
        <v>0</v>
      </c>
      <c s="6" r="BP1066">
        <v>0</v>
      </c>
      <c s="6" r="BQ1066">
        <v>0</v>
      </c>
      <c t="str" s="6" r="BR1066">
        <f>HYPERLINK("http://www.d20pfsrd.com/magic/all-spells/l/leashed-shackles","Leashed Shackles")</f>
        <v>Leashed Shackles</v>
      </c>
      <c s="6" r="BS1066">
        <v>1088</v>
      </c>
      <c t="s" s="6" r="BT1066">
        <v>92</v>
      </c>
      <c s="6" r="BY1066">
        <v>0</v>
      </c>
    </row>
    <row customHeight="1" r="1067" ht="14.25">
      <c t="s" s="6" r="A1067">
        <v>7876</v>
      </c>
      <c t="s" s="6" r="B1067">
        <v>174</v>
      </c>
      <c t="s" s="6" r="E1067">
        <v>5447</v>
      </c>
      <c t="s" s="6" r="F1067">
        <v>81</v>
      </c>
      <c t="s" s="6" r="G1067">
        <v>5511</v>
      </c>
      <c s="6" r="H1067">
        <v>0</v>
      </c>
      <c t="s" s="6" r="I1067">
        <v>120</v>
      </c>
      <c t="s" s="6" r="L1067">
        <v>7877</v>
      </c>
      <c t="s" s="6" r="M1067">
        <v>99</v>
      </c>
      <c s="6" r="N1067">
        <v>0</v>
      </c>
      <c s="6" r="O1067">
        <v>0</v>
      </c>
      <c t="s" s="6" r="P1067">
        <v>421</v>
      </c>
      <c t="s" s="6" r="Q1067">
        <v>123</v>
      </c>
      <c t="s" s="6" r="R1067">
        <v>7878</v>
      </c>
      <c t="s" s="6" r="S1067">
        <v>7879</v>
      </c>
      <c t="s" s="6" r="T1067">
        <v>7122</v>
      </c>
      <c t="s" s="6" r="U1067">
        <v>7880</v>
      </c>
      <c s="6" r="V1067">
        <v>1</v>
      </c>
      <c s="6" r="W1067">
        <v>0</v>
      </c>
      <c s="6" r="X1067">
        <v>0</v>
      </c>
      <c s="6" r="Y1067">
        <v>0</v>
      </c>
      <c s="6" r="Z1067">
        <v>1</v>
      </c>
      <c t="s" s="6" r="AA1067">
        <v>92</v>
      </c>
      <c t="s" s="6" r="AB1067">
        <v>92</v>
      </c>
      <c t="s" s="6" r="AC1067">
        <v>92</v>
      </c>
      <c t="s" s="6" r="AD1067">
        <v>92</v>
      </c>
      <c t="s" s="6" r="AE1067">
        <v>92</v>
      </c>
      <c t="s" s="6" r="AF1067">
        <v>92</v>
      </c>
      <c t="s" s="6" r="AG1067">
        <v>92</v>
      </c>
      <c t="s" s="6" r="AH1067">
        <v>92</v>
      </c>
      <c t="s" s="6" r="AI1067">
        <v>92</v>
      </c>
      <c t="s" s="6" r="AJ1067">
        <v>92</v>
      </c>
      <c s="6" r="AK1067">
        <v>1</v>
      </c>
      <c t="s" s="6" r="AL1067">
        <v>92</v>
      </c>
      <c t="s" s="6" r="AM1067">
        <v>92</v>
      </c>
      <c t="s" s="6" r="AN1067">
        <v>92</v>
      </c>
      <c s="6" r="AP1067">
        <v>1</v>
      </c>
      <c t="s" s="6" r="AR1067">
        <v>7881</v>
      </c>
      <c s="6" r="AS1067">
        <v>0</v>
      </c>
      <c s="6" r="AT1067">
        <v>0</v>
      </c>
      <c s="6" r="AU1067">
        <v>0</v>
      </c>
      <c s="6" r="AV1067">
        <v>0</v>
      </c>
      <c s="6" r="AW1067">
        <v>0</v>
      </c>
      <c s="6" r="AX1067">
        <v>0</v>
      </c>
      <c s="6" r="AY1067">
        <v>0</v>
      </c>
      <c s="6" r="AZ1067">
        <v>0</v>
      </c>
      <c s="6" r="BA1067">
        <v>0</v>
      </c>
      <c s="6" r="BB1067">
        <v>0</v>
      </c>
      <c s="6" r="BC1067">
        <v>0</v>
      </c>
      <c s="6" r="BD1067">
        <v>0</v>
      </c>
      <c s="6" r="BE1067">
        <v>0</v>
      </c>
      <c s="6" r="BF1067">
        <v>0</v>
      </c>
      <c s="6" r="BG1067">
        <v>0</v>
      </c>
      <c s="6" r="BH1067">
        <v>0</v>
      </c>
      <c s="6" r="BI1067">
        <v>0</v>
      </c>
      <c s="6" r="BJ1067">
        <v>0</v>
      </c>
      <c s="6" r="BK1067">
        <v>0</v>
      </c>
      <c s="6" r="BL1067">
        <v>0</v>
      </c>
      <c s="6" r="BM1067">
        <v>0</v>
      </c>
      <c s="6" r="BN1067">
        <v>0</v>
      </c>
      <c s="6" r="BO1067">
        <v>0</v>
      </c>
      <c s="6" r="BP1067">
        <v>0</v>
      </c>
      <c s="6" r="BQ1067">
        <v>0</v>
      </c>
      <c t="str" s="6" r="BR1067">
        <f>HYPERLINK("http://www.d20pfsrd.com/magic/all-spells/l/lend-judgment","Lend Judgment")</f>
        <v>Lend Judgment</v>
      </c>
      <c s="6" r="BS1067">
        <v>1089</v>
      </c>
      <c t="s" s="6" r="BT1067">
        <v>92</v>
      </c>
      <c s="6" r="BY1067">
        <v>0</v>
      </c>
    </row>
    <row customHeight="1" r="1068" ht="14.25">
      <c t="s" s="6" r="A1068">
        <v>7882</v>
      </c>
      <c t="s" s="6" r="B1068">
        <v>174</v>
      </c>
      <c t="s" s="6" r="E1068">
        <v>5505</v>
      </c>
      <c t="s" s="6" r="F1068">
        <v>81</v>
      </c>
      <c t="s" s="6" r="G1068">
        <v>5511</v>
      </c>
      <c s="6" r="H1068">
        <v>0</v>
      </c>
      <c t="s" s="6" r="I1068">
        <v>120</v>
      </c>
      <c t="s" s="6" r="L1068">
        <v>7877</v>
      </c>
      <c t="s" s="6" r="M1068">
        <v>99</v>
      </c>
      <c s="6" r="N1068">
        <v>0</v>
      </c>
      <c s="6" r="O1068">
        <v>0</v>
      </c>
      <c t="s" s="6" r="P1068">
        <v>421</v>
      </c>
      <c t="s" s="6" r="Q1068">
        <v>123</v>
      </c>
      <c t="s" s="6" r="R1068">
        <v>7883</v>
      </c>
      <c t="s" s="6" r="S1068">
        <v>7884</v>
      </c>
      <c t="s" s="6" r="T1068">
        <v>7122</v>
      </c>
      <c t="s" s="6" r="U1068">
        <v>7885</v>
      </c>
      <c s="6" r="V1068">
        <v>1</v>
      </c>
      <c s="6" r="W1068">
        <v>0</v>
      </c>
      <c s="6" r="X1068">
        <v>0</v>
      </c>
      <c s="6" r="Y1068">
        <v>0</v>
      </c>
      <c s="6" r="Z1068">
        <v>1</v>
      </c>
      <c t="s" s="6" r="AA1068">
        <v>92</v>
      </c>
      <c t="s" s="6" r="AB1068">
        <v>92</v>
      </c>
      <c t="s" s="6" r="AC1068">
        <v>92</v>
      </c>
      <c t="s" s="6" r="AD1068">
        <v>92</v>
      </c>
      <c t="s" s="6" r="AE1068">
        <v>92</v>
      </c>
      <c t="s" s="6" r="AF1068">
        <v>92</v>
      </c>
      <c t="s" s="6" r="AG1068">
        <v>92</v>
      </c>
      <c t="s" s="6" r="AH1068">
        <v>92</v>
      </c>
      <c t="s" s="6" r="AI1068">
        <v>92</v>
      </c>
      <c t="s" s="6" r="AJ1068">
        <v>92</v>
      </c>
      <c s="6" r="AK1068">
        <v>5</v>
      </c>
      <c t="s" s="6" r="AL1068">
        <v>92</v>
      </c>
      <c t="s" s="6" r="AM1068">
        <v>92</v>
      </c>
      <c t="s" s="6" r="AN1068">
        <v>92</v>
      </c>
      <c s="6" r="AP1068">
        <v>5</v>
      </c>
      <c t="s" s="6" r="AR1068">
        <v>7886</v>
      </c>
      <c s="6" r="AS1068">
        <v>0</v>
      </c>
      <c s="6" r="AT1068">
        <v>0</v>
      </c>
      <c s="6" r="AU1068">
        <v>0</v>
      </c>
      <c s="6" r="AV1068">
        <v>0</v>
      </c>
      <c s="6" r="AW1068">
        <v>0</v>
      </c>
      <c s="6" r="AX1068">
        <v>0</v>
      </c>
      <c s="6" r="AY1068">
        <v>0</v>
      </c>
      <c s="6" r="AZ1068">
        <v>0</v>
      </c>
      <c s="6" r="BA1068">
        <v>0</v>
      </c>
      <c s="6" r="BB1068">
        <v>0</v>
      </c>
      <c s="6" r="BC1068">
        <v>0</v>
      </c>
      <c s="6" r="BD1068">
        <v>0</v>
      </c>
      <c s="6" r="BE1068">
        <v>0</v>
      </c>
      <c s="6" r="BF1068">
        <v>0</v>
      </c>
      <c s="6" r="BG1068">
        <v>0</v>
      </c>
      <c s="6" r="BH1068">
        <v>0</v>
      </c>
      <c s="6" r="BI1068">
        <v>0</v>
      </c>
      <c s="6" r="BJ1068">
        <v>0</v>
      </c>
      <c s="6" r="BK1068">
        <v>0</v>
      </c>
      <c s="6" r="BL1068">
        <v>0</v>
      </c>
      <c s="6" r="BM1068">
        <v>0</v>
      </c>
      <c s="6" r="BN1068">
        <v>0</v>
      </c>
      <c s="6" r="BO1068">
        <v>0</v>
      </c>
      <c s="6" r="BP1068">
        <v>0</v>
      </c>
      <c s="6" r="BQ1068">
        <v>0</v>
      </c>
      <c t="str" s="6" r="BR1068">
        <f>HYPERLINK("http://www.d20pfsrd.com/magic/all-spells/l/lend-judgment","Lend Judgment, Greater")</f>
        <v>Lend Judgment, Greater</v>
      </c>
      <c s="6" r="BS1068">
        <v>1090</v>
      </c>
      <c t="s" s="6" r="BT1068">
        <v>92</v>
      </c>
      <c s="6" r="BY1068">
        <v>0</v>
      </c>
    </row>
    <row customHeight="1" r="1069" ht="14.25">
      <c t="s" s="6" r="A1069">
        <v>7887</v>
      </c>
      <c t="s" s="6" r="B1069">
        <v>493</v>
      </c>
      <c t="s" s="6" r="D1069">
        <v>53</v>
      </c>
      <c t="s" s="6" r="E1069">
        <v>1709</v>
      </c>
      <c t="s" s="6" r="F1069">
        <v>81</v>
      </c>
      <c t="s" s="6" r="G1069">
        <v>7888</v>
      </c>
      <c s="6" r="H1069">
        <v>0</v>
      </c>
      <c t="s" s="6" r="I1069">
        <v>83</v>
      </c>
      <c t="s" s="6" r="L1069">
        <v>7889</v>
      </c>
      <c t="s" s="6" r="M1069">
        <v>109</v>
      </c>
      <c s="6" r="N1069">
        <v>0</v>
      </c>
      <c s="6" r="O1069">
        <v>0</v>
      </c>
      <c t="s" s="6" r="P1069">
        <v>631</v>
      </c>
      <c t="s" s="6" r="Q1069">
        <v>7890</v>
      </c>
      <c t="s" s="6" r="R1069">
        <v>7891</v>
      </c>
      <c t="s" s="6" r="S1069">
        <v>7892</v>
      </c>
      <c t="s" s="6" r="T1069">
        <v>7122</v>
      </c>
      <c t="s" s="6" r="U1069">
        <v>7893</v>
      </c>
      <c s="6" r="V1069">
        <v>1</v>
      </c>
      <c s="6" r="W1069">
        <v>1</v>
      </c>
      <c s="6" r="X1069">
        <v>1</v>
      </c>
      <c s="6" r="Y1069">
        <v>0</v>
      </c>
      <c s="6" r="Z1069">
        <v>0</v>
      </c>
      <c s="6" r="AA1069">
        <v>5</v>
      </c>
      <c s="6" r="AB1069">
        <v>5</v>
      </c>
      <c t="s" s="6" r="AC1069">
        <v>92</v>
      </c>
      <c t="s" s="6" r="AD1069">
        <v>92</v>
      </c>
      <c t="s" s="6" r="AE1069">
        <v>92</v>
      </c>
      <c t="s" s="6" r="AF1069">
        <v>92</v>
      </c>
      <c t="s" s="6" r="AG1069">
        <v>92</v>
      </c>
      <c t="s" s="6" r="AH1069">
        <v>92</v>
      </c>
      <c t="s" s="6" r="AI1069">
        <v>92</v>
      </c>
      <c t="s" s="6" r="AJ1069">
        <v>92</v>
      </c>
      <c t="s" s="6" r="AK1069">
        <v>92</v>
      </c>
      <c t="s" s="6" r="AL1069">
        <v>92</v>
      </c>
      <c t="s" s="6" r="AM1069">
        <v>92</v>
      </c>
      <c t="s" s="6" r="AN1069">
        <v>92</v>
      </c>
      <c s="6" r="AP1069">
        <v>5</v>
      </c>
      <c t="s" s="6" r="AR1069">
        <v>7894</v>
      </c>
      <c s="6" r="AS1069">
        <v>0</v>
      </c>
      <c s="6" r="AT1069">
        <v>0</v>
      </c>
      <c s="6" r="AU1069">
        <v>0</v>
      </c>
      <c s="6" r="AV1069">
        <v>0</v>
      </c>
      <c s="6" r="AW1069">
        <v>0</v>
      </c>
      <c s="6" r="AX1069">
        <v>0</v>
      </c>
      <c s="6" r="AY1069">
        <v>0</v>
      </c>
      <c s="6" r="AZ1069">
        <v>0</v>
      </c>
      <c s="6" r="BA1069">
        <v>0</v>
      </c>
      <c s="6" r="BB1069">
        <v>1</v>
      </c>
      <c s="6" r="BC1069">
        <v>0</v>
      </c>
      <c s="6" r="BD1069">
        <v>0</v>
      </c>
      <c s="6" r="BE1069">
        <v>0</v>
      </c>
      <c s="6" r="BF1069">
        <v>0</v>
      </c>
      <c s="6" r="BG1069">
        <v>0</v>
      </c>
      <c s="6" r="BH1069">
        <v>0</v>
      </c>
      <c s="6" r="BI1069">
        <v>0</v>
      </c>
      <c s="6" r="BJ1069">
        <v>0</v>
      </c>
      <c s="6" r="BK1069">
        <v>0</v>
      </c>
      <c s="6" r="BL1069">
        <v>0</v>
      </c>
      <c s="6" r="BM1069">
        <v>0</v>
      </c>
      <c s="6" r="BN1069">
        <v>0</v>
      </c>
      <c s="6" r="BO1069">
        <v>0</v>
      </c>
      <c s="6" r="BP1069">
        <v>0</v>
      </c>
      <c s="6" r="BQ1069">
        <v>0</v>
      </c>
      <c t="str" s="6" r="BR1069">
        <f>HYPERLINK("http://www.d20pfsrd.com/magic/all-spells/l/lightning-arc","Lightning Arc")</f>
        <v>Lightning Arc</v>
      </c>
      <c s="6" r="BS1069">
        <v>1091</v>
      </c>
      <c t="s" s="6" r="BT1069">
        <v>92</v>
      </c>
      <c t="s" s="6" r="BW1069">
        <v>7895</v>
      </c>
      <c t="s" s="6" r="BX1069">
        <v>7896</v>
      </c>
      <c s="6" r="BY1069">
        <v>1</v>
      </c>
    </row>
    <row customHeight="1" r="1070" ht="14.25">
      <c t="s" s="6" r="A1070">
        <v>7897</v>
      </c>
      <c t="s" s="6" r="B1070">
        <v>579</v>
      </c>
      <c t="s" s="6" r="C1070">
        <v>831</v>
      </c>
      <c t="s" s="6" r="D1070">
        <v>117</v>
      </c>
      <c t="s" s="6" r="E1070">
        <v>6274</v>
      </c>
      <c t="s" s="6" r="F1070">
        <v>81</v>
      </c>
      <c t="s" s="6" r="G1070">
        <v>7898</v>
      </c>
      <c s="6" r="H1070">
        <v>0</v>
      </c>
      <c t="s" s="6" r="I1070">
        <v>107</v>
      </c>
      <c t="s" s="6" r="K1070">
        <v>7899</v>
      </c>
      <c t="s" s="6" r="M1070">
        <v>7304</v>
      </c>
      <c s="6" r="N1070">
        <v>1</v>
      </c>
      <c s="6" r="O1070">
        <v>0</v>
      </c>
      <c t="s" s="6" r="P1070">
        <v>221</v>
      </c>
      <c t="s" s="6" r="Q1070">
        <v>188</v>
      </c>
      <c t="s" s="6" r="R1070">
        <v>7900</v>
      </c>
      <c t="s" s="6" r="S1070">
        <v>7901</v>
      </c>
      <c t="s" s="6" r="T1070">
        <v>7122</v>
      </c>
      <c t="s" s="6" r="U1070">
        <v>7902</v>
      </c>
      <c s="6" r="V1070">
        <v>1</v>
      </c>
      <c s="6" r="W1070">
        <v>1</v>
      </c>
      <c s="6" r="X1070">
        <v>1</v>
      </c>
      <c s="6" r="Y1070">
        <v>0</v>
      </c>
      <c s="6" r="Z1070">
        <v>0</v>
      </c>
      <c s="6" r="AA1070">
        <v>3</v>
      </c>
      <c s="6" r="AB1070">
        <v>3</v>
      </c>
      <c t="s" s="6" r="AC1070">
        <v>92</v>
      </c>
      <c t="s" s="6" r="AD1070">
        <v>92</v>
      </c>
      <c t="s" s="6" r="AE1070">
        <v>92</v>
      </c>
      <c t="s" s="6" r="AF1070">
        <v>92</v>
      </c>
      <c t="s" s="6" r="AG1070">
        <v>92</v>
      </c>
      <c t="s" s="6" r="AH1070">
        <v>92</v>
      </c>
      <c t="s" s="6" r="AI1070">
        <v>92</v>
      </c>
      <c s="6" r="AJ1070">
        <v>3</v>
      </c>
      <c t="s" s="6" r="AK1070">
        <v>92</v>
      </c>
      <c t="s" s="6" r="AL1070">
        <v>92</v>
      </c>
      <c t="s" s="6" r="AM1070">
        <v>92</v>
      </c>
      <c t="s" s="6" r="AN1070">
        <v>92</v>
      </c>
      <c s="6" r="AP1070">
        <v>3</v>
      </c>
      <c t="s" s="6" r="AR1070">
        <v>7903</v>
      </c>
      <c s="6" r="AS1070">
        <v>0</v>
      </c>
      <c s="6" r="AT1070">
        <v>0</v>
      </c>
      <c s="6" r="AU1070">
        <v>0</v>
      </c>
      <c s="6" r="AV1070">
        <v>0</v>
      </c>
      <c s="6" r="AW1070">
        <v>0</v>
      </c>
      <c s="6" r="AX1070">
        <v>0</v>
      </c>
      <c s="6" r="AY1070">
        <v>0</v>
      </c>
      <c s="6" r="AZ1070">
        <v>0</v>
      </c>
      <c s="6" r="BA1070">
        <v>0</v>
      </c>
      <c s="6" r="BB1070">
        <v>0</v>
      </c>
      <c s="6" r="BC1070">
        <v>0</v>
      </c>
      <c s="6" r="BD1070">
        <v>0</v>
      </c>
      <c s="6" r="BE1070">
        <v>0</v>
      </c>
      <c s="6" r="BF1070">
        <v>0</v>
      </c>
      <c s="6" r="BG1070">
        <v>0</v>
      </c>
      <c s="6" r="BH1070">
        <v>0</v>
      </c>
      <c s="6" r="BI1070">
        <v>0</v>
      </c>
      <c s="6" r="BJ1070">
        <v>0</v>
      </c>
      <c s="6" r="BK1070">
        <v>0</v>
      </c>
      <c s="6" r="BL1070">
        <v>1</v>
      </c>
      <c s="6" r="BM1070">
        <v>0</v>
      </c>
      <c s="6" r="BN1070">
        <v>0</v>
      </c>
      <c s="6" r="BO1070">
        <v>0</v>
      </c>
      <c s="6" r="BP1070">
        <v>0</v>
      </c>
      <c s="6" r="BQ1070">
        <v>0</v>
      </c>
      <c t="str" s="6" r="BR1070">
        <f>HYPERLINK("http://www.d20pfsrd.com/magic/all-spells/l/loathsome-veil","Loathsome Veil")</f>
        <v>Loathsome Veil</v>
      </c>
      <c s="6" r="BS1070">
        <v>1092</v>
      </c>
      <c t="s" s="6" r="BT1070">
        <v>92</v>
      </c>
      <c s="6" r="BY1070">
        <v>0</v>
      </c>
    </row>
    <row customHeight="1" r="1071" ht="14.25">
      <c t="s" s="6" r="A1071">
        <v>7904</v>
      </c>
      <c t="s" s="6" r="B1071">
        <v>579</v>
      </c>
      <c t="s" s="6" r="C1071">
        <v>66</v>
      </c>
      <c t="s" s="6" r="D1071">
        <v>7905</v>
      </c>
      <c t="s" s="6" r="E1071">
        <v>4399</v>
      </c>
      <c t="s" s="6" r="F1071">
        <v>81</v>
      </c>
      <c t="s" s="6" r="G1071">
        <v>106</v>
      </c>
      <c s="6" r="H1071">
        <v>0</v>
      </c>
      <c t="s" s="6" r="I1071">
        <v>83</v>
      </c>
      <c t="s" s="6" r="J1071">
        <v>7906</v>
      </c>
      <c t="s" s="6" r="M1071">
        <v>7232</v>
      </c>
      <c s="6" r="N1071">
        <v>0</v>
      </c>
      <c s="6" r="O1071">
        <v>0</v>
      </c>
      <c t="s" s="6" r="P1071">
        <v>7907</v>
      </c>
      <c t="s" s="6" r="Q1071">
        <v>87</v>
      </c>
      <c t="s" s="6" r="R1071">
        <v>7908</v>
      </c>
      <c t="s" s="6" r="S1071">
        <v>7909</v>
      </c>
      <c t="s" s="6" r="T1071">
        <v>7122</v>
      </c>
      <c t="s" s="6" r="U1071">
        <v>7910</v>
      </c>
      <c s="6" r="V1071">
        <v>1</v>
      </c>
      <c s="6" r="W1071">
        <v>1</v>
      </c>
      <c s="6" r="X1071">
        <v>0</v>
      </c>
      <c s="6" r="Y1071">
        <v>0</v>
      </c>
      <c s="6" r="Z1071">
        <v>0</v>
      </c>
      <c s="6" r="AA1071">
        <v>7</v>
      </c>
      <c s="6" r="AB1071">
        <v>7</v>
      </c>
      <c s="6" r="AC1071">
        <v>7</v>
      </c>
      <c t="s" s="6" r="AD1071">
        <v>92</v>
      </c>
      <c t="s" s="6" r="AE1071">
        <v>92</v>
      </c>
      <c t="s" s="6" r="AF1071">
        <v>92</v>
      </c>
      <c t="s" s="6" r="AG1071">
        <v>92</v>
      </c>
      <c t="s" s="6" r="AH1071">
        <v>92</v>
      </c>
      <c t="s" s="6" r="AI1071">
        <v>92</v>
      </c>
      <c s="6" r="AJ1071">
        <v>7</v>
      </c>
      <c t="s" s="6" r="AK1071">
        <v>92</v>
      </c>
      <c s="6" r="AL1071">
        <v>7</v>
      </c>
      <c t="s" s="6" r="AM1071">
        <v>92</v>
      </c>
      <c t="s" s="6" r="AN1071">
        <v>92</v>
      </c>
      <c s="6" r="AP1071">
        <v>7</v>
      </c>
      <c t="s" s="6" r="AR1071">
        <v>7911</v>
      </c>
      <c s="6" r="AS1071">
        <v>0</v>
      </c>
      <c s="6" r="AT1071">
        <v>0</v>
      </c>
      <c s="6" r="AU1071">
        <v>0</v>
      </c>
      <c s="6" r="AV1071">
        <v>0</v>
      </c>
      <c s="6" r="AW1071">
        <v>0</v>
      </c>
      <c s="6" r="AX1071">
        <v>1</v>
      </c>
      <c s="6" r="AY1071">
        <v>0</v>
      </c>
      <c s="6" r="AZ1071">
        <v>0</v>
      </c>
      <c s="6" r="BA1071">
        <v>0</v>
      </c>
      <c s="6" r="BB1071">
        <v>0</v>
      </c>
      <c s="6" r="BC1071">
        <v>0</v>
      </c>
      <c s="6" r="BD1071">
        <v>0</v>
      </c>
      <c s="6" r="BE1071">
        <v>0</v>
      </c>
      <c s="6" r="BF1071">
        <v>0</v>
      </c>
      <c s="6" r="BG1071">
        <v>0</v>
      </c>
      <c s="6" r="BH1071">
        <v>0</v>
      </c>
      <c s="6" r="BI1071">
        <v>0</v>
      </c>
      <c s="6" r="BJ1071">
        <v>0</v>
      </c>
      <c s="6" r="BK1071">
        <v>0</v>
      </c>
      <c s="6" r="BL1071">
        <v>0</v>
      </c>
      <c s="6" r="BM1071">
        <v>0</v>
      </c>
      <c s="6" r="BN1071">
        <v>0</v>
      </c>
      <c s="6" r="BO1071">
        <v>1</v>
      </c>
      <c s="6" r="BP1071">
        <v>0</v>
      </c>
      <c s="6" r="BQ1071">
        <v>0</v>
      </c>
      <c t="str" s="6" r="BR1071">
        <f>HYPERLINK("http://www.d20pfsrd.com/magic/all-spells/l/lunar-veil","Lunar Veil")</f>
        <v>Lunar Veil</v>
      </c>
      <c s="6" r="BS1071">
        <v>1093</v>
      </c>
      <c t="s" s="6" r="BT1071">
        <v>92</v>
      </c>
      <c t="s" s="6" r="BV1071">
        <v>1152</v>
      </c>
      <c s="6" r="BY1071">
        <v>0</v>
      </c>
    </row>
    <row customHeight="1" r="1072" ht="14.25">
      <c t="s" s="6" r="A1072">
        <v>7912</v>
      </c>
      <c t="s" s="6" r="B1072">
        <v>579</v>
      </c>
      <c t="s" s="6" r="C1072">
        <v>1523</v>
      </c>
      <c t="s" s="6" r="E1072">
        <v>7740</v>
      </c>
      <c t="s" s="6" r="F1072">
        <v>81</v>
      </c>
      <c t="s" s="6" r="G1072">
        <v>106</v>
      </c>
      <c s="6" r="H1072">
        <v>0</v>
      </c>
      <c t="s" s="6" r="I1072">
        <v>7913</v>
      </c>
      <c t="s" s="6" r="L1072">
        <v>731</v>
      </c>
      <c t="s" s="6" r="M1072">
        <v>7914</v>
      </c>
      <c s="6" r="N1072">
        <v>0</v>
      </c>
      <c s="6" r="O1072">
        <v>0</v>
      </c>
      <c t="s" s="6" r="P1072">
        <v>221</v>
      </c>
      <c t="s" s="6" r="Q1072">
        <v>188</v>
      </c>
      <c t="s" s="6" r="R1072">
        <v>7915</v>
      </c>
      <c t="s" s="6" r="S1072">
        <v>7916</v>
      </c>
      <c t="s" s="6" r="T1072">
        <v>7122</v>
      </c>
      <c t="s" s="6" r="U1072">
        <v>7917</v>
      </c>
      <c s="6" r="V1072">
        <v>1</v>
      </c>
      <c s="6" r="W1072">
        <v>1</v>
      </c>
      <c s="6" r="X1072">
        <v>0</v>
      </c>
      <c s="6" r="Y1072">
        <v>0</v>
      </c>
      <c s="6" r="Z1072">
        <v>0</v>
      </c>
      <c s="6" r="AA1072">
        <v>2</v>
      </c>
      <c s="6" r="AB1072">
        <v>2</v>
      </c>
      <c t="s" s="6" r="AC1072">
        <v>92</v>
      </c>
      <c t="s" s="6" r="AD1072">
        <v>92</v>
      </c>
      <c t="s" s="6" r="AE1072">
        <v>92</v>
      </c>
      <c s="6" r="AF1072">
        <v>2</v>
      </c>
      <c t="s" s="6" r="AG1072">
        <v>92</v>
      </c>
      <c t="s" s="6" r="AH1072">
        <v>92</v>
      </c>
      <c t="s" s="6" r="AI1072">
        <v>92</v>
      </c>
      <c s="6" r="AJ1072">
        <v>2</v>
      </c>
      <c t="s" s="6" r="AK1072">
        <v>92</v>
      </c>
      <c t="s" s="6" r="AL1072">
        <v>92</v>
      </c>
      <c t="s" s="6" r="AM1072">
        <v>92</v>
      </c>
      <c t="s" s="6" r="AN1072">
        <v>92</v>
      </c>
      <c s="6" r="AP1072">
        <v>2</v>
      </c>
      <c t="s" s="6" r="AR1072">
        <v>7918</v>
      </c>
      <c s="6" r="AS1072">
        <v>0</v>
      </c>
      <c s="6" r="AT1072">
        <v>0</v>
      </c>
      <c s="6" r="AU1072">
        <v>0</v>
      </c>
      <c s="6" r="AV1072">
        <v>0</v>
      </c>
      <c s="6" r="AW1072">
        <v>0</v>
      </c>
      <c s="6" r="AX1072">
        <v>0</v>
      </c>
      <c s="6" r="AY1072">
        <v>0</v>
      </c>
      <c s="6" r="AZ1072">
        <v>0</v>
      </c>
      <c s="6" r="BA1072">
        <v>0</v>
      </c>
      <c s="6" r="BB1072">
        <v>0</v>
      </c>
      <c s="6" r="BC1072">
        <v>0</v>
      </c>
      <c s="6" r="BD1072">
        <v>0</v>
      </c>
      <c s="6" r="BE1072">
        <v>0</v>
      </c>
      <c s="6" r="BF1072">
        <v>0</v>
      </c>
      <c s="6" r="BG1072">
        <v>0</v>
      </c>
      <c s="6" r="BH1072">
        <v>0</v>
      </c>
      <c s="6" r="BI1072">
        <v>0</v>
      </c>
      <c s="6" r="BJ1072">
        <v>0</v>
      </c>
      <c s="6" r="BK1072">
        <v>0</v>
      </c>
      <c s="6" r="BL1072">
        <v>0</v>
      </c>
      <c s="6" r="BM1072">
        <v>0</v>
      </c>
      <c s="6" r="BN1072">
        <v>0</v>
      </c>
      <c s="6" r="BO1072">
        <v>0</v>
      </c>
      <c s="6" r="BP1072">
        <v>0</v>
      </c>
      <c s="6" r="BQ1072">
        <v>0</v>
      </c>
      <c t="str" s="6" r="BR1072">
        <f>HYPERLINK("http://www.d20pfsrd.com/magic/all-spells/m/mad-hallucination","Mad Hallucination")</f>
        <v>Mad Hallucination</v>
      </c>
      <c s="6" r="BS1072">
        <v>1094</v>
      </c>
      <c t="s" s="6" r="BT1072">
        <v>92</v>
      </c>
      <c s="6" r="BY1072">
        <v>0</v>
      </c>
    </row>
    <row customHeight="1" r="1073" ht="14.25">
      <c t="s" s="6" r="A1073">
        <v>7919</v>
      </c>
      <c t="s" s="6" r="B1073">
        <v>78</v>
      </c>
      <c t="s" s="6" r="C1073">
        <v>1042</v>
      </c>
      <c t="s" s="6" r="E1073">
        <v>7920</v>
      </c>
      <c t="s" s="6" r="F1073">
        <v>272</v>
      </c>
      <c t="s" s="6" r="G1073">
        <v>119</v>
      </c>
      <c s="6" r="H1073">
        <v>0</v>
      </c>
      <c t="s" s="6" r="I1073">
        <v>107</v>
      </c>
      <c t="s" s="6" r="K1073">
        <v>7921</v>
      </c>
      <c t="s" s="6" r="M1073">
        <v>99</v>
      </c>
      <c s="6" r="N1073">
        <v>0</v>
      </c>
      <c s="6" r="O1073">
        <v>0</v>
      </c>
      <c t="s" s="6" r="P1073">
        <v>86</v>
      </c>
      <c t="s" s="6" r="Q1073">
        <v>87</v>
      </c>
      <c t="s" s="6" r="R1073">
        <v>7922</v>
      </c>
      <c t="s" s="6" r="S1073">
        <v>7923</v>
      </c>
      <c t="s" s="6" r="T1073">
        <v>7122</v>
      </c>
      <c t="s" s="6" r="U1073">
        <v>7924</v>
      </c>
      <c s="6" r="V1073">
        <v>1</v>
      </c>
      <c s="6" r="W1073">
        <v>1</v>
      </c>
      <c s="6" r="X1073">
        <v>0</v>
      </c>
      <c s="6" r="Y1073">
        <v>0</v>
      </c>
      <c s="6" r="Z1073">
        <v>1</v>
      </c>
      <c s="6" r="AA1073">
        <v>3</v>
      </c>
      <c s="6" r="AB1073">
        <v>3</v>
      </c>
      <c t="s" s="6" r="AC1073">
        <v>92</v>
      </c>
      <c s="6" r="AD1073">
        <v>3</v>
      </c>
      <c t="s" s="6" r="AE1073">
        <v>92</v>
      </c>
      <c s="6" r="AF1073">
        <v>3</v>
      </c>
      <c t="s" s="6" r="AG1073">
        <v>92</v>
      </c>
      <c t="s" s="6" r="AH1073">
        <v>92</v>
      </c>
      <c s="6" r="AI1073">
        <v>3</v>
      </c>
      <c t="s" s="6" r="AJ1073">
        <v>92</v>
      </c>
      <c t="s" s="6" r="AK1073">
        <v>92</v>
      </c>
      <c t="s" s="6" r="AL1073">
        <v>92</v>
      </c>
      <c t="s" s="6" r="AM1073">
        <v>92</v>
      </c>
      <c t="s" s="6" r="AN1073">
        <v>92</v>
      </c>
      <c s="6" r="AP1073">
        <v>3</v>
      </c>
      <c t="s" s="6" r="AR1073">
        <v>7925</v>
      </c>
      <c s="6" r="AS1073">
        <v>0</v>
      </c>
      <c s="6" r="AT1073">
        <v>0</v>
      </c>
      <c s="6" r="AU1073">
        <v>0</v>
      </c>
      <c s="6" r="AV1073">
        <v>0</v>
      </c>
      <c s="6" r="AW1073">
        <v>0</v>
      </c>
      <c s="6" r="AX1073">
        <v>0</v>
      </c>
      <c s="6" r="AY1073">
        <v>0</v>
      </c>
      <c s="6" r="AZ1073">
        <v>0</v>
      </c>
      <c s="6" r="BA1073">
        <v>0</v>
      </c>
      <c s="6" r="BB1073">
        <v>0</v>
      </c>
      <c s="6" r="BC1073">
        <v>0</v>
      </c>
      <c s="6" r="BD1073">
        <v>0</v>
      </c>
      <c s="6" r="BE1073">
        <v>0</v>
      </c>
      <c s="6" r="BF1073">
        <v>0</v>
      </c>
      <c s="6" r="BG1073">
        <v>0</v>
      </c>
      <c s="6" r="BH1073">
        <v>0</v>
      </c>
      <c s="6" r="BI1073">
        <v>0</v>
      </c>
      <c s="6" r="BJ1073">
        <v>0</v>
      </c>
      <c s="6" r="BK1073">
        <v>0</v>
      </c>
      <c s="6" r="BL1073">
        <v>0</v>
      </c>
      <c s="6" r="BM1073">
        <v>0</v>
      </c>
      <c s="6" r="BN1073">
        <v>0</v>
      </c>
      <c s="6" r="BO1073">
        <v>0</v>
      </c>
      <c s="6" r="BP1073">
        <v>0</v>
      </c>
      <c s="6" r="BQ1073">
        <v>0</v>
      </c>
      <c t="str" s="6" r="BR1073">
        <f>HYPERLINK("http://www.d20pfsrd.com/magic/all-spells/m/mad-monkeys","Mad Monkeys")</f>
        <v>Mad Monkeys</v>
      </c>
      <c s="6" r="BS1073">
        <v>1095</v>
      </c>
      <c t="s" s="6" r="BT1073">
        <v>92</v>
      </c>
      <c s="6" r="BY1073">
        <v>0</v>
      </c>
    </row>
    <row customHeight="1" r="1074" ht="14.25">
      <c t="s" s="6" r="A1074">
        <v>7926</v>
      </c>
      <c t="s" s="6" r="B1074">
        <v>7927</v>
      </c>
      <c t="s" s="6" r="E1074">
        <v>2102</v>
      </c>
      <c t="s" s="6" r="F1074">
        <v>81</v>
      </c>
      <c t="s" s="6" r="G1074">
        <v>106</v>
      </c>
      <c s="6" r="H1074">
        <v>0</v>
      </c>
      <c t="s" s="6" r="I1074">
        <v>107</v>
      </c>
      <c t="s" s="6" r="J1074">
        <v>7401</v>
      </c>
      <c t="s" s="6" r="M1074">
        <v>483</v>
      </c>
      <c s="6" r="N1074">
        <v>1</v>
      </c>
      <c s="6" r="O1074">
        <v>0</v>
      </c>
      <c t="s" s="6" r="P1074">
        <v>187</v>
      </c>
      <c t="s" s="6" r="Q1074">
        <v>188</v>
      </c>
      <c t="s" s="6" r="R1074">
        <v>7928</v>
      </c>
      <c t="s" s="6" r="S1074">
        <v>7929</v>
      </c>
      <c t="s" s="6" r="T1074">
        <v>7122</v>
      </c>
      <c t="s" s="6" r="U1074">
        <v>7930</v>
      </c>
      <c s="6" r="V1074">
        <v>1</v>
      </c>
      <c s="6" r="W1074">
        <v>1</v>
      </c>
      <c s="6" r="X1074">
        <v>0</v>
      </c>
      <c s="6" r="Y1074">
        <v>0</v>
      </c>
      <c s="6" r="Z1074">
        <v>0</v>
      </c>
      <c s="6" r="AA1074">
        <v>4</v>
      </c>
      <c s="6" r="AB1074">
        <v>4</v>
      </c>
      <c t="s" s="6" r="AC1074">
        <v>92</v>
      </c>
      <c t="s" s="6" r="AD1074">
        <v>92</v>
      </c>
      <c t="s" s="6" r="AE1074">
        <v>92</v>
      </c>
      <c t="s" s="6" r="AF1074">
        <v>92</v>
      </c>
      <c t="s" s="6" r="AG1074">
        <v>92</v>
      </c>
      <c t="s" s="6" r="AH1074">
        <v>92</v>
      </c>
      <c t="s" s="6" r="AI1074">
        <v>92</v>
      </c>
      <c t="s" s="6" r="AJ1074">
        <v>92</v>
      </c>
      <c t="s" s="6" r="AK1074">
        <v>92</v>
      </c>
      <c t="s" s="6" r="AL1074">
        <v>92</v>
      </c>
      <c t="s" s="6" r="AM1074">
        <v>92</v>
      </c>
      <c t="s" s="6" r="AN1074">
        <v>92</v>
      </c>
      <c s="6" r="AP1074">
        <v>4</v>
      </c>
      <c t="s" s="6" r="AR1074">
        <v>7931</v>
      </c>
      <c s="6" r="AS1074">
        <v>0</v>
      </c>
      <c s="6" r="AT1074">
        <v>0</v>
      </c>
      <c s="6" r="AU1074">
        <v>0</v>
      </c>
      <c s="6" r="AV1074">
        <v>0</v>
      </c>
      <c s="6" r="AW1074">
        <v>0</v>
      </c>
      <c s="6" r="AX1074">
        <v>0</v>
      </c>
      <c s="6" r="AY1074">
        <v>0</v>
      </c>
      <c s="6" r="AZ1074">
        <v>0</v>
      </c>
      <c s="6" r="BA1074">
        <v>0</v>
      </c>
      <c s="6" r="BB1074">
        <v>0</v>
      </c>
      <c s="6" r="BC1074">
        <v>0</v>
      </c>
      <c s="6" r="BD1074">
        <v>0</v>
      </c>
      <c s="6" r="BE1074">
        <v>0</v>
      </c>
      <c s="6" r="BF1074">
        <v>0</v>
      </c>
      <c s="6" r="BG1074">
        <v>0</v>
      </c>
      <c s="6" r="BH1074">
        <v>0</v>
      </c>
      <c s="6" r="BI1074">
        <v>0</v>
      </c>
      <c s="6" r="BJ1074">
        <v>0</v>
      </c>
      <c s="6" r="BK1074">
        <v>0</v>
      </c>
      <c s="6" r="BL1074">
        <v>0</v>
      </c>
      <c s="6" r="BM1074">
        <v>0</v>
      </c>
      <c s="6" r="BN1074">
        <v>0</v>
      </c>
      <c s="6" r="BO1074">
        <v>0</v>
      </c>
      <c s="6" r="BP1074">
        <v>0</v>
      </c>
      <c s="6" r="BQ1074">
        <v>0</v>
      </c>
      <c t="str" s="6" r="BR1074">
        <f>HYPERLINK("http://www.d20pfsrd.com/magic/all-spells/m/malfunction","Malfunction")</f>
        <v>Malfunction</v>
      </c>
      <c s="6" r="BS1074">
        <v>1096</v>
      </c>
      <c t="s" s="6" r="BT1074">
        <v>92</v>
      </c>
      <c s="6" r="BY1074">
        <v>0</v>
      </c>
    </row>
    <row customHeight="1" r="1075" ht="14.25">
      <c t="s" s="6" r="A1075">
        <v>7932</v>
      </c>
      <c t="s" s="6" r="B1075">
        <v>115</v>
      </c>
      <c t="s" s="6" r="C1075">
        <v>116</v>
      </c>
      <c t="s" s="6" r="D1075">
        <v>7379</v>
      </c>
      <c t="s" s="6" r="E1075">
        <v>4885</v>
      </c>
      <c t="s" s="6" r="F1075">
        <v>81</v>
      </c>
      <c t="s" s="6" r="G1075">
        <v>7933</v>
      </c>
      <c s="6" r="H1075">
        <v>1</v>
      </c>
      <c t="s" s="6" r="I1075">
        <v>107</v>
      </c>
      <c t="s" s="6" r="L1075">
        <v>1235</v>
      </c>
      <c t="s" s="6" r="M1075">
        <v>200</v>
      </c>
      <c s="6" r="N1075">
        <v>0</v>
      </c>
      <c s="6" r="O1075">
        <v>0</v>
      </c>
      <c t="s" s="6" r="P1075">
        <v>221</v>
      </c>
      <c t="s" s="6" r="Q1075">
        <v>188</v>
      </c>
      <c t="s" s="6" r="R1075">
        <v>7934</v>
      </c>
      <c t="s" s="6" r="S1075">
        <v>7935</v>
      </c>
      <c t="s" s="6" r="T1075">
        <v>7122</v>
      </c>
      <c t="s" s="6" r="U1075">
        <v>7936</v>
      </c>
      <c s="6" r="V1075">
        <v>1</v>
      </c>
      <c s="6" r="W1075">
        <v>1</v>
      </c>
      <c s="6" r="X1075">
        <v>1</v>
      </c>
      <c s="6" r="Y1075">
        <v>0</v>
      </c>
      <c s="6" r="Z1075">
        <v>0</v>
      </c>
      <c s="6" r="AA1075">
        <v>4</v>
      </c>
      <c s="6" r="AB1075">
        <v>4</v>
      </c>
      <c t="s" s="6" r="AC1075">
        <v>92</v>
      </c>
      <c t="s" s="6" r="AD1075">
        <v>92</v>
      </c>
      <c t="s" s="6" r="AE1075">
        <v>92</v>
      </c>
      <c s="6" r="AF1075">
        <v>3</v>
      </c>
      <c t="s" s="6" r="AG1075">
        <v>92</v>
      </c>
      <c t="s" s="6" r="AH1075">
        <v>92</v>
      </c>
      <c t="s" s="6" r="AI1075">
        <v>92</v>
      </c>
      <c t="s" s="6" r="AJ1075">
        <v>92</v>
      </c>
      <c t="s" s="6" r="AK1075">
        <v>92</v>
      </c>
      <c t="s" s="6" r="AL1075">
        <v>92</v>
      </c>
      <c t="s" s="6" r="AM1075">
        <v>92</v>
      </c>
      <c t="s" s="6" r="AN1075">
        <v>92</v>
      </c>
      <c s="6" r="AP1075">
        <v>4</v>
      </c>
      <c t="s" s="6" r="AR1075">
        <v>7937</v>
      </c>
      <c s="6" r="AS1075">
        <v>0</v>
      </c>
      <c s="6" r="AT1075">
        <v>0</v>
      </c>
      <c s="6" r="AU1075">
        <v>0</v>
      </c>
      <c s="6" r="AV1075">
        <v>0</v>
      </c>
      <c s="6" r="AW1075">
        <v>0</v>
      </c>
      <c s="6" r="AX1075">
        <v>0</v>
      </c>
      <c s="6" r="AY1075">
        <v>0</v>
      </c>
      <c s="6" r="AZ1075">
        <v>0</v>
      </c>
      <c s="6" r="BA1075">
        <v>0</v>
      </c>
      <c s="6" r="BB1075">
        <v>0</v>
      </c>
      <c s="6" r="BC1075">
        <v>1</v>
      </c>
      <c s="6" r="BD1075">
        <v>0</v>
      </c>
      <c s="6" r="BE1075">
        <v>0</v>
      </c>
      <c s="6" r="BF1075">
        <v>0</v>
      </c>
      <c s="6" r="BG1075">
        <v>0</v>
      </c>
      <c s="6" r="BH1075">
        <v>0</v>
      </c>
      <c s="6" r="BI1075">
        <v>0</v>
      </c>
      <c s="6" r="BJ1075">
        <v>0</v>
      </c>
      <c s="6" r="BK1075">
        <v>0</v>
      </c>
      <c s="6" r="BL1075">
        <v>1</v>
      </c>
      <c s="6" r="BM1075">
        <v>0</v>
      </c>
      <c s="6" r="BN1075">
        <v>0</v>
      </c>
      <c s="6" r="BO1075">
        <v>0</v>
      </c>
      <c s="6" r="BP1075">
        <v>0</v>
      </c>
      <c s="6" r="BQ1075">
        <v>0</v>
      </c>
      <c t="str" s="6" r="BR1075">
        <f>HYPERLINK("http://www.d20pfsrd.com/magic/all-spells/m/malicious-spite","Malicious Spite")</f>
        <v>Malicious Spite</v>
      </c>
      <c s="6" r="BS1075">
        <v>1097</v>
      </c>
      <c s="6" r="BT1075">
        <v>150</v>
      </c>
      <c s="6" r="BY1075">
        <v>0</v>
      </c>
    </row>
    <row customHeight="1" r="1076" ht="14.25">
      <c t="s" s="6" r="A1076">
        <v>7938</v>
      </c>
      <c t="s" s="6" r="B1076">
        <v>227</v>
      </c>
      <c t="s" s="6" r="E1076">
        <v>7939</v>
      </c>
      <c t="s" s="6" r="F1076">
        <v>81</v>
      </c>
      <c t="s" s="6" r="G1076">
        <v>7940</v>
      </c>
      <c s="6" r="H1076">
        <v>0</v>
      </c>
      <c t="s" s="6" r="I1076">
        <v>97</v>
      </c>
      <c t="s" s="6" r="L1076">
        <v>7941</v>
      </c>
      <c t="s" s="6" r="M1076">
        <v>7942</v>
      </c>
      <c s="6" r="N1076">
        <v>0</v>
      </c>
      <c s="6" r="O1076">
        <v>0</v>
      </c>
      <c t="s" s="6" r="P1076">
        <v>2206</v>
      </c>
      <c t="s" s="6" r="Q1076">
        <v>188</v>
      </c>
      <c t="s" s="6" r="R1076">
        <v>7943</v>
      </c>
      <c t="s" s="6" r="S1076">
        <v>7944</v>
      </c>
      <c t="s" s="6" r="T1076">
        <v>7122</v>
      </c>
      <c t="s" s="6" r="U1076">
        <v>7945</v>
      </c>
      <c s="6" r="V1076">
        <v>1</v>
      </c>
      <c s="6" r="W1076">
        <v>1</v>
      </c>
      <c s="6" r="X1076">
        <v>0</v>
      </c>
      <c s="6" r="Y1076">
        <v>0</v>
      </c>
      <c s="6" r="Z1076">
        <v>0</v>
      </c>
      <c s="6" r="AA1076">
        <v>3</v>
      </c>
      <c s="6" r="AB1076">
        <v>3</v>
      </c>
      <c t="s" s="6" r="AC1076">
        <v>92</v>
      </c>
      <c t="s" s="6" r="AD1076">
        <v>92</v>
      </c>
      <c t="s" s="6" r="AE1076">
        <v>92</v>
      </c>
      <c t="s" s="6" r="AF1076">
        <v>92</v>
      </c>
      <c t="s" s="6" r="AG1076">
        <v>92</v>
      </c>
      <c s="6" r="AH1076">
        <v>3</v>
      </c>
      <c s="6" r="AI1076">
        <v>3</v>
      </c>
      <c s="6" r="AJ1076">
        <v>3</v>
      </c>
      <c t="s" s="6" r="AK1076">
        <v>92</v>
      </c>
      <c t="s" s="6" r="AL1076">
        <v>92</v>
      </c>
      <c t="s" s="6" r="AM1076">
        <v>92</v>
      </c>
      <c t="s" s="6" r="AN1076">
        <v>92</v>
      </c>
      <c s="6" r="AP1076">
        <v>3</v>
      </c>
      <c t="s" s="6" r="AR1076">
        <v>7946</v>
      </c>
      <c s="6" r="AS1076">
        <v>0</v>
      </c>
      <c s="6" r="AT1076">
        <v>0</v>
      </c>
      <c s="6" r="AU1076">
        <v>0</v>
      </c>
      <c s="6" r="AV1076">
        <v>0</v>
      </c>
      <c s="6" r="AW1076">
        <v>0</v>
      </c>
      <c s="6" r="AX1076">
        <v>0</v>
      </c>
      <c s="6" r="AY1076">
        <v>0</v>
      </c>
      <c s="6" r="AZ1076">
        <v>0</v>
      </c>
      <c s="6" r="BA1076">
        <v>0</v>
      </c>
      <c s="6" r="BB1076">
        <v>0</v>
      </c>
      <c s="6" r="BC1076">
        <v>0</v>
      </c>
      <c s="6" r="BD1076">
        <v>0</v>
      </c>
      <c s="6" r="BE1076">
        <v>0</v>
      </c>
      <c s="6" r="BF1076">
        <v>0</v>
      </c>
      <c s="6" r="BG1076">
        <v>0</v>
      </c>
      <c s="6" r="BH1076">
        <v>0</v>
      </c>
      <c s="6" r="BI1076">
        <v>0</v>
      </c>
      <c s="6" r="BJ1076">
        <v>0</v>
      </c>
      <c s="6" r="BK1076">
        <v>0</v>
      </c>
      <c s="6" r="BL1076">
        <v>0</v>
      </c>
      <c s="6" r="BM1076">
        <v>0</v>
      </c>
      <c s="6" r="BN1076">
        <v>0</v>
      </c>
      <c s="6" r="BO1076">
        <v>0</v>
      </c>
      <c s="6" r="BP1076">
        <v>0</v>
      </c>
      <c s="6" r="BQ1076">
        <v>0</v>
      </c>
      <c t="str" s="6" r="BR1076">
        <f>HYPERLINK("http://www.d20pfsrd.com/magic/all-spells/m/marionette-possession","Marionette Possession")</f>
        <v>Marionette Possession</v>
      </c>
      <c s="6" r="BS1076">
        <v>1098</v>
      </c>
      <c t="s" s="6" r="BT1076">
        <v>92</v>
      </c>
      <c s="6" r="BY1076">
        <v>0</v>
      </c>
    </row>
    <row customHeight="1" r="1077" ht="14.25">
      <c t="s" s="6" r="A1077">
        <v>7947</v>
      </c>
      <c t="s" s="6" r="B1077">
        <v>131</v>
      </c>
      <c t="s" s="6" r="E1077">
        <v>7948</v>
      </c>
      <c t="s" s="6" r="F1077">
        <v>293</v>
      </c>
      <c t="s" s="6" r="G1077">
        <v>7949</v>
      </c>
      <c s="6" r="H1077">
        <v>0</v>
      </c>
      <c t="s" s="6" r="I1077">
        <v>120</v>
      </c>
      <c t="s" s="6" r="L1077">
        <v>7950</v>
      </c>
      <c t="s" s="6" r="M1077">
        <v>109</v>
      </c>
      <c s="6" r="N1077">
        <v>0</v>
      </c>
      <c s="6" r="O1077">
        <v>0</v>
      </c>
      <c t="s" s="6" r="P1077">
        <v>86</v>
      </c>
      <c t="s" s="6" r="Q1077">
        <v>87</v>
      </c>
      <c t="s" s="6" r="R1077">
        <v>7951</v>
      </c>
      <c t="s" s="6" r="S1077">
        <v>7952</v>
      </c>
      <c t="s" s="6" r="T1077">
        <v>7122</v>
      </c>
      <c t="s" s="6" r="U1077">
        <v>7953</v>
      </c>
      <c s="6" r="V1077">
        <v>1</v>
      </c>
      <c s="6" r="W1077">
        <v>1</v>
      </c>
      <c s="6" r="X1077">
        <v>1</v>
      </c>
      <c s="6" r="Y1077">
        <v>0</v>
      </c>
      <c s="6" r="Z1077">
        <v>0</v>
      </c>
      <c s="6" r="AA1077">
        <v>2</v>
      </c>
      <c s="6" r="AB1077">
        <v>2</v>
      </c>
      <c s="6" r="AC1077">
        <v>2</v>
      </c>
      <c s="6" r="AD1077">
        <v>2</v>
      </c>
      <c t="s" s="6" r="AE1077">
        <v>92</v>
      </c>
      <c s="6" r="AF1077">
        <v>2</v>
      </c>
      <c t="s" s="6" r="AG1077">
        <v>92</v>
      </c>
      <c t="s" s="6" r="AH1077">
        <v>92</v>
      </c>
      <c t="s" s="6" r="AI1077">
        <v>92</v>
      </c>
      <c s="6" r="AJ1077">
        <v>2</v>
      </c>
      <c t="s" s="6" r="AK1077">
        <v>92</v>
      </c>
      <c s="6" r="AL1077">
        <v>2</v>
      </c>
      <c t="s" s="6" r="AM1077">
        <v>92</v>
      </c>
      <c t="s" s="6" r="AN1077">
        <v>92</v>
      </c>
      <c s="6" r="AP1077">
        <v>2</v>
      </c>
      <c t="s" s="6" r="AR1077">
        <v>7954</v>
      </c>
      <c s="6" r="AS1077">
        <v>0</v>
      </c>
      <c s="6" r="AT1077">
        <v>0</v>
      </c>
      <c s="6" r="AU1077">
        <v>0</v>
      </c>
      <c s="6" r="AV1077">
        <v>0</v>
      </c>
      <c s="6" r="AW1077">
        <v>0</v>
      </c>
      <c s="6" r="AX1077">
        <v>0</v>
      </c>
      <c s="6" r="AY1077">
        <v>0</v>
      </c>
      <c s="6" r="AZ1077">
        <v>0</v>
      </c>
      <c s="6" r="BA1077">
        <v>0</v>
      </c>
      <c s="6" r="BB1077">
        <v>0</v>
      </c>
      <c s="6" r="BC1077">
        <v>0</v>
      </c>
      <c s="6" r="BD1077">
        <v>0</v>
      </c>
      <c s="6" r="BE1077">
        <v>0</v>
      </c>
      <c s="6" r="BF1077">
        <v>0</v>
      </c>
      <c s="6" r="BG1077">
        <v>0</v>
      </c>
      <c s="6" r="BH1077">
        <v>0</v>
      </c>
      <c s="6" r="BI1077">
        <v>0</v>
      </c>
      <c s="6" r="BJ1077">
        <v>0</v>
      </c>
      <c s="6" r="BK1077">
        <v>0</v>
      </c>
      <c s="6" r="BL1077">
        <v>0</v>
      </c>
      <c s="6" r="BM1077">
        <v>0</v>
      </c>
      <c s="6" r="BN1077">
        <v>0</v>
      </c>
      <c s="6" r="BO1077">
        <v>0</v>
      </c>
      <c s="6" r="BP1077">
        <v>0</v>
      </c>
      <c s="6" r="BQ1077">
        <v>0</v>
      </c>
      <c t="str" s="6" r="BR1077">
        <f>HYPERLINK("http://www.d20pfsrd.com/magic/all-spells/m/masterwork-transformation","Masterwork Transformation")</f>
        <v>Masterwork Transformation</v>
      </c>
      <c s="6" r="BS1077">
        <v>1099</v>
      </c>
      <c t="s" s="6" r="BT1077">
        <v>92</v>
      </c>
      <c s="6" r="BY1077">
        <v>0</v>
      </c>
    </row>
    <row customHeight="1" r="1078" ht="14.25">
      <c t="s" s="6" r="A1078">
        <v>7955</v>
      </c>
      <c t="s" s="6" r="B1078">
        <v>162</v>
      </c>
      <c t="s" s="6" r="D1078">
        <v>7379</v>
      </c>
      <c t="s" s="6" r="E1078">
        <v>7740</v>
      </c>
      <c t="s" s="6" r="F1078">
        <v>81</v>
      </c>
      <c t="s" s="6" r="G1078">
        <v>106</v>
      </c>
      <c s="6" r="H1078">
        <v>0</v>
      </c>
      <c t="s" s="6" r="I1078">
        <v>120</v>
      </c>
      <c t="s" s="6" r="L1078">
        <v>420</v>
      </c>
      <c t="s" s="6" r="M1078">
        <v>7956</v>
      </c>
      <c s="6" r="N1078">
        <v>0</v>
      </c>
      <c s="6" r="O1078">
        <v>0</v>
      </c>
      <c t="s" s="6" r="P1078">
        <v>2206</v>
      </c>
      <c t="s" s="6" r="Q1078">
        <v>188</v>
      </c>
      <c t="s" s="6" r="R1078">
        <v>7957</v>
      </c>
      <c t="s" s="6" r="S1078">
        <v>7958</v>
      </c>
      <c t="s" s="6" r="T1078">
        <v>7122</v>
      </c>
      <c t="s" s="6" r="U1078">
        <v>7959</v>
      </c>
      <c s="6" r="V1078">
        <v>1</v>
      </c>
      <c s="6" r="W1078">
        <v>1</v>
      </c>
      <c s="6" r="X1078">
        <v>0</v>
      </c>
      <c s="6" r="Y1078">
        <v>0</v>
      </c>
      <c s="6" r="Z1078">
        <v>0</v>
      </c>
      <c s="6" r="AA1078">
        <v>2</v>
      </c>
      <c s="6" r="AB1078">
        <v>2</v>
      </c>
      <c t="s" s="6" r="AC1078">
        <v>92</v>
      </c>
      <c t="s" s="6" r="AD1078">
        <v>92</v>
      </c>
      <c t="s" s="6" r="AE1078">
        <v>92</v>
      </c>
      <c s="6" r="AF1078">
        <v>2</v>
      </c>
      <c t="s" s="6" r="AG1078">
        <v>92</v>
      </c>
      <c t="s" s="6" r="AH1078">
        <v>92</v>
      </c>
      <c t="s" s="6" r="AI1078">
        <v>92</v>
      </c>
      <c s="6" r="AJ1078">
        <v>2</v>
      </c>
      <c t="s" s="6" r="AK1078">
        <v>92</v>
      </c>
      <c t="s" s="6" r="AL1078">
        <v>92</v>
      </c>
      <c t="s" s="6" r="AM1078">
        <v>92</v>
      </c>
      <c t="s" s="6" r="AN1078">
        <v>92</v>
      </c>
      <c s="6" r="AP1078">
        <v>2</v>
      </c>
      <c t="s" s="6" r="AR1078">
        <v>7960</v>
      </c>
      <c s="6" r="AS1078">
        <v>0</v>
      </c>
      <c s="6" r="AT1078">
        <v>0</v>
      </c>
      <c s="6" r="AU1078">
        <v>0</v>
      </c>
      <c s="6" r="AV1078">
        <v>0</v>
      </c>
      <c s="6" r="AW1078">
        <v>0</v>
      </c>
      <c s="6" r="AX1078">
        <v>0</v>
      </c>
      <c s="6" r="AY1078">
        <v>0</v>
      </c>
      <c s="6" r="AZ1078">
        <v>0</v>
      </c>
      <c s="6" r="BA1078">
        <v>0</v>
      </c>
      <c s="6" r="BB1078">
        <v>0</v>
      </c>
      <c s="6" r="BC1078">
        <v>1</v>
      </c>
      <c s="6" r="BD1078">
        <v>0</v>
      </c>
      <c s="6" r="BE1078">
        <v>0</v>
      </c>
      <c s="6" r="BF1078">
        <v>0</v>
      </c>
      <c s="6" r="BG1078">
        <v>0</v>
      </c>
      <c s="6" r="BH1078">
        <v>0</v>
      </c>
      <c s="6" r="BI1078">
        <v>0</v>
      </c>
      <c s="6" r="BJ1078">
        <v>0</v>
      </c>
      <c s="6" r="BK1078">
        <v>0</v>
      </c>
      <c s="6" r="BL1078">
        <v>1</v>
      </c>
      <c s="6" r="BM1078">
        <v>0</v>
      </c>
      <c s="6" r="BN1078">
        <v>0</v>
      </c>
      <c s="6" r="BO1078">
        <v>0</v>
      </c>
      <c s="6" r="BP1078">
        <v>0</v>
      </c>
      <c s="6" r="BQ1078">
        <v>0</v>
      </c>
      <c t="str" s="6" r="BR1078">
        <f>HYPERLINK("http://www.d20pfsrd.com/magic/all-spells/m/miserable-pity","Miserable Pity")</f>
        <v>Miserable Pity</v>
      </c>
      <c s="6" r="BS1078">
        <v>1100</v>
      </c>
      <c t="s" s="6" r="BT1078">
        <v>92</v>
      </c>
      <c s="6" r="BY1078">
        <v>0</v>
      </c>
    </row>
    <row customHeight="1" r="1079" ht="14.25">
      <c t="s" s="6" r="A1079">
        <v>7961</v>
      </c>
      <c t="s" s="6" r="B1079">
        <v>131</v>
      </c>
      <c t="s" s="6" r="C1079">
        <v>152</v>
      </c>
      <c t="s" s="6" r="E1079">
        <v>7962</v>
      </c>
      <c t="s" s="6" r="F1079">
        <v>81</v>
      </c>
      <c t="s" s="6" r="G1079">
        <v>154</v>
      </c>
      <c s="6" r="H1079">
        <v>0</v>
      </c>
      <c t="s" s="6" r="I1079">
        <v>155</v>
      </c>
      <c t="s" s="6" r="L1079">
        <v>156</v>
      </c>
      <c t="s" s="6" r="M1079">
        <v>5513</v>
      </c>
      <c s="6" r="N1079">
        <v>1</v>
      </c>
      <c s="6" r="O1079">
        <v>0</v>
      </c>
      <c t="s" s="6" r="R1079">
        <v>7963</v>
      </c>
      <c t="s" s="6" r="S1079">
        <v>7964</v>
      </c>
      <c t="s" s="6" r="T1079">
        <v>7122</v>
      </c>
      <c t="s" s="6" r="U1079">
        <v>7965</v>
      </c>
      <c s="6" r="V1079">
        <v>1</v>
      </c>
      <c s="6" r="W1079">
        <v>1</v>
      </c>
      <c s="6" r="X1079">
        <v>1</v>
      </c>
      <c s="6" r="Y1079">
        <v>0</v>
      </c>
      <c s="6" r="Z1079">
        <v>0</v>
      </c>
      <c s="6" r="AA1079">
        <v>3</v>
      </c>
      <c s="6" r="AB1079">
        <v>3</v>
      </c>
      <c t="s" s="6" r="AC1079">
        <v>92</v>
      </c>
      <c t="s" s="6" r="AD1079">
        <v>92</v>
      </c>
      <c t="s" s="6" r="AE1079">
        <v>92</v>
      </c>
      <c t="s" s="6" r="AF1079">
        <v>92</v>
      </c>
      <c t="s" s="6" r="AG1079">
        <v>92</v>
      </c>
      <c s="6" r="AH1079">
        <v>3</v>
      </c>
      <c t="s" s="6" r="AI1079">
        <v>92</v>
      </c>
      <c t="s" s="6" r="AJ1079">
        <v>92</v>
      </c>
      <c t="s" s="6" r="AK1079">
        <v>92</v>
      </c>
      <c t="s" s="6" r="AL1079">
        <v>92</v>
      </c>
      <c t="s" s="6" r="AM1079">
        <v>92</v>
      </c>
      <c s="6" r="AN1079">
        <v>3</v>
      </c>
      <c s="6" r="AP1079">
        <v>3</v>
      </c>
      <c t="s" s="6" r="AR1079">
        <v>7966</v>
      </c>
      <c s="6" r="AS1079">
        <v>0</v>
      </c>
      <c s="6" r="AT1079">
        <v>0</v>
      </c>
      <c s="6" r="AU1079">
        <v>0</v>
      </c>
      <c s="6" r="AV1079">
        <v>0</v>
      </c>
      <c s="6" r="AW1079">
        <v>0</v>
      </c>
      <c s="6" r="AX1079">
        <v>0</v>
      </c>
      <c s="6" r="AY1079">
        <v>0</v>
      </c>
      <c s="6" r="AZ1079">
        <v>0</v>
      </c>
      <c s="6" r="BA1079">
        <v>0</v>
      </c>
      <c s="6" r="BB1079">
        <v>0</v>
      </c>
      <c s="6" r="BC1079">
        <v>0</v>
      </c>
      <c s="6" r="BD1079">
        <v>0</v>
      </c>
      <c s="6" r="BE1079">
        <v>0</v>
      </c>
      <c s="6" r="BF1079">
        <v>0</v>
      </c>
      <c s="6" r="BG1079">
        <v>0</v>
      </c>
      <c s="6" r="BH1079">
        <v>0</v>
      </c>
      <c s="6" r="BI1079">
        <v>0</v>
      </c>
      <c s="6" r="BJ1079">
        <v>0</v>
      </c>
      <c s="6" r="BK1079">
        <v>0</v>
      </c>
      <c s="6" r="BL1079">
        <v>0</v>
      </c>
      <c s="6" r="BM1079">
        <v>0</v>
      </c>
      <c s="6" r="BN1079">
        <v>0</v>
      </c>
      <c s="6" r="BO1079">
        <v>0</v>
      </c>
      <c s="6" r="BP1079">
        <v>0</v>
      </c>
      <c s="6" r="BQ1079">
        <v>0</v>
      </c>
      <c t="str" s="6" r="BR1079">
        <f>HYPERLINK("http://www.d20pfsrd.com/magic/all-spells/m/monstrous-physique-i","Monstrous Physique I")</f>
        <v>Monstrous Physique I</v>
      </c>
      <c s="6" r="BS1079">
        <v>1101</v>
      </c>
      <c t="s" s="6" r="BT1079">
        <v>92</v>
      </c>
      <c t="s" s="6" r="BW1079">
        <v>7967</v>
      </c>
      <c t="s" s="6" r="BX1079">
        <v>7968</v>
      </c>
      <c s="6" r="BY1079">
        <v>1</v>
      </c>
    </row>
    <row customHeight="1" r="1080" ht="14.25">
      <c t="s" s="6" r="A1080">
        <v>7969</v>
      </c>
      <c t="s" s="6" r="B1080">
        <v>131</v>
      </c>
      <c t="s" s="6" r="C1080">
        <v>152</v>
      </c>
      <c t="s" s="6" r="E1080">
        <v>7970</v>
      </c>
      <c t="s" s="6" r="F1080">
        <v>81</v>
      </c>
      <c t="s" s="6" r="G1080">
        <v>154</v>
      </c>
      <c s="6" r="H1080">
        <v>0</v>
      </c>
      <c t="s" s="6" r="I1080">
        <v>155</v>
      </c>
      <c t="s" s="6" r="L1080">
        <v>156</v>
      </c>
      <c t="s" s="6" r="M1080">
        <v>5513</v>
      </c>
      <c s="6" r="N1080">
        <v>1</v>
      </c>
      <c s="6" r="O1080">
        <v>0</v>
      </c>
      <c t="s" s="6" r="R1080">
        <v>7971</v>
      </c>
      <c t="s" s="6" r="S1080">
        <v>7972</v>
      </c>
      <c t="s" s="6" r="T1080">
        <v>7122</v>
      </c>
      <c t="s" s="6" r="U1080">
        <v>7973</v>
      </c>
      <c s="6" r="V1080">
        <v>1</v>
      </c>
      <c s="6" r="W1080">
        <v>1</v>
      </c>
      <c s="6" r="X1080">
        <v>1</v>
      </c>
      <c s="6" r="Y1080">
        <v>0</v>
      </c>
      <c s="6" r="Z1080">
        <v>0</v>
      </c>
      <c s="6" r="AA1080">
        <v>4</v>
      </c>
      <c s="6" r="AB1080">
        <v>4</v>
      </c>
      <c t="s" s="6" r="AC1080">
        <v>92</v>
      </c>
      <c t="s" s="6" r="AD1080">
        <v>92</v>
      </c>
      <c t="s" s="6" r="AE1080">
        <v>92</v>
      </c>
      <c t="s" s="6" r="AF1080">
        <v>92</v>
      </c>
      <c t="s" s="6" r="AG1080">
        <v>92</v>
      </c>
      <c s="6" r="AH1080">
        <v>4</v>
      </c>
      <c t="s" s="6" r="AI1080">
        <v>92</v>
      </c>
      <c t="s" s="6" r="AJ1080">
        <v>92</v>
      </c>
      <c t="s" s="6" r="AK1080">
        <v>92</v>
      </c>
      <c t="s" s="6" r="AL1080">
        <v>92</v>
      </c>
      <c t="s" s="6" r="AM1080">
        <v>92</v>
      </c>
      <c s="6" r="AN1080">
        <v>4</v>
      </c>
      <c s="6" r="AP1080">
        <v>4</v>
      </c>
      <c t="s" s="6" r="AR1080">
        <v>7974</v>
      </c>
      <c s="6" r="AS1080">
        <v>0</v>
      </c>
      <c s="6" r="AT1080">
        <v>0</v>
      </c>
      <c s="6" r="AU1080">
        <v>0</v>
      </c>
      <c s="6" r="AV1080">
        <v>0</v>
      </c>
      <c s="6" r="AW1080">
        <v>0</v>
      </c>
      <c s="6" r="AX1080">
        <v>0</v>
      </c>
      <c s="6" r="AY1080">
        <v>0</v>
      </c>
      <c s="6" r="AZ1080">
        <v>0</v>
      </c>
      <c s="6" r="BA1080">
        <v>0</v>
      </c>
      <c s="6" r="BB1080">
        <v>0</v>
      </c>
      <c s="6" r="BC1080">
        <v>0</v>
      </c>
      <c s="6" r="BD1080">
        <v>0</v>
      </c>
      <c s="6" r="BE1080">
        <v>0</v>
      </c>
      <c s="6" r="BF1080">
        <v>0</v>
      </c>
      <c s="6" r="BG1080">
        <v>0</v>
      </c>
      <c s="6" r="BH1080">
        <v>0</v>
      </c>
      <c s="6" r="BI1080">
        <v>0</v>
      </c>
      <c s="6" r="BJ1080">
        <v>0</v>
      </c>
      <c s="6" r="BK1080">
        <v>0</v>
      </c>
      <c s="6" r="BL1080">
        <v>0</v>
      </c>
      <c s="6" r="BM1080">
        <v>0</v>
      </c>
      <c s="6" r="BN1080">
        <v>0</v>
      </c>
      <c s="6" r="BO1080">
        <v>0</v>
      </c>
      <c s="6" r="BP1080">
        <v>0</v>
      </c>
      <c s="6" r="BQ1080">
        <v>0</v>
      </c>
      <c t="str" s="6" r="BR1080">
        <f>HYPERLINK("http://www.d20pfsrd.com/magic/all-spells/m/monstrous-physique-ii","Monstrous Physique II")</f>
        <v>Monstrous Physique II</v>
      </c>
      <c s="6" r="BS1080">
        <v>1102</v>
      </c>
      <c t="s" s="6" r="BT1080">
        <v>92</v>
      </c>
      <c t="s" s="6" r="BW1080">
        <v>7967</v>
      </c>
      <c t="s" s="6" r="BX1080">
        <v>7968</v>
      </c>
      <c s="6" r="BY1080">
        <v>1</v>
      </c>
    </row>
    <row customHeight="1" r="1081" ht="14.25">
      <c t="s" s="6" r="A1081">
        <v>7975</v>
      </c>
      <c t="s" s="6" r="B1081">
        <v>131</v>
      </c>
      <c t="s" s="6" r="C1081">
        <v>152</v>
      </c>
      <c t="s" s="6" r="E1081">
        <v>7976</v>
      </c>
      <c t="s" s="6" r="F1081">
        <v>81</v>
      </c>
      <c t="s" s="6" r="G1081">
        <v>154</v>
      </c>
      <c s="6" r="H1081">
        <v>0</v>
      </c>
      <c t="s" s="6" r="I1081">
        <v>155</v>
      </c>
      <c t="s" s="6" r="L1081">
        <v>156</v>
      </c>
      <c t="s" s="6" r="M1081">
        <v>5513</v>
      </c>
      <c s="6" r="N1081">
        <v>1</v>
      </c>
      <c s="6" r="O1081">
        <v>0</v>
      </c>
      <c t="s" s="6" r="R1081">
        <v>7977</v>
      </c>
      <c t="s" s="6" r="S1081">
        <v>7978</v>
      </c>
      <c t="s" s="6" r="T1081">
        <v>7122</v>
      </c>
      <c t="s" s="6" r="U1081">
        <v>7979</v>
      </c>
      <c s="6" r="V1081">
        <v>1</v>
      </c>
      <c s="6" r="W1081">
        <v>1</v>
      </c>
      <c s="6" r="X1081">
        <v>1</v>
      </c>
      <c s="6" r="Y1081">
        <v>0</v>
      </c>
      <c s="6" r="Z1081">
        <v>0</v>
      </c>
      <c s="6" r="AA1081">
        <v>5</v>
      </c>
      <c s="6" r="AB1081">
        <v>5</v>
      </c>
      <c t="s" s="6" r="AC1081">
        <v>92</v>
      </c>
      <c t="s" s="6" r="AD1081">
        <v>92</v>
      </c>
      <c t="s" s="6" r="AE1081">
        <v>92</v>
      </c>
      <c t="s" s="6" r="AF1081">
        <v>92</v>
      </c>
      <c t="s" s="6" r="AG1081">
        <v>92</v>
      </c>
      <c s="6" r="AH1081">
        <v>5</v>
      </c>
      <c t="s" s="6" r="AI1081">
        <v>92</v>
      </c>
      <c t="s" s="6" r="AJ1081">
        <v>92</v>
      </c>
      <c t="s" s="6" r="AK1081">
        <v>92</v>
      </c>
      <c t="s" s="6" r="AL1081">
        <v>92</v>
      </c>
      <c t="s" s="6" r="AM1081">
        <v>92</v>
      </c>
      <c s="6" r="AN1081">
        <v>5</v>
      </c>
      <c s="6" r="AP1081">
        <v>5</v>
      </c>
      <c t="s" s="6" r="AR1081">
        <v>7980</v>
      </c>
      <c s="6" r="AS1081">
        <v>0</v>
      </c>
      <c s="6" r="AT1081">
        <v>0</v>
      </c>
      <c s="6" r="AU1081">
        <v>0</v>
      </c>
      <c s="6" r="AV1081">
        <v>0</v>
      </c>
      <c s="6" r="AW1081">
        <v>0</v>
      </c>
      <c s="6" r="AX1081">
        <v>0</v>
      </c>
      <c s="6" r="AY1081">
        <v>0</v>
      </c>
      <c s="6" r="AZ1081">
        <v>0</v>
      </c>
      <c s="6" r="BA1081">
        <v>0</v>
      </c>
      <c s="6" r="BB1081">
        <v>0</v>
      </c>
      <c s="6" r="BC1081">
        <v>0</v>
      </c>
      <c s="6" r="BD1081">
        <v>0</v>
      </c>
      <c s="6" r="BE1081">
        <v>0</v>
      </c>
      <c s="6" r="BF1081">
        <v>0</v>
      </c>
      <c s="6" r="BG1081">
        <v>0</v>
      </c>
      <c s="6" r="BH1081">
        <v>0</v>
      </c>
      <c s="6" r="BI1081">
        <v>0</v>
      </c>
      <c s="6" r="BJ1081">
        <v>0</v>
      </c>
      <c s="6" r="BK1081">
        <v>0</v>
      </c>
      <c s="6" r="BL1081">
        <v>0</v>
      </c>
      <c s="6" r="BM1081">
        <v>0</v>
      </c>
      <c s="6" r="BN1081">
        <v>0</v>
      </c>
      <c s="6" r="BO1081">
        <v>0</v>
      </c>
      <c s="6" r="BP1081">
        <v>0</v>
      </c>
      <c s="6" r="BQ1081">
        <v>0</v>
      </c>
      <c t="str" s="6" r="BR1081">
        <f>HYPERLINK("http://www.d20pfsrd.com/magic/all-spells/m/monstrous-physique-iii","Monstrous Physique III")</f>
        <v>Monstrous Physique III</v>
      </c>
      <c s="6" r="BS1081">
        <v>1103</v>
      </c>
      <c t="s" s="6" r="BT1081">
        <v>92</v>
      </c>
      <c t="s" s="6" r="BW1081">
        <v>7967</v>
      </c>
      <c t="s" s="6" r="BX1081">
        <v>7968</v>
      </c>
      <c s="6" r="BY1081">
        <v>1</v>
      </c>
    </row>
    <row customHeight="1" r="1082" ht="14.25">
      <c t="s" s="6" r="A1082">
        <v>7981</v>
      </c>
      <c t="s" s="6" r="B1082">
        <v>131</v>
      </c>
      <c t="s" s="6" r="C1082">
        <v>152</v>
      </c>
      <c t="s" s="6" r="E1082">
        <v>7982</v>
      </c>
      <c t="s" s="6" r="F1082">
        <v>81</v>
      </c>
      <c t="s" s="6" r="G1082">
        <v>154</v>
      </c>
      <c s="6" r="H1082">
        <v>0</v>
      </c>
      <c t="s" s="6" r="I1082">
        <v>155</v>
      </c>
      <c t="s" s="6" r="L1082">
        <v>156</v>
      </c>
      <c t="s" s="6" r="M1082">
        <v>5513</v>
      </c>
      <c s="6" r="N1082">
        <v>1</v>
      </c>
      <c s="6" r="O1082">
        <v>0</v>
      </c>
      <c t="s" s="6" r="R1082">
        <v>7983</v>
      </c>
      <c t="s" s="6" r="S1082">
        <v>7984</v>
      </c>
      <c t="s" s="6" r="T1082">
        <v>7122</v>
      </c>
      <c t="s" s="6" r="U1082">
        <v>7985</v>
      </c>
      <c s="6" r="V1082">
        <v>1</v>
      </c>
      <c s="6" r="W1082">
        <v>1</v>
      </c>
      <c s="6" r="X1082">
        <v>1</v>
      </c>
      <c s="6" r="Y1082">
        <v>0</v>
      </c>
      <c s="6" r="Z1082">
        <v>0</v>
      </c>
      <c s="6" r="AA1082">
        <v>6</v>
      </c>
      <c s="6" r="AB1082">
        <v>6</v>
      </c>
      <c t="s" s="6" r="AC1082">
        <v>92</v>
      </c>
      <c t="s" s="6" r="AD1082">
        <v>92</v>
      </c>
      <c t="s" s="6" r="AE1082">
        <v>92</v>
      </c>
      <c t="s" s="6" r="AF1082">
        <v>92</v>
      </c>
      <c t="s" s="6" r="AG1082">
        <v>92</v>
      </c>
      <c s="6" r="AH1082">
        <v>6</v>
      </c>
      <c t="s" s="6" r="AI1082">
        <v>92</v>
      </c>
      <c t="s" s="6" r="AJ1082">
        <v>92</v>
      </c>
      <c t="s" s="6" r="AK1082">
        <v>92</v>
      </c>
      <c t="s" s="6" r="AL1082">
        <v>92</v>
      </c>
      <c t="s" s="6" r="AM1082">
        <v>92</v>
      </c>
      <c s="6" r="AN1082">
        <v>6</v>
      </c>
      <c s="6" r="AP1082">
        <v>6</v>
      </c>
      <c t="s" s="6" r="AR1082">
        <v>7986</v>
      </c>
      <c s="6" r="AS1082">
        <v>0</v>
      </c>
      <c s="6" r="AT1082">
        <v>0</v>
      </c>
      <c s="6" r="AU1082">
        <v>0</v>
      </c>
      <c s="6" r="AV1082">
        <v>0</v>
      </c>
      <c s="6" r="AW1082">
        <v>0</v>
      </c>
      <c s="6" r="AX1082">
        <v>0</v>
      </c>
      <c s="6" r="AY1082">
        <v>0</v>
      </c>
      <c s="6" r="AZ1082">
        <v>0</v>
      </c>
      <c s="6" r="BA1082">
        <v>0</v>
      </c>
      <c s="6" r="BB1082">
        <v>0</v>
      </c>
      <c s="6" r="BC1082">
        <v>0</v>
      </c>
      <c s="6" r="BD1082">
        <v>0</v>
      </c>
      <c s="6" r="BE1082">
        <v>0</v>
      </c>
      <c s="6" r="BF1082">
        <v>0</v>
      </c>
      <c s="6" r="BG1082">
        <v>0</v>
      </c>
      <c s="6" r="BH1082">
        <v>0</v>
      </c>
      <c s="6" r="BI1082">
        <v>0</v>
      </c>
      <c s="6" r="BJ1082">
        <v>0</v>
      </c>
      <c s="6" r="BK1082">
        <v>0</v>
      </c>
      <c s="6" r="BL1082">
        <v>0</v>
      </c>
      <c s="6" r="BM1082">
        <v>0</v>
      </c>
      <c s="6" r="BN1082">
        <v>0</v>
      </c>
      <c s="6" r="BO1082">
        <v>0</v>
      </c>
      <c s="6" r="BP1082">
        <v>0</v>
      </c>
      <c s="6" r="BQ1082">
        <v>0</v>
      </c>
      <c t="str" s="6" r="BR1082">
        <f>HYPERLINK("http://www.d20pfsrd.com/magic/all-spells/m/monstrous-physique-iv","Monstrous Physique IV")</f>
        <v>Monstrous Physique IV</v>
      </c>
      <c s="6" r="BS1082">
        <v>1104</v>
      </c>
      <c t="s" s="6" r="BT1082">
        <v>92</v>
      </c>
      <c t="s" s="6" r="BW1082">
        <v>7967</v>
      </c>
      <c t="s" s="6" r="BX1082">
        <v>7968</v>
      </c>
      <c s="6" r="BY1082">
        <v>1</v>
      </c>
    </row>
    <row customHeight="1" r="1083" ht="14.25">
      <c t="s" s="6" r="A1083">
        <v>7987</v>
      </c>
      <c t="s" s="6" r="B1083">
        <v>115</v>
      </c>
      <c t="s" s="6" r="C1083">
        <v>116</v>
      </c>
      <c t="s" s="6" r="D1083">
        <v>117</v>
      </c>
      <c t="s" s="6" r="E1083">
        <v>7988</v>
      </c>
      <c t="s" s="6" r="F1083">
        <v>81</v>
      </c>
      <c t="s" s="6" r="G1083">
        <v>251</v>
      </c>
      <c s="6" r="H1083">
        <v>0</v>
      </c>
      <c t="s" s="6" r="I1083">
        <v>107</v>
      </c>
      <c t="s" s="6" r="L1083">
        <v>473</v>
      </c>
      <c t="s" s="6" r="M1083">
        <v>272</v>
      </c>
      <c s="6" r="N1083">
        <v>0</v>
      </c>
      <c s="6" r="O1083">
        <v>0</v>
      </c>
      <c t="s" s="6" r="P1083">
        <v>221</v>
      </c>
      <c t="s" s="6" r="Q1083">
        <v>188</v>
      </c>
      <c t="s" s="6" r="R1083">
        <v>7989</v>
      </c>
      <c t="s" s="6" r="S1083">
        <v>7990</v>
      </c>
      <c t="s" s="6" r="T1083">
        <v>7122</v>
      </c>
      <c t="s" s="6" r="U1083">
        <v>7991</v>
      </c>
      <c s="6" r="V1083">
        <v>1</v>
      </c>
      <c s="6" r="W1083">
        <v>0</v>
      </c>
      <c s="6" r="X1083">
        <v>0</v>
      </c>
      <c s="6" r="Y1083">
        <v>0</v>
      </c>
      <c s="6" r="Z1083">
        <v>0</v>
      </c>
      <c t="s" s="6" r="AA1083">
        <v>92</v>
      </c>
      <c t="s" s="6" r="AB1083">
        <v>92</v>
      </c>
      <c s="6" r="AC1083">
        <v>1</v>
      </c>
      <c t="s" s="6" r="AD1083">
        <v>92</v>
      </c>
      <c t="s" s="6" r="AE1083">
        <v>92</v>
      </c>
      <c t="s" s="6" r="AF1083">
        <v>92</v>
      </c>
      <c t="s" s="6" r="AG1083">
        <v>92</v>
      </c>
      <c t="s" s="6" r="AH1083">
        <v>92</v>
      </c>
      <c t="s" s="6" r="AI1083">
        <v>92</v>
      </c>
      <c t="s" s="6" r="AJ1083">
        <v>92</v>
      </c>
      <c t="s" s="6" r="AK1083">
        <v>92</v>
      </c>
      <c s="6" r="AL1083">
        <v>1</v>
      </c>
      <c s="6" r="AM1083">
        <v>1</v>
      </c>
      <c t="s" s="6" r="AN1083">
        <v>92</v>
      </c>
      <c s="6" r="AP1083">
        <v>1</v>
      </c>
      <c t="s" s="6" r="AR1083">
        <v>7992</v>
      </c>
      <c s="6" r="AS1083">
        <v>0</v>
      </c>
      <c s="6" r="AT1083">
        <v>0</v>
      </c>
      <c s="6" r="AU1083">
        <v>0</v>
      </c>
      <c s="6" r="AV1083">
        <v>0</v>
      </c>
      <c s="6" r="AW1083">
        <v>0</v>
      </c>
      <c s="6" r="AX1083">
        <v>0</v>
      </c>
      <c s="6" r="AY1083">
        <v>0</v>
      </c>
      <c s="6" r="AZ1083">
        <v>0</v>
      </c>
      <c s="6" r="BA1083">
        <v>0</v>
      </c>
      <c s="6" r="BB1083">
        <v>0</v>
      </c>
      <c s="6" r="BC1083">
        <v>0</v>
      </c>
      <c s="6" r="BD1083">
        <v>0</v>
      </c>
      <c s="6" r="BE1083">
        <v>0</v>
      </c>
      <c s="6" r="BF1083">
        <v>0</v>
      </c>
      <c s="6" r="BG1083">
        <v>0</v>
      </c>
      <c s="6" r="BH1083">
        <v>0</v>
      </c>
      <c s="6" r="BI1083">
        <v>0</v>
      </c>
      <c s="6" r="BJ1083">
        <v>0</v>
      </c>
      <c s="6" r="BK1083">
        <v>0</v>
      </c>
      <c s="6" r="BL1083">
        <v>1</v>
      </c>
      <c s="6" r="BM1083">
        <v>0</v>
      </c>
      <c s="6" r="BN1083">
        <v>0</v>
      </c>
      <c s="6" r="BO1083">
        <v>0</v>
      </c>
      <c s="6" r="BP1083">
        <v>0</v>
      </c>
      <c s="6" r="BQ1083">
        <v>0</v>
      </c>
      <c t="str" s="6" r="BR1083">
        <f>HYPERLINK("http://www.d20pfsrd.com/magic/all-spells/m/murderous-command","Murderous Command")</f>
        <v>Murderous Command</v>
      </c>
      <c s="6" r="BS1083">
        <v>1105</v>
      </c>
      <c t="s" s="6" r="BT1083">
        <v>92</v>
      </c>
      <c t="s" s="6" r="BW1083">
        <v>7993</v>
      </c>
      <c t="s" s="6" r="BX1083">
        <v>7994</v>
      </c>
      <c s="6" r="BY1083">
        <v>1</v>
      </c>
    </row>
    <row customHeight="1" r="1084" ht="14.25">
      <c t="s" s="6" r="A1084">
        <v>7995</v>
      </c>
      <c t="s" s="6" r="B1084">
        <v>115</v>
      </c>
      <c t="s" s="6" r="C1084">
        <v>116</v>
      </c>
      <c t="s" s="6" r="D1084">
        <v>7379</v>
      </c>
      <c t="s" s="6" r="E1084">
        <v>2392</v>
      </c>
      <c t="s" s="6" r="F1084">
        <v>81</v>
      </c>
      <c t="s" s="6" r="G1084">
        <v>106</v>
      </c>
      <c s="6" r="H1084">
        <v>0</v>
      </c>
      <c t="s" s="6" r="I1084">
        <v>107</v>
      </c>
      <c t="s" s="6" r="L1084">
        <v>1235</v>
      </c>
      <c t="s" s="6" r="M1084">
        <v>7996</v>
      </c>
      <c s="6" r="N1084">
        <v>0</v>
      </c>
      <c s="6" r="O1084">
        <v>0</v>
      </c>
      <c t="s" s="6" r="P1084">
        <v>2206</v>
      </c>
      <c t="s" s="6" r="Q1084">
        <v>188</v>
      </c>
      <c t="s" s="6" r="R1084">
        <v>7997</v>
      </c>
      <c t="s" s="6" r="S1084">
        <v>7998</v>
      </c>
      <c t="s" s="6" r="T1084">
        <v>7122</v>
      </c>
      <c t="s" s="6" r="U1084">
        <v>7999</v>
      </c>
      <c s="6" r="V1084">
        <v>1</v>
      </c>
      <c s="6" r="W1084">
        <v>1</v>
      </c>
      <c s="6" r="X1084">
        <v>0</v>
      </c>
      <c s="6" r="Y1084">
        <v>0</v>
      </c>
      <c s="6" r="Z1084">
        <v>0</v>
      </c>
      <c s="6" r="AA1084">
        <v>2</v>
      </c>
      <c s="6" r="AB1084">
        <v>2</v>
      </c>
      <c t="s" s="6" r="AC1084">
        <v>92</v>
      </c>
      <c t="s" s="6" r="AD1084">
        <v>92</v>
      </c>
      <c t="s" s="6" r="AE1084">
        <v>92</v>
      </c>
      <c s="6" r="AF1084">
        <v>2</v>
      </c>
      <c t="s" s="6" r="AG1084">
        <v>92</v>
      </c>
      <c t="s" s="6" r="AH1084">
        <v>92</v>
      </c>
      <c t="s" s="6" r="AI1084">
        <v>92</v>
      </c>
      <c t="s" s="6" r="AJ1084">
        <v>92</v>
      </c>
      <c t="s" s="6" r="AK1084">
        <v>92</v>
      </c>
      <c t="s" s="6" r="AL1084">
        <v>92</v>
      </c>
      <c t="s" s="6" r="AM1084">
        <v>92</v>
      </c>
      <c t="s" s="6" r="AN1084">
        <v>92</v>
      </c>
      <c s="6" r="AP1084">
        <v>2</v>
      </c>
      <c t="s" s="6" r="AR1084">
        <v>8000</v>
      </c>
      <c s="6" r="AS1084">
        <v>0</v>
      </c>
      <c s="6" r="AT1084">
        <v>0</v>
      </c>
      <c s="6" r="AU1084">
        <v>0</v>
      </c>
      <c s="6" r="AV1084">
        <v>0</v>
      </c>
      <c s="6" r="AW1084">
        <v>0</v>
      </c>
      <c s="6" r="AX1084">
        <v>0</v>
      </c>
      <c s="6" r="AY1084">
        <v>0</v>
      </c>
      <c s="6" r="AZ1084">
        <v>0</v>
      </c>
      <c s="6" r="BA1084">
        <v>0</v>
      </c>
      <c s="6" r="BB1084">
        <v>0</v>
      </c>
      <c s="6" r="BC1084">
        <v>1</v>
      </c>
      <c s="6" r="BD1084">
        <v>0</v>
      </c>
      <c s="6" r="BE1084">
        <v>0</v>
      </c>
      <c s="6" r="BF1084">
        <v>0</v>
      </c>
      <c s="6" r="BG1084">
        <v>0</v>
      </c>
      <c s="6" r="BH1084">
        <v>0</v>
      </c>
      <c s="6" r="BI1084">
        <v>0</v>
      </c>
      <c s="6" r="BJ1084">
        <v>0</v>
      </c>
      <c s="6" r="BK1084">
        <v>0</v>
      </c>
      <c s="6" r="BL1084">
        <v>1</v>
      </c>
      <c s="6" r="BM1084">
        <v>0</v>
      </c>
      <c s="6" r="BN1084">
        <v>0</v>
      </c>
      <c s="6" r="BO1084">
        <v>0</v>
      </c>
      <c s="6" r="BP1084">
        <v>0</v>
      </c>
      <c s="6" r="BQ1084">
        <v>0</v>
      </c>
      <c t="str" s="6" r="BR1084">
        <f>HYPERLINK("http://www.d20pfsrd.com/magic/all-spells/o/oppressive-boredom","Oppressive Boredom")</f>
        <v>Oppressive Boredom</v>
      </c>
      <c s="6" r="BS1084">
        <v>1106</v>
      </c>
      <c t="s" s="6" r="BT1084">
        <v>92</v>
      </c>
      <c s="6" r="BY1084">
        <v>0</v>
      </c>
    </row>
    <row customHeight="1" r="1085" ht="14.25">
      <c t="s" s="6" r="A1085">
        <v>8001</v>
      </c>
      <c t="s" s="6" r="B1085">
        <v>131</v>
      </c>
      <c t="s" s="6" r="E1085">
        <v>8002</v>
      </c>
      <c t="s" s="6" r="F1085">
        <v>81</v>
      </c>
      <c t="s" s="6" r="G1085">
        <v>106</v>
      </c>
      <c s="6" r="H1085">
        <v>0</v>
      </c>
      <c t="s" s="6" r="I1085">
        <v>107</v>
      </c>
      <c t="s" s="6" r="L1085">
        <v>1235</v>
      </c>
      <c t="s" s="6" r="M1085">
        <v>2718</v>
      </c>
      <c s="6" r="N1085">
        <v>0</v>
      </c>
      <c s="6" r="O1085">
        <v>0</v>
      </c>
      <c t="s" s="6" r="P1085">
        <v>421</v>
      </c>
      <c t="s" s="6" r="Q1085">
        <v>123</v>
      </c>
      <c t="s" s="6" r="R1085">
        <v>8003</v>
      </c>
      <c t="s" s="6" r="S1085">
        <v>8004</v>
      </c>
      <c t="s" s="6" r="T1085">
        <v>7122</v>
      </c>
      <c t="s" s="6" r="U1085">
        <v>8005</v>
      </c>
      <c s="6" r="V1085">
        <v>1</v>
      </c>
      <c s="6" r="W1085">
        <v>1</v>
      </c>
      <c s="6" r="X1085">
        <v>0</v>
      </c>
      <c s="6" r="Y1085">
        <v>0</v>
      </c>
      <c s="6" r="Z1085">
        <v>0</v>
      </c>
      <c t="s" s="6" r="AA1085">
        <v>92</v>
      </c>
      <c t="s" s="6" r="AB1085">
        <v>92</v>
      </c>
      <c t="s" s="6" r="AC1085">
        <v>92</v>
      </c>
      <c t="s" s="6" r="AD1085">
        <v>92</v>
      </c>
      <c t="s" s="6" r="AE1085">
        <v>92</v>
      </c>
      <c t="s" s="6" r="AF1085">
        <v>92</v>
      </c>
      <c t="s" s="6" r="AG1085">
        <v>92</v>
      </c>
      <c t="s" s="6" r="AH1085">
        <v>92</v>
      </c>
      <c t="s" s="6" r="AI1085">
        <v>92</v>
      </c>
      <c t="s" s="6" r="AJ1085">
        <v>92</v>
      </c>
      <c t="s" s="6" r="AK1085">
        <v>92</v>
      </c>
      <c s="6" r="AL1085">
        <v>4</v>
      </c>
      <c t="s" s="6" r="AM1085">
        <v>92</v>
      </c>
      <c t="s" s="6" r="AN1085">
        <v>92</v>
      </c>
      <c s="6" r="AP1085">
        <v>4</v>
      </c>
      <c t="s" s="6" r="AR1085">
        <v>8006</v>
      </c>
      <c s="6" r="AS1085">
        <v>0</v>
      </c>
      <c s="6" r="AT1085">
        <v>0</v>
      </c>
      <c s="6" r="AU1085">
        <v>0</v>
      </c>
      <c s="6" r="AV1085">
        <v>0</v>
      </c>
      <c s="6" r="AW1085">
        <v>0</v>
      </c>
      <c s="6" r="AX1085">
        <v>0</v>
      </c>
      <c s="6" r="AY1085">
        <v>0</v>
      </c>
      <c s="6" r="AZ1085">
        <v>0</v>
      </c>
      <c s="6" r="BA1085">
        <v>0</v>
      </c>
      <c s="6" r="BB1085">
        <v>0</v>
      </c>
      <c s="6" r="BC1085">
        <v>0</v>
      </c>
      <c s="6" r="BD1085">
        <v>0</v>
      </c>
      <c s="6" r="BE1085">
        <v>0</v>
      </c>
      <c s="6" r="BF1085">
        <v>0</v>
      </c>
      <c s="6" r="BG1085">
        <v>0</v>
      </c>
      <c s="6" r="BH1085">
        <v>0</v>
      </c>
      <c s="6" r="BI1085">
        <v>0</v>
      </c>
      <c s="6" r="BJ1085">
        <v>0</v>
      </c>
      <c s="6" r="BK1085">
        <v>0</v>
      </c>
      <c s="6" r="BL1085">
        <v>0</v>
      </c>
      <c s="6" r="BM1085">
        <v>0</v>
      </c>
      <c s="6" r="BN1085">
        <v>0</v>
      </c>
      <c s="6" r="BO1085">
        <v>0</v>
      </c>
      <c s="6" r="BP1085">
        <v>0</v>
      </c>
      <c s="6" r="BQ1085">
        <v>0</v>
      </c>
      <c t="str" s="6" r="BR1085">
        <f>HYPERLINK("http://www.d20pfsrd.com/magic/all-spells/o/oracle-s-vessel","Oracle's Vessel")</f>
        <v>Oracle's Vessel</v>
      </c>
      <c s="6" r="BS1085">
        <v>1107</v>
      </c>
      <c t="s" s="6" r="BT1085">
        <v>92</v>
      </c>
      <c s="6" r="BY1085">
        <v>0</v>
      </c>
    </row>
    <row customHeight="1" r="1086" ht="14.25">
      <c t="s" s="6" r="A1086">
        <v>8007</v>
      </c>
      <c t="s" s="6" r="B1086">
        <v>227</v>
      </c>
      <c t="s" s="6" r="E1086">
        <v>8008</v>
      </c>
      <c t="s" s="6" r="F1086">
        <v>81</v>
      </c>
      <c t="s" s="6" r="G1086">
        <v>8009</v>
      </c>
      <c s="6" r="H1086">
        <v>1</v>
      </c>
      <c t="s" s="6" r="I1086">
        <v>107</v>
      </c>
      <c t="s" s="6" r="K1086">
        <v>8010</v>
      </c>
      <c t="s" s="6" r="M1086">
        <v>483</v>
      </c>
      <c s="6" r="N1086">
        <v>1</v>
      </c>
      <c s="6" r="O1086">
        <v>0</v>
      </c>
      <c t="s" s="6" r="P1086">
        <v>187</v>
      </c>
      <c t="s" s="6" r="Q1086">
        <v>188</v>
      </c>
      <c t="s" s="6" r="R1086">
        <v>8011</v>
      </c>
      <c t="s" s="6" r="S1086">
        <v>8012</v>
      </c>
      <c t="s" s="6" r="T1086">
        <v>7122</v>
      </c>
      <c t="s" s="6" r="U1086">
        <v>8013</v>
      </c>
      <c s="6" r="V1086">
        <v>1</v>
      </c>
      <c s="6" r="W1086">
        <v>1</v>
      </c>
      <c s="6" r="X1086">
        <v>1</v>
      </c>
      <c s="6" r="Y1086">
        <v>0</v>
      </c>
      <c s="6" r="Z1086">
        <v>0</v>
      </c>
      <c s="6" r="AA1086">
        <v>8</v>
      </c>
      <c s="6" r="AB1086">
        <v>8</v>
      </c>
      <c s="6" r="AC1086">
        <v>8</v>
      </c>
      <c t="s" s="6" r="AD1086">
        <v>92</v>
      </c>
      <c t="s" s="6" r="AE1086">
        <v>92</v>
      </c>
      <c t="s" s="6" r="AF1086">
        <v>92</v>
      </c>
      <c t="s" s="6" r="AG1086">
        <v>92</v>
      </c>
      <c t="s" s="6" r="AH1086">
        <v>92</v>
      </c>
      <c t="s" s="6" r="AI1086">
        <v>92</v>
      </c>
      <c t="s" s="6" r="AJ1086">
        <v>92</v>
      </c>
      <c t="s" s="6" r="AK1086">
        <v>92</v>
      </c>
      <c s="6" r="AL1086">
        <v>8</v>
      </c>
      <c t="s" s="6" r="AM1086">
        <v>92</v>
      </c>
      <c t="s" s="6" r="AN1086">
        <v>92</v>
      </c>
      <c s="6" r="AP1086">
        <v>8</v>
      </c>
      <c t="s" s="6" r="AR1086">
        <v>8014</v>
      </c>
      <c s="6" r="AS1086">
        <v>0</v>
      </c>
      <c s="6" r="AT1086">
        <v>0</v>
      </c>
      <c s="6" r="AU1086">
        <v>0</v>
      </c>
      <c s="6" r="AV1086">
        <v>0</v>
      </c>
      <c s="6" r="AW1086">
        <v>0</v>
      </c>
      <c s="6" r="AX1086">
        <v>0</v>
      </c>
      <c s="6" r="AY1086">
        <v>0</v>
      </c>
      <c s="6" r="AZ1086">
        <v>0</v>
      </c>
      <c s="6" r="BA1086">
        <v>0</v>
      </c>
      <c s="6" r="BB1086">
        <v>0</v>
      </c>
      <c s="6" r="BC1086">
        <v>0</v>
      </c>
      <c s="6" r="BD1086">
        <v>0</v>
      </c>
      <c s="6" r="BE1086">
        <v>0</v>
      </c>
      <c s="6" r="BF1086">
        <v>0</v>
      </c>
      <c s="6" r="BG1086">
        <v>0</v>
      </c>
      <c s="6" r="BH1086">
        <v>0</v>
      </c>
      <c s="6" r="BI1086">
        <v>0</v>
      </c>
      <c s="6" r="BJ1086">
        <v>0</v>
      </c>
      <c s="6" r="BK1086">
        <v>0</v>
      </c>
      <c s="6" r="BL1086">
        <v>0</v>
      </c>
      <c s="6" r="BM1086">
        <v>0</v>
      </c>
      <c s="6" r="BN1086">
        <v>0</v>
      </c>
      <c s="6" r="BO1086">
        <v>0</v>
      </c>
      <c s="6" r="BP1086">
        <v>0</v>
      </c>
      <c s="6" r="BQ1086">
        <v>0</v>
      </c>
      <c t="str" s="6" r="BR1086">
        <f>HYPERLINK("http://www.d20pfsrd.com/magic/all-spells/o/orb-of-the-void","Orb of the Void")</f>
        <v>Orb of the Void</v>
      </c>
      <c s="6" r="BS1086">
        <v>1108</v>
      </c>
      <c s="6" r="BT1086">
        <v>50</v>
      </c>
      <c t="s" s="6" r="BW1086">
        <v>8015</v>
      </c>
      <c t="s" s="6" r="BX1086">
        <v>8016</v>
      </c>
      <c s="6" r="BY1086">
        <v>1</v>
      </c>
    </row>
    <row customHeight="1" r="1087" ht="14.25">
      <c t="s" s="6" r="A1087">
        <v>8017</v>
      </c>
      <c t="s" s="6" r="B1087">
        <v>115</v>
      </c>
      <c t="s" s="6" r="C1087">
        <v>116</v>
      </c>
      <c t="s" s="6" r="D1087">
        <v>7379</v>
      </c>
      <c t="s" s="6" r="E1087">
        <v>4885</v>
      </c>
      <c t="s" s="6" r="F1087">
        <v>81</v>
      </c>
      <c t="s" s="6" r="G1087">
        <v>106</v>
      </c>
      <c s="6" r="H1087">
        <v>0</v>
      </c>
      <c t="s" s="6" r="I1087">
        <v>107</v>
      </c>
      <c t="s" s="6" r="L1087">
        <v>1235</v>
      </c>
      <c t="s" s="6" r="M1087">
        <v>99</v>
      </c>
      <c s="6" r="N1087">
        <v>0</v>
      </c>
      <c s="6" r="O1087">
        <v>0</v>
      </c>
      <c t="s" s="6" r="P1087">
        <v>2206</v>
      </c>
      <c t="s" s="6" r="Q1087">
        <v>188</v>
      </c>
      <c t="s" s="6" r="R1087">
        <v>8018</v>
      </c>
      <c t="s" s="6" r="S1087">
        <v>8019</v>
      </c>
      <c t="s" s="6" r="T1087">
        <v>7122</v>
      </c>
      <c t="s" s="6" r="U1087">
        <v>8020</v>
      </c>
      <c s="6" r="V1087">
        <v>1</v>
      </c>
      <c s="6" r="W1087">
        <v>1</v>
      </c>
      <c s="6" r="X1087">
        <v>0</v>
      </c>
      <c s="6" r="Y1087">
        <v>0</v>
      </c>
      <c s="6" r="Z1087">
        <v>0</v>
      </c>
      <c s="6" r="AA1087">
        <v>4</v>
      </c>
      <c s="6" r="AB1087">
        <v>4</v>
      </c>
      <c t="s" s="6" r="AC1087">
        <v>92</v>
      </c>
      <c t="s" s="6" r="AD1087">
        <v>92</v>
      </c>
      <c t="s" s="6" r="AE1087">
        <v>92</v>
      </c>
      <c s="6" r="AF1087">
        <v>3</v>
      </c>
      <c t="s" s="6" r="AG1087">
        <v>92</v>
      </c>
      <c t="s" s="6" r="AH1087">
        <v>92</v>
      </c>
      <c t="s" s="6" r="AI1087">
        <v>92</v>
      </c>
      <c t="s" s="6" r="AJ1087">
        <v>92</v>
      </c>
      <c t="s" s="6" r="AK1087">
        <v>92</v>
      </c>
      <c t="s" s="6" r="AL1087">
        <v>92</v>
      </c>
      <c t="s" s="6" r="AM1087">
        <v>92</v>
      </c>
      <c t="s" s="6" r="AN1087">
        <v>92</v>
      </c>
      <c s="6" r="AP1087">
        <v>4</v>
      </c>
      <c t="s" s="6" r="AR1087">
        <v>8021</v>
      </c>
      <c s="6" r="AS1087">
        <v>0</v>
      </c>
      <c s="6" r="AT1087">
        <v>0</v>
      </c>
      <c s="6" r="AU1087">
        <v>0</v>
      </c>
      <c s="6" r="AV1087">
        <v>0</v>
      </c>
      <c s="6" r="AW1087">
        <v>0</v>
      </c>
      <c s="6" r="AX1087">
        <v>0</v>
      </c>
      <c s="6" r="AY1087">
        <v>0</v>
      </c>
      <c s="6" r="AZ1087">
        <v>0</v>
      </c>
      <c s="6" r="BA1087">
        <v>0</v>
      </c>
      <c s="6" r="BB1087">
        <v>0</v>
      </c>
      <c s="6" r="BC1087">
        <v>1</v>
      </c>
      <c s="6" r="BD1087">
        <v>0</v>
      </c>
      <c s="6" r="BE1087">
        <v>0</v>
      </c>
      <c s="6" r="BF1087">
        <v>0</v>
      </c>
      <c s="6" r="BG1087">
        <v>0</v>
      </c>
      <c s="6" r="BH1087">
        <v>0</v>
      </c>
      <c s="6" r="BI1087">
        <v>0</v>
      </c>
      <c s="6" r="BJ1087">
        <v>0</v>
      </c>
      <c s="6" r="BK1087">
        <v>0</v>
      </c>
      <c s="6" r="BL1087">
        <v>1</v>
      </c>
      <c s="6" r="BM1087">
        <v>0</v>
      </c>
      <c s="6" r="BN1087">
        <v>0</v>
      </c>
      <c s="6" r="BO1087">
        <v>0</v>
      </c>
      <c s="6" r="BP1087">
        <v>0</v>
      </c>
      <c s="6" r="BQ1087">
        <v>0</v>
      </c>
      <c t="str" s="6" r="BR1087">
        <f>HYPERLINK("http://www.d20pfsrd.com/magic/all-spells/o/overwhelming-grief","Overwhelming Grief")</f>
        <v>Overwhelming Grief</v>
      </c>
      <c s="6" r="BS1087">
        <v>1109</v>
      </c>
      <c t="s" s="6" r="BT1087">
        <v>92</v>
      </c>
      <c t="s" s="6" r="BV1087">
        <v>1242</v>
      </c>
      <c s="6" r="BY1087">
        <v>0</v>
      </c>
    </row>
    <row customHeight="1" r="1088" ht="14.25">
      <c t="s" s="6" r="A1088">
        <v>8022</v>
      </c>
      <c t="s" s="6" r="B1088">
        <v>115</v>
      </c>
      <c t="s" s="6" r="C1088">
        <v>116</v>
      </c>
      <c t="s" s="6" r="D1088">
        <v>7379</v>
      </c>
      <c t="s" s="6" r="E1088">
        <v>8023</v>
      </c>
      <c t="s" s="6" r="F1088">
        <v>81</v>
      </c>
      <c t="s" s="6" r="G1088">
        <v>8024</v>
      </c>
      <c s="6" r="H1088">
        <v>0</v>
      </c>
      <c t="s" s="6" r="I1088">
        <v>97</v>
      </c>
      <c t="s" s="6" r="L1088">
        <v>620</v>
      </c>
      <c t="s" s="6" r="M1088">
        <v>99</v>
      </c>
      <c s="6" r="N1088">
        <v>0</v>
      </c>
      <c s="6" r="O1088">
        <v>0</v>
      </c>
      <c t="s" s="6" r="P1088">
        <v>7907</v>
      </c>
      <c t="s" s="6" r="Q1088">
        <v>188</v>
      </c>
      <c t="s" s="6" r="R1088">
        <v>8025</v>
      </c>
      <c t="s" s="6" r="S1088">
        <v>8026</v>
      </c>
      <c t="s" s="6" r="T1088">
        <v>7122</v>
      </c>
      <c t="s" s="6" r="U1088">
        <v>8027</v>
      </c>
      <c s="6" r="V1088">
        <v>1</v>
      </c>
      <c s="6" r="W1088">
        <v>1</v>
      </c>
      <c s="6" r="X1088">
        <v>1</v>
      </c>
      <c s="6" r="Y1088">
        <v>0</v>
      </c>
      <c s="6" r="Z1088">
        <v>0</v>
      </c>
      <c s="6" r="AA1088">
        <v>9</v>
      </c>
      <c s="6" r="AB1088">
        <v>9</v>
      </c>
      <c s="6" r="AC1088">
        <v>9</v>
      </c>
      <c t="s" s="6" r="AD1088">
        <v>92</v>
      </c>
      <c t="s" s="6" r="AE1088">
        <v>92</v>
      </c>
      <c s="6" r="AF1088">
        <v>6</v>
      </c>
      <c t="s" s="6" r="AG1088">
        <v>92</v>
      </c>
      <c t="s" s="6" r="AH1088">
        <v>92</v>
      </c>
      <c t="s" s="6" r="AI1088">
        <v>92</v>
      </c>
      <c t="s" s="6" r="AJ1088">
        <v>92</v>
      </c>
      <c s="6" r="AK1088">
        <v>6</v>
      </c>
      <c s="6" r="AL1088">
        <v>9</v>
      </c>
      <c t="s" s="6" r="AM1088">
        <v>92</v>
      </c>
      <c t="s" s="6" r="AN1088">
        <v>92</v>
      </c>
      <c s="6" r="AP1088">
        <v>9</v>
      </c>
      <c t="s" s="6" r="AR1088">
        <v>8028</v>
      </c>
      <c s="6" r="AS1088">
        <v>0</v>
      </c>
      <c s="6" r="AT1088">
        <v>0</v>
      </c>
      <c s="6" r="AU1088">
        <v>0</v>
      </c>
      <c s="6" r="AV1088">
        <v>0</v>
      </c>
      <c s="6" r="AW1088">
        <v>0</v>
      </c>
      <c s="6" r="AX1088">
        <v>0</v>
      </c>
      <c s="6" r="AY1088">
        <v>0</v>
      </c>
      <c s="6" r="AZ1088">
        <v>0</v>
      </c>
      <c s="6" r="BA1088">
        <v>0</v>
      </c>
      <c s="6" r="BB1088">
        <v>0</v>
      </c>
      <c s="6" r="BC1088">
        <v>1</v>
      </c>
      <c s="6" r="BD1088">
        <v>0</v>
      </c>
      <c s="6" r="BE1088">
        <v>0</v>
      </c>
      <c s="6" r="BF1088">
        <v>0</v>
      </c>
      <c s="6" r="BG1088">
        <v>0</v>
      </c>
      <c s="6" r="BH1088">
        <v>0</v>
      </c>
      <c s="6" r="BI1088">
        <v>0</v>
      </c>
      <c s="6" r="BJ1088">
        <v>0</v>
      </c>
      <c s="6" r="BK1088">
        <v>0</v>
      </c>
      <c s="6" r="BL1088">
        <v>1</v>
      </c>
      <c s="6" r="BM1088">
        <v>0</v>
      </c>
      <c s="6" r="BN1088">
        <v>0</v>
      </c>
      <c s="6" r="BO1088">
        <v>0</v>
      </c>
      <c s="6" r="BP1088">
        <v>0</v>
      </c>
      <c s="6" r="BQ1088">
        <v>0</v>
      </c>
      <c t="str" s="6" r="BR1088">
        <f>HYPERLINK("http://www.d20pfsrd.com/magic/all-spells/o/overwhelming-presence","Overwhelming Presence")</f>
        <v>Overwhelming Presence</v>
      </c>
      <c s="6" r="BS1088">
        <v>1110</v>
      </c>
      <c t="s" s="6" r="BT1088">
        <v>92</v>
      </c>
      <c t="s" s="6" r="BU1088">
        <v>2285</v>
      </c>
      <c t="s" s="6" r="BV1088">
        <v>2317</v>
      </c>
      <c s="6" r="BY1088">
        <v>0</v>
      </c>
    </row>
    <row customHeight="1" r="1089" ht="14.25">
      <c t="s" s="6" r="A1089">
        <v>8029</v>
      </c>
      <c t="s" s="6" r="B1089">
        <v>227</v>
      </c>
      <c t="s" s="6" r="D1089">
        <v>65</v>
      </c>
      <c t="s" s="6" r="E1089">
        <v>8030</v>
      </c>
      <c t="s" s="6" r="F1089">
        <v>81</v>
      </c>
      <c t="s" s="6" r="G1089">
        <v>119</v>
      </c>
      <c s="6" r="H1089">
        <v>0</v>
      </c>
      <c t="s" s="6" r="I1089">
        <v>120</v>
      </c>
      <c t="s" s="6" r="L1089">
        <v>420</v>
      </c>
      <c t="s" s="6" r="M1089">
        <v>7232</v>
      </c>
      <c s="6" r="N1089">
        <v>0</v>
      </c>
      <c s="6" r="O1089">
        <v>0</v>
      </c>
      <c t="s" s="6" r="P1089">
        <v>86</v>
      </c>
      <c t="s" s="6" r="Q1089">
        <v>188</v>
      </c>
      <c t="s" s="6" r="R1089">
        <v>8031</v>
      </c>
      <c t="s" s="6" r="S1089">
        <v>8032</v>
      </c>
      <c t="s" s="6" r="T1089">
        <v>7122</v>
      </c>
      <c t="s" s="6" r="U1089">
        <v>8033</v>
      </c>
      <c s="6" r="V1089">
        <v>1</v>
      </c>
      <c s="6" r="W1089">
        <v>1</v>
      </c>
      <c s="6" r="X1089">
        <v>0</v>
      </c>
      <c s="6" r="Y1089">
        <v>0</v>
      </c>
      <c s="6" r="Z1089">
        <v>1</v>
      </c>
      <c s="6" r="AA1089">
        <v>2</v>
      </c>
      <c s="6" r="AB1089">
        <v>2</v>
      </c>
      <c t="s" s="6" r="AC1089">
        <v>92</v>
      </c>
      <c s="6" r="AD1089">
        <v>2</v>
      </c>
      <c t="s" s="6" r="AE1089">
        <v>92</v>
      </c>
      <c t="s" s="6" r="AF1089">
        <v>92</v>
      </c>
      <c t="s" s="6" r="AG1089">
        <v>92</v>
      </c>
      <c t="s" s="6" r="AH1089">
        <v>92</v>
      </c>
      <c t="s" s="6" r="AI1089">
        <v>92</v>
      </c>
      <c s="6" r="AJ1089">
        <v>2</v>
      </c>
      <c t="s" s="6" r="AK1089">
        <v>92</v>
      </c>
      <c t="s" s="6" r="AL1089">
        <v>92</v>
      </c>
      <c s="6" r="AM1089">
        <v>2</v>
      </c>
      <c t="s" s="6" r="AN1089">
        <v>92</v>
      </c>
      <c s="6" r="AP1089">
        <v>2</v>
      </c>
      <c t="s" s="6" r="AR1089">
        <v>8034</v>
      </c>
      <c s="6" r="AS1089">
        <v>0</v>
      </c>
      <c s="6" r="AT1089">
        <v>0</v>
      </c>
      <c s="6" r="AU1089">
        <v>0</v>
      </c>
      <c s="6" r="AV1089">
        <v>0</v>
      </c>
      <c s="6" r="AW1089">
        <v>0</v>
      </c>
      <c s="6" r="AX1089">
        <v>0</v>
      </c>
      <c s="6" r="AY1089">
        <v>0</v>
      </c>
      <c s="6" r="AZ1089">
        <v>0</v>
      </c>
      <c s="6" r="BA1089">
        <v>0</v>
      </c>
      <c s="6" r="BB1089">
        <v>0</v>
      </c>
      <c s="6" r="BC1089">
        <v>0</v>
      </c>
      <c s="6" r="BD1089">
        <v>0</v>
      </c>
      <c s="6" r="BE1089">
        <v>0</v>
      </c>
      <c s="6" r="BF1089">
        <v>0</v>
      </c>
      <c s="6" r="BG1089">
        <v>0</v>
      </c>
      <c s="6" r="BH1089">
        <v>0</v>
      </c>
      <c s="6" r="BI1089">
        <v>0</v>
      </c>
      <c s="6" r="BJ1089">
        <v>0</v>
      </c>
      <c s="6" r="BK1089">
        <v>0</v>
      </c>
      <c s="6" r="BL1089">
        <v>0</v>
      </c>
      <c s="6" r="BM1089">
        <v>0</v>
      </c>
      <c s="6" r="BN1089">
        <v>1</v>
      </c>
      <c s="6" r="BO1089">
        <v>0</v>
      </c>
      <c s="6" r="BP1089">
        <v>0</v>
      </c>
      <c s="6" r="BQ1089">
        <v>0</v>
      </c>
      <c t="str" s="6" r="BR1089">
        <f>HYPERLINK("http://www.d20pfsrd.com/magic/all-spells/p/pernicious-poison","Pernicious Poison")</f>
        <v>Pernicious Poison</v>
      </c>
      <c s="6" r="BS1089">
        <v>1111</v>
      </c>
      <c t="s" s="6" r="BT1089">
        <v>92</v>
      </c>
      <c t="s" s="6" r="BW1089">
        <v>8035</v>
      </c>
      <c t="s" s="6" r="BX1089">
        <v>8036</v>
      </c>
      <c s="6" r="BY1089">
        <v>1</v>
      </c>
    </row>
    <row customHeight="1" r="1090" ht="14.25">
      <c t="s" s="6" r="A1090">
        <v>8037</v>
      </c>
      <c t="s" s="6" r="B1090">
        <v>227</v>
      </c>
      <c t="s" s="6" r="D1090">
        <v>64</v>
      </c>
      <c t="s" s="6" r="E1090">
        <v>5447</v>
      </c>
      <c t="s" s="6" r="F1090">
        <v>81</v>
      </c>
      <c t="s" s="6" r="G1090">
        <v>106</v>
      </c>
      <c s="6" r="H1090">
        <v>0</v>
      </c>
      <c t="s" s="6" r="I1090">
        <v>7673</v>
      </c>
      <c t="s" s="6" r="L1090">
        <v>1235</v>
      </c>
      <c t="s" s="6" r="M1090">
        <v>8038</v>
      </c>
      <c s="6" r="N1090">
        <v>0</v>
      </c>
      <c s="6" r="O1090">
        <v>0</v>
      </c>
      <c t="s" s="6" r="P1090">
        <v>187</v>
      </c>
      <c t="s" s="6" r="Q1090">
        <v>188</v>
      </c>
      <c t="s" s="6" r="R1090">
        <v>8039</v>
      </c>
      <c t="s" s="6" r="S1090">
        <v>8040</v>
      </c>
      <c t="s" s="6" r="T1090">
        <v>7122</v>
      </c>
      <c t="s" s="6" r="U1090">
        <v>8041</v>
      </c>
      <c s="6" r="V1090">
        <v>1</v>
      </c>
      <c s="6" r="W1090">
        <v>1</v>
      </c>
      <c s="6" r="X1090">
        <v>0</v>
      </c>
      <c s="6" r="Y1090">
        <v>0</v>
      </c>
      <c s="6" r="Z1090">
        <v>0</v>
      </c>
      <c t="s" s="6" r="AA1090">
        <v>92</v>
      </c>
      <c t="s" s="6" r="AB1090">
        <v>92</v>
      </c>
      <c t="s" s="6" r="AC1090">
        <v>92</v>
      </c>
      <c t="s" s="6" r="AD1090">
        <v>92</v>
      </c>
      <c t="s" s="6" r="AE1090">
        <v>92</v>
      </c>
      <c t="s" s="6" r="AF1090">
        <v>92</v>
      </c>
      <c t="s" s="6" r="AG1090">
        <v>92</v>
      </c>
      <c t="s" s="6" r="AH1090">
        <v>92</v>
      </c>
      <c t="s" s="6" r="AI1090">
        <v>92</v>
      </c>
      <c t="s" s="6" r="AJ1090">
        <v>92</v>
      </c>
      <c s="6" r="AK1090">
        <v>1</v>
      </c>
      <c t="s" s="6" r="AL1090">
        <v>92</v>
      </c>
      <c t="s" s="6" r="AM1090">
        <v>92</v>
      </c>
      <c t="s" s="6" r="AN1090">
        <v>92</v>
      </c>
      <c s="6" r="AP1090">
        <v>1</v>
      </c>
      <c t="s" s="6" r="AR1090">
        <v>8042</v>
      </c>
      <c s="6" r="AS1090">
        <v>0</v>
      </c>
      <c s="6" r="AT1090">
        <v>0</v>
      </c>
      <c s="6" r="AU1090">
        <v>0</v>
      </c>
      <c s="6" r="AV1090">
        <v>0</v>
      </c>
      <c s="6" r="AW1090">
        <v>0</v>
      </c>
      <c s="6" r="AX1090">
        <v>0</v>
      </c>
      <c s="6" r="AY1090">
        <v>0</v>
      </c>
      <c s="6" r="AZ1090">
        <v>0</v>
      </c>
      <c s="6" r="BA1090">
        <v>0</v>
      </c>
      <c s="6" r="BB1090">
        <v>0</v>
      </c>
      <c s="6" r="BC1090">
        <v>0</v>
      </c>
      <c s="6" r="BD1090">
        <v>0</v>
      </c>
      <c s="6" r="BE1090">
        <v>0</v>
      </c>
      <c s="6" r="BF1090">
        <v>0</v>
      </c>
      <c s="6" r="BG1090">
        <v>0</v>
      </c>
      <c s="6" r="BH1090">
        <v>0</v>
      </c>
      <c s="6" r="BI1090">
        <v>0</v>
      </c>
      <c s="6" r="BJ1090">
        <v>0</v>
      </c>
      <c s="6" r="BK1090">
        <v>0</v>
      </c>
      <c s="6" r="BL1090">
        <v>0</v>
      </c>
      <c s="6" r="BM1090">
        <v>1</v>
      </c>
      <c s="6" r="BN1090">
        <v>0</v>
      </c>
      <c s="6" r="BO1090">
        <v>0</v>
      </c>
      <c s="6" r="BP1090">
        <v>0</v>
      </c>
      <c s="6" r="BQ1090">
        <v>0</v>
      </c>
      <c t="str" s="6" r="BR1090">
        <f>HYPERLINK("http://www.d20pfsrd.com/magic/all-spells/p/persuasive-goad","Persuasive Goad")</f>
        <v>Persuasive Goad</v>
      </c>
      <c s="6" r="BS1090">
        <v>1112</v>
      </c>
      <c t="s" s="6" r="BT1090">
        <v>92</v>
      </c>
      <c s="6" r="BY1090">
        <v>0</v>
      </c>
    </row>
    <row customHeight="1" r="1091" ht="14.25">
      <c t="s" s="6" r="A1091">
        <v>8043</v>
      </c>
      <c t="s" s="6" r="B1091">
        <v>493</v>
      </c>
      <c t="s" s="6" r="D1091">
        <v>8044</v>
      </c>
      <c t="s" s="6" r="E1091">
        <v>5455</v>
      </c>
      <c t="s" s="6" r="F1091">
        <v>81</v>
      </c>
      <c t="s" s="6" r="G1091">
        <v>251</v>
      </c>
      <c s="6" r="H1091">
        <v>0</v>
      </c>
      <c t="s" s="6" r="I1091">
        <v>8045</v>
      </c>
      <c t="s" s="6" r="L1091">
        <v>1235</v>
      </c>
      <c t="s" s="6" r="M1091">
        <v>99</v>
      </c>
      <c s="6" r="N1091">
        <v>0</v>
      </c>
      <c s="6" r="O1091">
        <v>0</v>
      </c>
      <c t="s" s="6" r="P1091">
        <v>187</v>
      </c>
      <c t="s" s="6" r="Q1091">
        <v>188</v>
      </c>
      <c t="s" s="6" r="R1091">
        <v>8046</v>
      </c>
      <c t="s" s="6" r="S1091">
        <v>8047</v>
      </c>
      <c t="s" s="6" r="T1091">
        <v>7122</v>
      </c>
      <c t="s" s="6" r="U1091">
        <v>8048</v>
      </c>
      <c s="6" r="V1091">
        <v>1</v>
      </c>
      <c s="6" r="W1091">
        <v>0</v>
      </c>
      <c s="6" r="X1091">
        <v>0</v>
      </c>
      <c s="6" r="Y1091">
        <v>0</v>
      </c>
      <c s="6" r="Z1091">
        <v>0</v>
      </c>
      <c t="s" s="6" r="AA1091">
        <v>92</v>
      </c>
      <c t="s" s="6" r="AB1091">
        <v>92</v>
      </c>
      <c t="s" s="6" r="AC1091">
        <v>92</v>
      </c>
      <c t="s" s="6" r="AD1091">
        <v>92</v>
      </c>
      <c t="s" s="6" r="AE1091">
        <v>92</v>
      </c>
      <c s="6" r="AF1091">
        <v>2</v>
      </c>
      <c t="s" s="6" r="AG1091">
        <v>92</v>
      </c>
      <c t="s" s="6" r="AH1091">
        <v>92</v>
      </c>
      <c t="s" s="6" r="AI1091">
        <v>92</v>
      </c>
      <c t="s" s="6" r="AJ1091">
        <v>92</v>
      </c>
      <c t="s" s="6" r="AK1091">
        <v>92</v>
      </c>
      <c t="s" s="6" r="AL1091">
        <v>92</v>
      </c>
      <c t="s" s="6" r="AM1091">
        <v>92</v>
      </c>
      <c t="s" s="6" r="AN1091">
        <v>92</v>
      </c>
      <c s="6" r="AP1091">
        <v>2</v>
      </c>
      <c t="s" s="6" r="AR1091">
        <v>8049</v>
      </c>
      <c s="6" r="AS1091">
        <v>0</v>
      </c>
      <c s="6" r="AT1091">
        <v>0</v>
      </c>
      <c s="6" r="AU1091">
        <v>0</v>
      </c>
      <c s="6" r="AV1091">
        <v>0</v>
      </c>
      <c s="6" r="AW1091">
        <v>0</v>
      </c>
      <c s="6" r="AX1091">
        <v>0</v>
      </c>
      <c s="6" r="AY1091">
        <v>0</v>
      </c>
      <c s="6" r="AZ1091">
        <v>0</v>
      </c>
      <c s="6" r="BA1091">
        <v>0</v>
      </c>
      <c s="6" r="BB1091">
        <v>0</v>
      </c>
      <c s="6" r="BC1091">
        <v>0</v>
      </c>
      <c s="6" r="BD1091">
        <v>0</v>
      </c>
      <c s="6" r="BE1091">
        <v>0</v>
      </c>
      <c s="6" r="BF1091">
        <v>0</v>
      </c>
      <c s="6" r="BG1091">
        <v>0</v>
      </c>
      <c s="6" r="BH1091">
        <v>0</v>
      </c>
      <c s="6" r="BI1091">
        <v>0</v>
      </c>
      <c s="6" r="BJ1091">
        <v>0</v>
      </c>
      <c s="6" r="BK1091">
        <v>0</v>
      </c>
      <c s="6" r="BL1091">
        <v>0</v>
      </c>
      <c s="6" r="BM1091">
        <v>1</v>
      </c>
      <c s="6" r="BN1091">
        <v>0</v>
      </c>
      <c s="6" r="BO1091">
        <v>0</v>
      </c>
      <c s="6" r="BP1091">
        <v>1</v>
      </c>
      <c s="6" r="BQ1091">
        <v>0</v>
      </c>
      <c t="str" s="6" r="BR1091">
        <f>HYPERLINK("http://www.d20pfsrd.com/magic/all-spells/p/piercing-shriek","Piercing Shriek")</f>
        <v>Piercing Shriek</v>
      </c>
      <c s="6" r="BS1091">
        <v>1113</v>
      </c>
      <c t="s" s="6" r="BT1091">
        <v>92</v>
      </c>
      <c s="6" r="BY1091">
        <v>0</v>
      </c>
    </row>
    <row customHeight="1" r="1092" ht="14.25">
      <c t="s" s="6" r="A1092">
        <v>8050</v>
      </c>
      <c t="s" s="6" r="B1092">
        <v>227</v>
      </c>
      <c t="s" s="6" r="D1092">
        <v>7394</v>
      </c>
      <c t="s" s="6" r="E1092">
        <v>8051</v>
      </c>
      <c t="s" s="6" r="F1092">
        <v>81</v>
      </c>
      <c t="s" s="6" r="G1092">
        <v>106</v>
      </c>
      <c s="6" r="H1092">
        <v>0</v>
      </c>
      <c t="s" s="6" r="I1092">
        <v>120</v>
      </c>
      <c t="s" s="6" r="L1092">
        <v>420</v>
      </c>
      <c t="s" s="6" r="M1092">
        <v>209</v>
      </c>
      <c s="6" r="N1092">
        <v>0</v>
      </c>
      <c s="6" r="O1092">
        <v>0</v>
      </c>
      <c t="s" s="6" r="P1092">
        <v>1227</v>
      </c>
      <c t="s" s="6" r="Q1092">
        <v>188</v>
      </c>
      <c t="s" s="6" r="R1092">
        <v>8052</v>
      </c>
      <c t="s" s="6" r="S1092">
        <v>8053</v>
      </c>
      <c t="s" s="6" r="T1092">
        <v>7122</v>
      </c>
      <c t="s" s="6" r="U1092">
        <v>8054</v>
      </c>
      <c s="6" r="V1092">
        <v>1</v>
      </c>
      <c s="6" r="W1092">
        <v>1</v>
      </c>
      <c s="6" r="X1092">
        <v>0</v>
      </c>
      <c s="6" r="Y1092">
        <v>0</v>
      </c>
      <c s="6" r="Z1092">
        <v>0</v>
      </c>
      <c s="6" r="AA1092">
        <v>5</v>
      </c>
      <c s="6" r="AB1092">
        <v>5</v>
      </c>
      <c s="6" r="AC1092">
        <v>4</v>
      </c>
      <c s="6" r="AD1092">
        <v>4</v>
      </c>
      <c t="s" s="6" r="AE1092">
        <v>92</v>
      </c>
      <c t="s" s="6" r="AF1092">
        <v>92</v>
      </c>
      <c t="s" s="6" r="AG1092">
        <v>92</v>
      </c>
      <c t="s" s="6" r="AH1092">
        <v>92</v>
      </c>
      <c t="s" s="6" r="AI1092">
        <v>92</v>
      </c>
      <c s="6" r="AJ1092">
        <v>5</v>
      </c>
      <c t="s" s="6" r="AK1092">
        <v>92</v>
      </c>
      <c s="6" r="AL1092">
        <v>4</v>
      </c>
      <c t="s" s="6" r="AM1092">
        <v>92</v>
      </c>
      <c t="s" s="6" r="AN1092">
        <v>92</v>
      </c>
      <c s="6" r="AP1092">
        <v>5</v>
      </c>
      <c t="s" s="6" r="AR1092">
        <v>8055</v>
      </c>
      <c s="6" r="AS1092">
        <v>0</v>
      </c>
      <c s="6" r="AT1092">
        <v>0</v>
      </c>
      <c s="6" r="AU1092">
        <v>0</v>
      </c>
      <c s="6" r="AV1092">
        <v>0</v>
      </c>
      <c s="6" r="AW1092">
        <v>0</v>
      </c>
      <c s="6" r="AX1092">
        <v>0</v>
      </c>
      <c s="6" r="AY1092">
        <v>0</v>
      </c>
      <c s="6" r="AZ1092">
        <v>1</v>
      </c>
      <c s="6" r="BA1092">
        <v>0</v>
      </c>
      <c s="6" r="BB1092">
        <v>0</v>
      </c>
      <c s="6" r="BC1092">
        <v>0</v>
      </c>
      <c s="6" r="BD1092">
        <v>1</v>
      </c>
      <c s="6" r="BE1092">
        <v>0</v>
      </c>
      <c s="6" r="BF1092">
        <v>0</v>
      </c>
      <c s="6" r="BG1092">
        <v>0</v>
      </c>
      <c s="6" r="BH1092">
        <v>0</v>
      </c>
      <c s="6" r="BI1092">
        <v>0</v>
      </c>
      <c s="6" r="BJ1092">
        <v>0</v>
      </c>
      <c s="6" r="BK1092">
        <v>0</v>
      </c>
      <c s="6" r="BL1092">
        <v>0</v>
      </c>
      <c s="6" r="BM1092">
        <v>0</v>
      </c>
      <c s="6" r="BN1092">
        <v>0</v>
      </c>
      <c s="6" r="BO1092">
        <v>0</v>
      </c>
      <c s="6" r="BP1092">
        <v>0</v>
      </c>
      <c s="6" r="BQ1092">
        <v>0</v>
      </c>
      <c t="str" s="6" r="BR1092">
        <f>HYPERLINK("http://www.d20pfsrd.com/magic/all-spells/p/plague-carrier","Plague Carrier")</f>
        <v>Plague Carrier</v>
      </c>
      <c s="6" r="BS1092">
        <v>1114</v>
      </c>
      <c t="s" s="6" r="BT1092">
        <v>92</v>
      </c>
      <c s="6" r="BY1092">
        <v>0</v>
      </c>
    </row>
    <row customHeight="1" r="1093" ht="14.25">
      <c t="s" s="6" r="A1093">
        <v>8056</v>
      </c>
      <c t="s" s="6" r="B1093">
        <v>227</v>
      </c>
      <c t="s" s="6" r="D1093">
        <v>7394</v>
      </c>
      <c t="s" s="6" r="E1093">
        <v>7625</v>
      </c>
      <c t="s" s="6" r="F1093">
        <v>81</v>
      </c>
      <c t="s" s="6" r="G1093">
        <v>106</v>
      </c>
      <c s="6" r="H1093">
        <v>0</v>
      </c>
      <c t="s" s="6" r="I1093">
        <v>97</v>
      </c>
      <c t="s" s="6" r="K1093">
        <v>821</v>
      </c>
      <c t="s" s="6" r="M1093">
        <v>8057</v>
      </c>
      <c s="6" r="N1093">
        <v>0</v>
      </c>
      <c s="6" r="O1093">
        <v>0</v>
      </c>
      <c t="s" s="6" r="P1093">
        <v>187</v>
      </c>
      <c t="s" s="6" r="Q1093">
        <v>87</v>
      </c>
      <c t="s" s="6" r="R1093">
        <v>8058</v>
      </c>
      <c t="s" s="6" r="S1093">
        <v>8059</v>
      </c>
      <c t="s" s="6" r="T1093">
        <v>7122</v>
      </c>
      <c t="s" s="6" r="U1093">
        <v>8060</v>
      </c>
      <c s="6" r="V1093">
        <v>1</v>
      </c>
      <c s="6" r="W1093">
        <v>1</v>
      </c>
      <c s="6" r="X1093">
        <v>0</v>
      </c>
      <c s="6" r="Y1093">
        <v>0</v>
      </c>
      <c s="6" r="Z1093">
        <v>0</v>
      </c>
      <c s="6" r="AA1093">
        <v>7</v>
      </c>
      <c s="6" r="AB1093">
        <v>7</v>
      </c>
      <c s="6" r="AC1093">
        <v>6</v>
      </c>
      <c s="6" r="AD1093">
        <v>6</v>
      </c>
      <c t="s" s="6" r="AE1093">
        <v>92</v>
      </c>
      <c t="s" s="6" r="AF1093">
        <v>92</v>
      </c>
      <c t="s" s="6" r="AG1093">
        <v>92</v>
      </c>
      <c t="s" s="6" r="AH1093">
        <v>92</v>
      </c>
      <c t="s" s="6" r="AI1093">
        <v>92</v>
      </c>
      <c s="6" r="AJ1093">
        <v>6</v>
      </c>
      <c t="s" s="6" r="AK1093">
        <v>92</v>
      </c>
      <c s="6" r="AL1093">
        <v>6</v>
      </c>
      <c t="s" s="6" r="AM1093">
        <v>92</v>
      </c>
      <c t="s" s="6" r="AN1093">
        <v>92</v>
      </c>
      <c s="6" r="AP1093">
        <v>7</v>
      </c>
      <c t="s" s="6" r="AR1093">
        <v>8061</v>
      </c>
      <c s="6" r="AS1093">
        <v>0</v>
      </c>
      <c s="6" r="AT1093">
        <v>0</v>
      </c>
      <c s="6" r="AU1093">
        <v>0</v>
      </c>
      <c s="6" r="AV1093">
        <v>0</v>
      </c>
      <c s="6" r="AW1093">
        <v>0</v>
      </c>
      <c s="6" r="AX1093">
        <v>0</v>
      </c>
      <c s="6" r="AY1093">
        <v>0</v>
      </c>
      <c s="6" r="AZ1093">
        <v>1</v>
      </c>
      <c s="6" r="BA1093">
        <v>0</v>
      </c>
      <c s="6" r="BB1093">
        <v>0</v>
      </c>
      <c s="6" r="BC1093">
        <v>0</v>
      </c>
      <c s="6" r="BD1093">
        <v>1</v>
      </c>
      <c s="6" r="BE1093">
        <v>0</v>
      </c>
      <c s="6" r="BF1093">
        <v>0</v>
      </c>
      <c s="6" r="BG1093">
        <v>0</v>
      </c>
      <c s="6" r="BH1093">
        <v>0</v>
      </c>
      <c s="6" r="BI1093">
        <v>0</v>
      </c>
      <c s="6" r="BJ1093">
        <v>0</v>
      </c>
      <c s="6" r="BK1093">
        <v>0</v>
      </c>
      <c s="6" r="BL1093">
        <v>0</v>
      </c>
      <c s="6" r="BM1093">
        <v>0</v>
      </c>
      <c s="6" r="BN1093">
        <v>0</v>
      </c>
      <c s="6" r="BO1093">
        <v>0</v>
      </c>
      <c s="6" r="BP1093">
        <v>0</v>
      </c>
      <c s="6" r="BQ1093">
        <v>0</v>
      </c>
      <c t="str" s="6" r="BR1093">
        <f>HYPERLINK("http://www.d20pfsrd.com/magic/all-spells/p/plague-storm","Plague Storm")</f>
        <v>Plague Storm</v>
      </c>
      <c s="6" r="BS1093">
        <v>1115</v>
      </c>
      <c t="s" s="6" r="BT1093">
        <v>92</v>
      </c>
      <c s="6" r="BY1093">
        <v>0</v>
      </c>
    </row>
    <row customHeight="1" r="1094" ht="14.25">
      <c t="s" s="6" r="A1094">
        <v>8062</v>
      </c>
      <c t="s" s="6" r="B1094">
        <v>174</v>
      </c>
      <c t="s" s="6" r="E1094">
        <v>915</v>
      </c>
      <c t="s" s="6" r="F1094">
        <v>81</v>
      </c>
      <c t="s" s="6" r="G1094">
        <v>106</v>
      </c>
      <c s="6" r="H1094">
        <v>0</v>
      </c>
      <c t="s" s="6" r="I1094">
        <v>155</v>
      </c>
      <c t="s" s="6" r="L1094">
        <v>156</v>
      </c>
      <c t="s" s="6" r="M1094">
        <v>7232</v>
      </c>
      <c s="6" r="N1094">
        <v>0</v>
      </c>
      <c s="6" r="O1094">
        <v>0</v>
      </c>
      <c t="s" s="6" r="R1094">
        <v>8063</v>
      </c>
      <c t="s" s="6" r="S1094">
        <v>8064</v>
      </c>
      <c t="s" s="6" r="T1094">
        <v>7122</v>
      </c>
      <c t="s" s="6" r="U1094">
        <v>8065</v>
      </c>
      <c s="6" r="V1094">
        <v>1</v>
      </c>
      <c s="6" r="W1094">
        <v>1</v>
      </c>
      <c s="6" r="X1094">
        <v>0</v>
      </c>
      <c s="6" r="Y1094">
        <v>0</v>
      </c>
      <c s="6" r="Z1094">
        <v>0</v>
      </c>
      <c t="s" s="6" r="AA1094">
        <v>92</v>
      </c>
      <c t="s" s="6" r="AB1094">
        <v>92</v>
      </c>
      <c t="s" s="6" r="AC1094">
        <v>92</v>
      </c>
      <c t="s" s="6" r="AD1094">
        <v>92</v>
      </c>
      <c t="s" s="6" r="AE1094">
        <v>92</v>
      </c>
      <c s="6" r="AF1094">
        <v>1</v>
      </c>
      <c t="s" s="6" r="AG1094">
        <v>92</v>
      </c>
      <c t="s" s="6" r="AH1094">
        <v>92</v>
      </c>
      <c t="s" s="6" r="AI1094">
        <v>92</v>
      </c>
      <c t="s" s="6" r="AJ1094">
        <v>92</v>
      </c>
      <c t="s" s="6" r="AK1094">
        <v>92</v>
      </c>
      <c t="s" s="6" r="AL1094">
        <v>92</v>
      </c>
      <c t="s" s="6" r="AM1094">
        <v>92</v>
      </c>
      <c t="s" s="6" r="AN1094">
        <v>92</v>
      </c>
      <c s="6" r="AP1094">
        <v>1</v>
      </c>
      <c t="s" s="6" r="AR1094">
        <v>8066</v>
      </c>
      <c s="6" r="AS1094">
        <v>0</v>
      </c>
      <c s="6" r="AT1094">
        <v>0</v>
      </c>
      <c s="6" r="AU1094">
        <v>0</v>
      </c>
      <c s="6" r="AV1094">
        <v>0</v>
      </c>
      <c s="6" r="AW1094">
        <v>0</v>
      </c>
      <c s="6" r="AX1094">
        <v>0</v>
      </c>
      <c s="6" r="AY1094">
        <v>0</v>
      </c>
      <c s="6" r="AZ1094">
        <v>0</v>
      </c>
      <c s="6" r="BA1094">
        <v>0</v>
      </c>
      <c s="6" r="BB1094">
        <v>0</v>
      </c>
      <c s="6" r="BC1094">
        <v>0</v>
      </c>
      <c s="6" r="BD1094">
        <v>0</v>
      </c>
      <c s="6" r="BE1094">
        <v>0</v>
      </c>
      <c s="6" r="BF1094">
        <v>0</v>
      </c>
      <c s="6" r="BG1094">
        <v>0</v>
      </c>
      <c s="6" r="BH1094">
        <v>0</v>
      </c>
      <c s="6" r="BI1094">
        <v>0</v>
      </c>
      <c s="6" r="BJ1094">
        <v>0</v>
      </c>
      <c s="6" r="BK1094">
        <v>0</v>
      </c>
      <c s="6" r="BL1094">
        <v>0</v>
      </c>
      <c s="6" r="BM1094">
        <v>0</v>
      </c>
      <c s="6" r="BN1094">
        <v>0</v>
      </c>
      <c s="6" r="BO1094">
        <v>0</v>
      </c>
      <c s="6" r="BP1094">
        <v>0</v>
      </c>
      <c s="6" r="BQ1094">
        <v>0</v>
      </c>
      <c t="str" s="6" r="BR1094">
        <f>HYPERLINK("http://www.d20pfsrd.com/magic/all-spells/p/play-instrument","Play Instrument")</f>
        <v>Play Instrument</v>
      </c>
      <c s="6" r="BS1094">
        <v>1116</v>
      </c>
      <c t="s" s="6" r="BT1094">
        <v>92</v>
      </c>
      <c s="6" r="BY1094">
        <v>0</v>
      </c>
    </row>
    <row customHeight="1" r="1095" ht="14.25">
      <c t="s" s="6" r="A1095">
        <v>8067</v>
      </c>
      <c t="s" s="6" r="B1095">
        <v>131</v>
      </c>
      <c t="s" s="6" r="D1095">
        <v>8068</v>
      </c>
      <c t="s" s="6" r="E1095">
        <v>8069</v>
      </c>
      <c t="s" s="6" r="F1095">
        <v>81</v>
      </c>
      <c t="s" s="6" r="G1095">
        <v>106</v>
      </c>
      <c s="6" r="H1095">
        <v>0</v>
      </c>
      <c t="s" s="6" r="I1095">
        <v>107</v>
      </c>
      <c t="s" s="6" r="K1095">
        <v>8070</v>
      </c>
      <c t="s" s="6" r="M1095">
        <v>99</v>
      </c>
      <c s="6" r="N1095">
        <v>0</v>
      </c>
      <c s="6" r="O1095">
        <v>0</v>
      </c>
      <c t="s" s="6" r="P1095">
        <v>1254</v>
      </c>
      <c t="s" s="6" r="Q1095">
        <v>188</v>
      </c>
      <c t="s" s="6" r="R1095">
        <v>8071</v>
      </c>
      <c t="s" s="6" r="S1095">
        <v>8072</v>
      </c>
      <c t="s" s="6" r="T1095">
        <v>7122</v>
      </c>
      <c t="s" s="6" r="U1095">
        <v>8073</v>
      </c>
      <c s="6" r="V1095">
        <v>1</v>
      </c>
      <c s="6" r="W1095">
        <v>1</v>
      </c>
      <c s="6" r="X1095">
        <v>0</v>
      </c>
      <c s="6" r="Y1095">
        <v>0</v>
      </c>
      <c s="6" r="Z1095">
        <v>0</v>
      </c>
      <c t="s" s="6" r="AA1095">
        <v>92</v>
      </c>
      <c t="s" s="6" r="AB1095">
        <v>92</v>
      </c>
      <c s="6" r="AC1095">
        <v>9</v>
      </c>
      <c s="6" r="AD1095">
        <v>9</v>
      </c>
      <c t="s" s="6" r="AE1095">
        <v>92</v>
      </c>
      <c t="s" s="6" r="AF1095">
        <v>92</v>
      </c>
      <c t="s" s="6" r="AG1095">
        <v>92</v>
      </c>
      <c t="s" s="6" r="AH1095">
        <v>92</v>
      </c>
      <c t="s" s="6" r="AI1095">
        <v>92</v>
      </c>
      <c s="6" r="AJ1095">
        <v>9</v>
      </c>
      <c t="s" s="6" r="AK1095">
        <v>92</v>
      </c>
      <c s="6" r="AL1095">
        <v>9</v>
      </c>
      <c t="s" s="6" r="AM1095">
        <v>92</v>
      </c>
      <c t="s" s="6" r="AN1095">
        <v>92</v>
      </c>
      <c s="6" r="AP1095">
        <v>9</v>
      </c>
      <c t="s" s="6" r="AR1095">
        <v>8074</v>
      </c>
      <c s="6" r="AS1095">
        <v>0</v>
      </c>
      <c s="6" r="AT1095">
        <v>0</v>
      </c>
      <c s="6" r="AU1095">
        <v>0</v>
      </c>
      <c s="6" r="AV1095">
        <v>1</v>
      </c>
      <c s="6" r="AW1095">
        <v>0</v>
      </c>
      <c s="6" r="AX1095">
        <v>1</v>
      </c>
      <c s="6" r="AY1095">
        <v>0</v>
      </c>
      <c s="6" r="AZ1095">
        <v>0</v>
      </c>
      <c s="6" r="BA1095">
        <v>0</v>
      </c>
      <c s="6" r="BB1095">
        <v>0</v>
      </c>
      <c s="6" r="BC1095">
        <v>0</v>
      </c>
      <c s="6" r="BD1095">
        <v>0</v>
      </c>
      <c s="6" r="BE1095">
        <v>0</v>
      </c>
      <c s="6" r="BF1095">
        <v>0</v>
      </c>
      <c s="6" r="BG1095">
        <v>0</v>
      </c>
      <c s="6" r="BH1095">
        <v>0</v>
      </c>
      <c s="6" r="BI1095">
        <v>0</v>
      </c>
      <c s="6" r="BJ1095">
        <v>0</v>
      </c>
      <c s="6" r="BK1095">
        <v>0</v>
      </c>
      <c s="6" r="BL1095">
        <v>0</v>
      </c>
      <c s="6" r="BM1095">
        <v>0</v>
      </c>
      <c s="6" r="BN1095">
        <v>0</v>
      </c>
      <c s="6" r="BO1095">
        <v>0</v>
      </c>
      <c s="6" r="BP1095">
        <v>0</v>
      </c>
      <c s="6" r="BQ1095">
        <v>0</v>
      </c>
      <c t="str" s="6" r="BR1095">
        <f>HYPERLINK("http://www.d20pfsrd.com/magic/all-spells/p/polar-midnight","Polar Midnight")</f>
        <v>Polar Midnight</v>
      </c>
      <c s="6" r="BS1095">
        <v>1117</v>
      </c>
      <c t="s" s="6" r="BT1095">
        <v>92</v>
      </c>
      <c t="s" s="6" r="BV1095">
        <v>903</v>
      </c>
      <c s="6" r="BY1095">
        <v>0</v>
      </c>
    </row>
    <row customHeight="1" r="1096" ht="14.25">
      <c t="s" s="6" r="A1096">
        <v>8075</v>
      </c>
      <c t="s" s="6" r="B1096">
        <v>131</v>
      </c>
      <c t="s" s="6" r="E1096">
        <v>5591</v>
      </c>
      <c t="s" s="6" r="F1096">
        <v>81</v>
      </c>
      <c t="s" s="6" r="G1096">
        <v>2086</v>
      </c>
      <c s="6" r="H1096">
        <v>0</v>
      </c>
      <c t="s" s="6" r="I1096">
        <v>155</v>
      </c>
      <c t="s" s="6" r="L1096">
        <v>156</v>
      </c>
      <c t="s" s="6" r="M1096">
        <v>1945</v>
      </c>
      <c s="6" r="N1096">
        <v>0</v>
      </c>
      <c s="6" r="O1096">
        <v>0</v>
      </c>
      <c t="s" s="6" r="R1096">
        <v>8076</v>
      </c>
      <c t="s" s="6" r="S1096">
        <v>8077</v>
      </c>
      <c t="s" s="6" r="T1096">
        <v>7122</v>
      </c>
      <c t="s" s="6" r="U1096">
        <v>8078</v>
      </c>
      <c s="6" r="V1096">
        <v>0</v>
      </c>
      <c s="6" r="W1096">
        <v>1</v>
      </c>
      <c s="6" r="X1096">
        <v>0</v>
      </c>
      <c s="6" r="Y1096">
        <v>0</v>
      </c>
      <c s="6" r="Z1096">
        <v>0</v>
      </c>
      <c s="6" r="AA1096">
        <v>1</v>
      </c>
      <c s="6" r="AB1096">
        <v>1</v>
      </c>
      <c t="s" s="6" r="AC1096">
        <v>92</v>
      </c>
      <c t="s" s="6" r="AD1096">
        <v>92</v>
      </c>
      <c t="s" s="6" r="AE1096">
        <v>92</v>
      </c>
      <c t="s" s="6" r="AF1096">
        <v>92</v>
      </c>
      <c t="s" s="6" r="AG1096">
        <v>92</v>
      </c>
      <c s="6" r="AH1096">
        <v>1</v>
      </c>
      <c t="s" s="6" r="AI1096">
        <v>92</v>
      </c>
      <c t="s" s="6" r="AJ1096">
        <v>92</v>
      </c>
      <c t="s" s="6" r="AK1096">
        <v>92</v>
      </c>
      <c t="s" s="6" r="AL1096">
        <v>92</v>
      </c>
      <c t="s" s="6" r="AM1096">
        <v>92</v>
      </c>
      <c t="s" s="6" r="AN1096">
        <v>92</v>
      </c>
      <c s="6" r="AP1096">
        <v>1</v>
      </c>
      <c t="s" s="6" r="AR1096">
        <v>8079</v>
      </c>
      <c s="6" r="AS1096">
        <v>0</v>
      </c>
      <c s="6" r="AT1096">
        <v>0</v>
      </c>
      <c s="6" r="AU1096">
        <v>0</v>
      </c>
      <c s="6" r="AV1096">
        <v>0</v>
      </c>
      <c s="6" r="AW1096">
        <v>0</v>
      </c>
      <c s="6" r="AX1096">
        <v>0</v>
      </c>
      <c s="6" r="AY1096">
        <v>0</v>
      </c>
      <c s="6" r="AZ1096">
        <v>0</v>
      </c>
      <c s="6" r="BA1096">
        <v>0</v>
      </c>
      <c s="6" r="BB1096">
        <v>0</v>
      </c>
      <c s="6" r="BC1096">
        <v>0</v>
      </c>
      <c s="6" r="BD1096">
        <v>0</v>
      </c>
      <c s="6" r="BE1096">
        <v>0</v>
      </c>
      <c s="6" r="BF1096">
        <v>0</v>
      </c>
      <c s="6" r="BG1096">
        <v>0</v>
      </c>
      <c s="6" r="BH1096">
        <v>0</v>
      </c>
      <c s="6" r="BI1096">
        <v>0</v>
      </c>
      <c s="6" r="BJ1096">
        <v>0</v>
      </c>
      <c s="6" r="BK1096">
        <v>0</v>
      </c>
      <c s="6" r="BL1096">
        <v>0</v>
      </c>
      <c s="6" r="BM1096">
        <v>0</v>
      </c>
      <c s="6" r="BN1096">
        <v>0</v>
      </c>
      <c s="6" r="BO1096">
        <v>0</v>
      </c>
      <c s="6" r="BP1096">
        <v>0</v>
      </c>
      <c s="6" r="BQ1096">
        <v>0</v>
      </c>
      <c t="str" s="6" r="BR1096">
        <f>HYPERLINK("http://www.d20pfsrd.com/magic/all-spells/p/polypurpose-panacea","Polypurpose Panacea")</f>
        <v>Polypurpose Panacea</v>
      </c>
      <c s="6" r="BS1096">
        <v>1118</v>
      </c>
      <c t="s" s="6" r="BT1096">
        <v>92</v>
      </c>
      <c s="6" r="BY1096">
        <v>0</v>
      </c>
    </row>
    <row customHeight="1" r="1097" ht="14.25">
      <c t="s" s="6" r="A1097">
        <v>8080</v>
      </c>
      <c t="s" s="6" r="B1097">
        <v>227</v>
      </c>
      <c t="s" s="6" r="E1097">
        <v>1755</v>
      </c>
      <c t="s" s="6" r="F1097">
        <v>81</v>
      </c>
      <c t="s" s="6" r="G1097">
        <v>2805</v>
      </c>
      <c s="6" r="H1097">
        <v>1</v>
      </c>
      <c t="s" s="6" r="I1097">
        <v>97</v>
      </c>
      <c t="s" s="6" r="L1097">
        <v>8081</v>
      </c>
      <c t="s" s="6" r="M1097">
        <v>2806</v>
      </c>
      <c s="6" r="N1097">
        <v>0</v>
      </c>
      <c s="6" r="O1097">
        <v>0</v>
      </c>
      <c t="s" s="6" r="R1097">
        <v>8082</v>
      </c>
      <c t="s" s="6" r="S1097">
        <v>8083</v>
      </c>
      <c t="s" s="6" r="T1097">
        <v>7122</v>
      </c>
      <c t="s" s="6" r="U1097">
        <v>8084</v>
      </c>
      <c s="6" r="V1097">
        <v>1</v>
      </c>
      <c s="6" r="W1097">
        <v>1</v>
      </c>
      <c s="6" r="X1097">
        <v>0</v>
      </c>
      <c s="6" r="Y1097">
        <v>0</v>
      </c>
      <c s="6" r="Z1097">
        <v>0</v>
      </c>
      <c s="6" r="AA1097">
        <v>5</v>
      </c>
      <c s="6" r="AB1097">
        <v>5</v>
      </c>
      <c t="s" s="6" r="AC1097">
        <v>92</v>
      </c>
      <c t="s" s="6" r="AD1097">
        <v>92</v>
      </c>
      <c t="s" s="6" r="AE1097">
        <v>92</v>
      </c>
      <c t="s" s="6" r="AF1097">
        <v>92</v>
      </c>
      <c t="s" s="6" r="AG1097">
        <v>92</v>
      </c>
      <c t="s" s="6" r="AH1097">
        <v>92</v>
      </c>
      <c t="s" s="6" r="AI1097">
        <v>92</v>
      </c>
      <c s="6" r="AJ1097">
        <v>5</v>
      </c>
      <c t="s" s="6" r="AK1097">
        <v>92</v>
      </c>
      <c t="s" s="6" r="AL1097">
        <v>92</v>
      </c>
      <c t="s" s="6" r="AM1097">
        <v>92</v>
      </c>
      <c t="s" s="6" r="AN1097">
        <v>92</v>
      </c>
      <c s="6" r="AP1097">
        <v>5</v>
      </c>
      <c t="s" s="6" r="AR1097">
        <v>8085</v>
      </c>
      <c s="6" r="AS1097">
        <v>0</v>
      </c>
      <c s="6" r="AT1097">
        <v>0</v>
      </c>
      <c s="6" r="AU1097">
        <v>0</v>
      </c>
      <c s="6" r="AV1097">
        <v>0</v>
      </c>
      <c s="6" r="AW1097">
        <v>0</v>
      </c>
      <c s="6" r="AX1097">
        <v>0</v>
      </c>
      <c s="6" r="AY1097">
        <v>0</v>
      </c>
      <c s="6" r="AZ1097">
        <v>0</v>
      </c>
      <c s="6" r="BA1097">
        <v>0</v>
      </c>
      <c s="6" r="BB1097">
        <v>0</v>
      </c>
      <c s="6" r="BC1097">
        <v>0</v>
      </c>
      <c s="6" r="BD1097">
        <v>0</v>
      </c>
      <c s="6" r="BE1097">
        <v>0</v>
      </c>
      <c s="6" r="BF1097">
        <v>0</v>
      </c>
      <c s="6" r="BG1097">
        <v>0</v>
      </c>
      <c s="6" r="BH1097">
        <v>0</v>
      </c>
      <c s="6" r="BI1097">
        <v>0</v>
      </c>
      <c s="6" r="BJ1097">
        <v>0</v>
      </c>
      <c s="6" r="BK1097">
        <v>0</v>
      </c>
      <c s="6" r="BL1097">
        <v>0</v>
      </c>
      <c s="6" r="BM1097">
        <v>0</v>
      </c>
      <c s="6" r="BN1097">
        <v>0</v>
      </c>
      <c s="6" r="BO1097">
        <v>0</v>
      </c>
      <c s="6" r="BP1097">
        <v>0</v>
      </c>
      <c s="6" r="BQ1097">
        <v>0</v>
      </c>
      <c t="str" s="6" r="BR1097">
        <f>HYPERLINK("http://www.d20pfsrd.com/magic/all-spells/p/possess-object","Possess Object")</f>
        <v>Possess Object</v>
      </c>
      <c s="6" r="BS1097">
        <v>1119</v>
      </c>
      <c s="6" r="BT1097">
        <v>100</v>
      </c>
      <c s="6" r="BY1097">
        <v>0</v>
      </c>
    </row>
    <row customHeight="1" r="1098" ht="14.25">
      <c t="s" s="6" r="A1098">
        <v>8086</v>
      </c>
      <c t="s" s="6" r="B1098">
        <v>174</v>
      </c>
      <c t="s" s="6" r="D1098">
        <v>8087</v>
      </c>
      <c t="s" s="6" r="E1098">
        <v>811</v>
      </c>
      <c t="s" s="6" r="F1098">
        <v>81</v>
      </c>
      <c t="s" s="6" r="G1098">
        <v>106</v>
      </c>
      <c s="6" r="H1098">
        <v>0</v>
      </c>
      <c t="s" s="6" r="I1098">
        <v>107</v>
      </c>
      <c t="s" s="6" r="L1098">
        <v>1235</v>
      </c>
      <c t="s" s="6" r="M1098">
        <v>8088</v>
      </c>
      <c s="6" r="N1098">
        <v>0</v>
      </c>
      <c s="6" r="O1098">
        <v>0</v>
      </c>
      <c t="s" s="6" r="P1098">
        <v>296</v>
      </c>
      <c t="s" s="6" r="Q1098">
        <v>188</v>
      </c>
      <c t="s" s="6" r="R1098">
        <v>8089</v>
      </c>
      <c t="s" s="6" r="S1098">
        <v>8090</v>
      </c>
      <c t="s" s="6" r="T1098">
        <v>7122</v>
      </c>
      <c t="s" s="6" r="U1098">
        <v>8091</v>
      </c>
      <c s="6" r="V1098">
        <v>1</v>
      </c>
      <c s="6" r="W1098">
        <v>1</v>
      </c>
      <c s="6" r="X1098">
        <v>0</v>
      </c>
      <c s="6" r="Y1098">
        <v>0</v>
      </c>
      <c s="6" r="Z1098">
        <v>0</v>
      </c>
      <c s="6" r="AA1098">
        <v>8</v>
      </c>
      <c s="6" r="AB1098">
        <v>8</v>
      </c>
      <c t="s" s="6" r="AC1098">
        <v>92</v>
      </c>
      <c t="s" s="6" r="AD1098">
        <v>92</v>
      </c>
      <c t="s" s="6" r="AE1098">
        <v>92</v>
      </c>
      <c t="s" s="6" r="AF1098">
        <v>92</v>
      </c>
      <c t="s" s="6" r="AG1098">
        <v>92</v>
      </c>
      <c t="s" s="6" r="AH1098">
        <v>92</v>
      </c>
      <c t="s" s="6" r="AI1098">
        <v>92</v>
      </c>
      <c s="6" r="AJ1098">
        <v>8</v>
      </c>
      <c t="s" s="6" r="AK1098">
        <v>92</v>
      </c>
      <c t="s" s="6" r="AL1098">
        <v>92</v>
      </c>
      <c t="s" s="6" r="AM1098">
        <v>92</v>
      </c>
      <c t="s" s="6" r="AN1098">
        <v>92</v>
      </c>
      <c s="6" r="AP1098">
        <v>8</v>
      </c>
      <c t="s" s="6" r="AR1098">
        <v>8092</v>
      </c>
      <c s="6" r="AS1098">
        <v>0</v>
      </c>
      <c s="6" r="AT1098">
        <v>0</v>
      </c>
      <c s="6" r="AU1098">
        <v>0</v>
      </c>
      <c s="6" r="AV1098">
        <v>0</v>
      </c>
      <c s="6" r="AW1098">
        <v>1</v>
      </c>
      <c s="6" r="AX1098">
        <v>0</v>
      </c>
      <c s="6" r="AY1098">
        <v>0</v>
      </c>
      <c s="6" r="AZ1098">
        <v>0</v>
      </c>
      <c s="6" r="BA1098">
        <v>0</v>
      </c>
      <c s="6" r="BB1098">
        <v>0</v>
      </c>
      <c s="6" r="BC1098">
        <v>0</v>
      </c>
      <c s="6" r="BD1098">
        <v>0</v>
      </c>
      <c s="6" r="BE1098">
        <v>1</v>
      </c>
      <c s="6" r="BF1098">
        <v>0</v>
      </c>
      <c s="6" r="BG1098">
        <v>0</v>
      </c>
      <c s="6" r="BH1098">
        <v>0</v>
      </c>
      <c s="6" r="BI1098">
        <v>0</v>
      </c>
      <c s="6" r="BJ1098">
        <v>0</v>
      </c>
      <c s="6" r="BK1098">
        <v>0</v>
      </c>
      <c s="6" r="BL1098">
        <v>1</v>
      </c>
      <c s="6" r="BM1098">
        <v>0</v>
      </c>
      <c s="6" r="BN1098">
        <v>0</v>
      </c>
      <c s="6" r="BO1098">
        <v>0</v>
      </c>
      <c s="6" r="BP1098">
        <v>0</v>
      </c>
      <c s="6" r="BQ1098">
        <v>0</v>
      </c>
      <c t="str" s="6" r="BR1098">
        <f>HYPERLINK("http://www.d20pfsrd.com/magic/all-spells/p/prediction-of-failure","Prediction of Failure")</f>
        <v>Prediction of Failure</v>
      </c>
      <c s="6" r="BS1098">
        <v>1120</v>
      </c>
      <c t="s" s="6" r="BT1098">
        <v>92</v>
      </c>
      <c t="s" s="6" r="BU1098">
        <v>857</v>
      </c>
      <c s="6" r="BY1098">
        <v>0</v>
      </c>
    </row>
    <row customHeight="1" r="1099" ht="14.25">
      <c t="s" s="6" r="A1099">
        <v>8093</v>
      </c>
      <c t="s" s="6" r="B1099">
        <v>162</v>
      </c>
      <c t="s" s="6" r="D1099">
        <v>217</v>
      </c>
      <c t="s" s="6" r="E1099">
        <v>3011</v>
      </c>
      <c t="s" s="6" r="F1099">
        <v>81</v>
      </c>
      <c t="s" s="6" r="G1099">
        <v>251</v>
      </c>
      <c s="6" r="H1099">
        <v>0</v>
      </c>
      <c t="s" s="6" r="I1099">
        <v>155</v>
      </c>
      <c t="s" s="6" r="L1099">
        <v>156</v>
      </c>
      <c t="s" s="6" r="M1099">
        <v>99</v>
      </c>
      <c s="6" r="N1099">
        <v>0</v>
      </c>
      <c s="6" r="O1099">
        <v>0</v>
      </c>
      <c t="s" s="6" r="R1099">
        <v>8094</v>
      </c>
      <c t="s" s="6" r="S1099">
        <v>8095</v>
      </c>
      <c t="s" s="6" r="T1099">
        <v>7122</v>
      </c>
      <c t="s" s="6" r="U1099">
        <v>8096</v>
      </c>
      <c s="6" r="V1099">
        <v>1</v>
      </c>
      <c s="6" r="W1099">
        <v>0</v>
      </c>
      <c s="6" r="X1099">
        <v>0</v>
      </c>
      <c s="6" r="Y1099">
        <v>0</v>
      </c>
      <c s="6" r="Z1099">
        <v>0</v>
      </c>
      <c t="s" s="6" r="AA1099">
        <v>92</v>
      </c>
      <c t="s" s="6" r="AB1099">
        <v>92</v>
      </c>
      <c t="s" s="6" r="AC1099">
        <v>92</v>
      </c>
      <c t="s" s="6" r="AD1099">
        <v>92</v>
      </c>
      <c t="s" s="6" r="AE1099">
        <v>92</v>
      </c>
      <c s="6" r="AF1099">
        <v>4</v>
      </c>
      <c t="s" s="6" r="AG1099">
        <v>92</v>
      </c>
      <c t="s" s="6" r="AH1099">
        <v>92</v>
      </c>
      <c t="s" s="6" r="AI1099">
        <v>92</v>
      </c>
      <c t="s" s="6" r="AJ1099">
        <v>92</v>
      </c>
      <c t="s" s="6" r="AK1099">
        <v>92</v>
      </c>
      <c t="s" s="6" r="AL1099">
        <v>92</v>
      </c>
      <c t="s" s="6" r="AM1099">
        <v>92</v>
      </c>
      <c t="s" s="6" r="AN1099">
        <v>92</v>
      </c>
      <c s="6" r="AP1099">
        <v>4</v>
      </c>
      <c t="s" s="6" r="AR1099">
        <v>8097</v>
      </c>
      <c s="6" r="AS1099">
        <v>0</v>
      </c>
      <c s="6" r="AT1099">
        <v>0</v>
      </c>
      <c s="6" r="AU1099">
        <v>0</v>
      </c>
      <c s="6" r="AV1099">
        <v>0</v>
      </c>
      <c s="6" r="AW1099">
        <v>0</v>
      </c>
      <c s="6" r="AX1099">
        <v>0</v>
      </c>
      <c s="6" r="AY1099">
        <v>0</v>
      </c>
      <c s="6" r="AZ1099">
        <v>0</v>
      </c>
      <c s="6" r="BA1099">
        <v>0</v>
      </c>
      <c s="6" r="BB1099">
        <v>0</v>
      </c>
      <c s="6" r="BC1099">
        <v>0</v>
      </c>
      <c s="6" r="BD1099">
        <v>0</v>
      </c>
      <c s="6" r="BE1099">
        <v>0</v>
      </c>
      <c s="6" r="BF1099">
        <v>0</v>
      </c>
      <c s="6" r="BG1099">
        <v>0</v>
      </c>
      <c s="6" r="BH1099">
        <v>0</v>
      </c>
      <c s="6" r="BI1099">
        <v>0</v>
      </c>
      <c s="6" r="BJ1099">
        <v>0</v>
      </c>
      <c s="6" r="BK1099">
        <v>0</v>
      </c>
      <c s="6" r="BL1099">
        <v>1</v>
      </c>
      <c s="6" r="BM1099">
        <v>0</v>
      </c>
      <c s="6" r="BN1099">
        <v>0</v>
      </c>
      <c s="6" r="BO1099">
        <v>0</v>
      </c>
      <c s="6" r="BP1099">
        <v>1</v>
      </c>
      <c s="6" r="BQ1099">
        <v>0</v>
      </c>
      <c t="str" s="6" r="BR1099">
        <f>HYPERLINK("http://www.d20pfsrd.com/magic/all-spells/p/primal-scream","Primal Scream")</f>
        <v>Primal Scream</v>
      </c>
      <c s="6" r="BS1099">
        <v>1121</v>
      </c>
      <c t="s" s="6" r="BT1099">
        <v>92</v>
      </c>
      <c s="6" r="BY1099">
        <v>0</v>
      </c>
    </row>
    <row customHeight="1" r="1100" ht="14.25">
      <c t="s" s="6" r="A1100">
        <v>8098</v>
      </c>
      <c t="s" s="6" r="B1100">
        <v>493</v>
      </c>
      <c t="s" s="6" r="D1100">
        <v>49</v>
      </c>
      <c t="s" s="6" r="E1100">
        <v>8099</v>
      </c>
      <c t="s" s="6" r="F1100">
        <v>81</v>
      </c>
      <c t="s" s="6" r="G1100">
        <v>7482</v>
      </c>
      <c s="6" r="H1100">
        <v>0</v>
      </c>
      <c t="s" s="6" r="I1100">
        <v>120</v>
      </c>
      <c t="s" s="6" r="L1100">
        <v>420</v>
      </c>
      <c t="s" s="6" r="M1100">
        <v>5005</v>
      </c>
      <c s="6" r="N1100">
        <v>0</v>
      </c>
      <c s="6" r="O1100">
        <v>0</v>
      </c>
      <c t="s" s="6" r="P1100">
        <v>421</v>
      </c>
      <c t="s" s="6" r="Q1100">
        <v>188</v>
      </c>
      <c t="s" s="6" r="R1100">
        <v>8100</v>
      </c>
      <c t="s" s="6" r="S1100">
        <v>8101</v>
      </c>
      <c t="s" s="6" r="T1100">
        <v>7122</v>
      </c>
      <c t="s" s="6" r="U1100">
        <v>8102</v>
      </c>
      <c s="6" r="V1100">
        <v>1</v>
      </c>
      <c s="6" r="W1100">
        <v>1</v>
      </c>
      <c s="6" r="X1100">
        <v>0</v>
      </c>
      <c s="6" r="Y1100">
        <v>0</v>
      </c>
      <c s="6" r="Z1100">
        <v>0</v>
      </c>
      <c s="6" r="AA1100">
        <v>2</v>
      </c>
      <c s="6" r="AB1100">
        <v>2</v>
      </c>
      <c s="6" r="AC1100">
        <v>2</v>
      </c>
      <c t="s" s="6" r="AD1100">
        <v>92</v>
      </c>
      <c t="s" s="6" r="AE1100">
        <v>92</v>
      </c>
      <c t="s" s="6" r="AF1100">
        <v>92</v>
      </c>
      <c t="s" s="6" r="AG1100">
        <v>92</v>
      </c>
      <c t="s" s="6" r="AH1100">
        <v>92</v>
      </c>
      <c t="s" s="6" r="AI1100">
        <v>92</v>
      </c>
      <c s="6" r="AJ1100">
        <v>2</v>
      </c>
      <c t="s" s="6" r="AK1100">
        <v>92</v>
      </c>
      <c s="6" r="AL1100">
        <v>2</v>
      </c>
      <c t="s" s="6" r="AM1100">
        <v>92</v>
      </c>
      <c t="s" s="6" r="AN1100">
        <v>92</v>
      </c>
      <c s="6" r="AP1100">
        <v>2</v>
      </c>
      <c t="s" s="6" r="AR1100">
        <v>8103</v>
      </c>
      <c s="6" r="AS1100">
        <v>0</v>
      </c>
      <c s="6" r="AT1100">
        <v>0</v>
      </c>
      <c s="6" r="AU1100">
        <v>0</v>
      </c>
      <c s="6" r="AV1100">
        <v>0</v>
      </c>
      <c s="6" r="AW1100">
        <v>0</v>
      </c>
      <c s="6" r="AX1100">
        <v>1</v>
      </c>
      <c s="6" r="AY1100">
        <v>0</v>
      </c>
      <c s="6" r="AZ1100">
        <v>0</v>
      </c>
      <c s="6" r="BA1100">
        <v>0</v>
      </c>
      <c s="6" r="BB1100">
        <v>0</v>
      </c>
      <c s="6" r="BC1100">
        <v>0</v>
      </c>
      <c s="6" r="BD1100">
        <v>0</v>
      </c>
      <c s="6" r="BE1100">
        <v>0</v>
      </c>
      <c s="6" r="BF1100">
        <v>0</v>
      </c>
      <c s="6" r="BG1100">
        <v>0</v>
      </c>
      <c s="6" r="BH1100">
        <v>0</v>
      </c>
      <c s="6" r="BI1100">
        <v>0</v>
      </c>
      <c s="6" r="BJ1100">
        <v>0</v>
      </c>
      <c s="6" r="BK1100">
        <v>0</v>
      </c>
      <c s="6" r="BL1100">
        <v>0</v>
      </c>
      <c s="6" r="BM1100">
        <v>0</v>
      </c>
      <c s="6" r="BN1100">
        <v>0</v>
      </c>
      <c s="6" r="BO1100">
        <v>0</v>
      </c>
      <c s="6" r="BP1100">
        <v>0</v>
      </c>
      <c s="6" r="BQ1100">
        <v>0</v>
      </c>
      <c t="str" s="6" r="BR1100">
        <f>HYPERLINK("http://www.d20pfsrd.com/magic/all-spells/p/protective-penumbra","Protective Penumbra")</f>
        <v>Protective Penumbra</v>
      </c>
      <c s="6" r="BS1100">
        <v>1122</v>
      </c>
      <c t="s" s="6" r="BT1100">
        <v>92</v>
      </c>
      <c s="6" r="BY1100">
        <v>0</v>
      </c>
    </row>
    <row customHeight="1" r="1101" ht="14.25">
      <c t="s" s="6" r="A1101">
        <v>8104</v>
      </c>
      <c t="s" s="6" r="B1101">
        <v>78</v>
      </c>
      <c t="s" s="6" r="C1101">
        <v>1042</v>
      </c>
      <c t="s" s="6" r="E1101">
        <v>8105</v>
      </c>
      <c t="s" s="6" r="F1101">
        <v>272</v>
      </c>
      <c t="s" s="6" r="G1101">
        <v>4332</v>
      </c>
      <c s="6" r="H1101">
        <v>0</v>
      </c>
      <c t="s" s="6" r="I1101">
        <v>107</v>
      </c>
      <c t="s" s="6" r="K1101">
        <v>8106</v>
      </c>
      <c t="s" s="6" r="M1101">
        <v>2957</v>
      </c>
      <c s="6" r="N1101">
        <v>0</v>
      </c>
      <c s="6" r="O1101">
        <v>0</v>
      </c>
      <c t="s" s="6" r="P1101">
        <v>86</v>
      </c>
      <c t="s" s="6" r="Q1101">
        <v>87</v>
      </c>
      <c t="s" s="6" r="R1101">
        <v>8107</v>
      </c>
      <c t="s" s="6" r="S1101">
        <v>8108</v>
      </c>
      <c t="s" s="6" r="T1101">
        <v>7122</v>
      </c>
      <c t="s" s="6" r="U1101">
        <v>8109</v>
      </c>
      <c s="6" r="V1101">
        <v>1</v>
      </c>
      <c s="6" r="W1101">
        <v>1</v>
      </c>
      <c s="6" r="X1101">
        <v>1</v>
      </c>
      <c s="6" r="Y1101">
        <v>0</v>
      </c>
      <c s="6" r="Z1101">
        <v>1</v>
      </c>
      <c s="6" r="AA1101">
        <v>3</v>
      </c>
      <c s="6" r="AB1101">
        <v>3</v>
      </c>
      <c t="s" s="6" r="AC1101">
        <v>92</v>
      </c>
      <c s="6" r="AD1101">
        <v>3</v>
      </c>
      <c t="s" s="6" r="AE1101">
        <v>92</v>
      </c>
      <c s="6" r="AF1101">
        <v>3</v>
      </c>
      <c t="s" s="6" r="AG1101">
        <v>92</v>
      </c>
      <c t="s" s="6" r="AH1101">
        <v>92</v>
      </c>
      <c s="6" r="AI1101">
        <v>3</v>
      </c>
      <c s="6" r="AJ1101">
        <v>3</v>
      </c>
      <c t="s" s="6" r="AK1101">
        <v>92</v>
      </c>
      <c t="s" s="6" r="AL1101">
        <v>92</v>
      </c>
      <c t="s" s="6" r="AM1101">
        <v>92</v>
      </c>
      <c t="s" s="6" r="AN1101">
        <v>92</v>
      </c>
      <c s="6" r="AP1101">
        <v>3</v>
      </c>
      <c t="s" s="6" r="AR1101">
        <v>8110</v>
      </c>
      <c s="6" r="AS1101">
        <v>0</v>
      </c>
      <c s="6" r="AT1101">
        <v>0</v>
      </c>
      <c s="6" r="AU1101">
        <v>0</v>
      </c>
      <c s="6" r="AV1101">
        <v>0</v>
      </c>
      <c s="6" r="AW1101">
        <v>0</v>
      </c>
      <c s="6" r="AX1101">
        <v>0</v>
      </c>
      <c s="6" r="AY1101">
        <v>0</v>
      </c>
      <c s="6" r="AZ1101">
        <v>0</v>
      </c>
      <c s="6" r="BA1101">
        <v>0</v>
      </c>
      <c s="6" r="BB1101">
        <v>0</v>
      </c>
      <c s="6" r="BC1101">
        <v>0</v>
      </c>
      <c s="6" r="BD1101">
        <v>0</v>
      </c>
      <c s="6" r="BE1101">
        <v>0</v>
      </c>
      <c s="6" r="BF1101">
        <v>0</v>
      </c>
      <c s="6" r="BG1101">
        <v>0</v>
      </c>
      <c s="6" r="BH1101">
        <v>0</v>
      </c>
      <c s="6" r="BI1101">
        <v>0</v>
      </c>
      <c s="6" r="BJ1101">
        <v>0</v>
      </c>
      <c s="6" r="BK1101">
        <v>0</v>
      </c>
      <c s="6" r="BL1101">
        <v>0</v>
      </c>
      <c s="6" r="BM1101">
        <v>0</v>
      </c>
      <c s="6" r="BN1101">
        <v>0</v>
      </c>
      <c s="6" r="BO1101">
        <v>0</v>
      </c>
      <c s="6" r="BP1101">
        <v>0</v>
      </c>
      <c s="6" r="BQ1101">
        <v>0</v>
      </c>
      <c t="str" s="6" r="BR1101">
        <f>HYPERLINK("http://www.d20pfsrd.com/magic/all-spells/r/rain-of-frogs","Rain of Frogs")</f>
        <v>Rain of Frogs</v>
      </c>
      <c s="6" r="BS1101">
        <v>1123</v>
      </c>
      <c t="s" s="6" r="BT1101">
        <v>92</v>
      </c>
      <c s="6" r="BY1101">
        <v>0</v>
      </c>
    </row>
    <row customHeight="1" r="1102" ht="14.25">
      <c t="s" s="6" r="A1102">
        <v>8111</v>
      </c>
      <c t="s" s="6" r="B1102">
        <v>78</v>
      </c>
      <c t="s" s="6" r="C1102">
        <v>598</v>
      </c>
      <c t="s" s="6" r="E1102">
        <v>8112</v>
      </c>
      <c t="s" s="6" r="F1102">
        <v>197</v>
      </c>
      <c t="s" s="6" r="G1102">
        <v>8113</v>
      </c>
      <c s="6" r="H1102">
        <v>1</v>
      </c>
      <c t="s" s="6" r="I1102">
        <v>120</v>
      </c>
      <c t="s" s="6" r="L1102">
        <v>8114</v>
      </c>
      <c t="s" s="6" r="M1102">
        <v>109</v>
      </c>
      <c s="6" r="N1102">
        <v>0</v>
      </c>
      <c s="6" r="O1102">
        <v>0</v>
      </c>
      <c t="s" s="6" r="P1102">
        <v>2656</v>
      </c>
      <c t="s" s="6" r="Q1102">
        <v>123</v>
      </c>
      <c t="s" s="6" r="R1102">
        <v>8115</v>
      </c>
      <c t="s" s="6" r="S1102">
        <v>8116</v>
      </c>
      <c t="s" s="6" r="T1102">
        <v>7122</v>
      </c>
      <c t="s" s="6" r="U1102">
        <v>8117</v>
      </c>
      <c s="6" r="V1102">
        <v>1</v>
      </c>
      <c s="6" r="W1102">
        <v>1</v>
      </c>
      <c s="6" r="X1102">
        <v>1</v>
      </c>
      <c s="6" r="Y1102">
        <v>0</v>
      </c>
      <c s="6" r="Z1102">
        <v>0</v>
      </c>
      <c t="s" s="6" r="AA1102">
        <v>92</v>
      </c>
      <c t="s" s="6" r="AB1102">
        <v>92</v>
      </c>
      <c t="s" s="6" r="AC1102">
        <v>92</v>
      </c>
      <c s="6" r="AD1102">
        <v>5</v>
      </c>
      <c s="6" r="AE1102">
        <v>4</v>
      </c>
      <c t="s" s="6" r="AF1102">
        <v>92</v>
      </c>
      <c s="6" r="AG1102">
        <v>4</v>
      </c>
      <c t="s" s="6" r="AH1102">
        <v>92</v>
      </c>
      <c t="s" s="6" r="AI1102">
        <v>92</v>
      </c>
      <c t="s" s="6" r="AJ1102">
        <v>92</v>
      </c>
      <c t="s" s="6" r="AK1102">
        <v>92</v>
      </c>
      <c t="s" s="6" r="AL1102">
        <v>92</v>
      </c>
      <c t="s" s="6" r="AM1102">
        <v>92</v>
      </c>
      <c t="s" s="6" r="AN1102">
        <v>92</v>
      </c>
      <c s="6" r="AP1102">
        <v>5</v>
      </c>
      <c t="s" s="6" r="AR1102">
        <v>8118</v>
      </c>
      <c s="6" r="AS1102">
        <v>0</v>
      </c>
      <c s="6" r="AT1102">
        <v>0</v>
      </c>
      <c s="6" r="AU1102">
        <v>0</v>
      </c>
      <c s="6" r="AV1102">
        <v>0</v>
      </c>
      <c s="6" r="AW1102">
        <v>0</v>
      </c>
      <c s="6" r="AX1102">
        <v>0</v>
      </c>
      <c s="6" r="AY1102">
        <v>0</v>
      </c>
      <c s="6" r="AZ1102">
        <v>0</v>
      </c>
      <c s="6" r="BA1102">
        <v>0</v>
      </c>
      <c s="6" r="BB1102">
        <v>0</v>
      </c>
      <c s="6" r="BC1102">
        <v>0</v>
      </c>
      <c s="6" r="BD1102">
        <v>0</v>
      </c>
      <c s="6" r="BE1102">
        <v>0</v>
      </c>
      <c s="6" r="BF1102">
        <v>0</v>
      </c>
      <c s="6" r="BG1102">
        <v>0</v>
      </c>
      <c s="6" r="BH1102">
        <v>0</v>
      </c>
      <c s="6" r="BI1102">
        <v>0</v>
      </c>
      <c s="6" r="BJ1102">
        <v>0</v>
      </c>
      <c s="6" r="BK1102">
        <v>0</v>
      </c>
      <c s="6" r="BL1102">
        <v>0</v>
      </c>
      <c s="6" r="BM1102">
        <v>0</v>
      </c>
      <c s="6" r="BN1102">
        <v>0</v>
      </c>
      <c s="6" r="BO1102">
        <v>0</v>
      </c>
      <c s="6" r="BP1102">
        <v>0</v>
      </c>
      <c s="6" r="BQ1102">
        <v>0</v>
      </c>
      <c t="str" s="6" r="BR1102">
        <f>HYPERLINK("http://www.d20pfsrd.com/magic/all-spells/r/raise-animal-companion","Raise Animal Companion")</f>
        <v>Raise Animal Companion</v>
      </c>
      <c s="6" r="BS1102">
        <v>1124</v>
      </c>
      <c s="6" r="BT1102">
        <v>1000</v>
      </c>
      <c s="6" r="BY1102">
        <v>0</v>
      </c>
    </row>
    <row customHeight="1" r="1103" ht="14.25">
      <c t="s" s="6" r="A1103">
        <v>8119</v>
      </c>
      <c t="s" s="6" r="B1103">
        <v>131</v>
      </c>
      <c t="s" s="6" r="E1103">
        <v>6990</v>
      </c>
      <c t="s" s="6" r="F1103">
        <v>81</v>
      </c>
      <c t="s" s="6" r="G1103">
        <v>119</v>
      </c>
      <c s="6" r="H1103">
        <v>0</v>
      </c>
      <c t="s" s="6" r="I1103">
        <v>120</v>
      </c>
      <c t="s" s="6" r="L1103">
        <v>7339</v>
      </c>
      <c t="s" s="6" r="M1103">
        <v>99</v>
      </c>
      <c s="6" r="N1103">
        <v>0</v>
      </c>
      <c s="6" r="O1103">
        <v>0</v>
      </c>
      <c t="s" s="6" r="P1103">
        <v>1227</v>
      </c>
      <c t="s" s="6" r="Q1103">
        <v>123</v>
      </c>
      <c t="s" s="6" r="R1103">
        <v>8120</v>
      </c>
      <c t="s" s="6" r="S1103">
        <v>8121</v>
      </c>
      <c t="s" s="6" r="T1103">
        <v>7122</v>
      </c>
      <c t="s" s="6" r="U1103">
        <v>8122</v>
      </c>
      <c s="6" r="V1103">
        <v>1</v>
      </c>
      <c s="6" r="W1103">
        <v>1</v>
      </c>
      <c s="6" r="X1103">
        <v>0</v>
      </c>
      <c s="6" r="Y1103">
        <v>0</v>
      </c>
      <c s="6" r="Z1103">
        <v>1</v>
      </c>
      <c s="6" r="AA1103">
        <v>5</v>
      </c>
      <c s="6" r="AB1103">
        <v>5</v>
      </c>
      <c s="6" r="AC1103">
        <v>5</v>
      </c>
      <c t="s" s="6" r="AD1103">
        <v>92</v>
      </c>
      <c t="s" s="6" r="AE1103">
        <v>92</v>
      </c>
      <c t="s" s="6" r="AF1103">
        <v>92</v>
      </c>
      <c t="s" s="6" r="AG1103">
        <v>92</v>
      </c>
      <c t="s" s="6" r="AH1103">
        <v>92</v>
      </c>
      <c t="s" s="6" r="AI1103">
        <v>92</v>
      </c>
      <c t="s" s="6" r="AJ1103">
        <v>92</v>
      </c>
      <c t="s" s="6" r="AK1103">
        <v>92</v>
      </c>
      <c s="6" r="AL1103">
        <v>5</v>
      </c>
      <c t="s" s="6" r="AM1103">
        <v>92</v>
      </c>
      <c t="s" s="6" r="AN1103">
        <v>92</v>
      </c>
      <c s="6" r="AP1103">
        <v>5</v>
      </c>
      <c t="s" s="6" r="AR1103">
        <v>8123</v>
      </c>
      <c s="6" r="AS1103">
        <v>0</v>
      </c>
      <c s="6" r="AT1103">
        <v>0</v>
      </c>
      <c s="6" r="AU1103">
        <v>0</v>
      </c>
      <c s="6" r="AV1103">
        <v>0</v>
      </c>
      <c s="6" r="AW1103">
        <v>0</v>
      </c>
      <c s="6" r="AX1103">
        <v>0</v>
      </c>
      <c s="6" r="AY1103">
        <v>0</v>
      </c>
      <c s="6" r="AZ1103">
        <v>0</v>
      </c>
      <c s="6" r="BA1103">
        <v>0</v>
      </c>
      <c s="6" r="BB1103">
        <v>0</v>
      </c>
      <c s="6" r="BC1103">
        <v>0</v>
      </c>
      <c s="6" r="BD1103">
        <v>0</v>
      </c>
      <c s="6" r="BE1103">
        <v>0</v>
      </c>
      <c s="6" r="BF1103">
        <v>0</v>
      </c>
      <c s="6" r="BG1103">
        <v>0</v>
      </c>
      <c s="6" r="BH1103">
        <v>0</v>
      </c>
      <c s="6" r="BI1103">
        <v>0</v>
      </c>
      <c s="6" r="BJ1103">
        <v>0</v>
      </c>
      <c s="6" r="BK1103">
        <v>0</v>
      </c>
      <c s="6" r="BL1103">
        <v>0</v>
      </c>
      <c s="6" r="BM1103">
        <v>0</v>
      </c>
      <c s="6" r="BN1103">
        <v>0</v>
      </c>
      <c s="6" r="BO1103">
        <v>0</v>
      </c>
      <c s="6" r="BP1103">
        <v>0</v>
      </c>
      <c s="6" r="BQ1103">
        <v>0</v>
      </c>
      <c t="str" s="6" r="BR1103">
        <f>HYPERLINK("http://www.d20pfsrd.com/magic/all-spells/r/rapid-repair","Rapid Repair")</f>
        <v>Rapid Repair</v>
      </c>
      <c s="6" r="BS1103">
        <v>1125</v>
      </c>
      <c t="s" s="6" r="BT1103">
        <v>92</v>
      </c>
      <c s="6" r="BY1103">
        <v>0</v>
      </c>
    </row>
    <row customHeight="1" r="1104" ht="14.25">
      <c t="s" s="6" r="A1104">
        <v>8124</v>
      </c>
      <c t="s" s="6" r="B1104">
        <v>227</v>
      </c>
      <c t="s" s="6" r="E1104">
        <v>8125</v>
      </c>
      <c t="s" s="6" r="F1104">
        <v>81</v>
      </c>
      <c t="s" s="6" r="G1104">
        <v>3502</v>
      </c>
      <c s="6" r="H1104">
        <v>0</v>
      </c>
      <c t="s" s="6" r="I1104">
        <v>107</v>
      </c>
      <c t="s" s="6" r="K1104">
        <v>1344</v>
      </c>
      <c t="s" s="6" r="M1104">
        <v>122</v>
      </c>
      <c s="6" r="N1104">
        <v>0</v>
      </c>
      <c s="6" r="O1104">
        <v>0</v>
      </c>
      <c t="s" s="6" r="P1104">
        <v>822</v>
      </c>
      <c t="s" s="6" r="Q1104">
        <v>188</v>
      </c>
      <c t="s" s="6" r="R1104">
        <v>8126</v>
      </c>
      <c t="s" s="6" r="S1104">
        <v>8127</v>
      </c>
      <c t="s" s="6" r="T1104">
        <v>7122</v>
      </c>
      <c t="s" s="6" r="U1104">
        <v>8128</v>
      </c>
      <c s="6" r="V1104">
        <v>1</v>
      </c>
      <c s="6" r="W1104">
        <v>1</v>
      </c>
      <c s="6" r="X1104">
        <v>1</v>
      </c>
      <c s="6" r="Y1104">
        <v>0</v>
      </c>
      <c s="6" r="Z1104">
        <v>0</v>
      </c>
      <c s="6" r="AA1104">
        <v>1</v>
      </c>
      <c s="6" r="AB1104">
        <v>1</v>
      </c>
      <c s="6" r="AC1104">
        <v>1</v>
      </c>
      <c s="6" r="AD1104">
        <v>1</v>
      </c>
      <c t="s" s="6" r="AE1104">
        <v>92</v>
      </c>
      <c t="s" s="6" r="AF1104">
        <v>92</v>
      </c>
      <c t="s" s="6" r="AG1104">
        <v>92</v>
      </c>
      <c t="s" s="6" r="AH1104">
        <v>92</v>
      </c>
      <c s="6" r="AI1104">
        <v>1</v>
      </c>
      <c s="6" r="AJ1104">
        <v>1</v>
      </c>
      <c t="s" s="6" r="AK1104">
        <v>92</v>
      </c>
      <c s="6" r="AL1104">
        <v>1</v>
      </c>
      <c t="s" s="6" r="AM1104">
        <v>92</v>
      </c>
      <c t="s" s="6" r="AN1104">
        <v>92</v>
      </c>
      <c s="6" r="AP1104">
        <v>1</v>
      </c>
      <c t="s" s="6" r="AR1104">
        <v>8129</v>
      </c>
      <c s="6" r="AS1104">
        <v>0</v>
      </c>
      <c s="6" r="AT1104">
        <v>0</v>
      </c>
      <c s="6" r="AU1104">
        <v>0</v>
      </c>
      <c s="6" r="AV1104">
        <v>0</v>
      </c>
      <c s="6" r="AW1104">
        <v>0</v>
      </c>
      <c s="6" r="AX1104">
        <v>0</v>
      </c>
      <c s="6" r="AY1104">
        <v>0</v>
      </c>
      <c s="6" r="AZ1104">
        <v>0</v>
      </c>
      <c s="6" r="BA1104">
        <v>0</v>
      </c>
      <c s="6" r="BB1104">
        <v>0</v>
      </c>
      <c s="6" r="BC1104">
        <v>0</v>
      </c>
      <c s="6" r="BD1104">
        <v>0</v>
      </c>
      <c s="6" r="BE1104">
        <v>0</v>
      </c>
      <c s="6" r="BF1104">
        <v>0</v>
      </c>
      <c s="6" r="BG1104">
        <v>0</v>
      </c>
      <c s="6" r="BH1104">
        <v>0</v>
      </c>
      <c s="6" r="BI1104">
        <v>0</v>
      </c>
      <c s="6" r="BJ1104">
        <v>0</v>
      </c>
      <c s="6" r="BK1104">
        <v>0</v>
      </c>
      <c s="6" r="BL1104">
        <v>0</v>
      </c>
      <c s="6" r="BM1104">
        <v>0</v>
      </c>
      <c s="6" r="BN1104">
        <v>0</v>
      </c>
      <c s="6" r="BO1104">
        <v>0</v>
      </c>
      <c s="6" r="BP1104">
        <v>0</v>
      </c>
      <c s="6" r="BQ1104">
        <v>0</v>
      </c>
      <c t="str" s="6" r="BR1104">
        <f>HYPERLINK("http://www.d20pfsrd.com/magic/all-spells/r/ray-of-sickening","Ray of Sickening")</f>
        <v>Ray of Sickening</v>
      </c>
      <c s="6" r="BS1104">
        <v>1126</v>
      </c>
      <c t="s" s="6" r="BT1104">
        <v>92</v>
      </c>
      <c s="6" r="BY1104">
        <v>0</v>
      </c>
    </row>
    <row customHeight="1" r="1105" ht="14.25">
      <c t="s" s="6" r="A1105">
        <v>8130</v>
      </c>
      <c t="s" s="6" r="B1105">
        <v>115</v>
      </c>
      <c t="s" s="6" r="C1105">
        <v>116</v>
      </c>
      <c t="s" s="6" r="D1105">
        <v>7379</v>
      </c>
      <c t="s" s="6" r="E1105">
        <v>4218</v>
      </c>
      <c t="s" s="6" r="F1105">
        <v>81</v>
      </c>
      <c t="s" s="6" r="G1105">
        <v>106</v>
      </c>
      <c s="6" r="H1105">
        <v>0</v>
      </c>
      <c t="s" s="6" r="I1105">
        <v>107</v>
      </c>
      <c t="s" s="6" r="L1105">
        <v>1235</v>
      </c>
      <c t="s" s="6" r="M1105">
        <v>200</v>
      </c>
      <c s="6" r="N1105">
        <v>0</v>
      </c>
      <c s="6" r="O1105">
        <v>0</v>
      </c>
      <c t="s" s="6" r="P1105">
        <v>221</v>
      </c>
      <c t="s" s="6" r="Q1105">
        <v>188</v>
      </c>
      <c t="s" s="6" r="R1105">
        <v>8131</v>
      </c>
      <c t="s" s="6" r="S1105">
        <v>8132</v>
      </c>
      <c t="s" s="6" r="T1105">
        <v>7122</v>
      </c>
      <c t="s" s="6" r="U1105">
        <v>8133</v>
      </c>
      <c s="6" r="V1105">
        <v>1</v>
      </c>
      <c s="6" r="W1105">
        <v>1</v>
      </c>
      <c s="6" r="X1105">
        <v>0</v>
      </c>
      <c s="6" r="Y1105">
        <v>0</v>
      </c>
      <c s="6" r="Z1105">
        <v>0</v>
      </c>
      <c s="6" r="AA1105">
        <v>3</v>
      </c>
      <c s="6" r="AB1105">
        <v>3</v>
      </c>
      <c t="s" s="6" r="AC1105">
        <v>92</v>
      </c>
      <c t="s" s="6" r="AD1105">
        <v>92</v>
      </c>
      <c t="s" s="6" r="AE1105">
        <v>92</v>
      </c>
      <c s="6" r="AF1105">
        <v>2</v>
      </c>
      <c t="s" s="6" r="AG1105">
        <v>92</v>
      </c>
      <c t="s" s="6" r="AH1105">
        <v>92</v>
      </c>
      <c t="s" s="6" r="AI1105">
        <v>92</v>
      </c>
      <c s="6" r="AJ1105">
        <v>3</v>
      </c>
      <c t="s" s="6" r="AK1105">
        <v>92</v>
      </c>
      <c t="s" s="6" r="AL1105">
        <v>92</v>
      </c>
      <c t="s" s="6" r="AM1105">
        <v>92</v>
      </c>
      <c t="s" s="6" r="AN1105">
        <v>92</v>
      </c>
      <c s="6" r="AP1105">
        <v>3</v>
      </c>
      <c t="s" s="6" r="AR1105">
        <v>8134</v>
      </c>
      <c s="6" r="AS1105">
        <v>0</v>
      </c>
      <c s="6" r="AT1105">
        <v>0</v>
      </c>
      <c s="6" r="AU1105">
        <v>0</v>
      </c>
      <c s="6" r="AV1105">
        <v>0</v>
      </c>
      <c s="6" r="AW1105">
        <v>0</v>
      </c>
      <c s="6" r="AX1105">
        <v>0</v>
      </c>
      <c s="6" r="AY1105">
        <v>0</v>
      </c>
      <c s="6" r="AZ1105">
        <v>0</v>
      </c>
      <c s="6" r="BA1105">
        <v>0</v>
      </c>
      <c s="6" r="BB1105">
        <v>0</v>
      </c>
      <c s="6" r="BC1105">
        <v>1</v>
      </c>
      <c s="6" r="BD1105">
        <v>0</v>
      </c>
      <c s="6" r="BE1105">
        <v>0</v>
      </c>
      <c s="6" r="BF1105">
        <v>0</v>
      </c>
      <c s="6" r="BG1105">
        <v>0</v>
      </c>
      <c s="6" r="BH1105">
        <v>0</v>
      </c>
      <c s="6" r="BI1105">
        <v>0</v>
      </c>
      <c s="6" r="BJ1105">
        <v>0</v>
      </c>
      <c s="6" r="BK1105">
        <v>0</v>
      </c>
      <c s="6" r="BL1105">
        <v>1</v>
      </c>
      <c s="6" r="BM1105">
        <v>0</v>
      </c>
      <c s="6" r="BN1105">
        <v>0</v>
      </c>
      <c s="6" r="BO1105">
        <v>0</v>
      </c>
      <c s="6" r="BP1105">
        <v>0</v>
      </c>
      <c s="6" r="BQ1105">
        <v>0</v>
      </c>
      <c t="str" s="6" r="BR1105">
        <f>HYPERLINK("http://www.d20pfsrd.com/magic/all-spells/r/reckless-infatuation","Reckless Infatuation")</f>
        <v>Reckless Infatuation</v>
      </c>
      <c s="6" r="BS1105">
        <v>1127</v>
      </c>
      <c t="s" s="6" r="BT1105">
        <v>92</v>
      </c>
      <c s="6" r="BY1105">
        <v>0</v>
      </c>
    </row>
    <row customHeight="1" r="1106" ht="14.25">
      <c t="s" s="6" r="A1106">
        <v>8135</v>
      </c>
      <c t="s" s="6" r="B1106">
        <v>78</v>
      </c>
      <c t="s" s="6" r="C1106">
        <v>598</v>
      </c>
      <c t="s" s="6" r="E1106">
        <v>8136</v>
      </c>
      <c t="s" s="6" r="F1106">
        <v>81</v>
      </c>
      <c t="s" s="6" r="G1106">
        <v>106</v>
      </c>
      <c s="6" r="H1106">
        <v>0</v>
      </c>
      <c t="s" s="6" r="I1106">
        <v>107</v>
      </c>
      <c t="s" s="6" r="L1106">
        <v>1235</v>
      </c>
      <c t="s" s="6" r="M1106">
        <v>6880</v>
      </c>
      <c s="6" r="N1106">
        <v>0</v>
      </c>
      <c s="6" r="O1106">
        <v>0</v>
      </c>
      <c t="s" s="6" r="P1106">
        <v>1227</v>
      </c>
      <c t="s" s="6" r="Q1106">
        <v>123</v>
      </c>
      <c t="s" s="6" r="R1106">
        <v>8137</v>
      </c>
      <c t="s" s="6" r="S1106">
        <v>8138</v>
      </c>
      <c t="s" s="6" r="T1106">
        <v>7122</v>
      </c>
      <c t="s" s="6" r="U1106">
        <v>8139</v>
      </c>
      <c s="6" r="V1106">
        <v>1</v>
      </c>
      <c s="6" r="W1106">
        <v>1</v>
      </c>
      <c s="6" r="X1106">
        <v>0</v>
      </c>
      <c s="6" r="Y1106">
        <v>0</v>
      </c>
      <c s="6" r="Z1106">
        <v>0</v>
      </c>
      <c t="s" s="6" r="AA1106">
        <v>92</v>
      </c>
      <c t="s" s="6" r="AB1106">
        <v>92</v>
      </c>
      <c s="6" r="AC1106">
        <v>1</v>
      </c>
      <c s="6" r="AD1106">
        <v>1</v>
      </c>
      <c t="s" s="6" r="AE1106">
        <v>92</v>
      </c>
      <c t="s" s="6" r="AF1106">
        <v>92</v>
      </c>
      <c t="s" s="6" r="AG1106">
        <v>92</v>
      </c>
      <c t="s" s="6" r="AH1106">
        <v>92</v>
      </c>
      <c t="s" s="6" r="AI1106">
        <v>92</v>
      </c>
      <c s="6" r="AJ1106">
        <v>1</v>
      </c>
      <c t="s" s="6" r="AK1106">
        <v>92</v>
      </c>
      <c s="6" r="AL1106">
        <v>1</v>
      </c>
      <c t="s" s="6" r="AM1106">
        <v>92</v>
      </c>
      <c t="s" s="6" r="AN1106">
        <v>92</v>
      </c>
      <c s="6" r="AP1106">
        <v>1</v>
      </c>
      <c t="s" s="6" r="AR1106">
        <v>8140</v>
      </c>
      <c s="6" r="AS1106">
        <v>0</v>
      </c>
      <c s="6" r="AT1106">
        <v>0</v>
      </c>
      <c s="6" r="AU1106">
        <v>0</v>
      </c>
      <c s="6" r="AV1106">
        <v>0</v>
      </c>
      <c s="6" r="AW1106">
        <v>0</v>
      </c>
      <c s="6" r="AX1106">
        <v>0</v>
      </c>
      <c s="6" r="AY1106">
        <v>0</v>
      </c>
      <c s="6" r="AZ1106">
        <v>0</v>
      </c>
      <c s="6" r="BA1106">
        <v>0</v>
      </c>
      <c s="6" r="BB1106">
        <v>0</v>
      </c>
      <c s="6" r="BC1106">
        <v>0</v>
      </c>
      <c s="6" r="BD1106">
        <v>0</v>
      </c>
      <c s="6" r="BE1106">
        <v>0</v>
      </c>
      <c s="6" r="BF1106">
        <v>0</v>
      </c>
      <c s="6" r="BG1106">
        <v>0</v>
      </c>
      <c s="6" r="BH1106">
        <v>0</v>
      </c>
      <c s="6" r="BI1106">
        <v>0</v>
      </c>
      <c s="6" r="BJ1106">
        <v>0</v>
      </c>
      <c s="6" r="BK1106">
        <v>0</v>
      </c>
      <c s="6" r="BL1106">
        <v>0</v>
      </c>
      <c s="6" r="BM1106">
        <v>0</v>
      </c>
      <c s="6" r="BN1106">
        <v>0</v>
      </c>
      <c s="6" r="BO1106">
        <v>0</v>
      </c>
      <c s="6" r="BP1106">
        <v>0</v>
      </c>
      <c s="6" r="BQ1106">
        <v>0</v>
      </c>
      <c t="str" s="6" r="BR1106">
        <f>HYPERLINK("http://www.d20pfsrd.com/magic/all-spells/r/remove-sickness","Remove Sickness")</f>
        <v>Remove Sickness</v>
      </c>
      <c s="6" r="BS1106">
        <v>1128</v>
      </c>
      <c t="s" s="6" r="BT1106">
        <v>92</v>
      </c>
      <c s="6" r="BY1106">
        <v>0</v>
      </c>
    </row>
    <row customHeight="1" r="1107" ht="14.25">
      <c t="s" s="6" r="A1107">
        <v>8141</v>
      </c>
      <c t="s" s="6" r="B1107">
        <v>131</v>
      </c>
      <c t="s" s="6" r="D1107">
        <v>8142</v>
      </c>
      <c t="s" s="6" r="E1107">
        <v>8143</v>
      </c>
      <c t="s" s="6" r="F1107">
        <v>197</v>
      </c>
      <c t="s" s="6" r="G1107">
        <v>119</v>
      </c>
      <c s="6" r="H1107">
        <v>0</v>
      </c>
      <c t="s" s="6" r="I1107">
        <v>107</v>
      </c>
      <c t="s" s="6" r="L1107">
        <v>8144</v>
      </c>
      <c t="s" s="6" r="M1107">
        <v>323</v>
      </c>
      <c s="6" r="N1107">
        <v>0</v>
      </c>
      <c s="6" r="O1107">
        <v>0</v>
      </c>
      <c t="s" s="6" r="P1107">
        <v>86</v>
      </c>
      <c t="s" s="6" r="Q1107">
        <v>188</v>
      </c>
      <c t="s" s="6" r="R1107">
        <v>8145</v>
      </c>
      <c t="s" s="6" r="S1107">
        <v>8146</v>
      </c>
      <c t="s" s="6" r="T1107">
        <v>7122</v>
      </c>
      <c t="s" s="6" r="U1107">
        <v>8147</v>
      </c>
      <c s="6" r="V1107">
        <v>1</v>
      </c>
      <c s="6" r="W1107">
        <v>1</v>
      </c>
      <c s="6" r="X1107">
        <v>0</v>
      </c>
      <c s="6" r="Y1107">
        <v>0</v>
      </c>
      <c s="6" r="Z1107">
        <v>1</v>
      </c>
      <c t="s" s="6" r="AA1107">
        <v>92</v>
      </c>
      <c t="s" s="6" r="AB1107">
        <v>92</v>
      </c>
      <c s="6" r="AC1107">
        <v>5</v>
      </c>
      <c s="6" r="AD1107">
        <v>5</v>
      </c>
      <c t="s" s="6" r="AE1107">
        <v>92</v>
      </c>
      <c t="s" s="6" r="AF1107">
        <v>92</v>
      </c>
      <c s="6" r="AG1107">
        <v>4</v>
      </c>
      <c t="s" s="6" r="AH1107">
        <v>92</v>
      </c>
      <c t="s" s="6" r="AI1107">
        <v>92</v>
      </c>
      <c t="s" s="6" r="AJ1107">
        <v>92</v>
      </c>
      <c s="6" r="AK1107">
        <v>4</v>
      </c>
      <c s="6" r="AL1107">
        <v>5</v>
      </c>
      <c t="s" s="6" r="AM1107">
        <v>92</v>
      </c>
      <c t="s" s="6" r="AN1107">
        <v>92</v>
      </c>
      <c s="6" r="AP1107">
        <v>5</v>
      </c>
      <c t="s" s="6" r="AR1107">
        <v>8148</v>
      </c>
      <c s="6" r="AS1107">
        <v>0</v>
      </c>
      <c s="6" r="AT1107">
        <v>0</v>
      </c>
      <c s="6" r="AU1107">
        <v>0</v>
      </c>
      <c s="6" r="AV1107">
        <v>0</v>
      </c>
      <c s="6" r="AW1107">
        <v>1</v>
      </c>
      <c s="6" r="AX1107">
        <v>0</v>
      </c>
      <c s="6" r="AY1107">
        <v>0</v>
      </c>
      <c s="6" r="AZ1107">
        <v>0</v>
      </c>
      <c s="6" r="BA1107">
        <v>0</v>
      </c>
      <c s="6" r="BB1107">
        <v>0</v>
      </c>
      <c s="6" r="BC1107">
        <v>0</v>
      </c>
      <c s="6" r="BD1107">
        <v>0</v>
      </c>
      <c s="6" r="BE1107">
        <v>0</v>
      </c>
      <c s="6" r="BF1107">
        <v>0</v>
      </c>
      <c s="6" r="BG1107">
        <v>0</v>
      </c>
      <c s="6" r="BH1107">
        <v>0</v>
      </c>
      <c s="6" r="BI1107">
        <v>0</v>
      </c>
      <c s="6" r="BJ1107">
        <v>0</v>
      </c>
      <c s="6" r="BK1107">
        <v>0</v>
      </c>
      <c s="6" r="BL1107">
        <v>0</v>
      </c>
      <c s="6" r="BM1107">
        <v>0</v>
      </c>
      <c s="6" r="BN1107">
        <v>0</v>
      </c>
      <c s="6" r="BO1107">
        <v>0</v>
      </c>
      <c s="6" r="BP1107">
        <v>0</v>
      </c>
      <c s="6" r="BQ1107">
        <v>0</v>
      </c>
      <c t="str" s="6" r="BR1107">
        <f>HYPERLINK("http://www.d20pfsrd.com/magic/all-spells/r/reprobation","Reprobation")</f>
        <v>Reprobation</v>
      </c>
      <c s="6" r="BS1107">
        <v>1129</v>
      </c>
      <c t="s" s="6" r="BT1107">
        <v>92</v>
      </c>
      <c s="6" r="BY1107">
        <v>0</v>
      </c>
    </row>
    <row customHeight="1" r="1108" ht="14.25">
      <c t="s" s="6" r="A1108">
        <v>8149</v>
      </c>
      <c t="s" s="6" r="B1108">
        <v>131</v>
      </c>
      <c t="s" s="6" r="D1108">
        <v>67</v>
      </c>
      <c t="s" s="6" r="E1108">
        <v>7856</v>
      </c>
      <c t="s" s="6" r="F1108">
        <v>81</v>
      </c>
      <c t="s" s="6" r="G1108">
        <v>251</v>
      </c>
      <c s="6" r="H1108">
        <v>0</v>
      </c>
      <c t="s" s="6" r="I1108">
        <v>97</v>
      </c>
      <c t="s" s="6" r="L1108">
        <v>1235</v>
      </c>
      <c t="s" s="6" r="M1108">
        <v>1764</v>
      </c>
      <c s="6" r="N1108">
        <v>0</v>
      </c>
      <c s="6" r="O1108">
        <v>0</v>
      </c>
      <c t="s" s="6" r="P1108">
        <v>1254</v>
      </c>
      <c t="s" s="6" r="Q1108">
        <v>188</v>
      </c>
      <c t="s" s="6" r="R1108">
        <v>8150</v>
      </c>
      <c t="s" s="6" r="S1108">
        <v>8151</v>
      </c>
      <c t="s" s="6" r="T1108">
        <v>7122</v>
      </c>
      <c t="s" s="6" r="U1108">
        <v>8152</v>
      </c>
      <c s="6" r="V1108">
        <v>1</v>
      </c>
      <c s="6" r="W1108">
        <v>0</v>
      </c>
      <c s="6" r="X1108">
        <v>0</v>
      </c>
      <c s="6" r="Y1108">
        <v>0</v>
      </c>
      <c s="6" r="Z1108">
        <v>0</v>
      </c>
      <c s="6" r="AA1108">
        <v>7</v>
      </c>
      <c s="6" r="AB1108">
        <v>7</v>
      </c>
      <c t="s" s="6" r="AC1108">
        <v>92</v>
      </c>
      <c t="s" s="6" r="AD1108">
        <v>92</v>
      </c>
      <c t="s" s="6" r="AE1108">
        <v>92</v>
      </c>
      <c s="6" r="AF1108">
        <v>5</v>
      </c>
      <c t="s" s="6" r="AG1108">
        <v>92</v>
      </c>
      <c t="s" s="6" r="AH1108">
        <v>92</v>
      </c>
      <c t="s" s="6" r="AI1108">
        <v>92</v>
      </c>
      <c t="s" s="6" r="AJ1108">
        <v>92</v>
      </c>
      <c t="s" s="6" r="AK1108">
        <v>92</v>
      </c>
      <c t="s" s="6" r="AL1108">
        <v>92</v>
      </c>
      <c t="s" s="6" r="AM1108">
        <v>92</v>
      </c>
      <c t="s" s="6" r="AN1108">
        <v>92</v>
      </c>
      <c s="6" r="AP1108">
        <v>7</v>
      </c>
      <c t="s" s="6" r="AR1108">
        <v>8153</v>
      </c>
      <c s="6" r="AS1108">
        <v>0</v>
      </c>
      <c s="6" r="AT1108">
        <v>0</v>
      </c>
      <c s="6" r="AU1108">
        <v>0</v>
      </c>
      <c s="6" r="AV1108">
        <v>0</v>
      </c>
      <c s="6" r="AW1108">
        <v>0</v>
      </c>
      <c s="6" r="AX1108">
        <v>0</v>
      </c>
      <c s="6" r="AY1108">
        <v>0</v>
      </c>
      <c s="6" r="AZ1108">
        <v>0</v>
      </c>
      <c s="6" r="BA1108">
        <v>0</v>
      </c>
      <c s="6" r="BB1108">
        <v>0</v>
      </c>
      <c s="6" r="BC1108">
        <v>0</v>
      </c>
      <c s="6" r="BD1108">
        <v>0</v>
      </c>
      <c s="6" r="BE1108">
        <v>0</v>
      </c>
      <c s="6" r="BF1108">
        <v>0</v>
      </c>
      <c s="6" r="BG1108">
        <v>0</v>
      </c>
      <c s="6" r="BH1108">
        <v>0</v>
      </c>
      <c s="6" r="BI1108">
        <v>0</v>
      </c>
      <c s="6" r="BJ1108">
        <v>0</v>
      </c>
      <c s="6" r="BK1108">
        <v>0</v>
      </c>
      <c s="6" r="BL1108">
        <v>0</v>
      </c>
      <c s="6" r="BM1108">
        <v>0</v>
      </c>
      <c s="6" r="BN1108">
        <v>0</v>
      </c>
      <c s="6" r="BO1108">
        <v>0</v>
      </c>
      <c s="6" r="BP1108">
        <v>1</v>
      </c>
      <c s="6" r="BQ1108">
        <v>0</v>
      </c>
      <c t="str" s="6" r="BR1108">
        <f>HYPERLINK("http://www.d20pfsrd.com/magic/all-spells/r/resonating-word","Resonating Word")</f>
        <v>Resonating Word</v>
      </c>
      <c s="6" r="BS1108">
        <v>1130</v>
      </c>
      <c t="s" s="6" r="BT1108">
        <v>92</v>
      </c>
      <c t="s" s="6" r="BW1108">
        <v>8154</v>
      </c>
      <c s="6" r="BY1108">
        <v>1</v>
      </c>
    </row>
    <row customHeight="1" r="1109" ht="14.25">
      <c t="s" s="6" r="A1109">
        <v>8155</v>
      </c>
      <c t="s" s="6" r="B1109">
        <v>227</v>
      </c>
      <c t="s" s="6" r="E1109">
        <v>7512</v>
      </c>
      <c t="s" s="6" r="F1109">
        <v>81</v>
      </c>
      <c t="s" s="6" r="G1109">
        <v>106</v>
      </c>
      <c s="6" r="H1109">
        <v>0</v>
      </c>
      <c t="s" s="6" r="I1109">
        <v>120</v>
      </c>
      <c t="s" s="6" r="L1109">
        <v>2041</v>
      </c>
      <c t="s" s="6" r="M1109">
        <v>109</v>
      </c>
      <c s="6" r="N1109">
        <v>0</v>
      </c>
      <c s="6" r="O1109">
        <v>0</v>
      </c>
      <c t="s" s="6" r="P1109">
        <v>86</v>
      </c>
      <c t="s" s="6" r="Q1109">
        <v>87</v>
      </c>
      <c t="s" s="6" r="R1109">
        <v>8156</v>
      </c>
      <c t="s" s="6" r="S1109">
        <v>8157</v>
      </c>
      <c t="s" s="6" r="T1109">
        <v>7122</v>
      </c>
      <c t="s" s="6" r="U1109">
        <v>8158</v>
      </c>
      <c s="6" r="V1109">
        <v>1</v>
      </c>
      <c s="6" r="W1109">
        <v>1</v>
      </c>
      <c s="6" r="X1109">
        <v>0</v>
      </c>
      <c s="6" r="Y1109">
        <v>0</v>
      </c>
      <c s="6" r="Z1109">
        <v>0</v>
      </c>
      <c s="6" r="AA1109">
        <v>1</v>
      </c>
      <c s="6" r="AB1109">
        <v>1</v>
      </c>
      <c s="6" r="AC1109">
        <v>1</v>
      </c>
      <c s="6" r="AD1109">
        <v>1</v>
      </c>
      <c t="s" s="6" r="AE1109">
        <v>92</v>
      </c>
      <c t="s" s="6" r="AF1109">
        <v>92</v>
      </c>
      <c t="s" s="6" r="AG1109">
        <v>92</v>
      </c>
      <c t="s" s="6" r="AH1109">
        <v>92</v>
      </c>
      <c t="s" s="6" r="AI1109">
        <v>92</v>
      </c>
      <c s="6" r="AJ1109">
        <v>1</v>
      </c>
      <c t="s" s="6" r="AK1109">
        <v>92</v>
      </c>
      <c s="6" r="AL1109">
        <v>1</v>
      </c>
      <c t="s" s="6" r="AM1109">
        <v>92</v>
      </c>
      <c t="s" s="6" r="AN1109">
        <v>92</v>
      </c>
      <c s="6" r="AP1109">
        <v>1</v>
      </c>
      <c t="s" s="6" r="AR1109">
        <v>8159</v>
      </c>
      <c s="6" r="AS1109">
        <v>0</v>
      </c>
      <c s="6" r="AT1109">
        <v>0</v>
      </c>
      <c s="6" r="AU1109">
        <v>0</v>
      </c>
      <c s="6" r="AV1109">
        <v>0</v>
      </c>
      <c s="6" r="AW1109">
        <v>0</v>
      </c>
      <c s="6" r="AX1109">
        <v>0</v>
      </c>
      <c s="6" r="AY1109">
        <v>0</v>
      </c>
      <c s="6" r="AZ1109">
        <v>0</v>
      </c>
      <c s="6" r="BA1109">
        <v>0</v>
      </c>
      <c s="6" r="BB1109">
        <v>0</v>
      </c>
      <c s="6" r="BC1109">
        <v>0</v>
      </c>
      <c s="6" r="BD1109">
        <v>0</v>
      </c>
      <c s="6" r="BE1109">
        <v>0</v>
      </c>
      <c s="6" r="BF1109">
        <v>0</v>
      </c>
      <c s="6" r="BG1109">
        <v>0</v>
      </c>
      <c s="6" r="BH1109">
        <v>0</v>
      </c>
      <c s="6" r="BI1109">
        <v>0</v>
      </c>
      <c s="6" r="BJ1109">
        <v>0</v>
      </c>
      <c s="6" r="BK1109">
        <v>0</v>
      </c>
      <c s="6" r="BL1109">
        <v>0</v>
      </c>
      <c s="6" r="BM1109">
        <v>0</v>
      </c>
      <c s="6" r="BN1109">
        <v>0</v>
      </c>
      <c s="6" r="BO1109">
        <v>0</v>
      </c>
      <c s="6" r="BP1109">
        <v>0</v>
      </c>
      <c s="6" r="BQ1109">
        <v>0</v>
      </c>
      <c t="str" s="6" r="BR1109">
        <f>HYPERLINK("http://www.d20pfsrd.com/magic/all-spells/r/restore-corpse","Restore Corpse")</f>
        <v>Restore Corpse</v>
      </c>
      <c s="6" r="BS1109">
        <v>1131</v>
      </c>
      <c t="s" s="6" r="BT1109">
        <v>92</v>
      </c>
      <c s="6" r="BY1109">
        <v>0</v>
      </c>
    </row>
    <row customHeight="1" r="1110" ht="14.25">
      <c t="s" s="6" r="A1110">
        <v>8160</v>
      </c>
      <c t="s" s="6" r="B1110">
        <v>78</v>
      </c>
      <c t="s" s="6" r="C1110">
        <v>598</v>
      </c>
      <c t="s" s="6" r="E1110">
        <v>5808</v>
      </c>
      <c t="s" s="6" r="F1110">
        <v>197</v>
      </c>
      <c t="s" s="6" r="G1110">
        <v>3650</v>
      </c>
      <c s="6" r="H1110">
        <v>1</v>
      </c>
      <c t="s" s="6" r="I1110">
        <v>120</v>
      </c>
      <c t="s" s="6" r="L1110">
        <v>6384</v>
      </c>
      <c t="s" s="6" r="M1110">
        <v>109</v>
      </c>
      <c s="6" r="N1110">
        <v>0</v>
      </c>
      <c s="6" r="O1110">
        <v>0</v>
      </c>
      <c t="s" s="6" r="P1110">
        <v>421</v>
      </c>
      <c t="s" s="6" r="Q1110">
        <v>123</v>
      </c>
      <c t="s" s="6" r="R1110">
        <v>8161</v>
      </c>
      <c t="s" s="6" r="S1110">
        <v>8162</v>
      </c>
      <c t="s" s="6" r="T1110">
        <v>7122</v>
      </c>
      <c t="s" s="6" r="U1110">
        <v>8163</v>
      </c>
      <c s="6" r="V1110">
        <v>1</v>
      </c>
      <c s="6" r="W1110">
        <v>1</v>
      </c>
      <c s="6" r="X1110">
        <v>1</v>
      </c>
      <c s="6" r="Y1110">
        <v>0</v>
      </c>
      <c s="6" r="Z1110">
        <v>0</v>
      </c>
      <c t="s" s="6" r="AA1110">
        <v>92</v>
      </c>
      <c t="s" s="6" r="AB1110">
        <v>92</v>
      </c>
      <c t="s" s="6" r="AC1110">
        <v>92</v>
      </c>
      <c t="s" s="6" r="AD1110">
        <v>92</v>
      </c>
      <c t="s" s="6" r="AE1110">
        <v>92</v>
      </c>
      <c t="s" s="6" r="AF1110">
        <v>92</v>
      </c>
      <c t="s" s="6" r="AG1110">
        <v>92</v>
      </c>
      <c t="s" s="6" r="AH1110">
        <v>92</v>
      </c>
      <c s="6" r="AI1110">
        <v>3</v>
      </c>
      <c t="s" s="6" r="AJ1110">
        <v>92</v>
      </c>
      <c t="s" s="6" r="AK1110">
        <v>92</v>
      </c>
      <c t="s" s="6" r="AL1110">
        <v>92</v>
      </c>
      <c t="s" s="6" r="AM1110">
        <v>92</v>
      </c>
      <c t="s" s="6" r="AN1110">
        <v>92</v>
      </c>
      <c s="6" r="AP1110">
        <v>3</v>
      </c>
      <c t="s" s="6" r="AR1110">
        <v>8164</v>
      </c>
      <c s="6" r="AS1110">
        <v>0</v>
      </c>
      <c s="6" r="AT1110">
        <v>0</v>
      </c>
      <c s="6" r="AU1110">
        <v>0</v>
      </c>
      <c s="6" r="AV1110">
        <v>0</v>
      </c>
      <c s="6" r="AW1110">
        <v>0</v>
      </c>
      <c s="6" r="AX1110">
        <v>0</v>
      </c>
      <c s="6" r="AY1110">
        <v>0</v>
      </c>
      <c s="6" r="AZ1110">
        <v>0</v>
      </c>
      <c s="6" r="BA1110">
        <v>0</v>
      </c>
      <c s="6" r="BB1110">
        <v>0</v>
      </c>
      <c s="6" r="BC1110">
        <v>0</v>
      </c>
      <c s="6" r="BD1110">
        <v>0</v>
      </c>
      <c s="6" r="BE1110">
        <v>0</v>
      </c>
      <c s="6" r="BF1110">
        <v>0</v>
      </c>
      <c s="6" r="BG1110">
        <v>0</v>
      </c>
      <c s="6" r="BH1110">
        <v>0</v>
      </c>
      <c s="6" r="BI1110">
        <v>0</v>
      </c>
      <c s="6" r="BJ1110">
        <v>0</v>
      </c>
      <c s="6" r="BK1110">
        <v>0</v>
      </c>
      <c s="6" r="BL1110">
        <v>0</v>
      </c>
      <c s="6" r="BM1110">
        <v>0</v>
      </c>
      <c s="6" r="BN1110">
        <v>0</v>
      </c>
      <c s="6" r="BO1110">
        <v>0</v>
      </c>
      <c s="6" r="BP1110">
        <v>0</v>
      </c>
      <c s="6" r="BQ1110">
        <v>0</v>
      </c>
      <c t="str" s="6" r="BR1110">
        <f>HYPERLINK("http://www.d20pfsrd.com/magic/all-spells/r/restore-eidolon","Restore Eidolon")</f>
        <v>Restore Eidolon</v>
      </c>
      <c s="6" r="BS1110">
        <v>1132</v>
      </c>
      <c s="6" r="BT1110">
        <v>100</v>
      </c>
      <c s="6" r="BY1110">
        <v>0</v>
      </c>
    </row>
    <row customHeight="1" r="1111" ht="14.25">
      <c t="s" s="6" r="A1111">
        <v>8165</v>
      </c>
      <c t="s" s="6" r="B1111">
        <v>78</v>
      </c>
      <c t="s" s="6" r="C1111">
        <v>598</v>
      </c>
      <c t="s" s="6" r="E1111">
        <v>5801</v>
      </c>
      <c t="s" s="6" r="F1111">
        <v>1764</v>
      </c>
      <c t="s" s="6" r="G1111">
        <v>106</v>
      </c>
      <c s="6" r="H1111">
        <v>0</v>
      </c>
      <c t="s" s="6" r="I1111">
        <v>120</v>
      </c>
      <c t="s" s="6" r="L1111">
        <v>6384</v>
      </c>
      <c t="s" s="6" r="M1111">
        <v>109</v>
      </c>
      <c s="6" r="N1111">
        <v>0</v>
      </c>
      <c s="6" r="O1111">
        <v>0</v>
      </c>
      <c t="s" s="6" r="P1111">
        <v>421</v>
      </c>
      <c t="s" s="6" r="Q1111">
        <v>123</v>
      </c>
      <c t="s" s="6" r="R1111">
        <v>8166</v>
      </c>
      <c t="s" s="6" r="S1111">
        <v>8167</v>
      </c>
      <c t="s" s="6" r="T1111">
        <v>7122</v>
      </c>
      <c t="s" s="6" r="U1111">
        <v>8168</v>
      </c>
      <c s="6" r="V1111">
        <v>1</v>
      </c>
      <c s="6" r="W1111">
        <v>1</v>
      </c>
      <c s="6" r="X1111">
        <v>0</v>
      </c>
      <c s="6" r="Y1111">
        <v>0</v>
      </c>
      <c s="6" r="Z1111">
        <v>0</v>
      </c>
      <c t="s" s="6" r="AA1111">
        <v>92</v>
      </c>
      <c t="s" s="6" r="AB1111">
        <v>92</v>
      </c>
      <c t="s" s="6" r="AC1111">
        <v>92</v>
      </c>
      <c t="s" s="6" r="AD1111">
        <v>92</v>
      </c>
      <c t="s" s="6" r="AE1111">
        <v>92</v>
      </c>
      <c t="s" s="6" r="AF1111">
        <v>92</v>
      </c>
      <c t="s" s="6" r="AG1111">
        <v>92</v>
      </c>
      <c t="s" s="6" r="AH1111">
        <v>92</v>
      </c>
      <c s="6" r="AI1111">
        <v>2</v>
      </c>
      <c t="s" s="6" r="AJ1111">
        <v>92</v>
      </c>
      <c t="s" s="6" r="AK1111">
        <v>92</v>
      </c>
      <c t="s" s="6" r="AL1111">
        <v>92</v>
      </c>
      <c t="s" s="6" r="AM1111">
        <v>92</v>
      </c>
      <c t="s" s="6" r="AN1111">
        <v>92</v>
      </c>
      <c s="6" r="AP1111">
        <v>2</v>
      </c>
      <c t="s" s="6" r="AR1111">
        <v>8169</v>
      </c>
      <c s="6" r="AS1111">
        <v>0</v>
      </c>
      <c s="6" r="AT1111">
        <v>0</v>
      </c>
      <c s="6" r="AU1111">
        <v>0</v>
      </c>
      <c s="6" r="AV1111">
        <v>0</v>
      </c>
      <c s="6" r="AW1111">
        <v>0</v>
      </c>
      <c s="6" r="AX1111">
        <v>0</v>
      </c>
      <c s="6" r="AY1111">
        <v>0</v>
      </c>
      <c s="6" r="AZ1111">
        <v>0</v>
      </c>
      <c s="6" r="BA1111">
        <v>0</v>
      </c>
      <c s="6" r="BB1111">
        <v>0</v>
      </c>
      <c s="6" r="BC1111">
        <v>0</v>
      </c>
      <c s="6" r="BD1111">
        <v>0</v>
      </c>
      <c s="6" r="BE1111">
        <v>0</v>
      </c>
      <c s="6" r="BF1111">
        <v>0</v>
      </c>
      <c s="6" r="BG1111">
        <v>0</v>
      </c>
      <c s="6" r="BH1111">
        <v>0</v>
      </c>
      <c s="6" r="BI1111">
        <v>0</v>
      </c>
      <c s="6" r="BJ1111">
        <v>0</v>
      </c>
      <c s="6" r="BK1111">
        <v>0</v>
      </c>
      <c s="6" r="BL1111">
        <v>0</v>
      </c>
      <c s="6" r="BM1111">
        <v>0</v>
      </c>
      <c s="6" r="BN1111">
        <v>0</v>
      </c>
      <c s="6" r="BO1111">
        <v>0</v>
      </c>
      <c s="6" r="BP1111">
        <v>0</v>
      </c>
      <c s="6" r="BQ1111">
        <v>0</v>
      </c>
      <c t="str" s="6" r="BR1111">
        <f>HYPERLINK("http://www.d20pfsrd.com/magic/all-spells/r/restore-eidolon","Restore Eidolon, Lesser")</f>
        <v>Restore Eidolon, Lesser</v>
      </c>
      <c s="6" r="BS1111">
        <v>1133</v>
      </c>
      <c t="s" s="6" r="BT1111">
        <v>92</v>
      </c>
      <c s="6" r="BY1111">
        <v>0</v>
      </c>
    </row>
    <row customHeight="1" r="1112" ht="14.25">
      <c t="s" s="6" r="A1112">
        <v>8170</v>
      </c>
      <c t="s" s="6" r="B1112">
        <v>493</v>
      </c>
      <c t="s" s="6" r="D1112">
        <v>53</v>
      </c>
      <c t="s" s="6" r="E1112">
        <v>1058</v>
      </c>
      <c t="s" s="6" r="F1112">
        <v>5881</v>
      </c>
      <c t="s" s="6" r="G1112">
        <v>106</v>
      </c>
      <c s="6" r="H1112">
        <v>0</v>
      </c>
      <c t="s" s="6" r="I1112">
        <v>155</v>
      </c>
      <c t="s" s="6" r="L1112">
        <v>156</v>
      </c>
      <c t="s" s="6" r="M1112">
        <v>483</v>
      </c>
      <c s="6" r="N1112">
        <v>1</v>
      </c>
      <c s="6" r="O1112">
        <v>0</v>
      </c>
      <c t="s" s="6" r="R1112">
        <v>8171</v>
      </c>
      <c t="s" s="6" r="S1112">
        <v>8172</v>
      </c>
      <c t="s" s="6" r="T1112">
        <v>7122</v>
      </c>
      <c t="s" s="6" r="U1112">
        <v>8173</v>
      </c>
      <c s="6" r="V1112">
        <v>1</v>
      </c>
      <c s="6" r="W1112">
        <v>1</v>
      </c>
      <c s="6" r="X1112">
        <v>0</v>
      </c>
      <c s="6" r="Y1112">
        <v>0</v>
      </c>
      <c s="6" r="Z1112">
        <v>0</v>
      </c>
      <c s="6" r="AA1112">
        <v>9</v>
      </c>
      <c s="6" r="AB1112">
        <v>9</v>
      </c>
      <c t="s" s="6" r="AC1112">
        <v>92</v>
      </c>
      <c t="s" s="6" r="AD1112">
        <v>92</v>
      </c>
      <c t="s" s="6" r="AE1112">
        <v>92</v>
      </c>
      <c t="s" s="6" r="AF1112">
        <v>92</v>
      </c>
      <c t="s" s="6" r="AG1112">
        <v>92</v>
      </c>
      <c t="s" s="6" r="AH1112">
        <v>92</v>
      </c>
      <c t="s" s="6" r="AI1112">
        <v>92</v>
      </c>
      <c t="s" s="6" r="AJ1112">
        <v>92</v>
      </c>
      <c t="s" s="6" r="AK1112">
        <v>92</v>
      </c>
      <c t="s" s="6" r="AL1112">
        <v>92</v>
      </c>
      <c t="s" s="6" r="AM1112">
        <v>92</v>
      </c>
      <c t="s" s="6" r="AN1112">
        <v>92</v>
      </c>
      <c s="6" r="AP1112">
        <v>9</v>
      </c>
      <c t="s" s="6" r="AR1112">
        <v>8174</v>
      </c>
      <c s="6" r="AS1112">
        <v>0</v>
      </c>
      <c s="6" r="AT1112">
        <v>0</v>
      </c>
      <c s="6" r="AU1112">
        <v>0</v>
      </c>
      <c s="6" r="AV1112">
        <v>0</v>
      </c>
      <c s="6" r="AW1112">
        <v>0</v>
      </c>
      <c s="6" r="AX1112">
        <v>0</v>
      </c>
      <c s="6" r="AY1112">
        <v>0</v>
      </c>
      <c s="6" r="AZ1112">
        <v>0</v>
      </c>
      <c s="6" r="BA1112">
        <v>0</v>
      </c>
      <c s="6" r="BB1112">
        <v>1</v>
      </c>
      <c s="6" r="BC1112">
        <v>0</v>
      </c>
      <c s="6" r="BD1112">
        <v>0</v>
      </c>
      <c s="6" r="BE1112">
        <v>0</v>
      </c>
      <c s="6" r="BF1112">
        <v>0</v>
      </c>
      <c s="6" r="BG1112">
        <v>0</v>
      </c>
      <c s="6" r="BH1112">
        <v>0</v>
      </c>
      <c s="6" r="BI1112">
        <v>0</v>
      </c>
      <c s="6" r="BJ1112">
        <v>0</v>
      </c>
      <c s="6" r="BK1112">
        <v>0</v>
      </c>
      <c s="6" r="BL1112">
        <v>0</v>
      </c>
      <c s="6" r="BM1112">
        <v>0</v>
      </c>
      <c s="6" r="BN1112">
        <v>0</v>
      </c>
      <c s="6" r="BO1112">
        <v>0</v>
      </c>
      <c s="6" r="BP1112">
        <v>0</v>
      </c>
      <c s="6" r="BQ1112">
        <v>0</v>
      </c>
      <c t="str" s="6" r="BR1112">
        <f>HYPERLINK("http://www.d20pfsrd.com/magic/all-spells/r/ride-the-lightning","Ride the Lightning")</f>
        <v>Ride the Lightning</v>
      </c>
      <c s="6" r="BS1112">
        <v>1134</v>
      </c>
      <c t="s" s="6" r="BT1112">
        <v>92</v>
      </c>
      <c s="6" r="BY1112">
        <v>0</v>
      </c>
    </row>
    <row customHeight="1" r="1113" ht="14.25">
      <c t="s" s="6" r="A1113">
        <v>8175</v>
      </c>
      <c t="s" s="6" r="B1113">
        <v>131</v>
      </c>
      <c t="s" s="6" r="D1113">
        <v>68</v>
      </c>
      <c t="s" s="6" r="E1113">
        <v>8176</v>
      </c>
      <c t="s" s="6" r="F1113">
        <v>81</v>
      </c>
      <c t="s" s="6" r="G1113">
        <v>106</v>
      </c>
      <c s="6" r="H1113">
        <v>0</v>
      </c>
      <c t="s" s="6" r="I1113">
        <v>120</v>
      </c>
      <c t="s" s="6" r="L1113">
        <v>420</v>
      </c>
      <c t="s" s="6" r="M1113">
        <v>711</v>
      </c>
      <c s="6" r="N1113">
        <v>1</v>
      </c>
      <c s="6" r="O1113">
        <v>0</v>
      </c>
      <c t="s" s="6" r="P1113">
        <v>421</v>
      </c>
      <c t="s" s="6" r="Q1113">
        <v>123</v>
      </c>
      <c t="s" s="6" r="R1113">
        <v>8177</v>
      </c>
      <c t="s" s="6" r="S1113">
        <v>8178</v>
      </c>
      <c t="s" s="6" r="T1113">
        <v>7122</v>
      </c>
      <c t="s" s="6" r="U1113">
        <v>8179</v>
      </c>
      <c s="6" r="V1113">
        <v>1</v>
      </c>
      <c s="6" r="W1113">
        <v>1</v>
      </c>
      <c s="6" r="X1113">
        <v>0</v>
      </c>
      <c s="6" r="Y1113">
        <v>0</v>
      </c>
      <c s="6" r="Z1113">
        <v>0</v>
      </c>
      <c s="6" r="AA1113">
        <v>4</v>
      </c>
      <c s="6" r="AB1113">
        <v>4</v>
      </c>
      <c s="6" r="AC1113">
        <v>4</v>
      </c>
      <c s="6" r="AD1113">
        <v>4</v>
      </c>
      <c t="s" s="6" r="AE1113">
        <v>92</v>
      </c>
      <c t="s" s="6" r="AF1113">
        <v>92</v>
      </c>
      <c t="s" s="6" r="AG1113">
        <v>92</v>
      </c>
      <c t="s" s="6" r="AH1113">
        <v>92</v>
      </c>
      <c t="s" s="6" r="AI1113">
        <v>92</v>
      </c>
      <c s="6" r="AJ1113">
        <v>4</v>
      </c>
      <c t="s" s="6" r="AK1113">
        <v>92</v>
      </c>
      <c s="6" r="AL1113">
        <v>4</v>
      </c>
      <c t="s" s="6" r="AM1113">
        <v>92</v>
      </c>
      <c t="s" s="6" r="AN1113">
        <v>92</v>
      </c>
      <c s="6" r="AP1113">
        <v>4</v>
      </c>
      <c t="s" s="6" r="AR1113">
        <v>8180</v>
      </c>
      <c s="6" r="AS1113">
        <v>0</v>
      </c>
      <c s="6" r="AT1113">
        <v>0</v>
      </c>
      <c s="6" r="AU1113">
        <v>0</v>
      </c>
      <c s="6" r="AV1113">
        <v>0</v>
      </c>
      <c s="6" r="AW1113">
        <v>0</v>
      </c>
      <c s="6" r="AX1113">
        <v>0</v>
      </c>
      <c s="6" r="AY1113">
        <v>0</v>
      </c>
      <c s="6" r="AZ1113">
        <v>0</v>
      </c>
      <c s="6" r="BA1113">
        <v>0</v>
      </c>
      <c s="6" r="BB1113">
        <v>0</v>
      </c>
      <c s="6" r="BC1113">
        <v>0</v>
      </c>
      <c s="6" r="BD1113">
        <v>0</v>
      </c>
      <c s="6" r="BE1113">
        <v>0</v>
      </c>
      <c s="6" r="BF1113">
        <v>0</v>
      </c>
      <c s="6" r="BG1113">
        <v>0</v>
      </c>
      <c s="6" r="BH1113">
        <v>0</v>
      </c>
      <c s="6" r="BI1113">
        <v>0</v>
      </c>
      <c s="6" r="BJ1113">
        <v>0</v>
      </c>
      <c s="6" r="BK1113">
        <v>0</v>
      </c>
      <c s="6" r="BL1113">
        <v>0</v>
      </c>
      <c s="6" r="BM1113">
        <v>0</v>
      </c>
      <c s="6" r="BN1113">
        <v>0</v>
      </c>
      <c s="6" r="BO1113">
        <v>0</v>
      </c>
      <c s="6" r="BP1113">
        <v>0</v>
      </c>
      <c s="6" r="BQ1113">
        <v>1</v>
      </c>
      <c t="str" s="6" r="BR1113">
        <f>HYPERLINK("http://www.d20pfsrd.com/magic/all-spells/r/ride-the-waves","Ride The Waves")</f>
        <v>Ride The Waves</v>
      </c>
      <c s="6" r="BS1113">
        <v>1135</v>
      </c>
      <c t="s" s="6" r="BT1113">
        <v>92</v>
      </c>
      <c s="6" r="BY1113">
        <v>0</v>
      </c>
    </row>
    <row customHeight="1" r="1114" ht="14.25">
      <c t="s" s="6" r="A1114">
        <v>8181</v>
      </c>
      <c t="s" s="6" r="B1114">
        <v>493</v>
      </c>
      <c t="s" s="6" r="D1114">
        <v>59</v>
      </c>
      <c t="s" s="6" r="E1114">
        <v>8182</v>
      </c>
      <c t="s" s="6" r="F1114">
        <v>81</v>
      </c>
      <c t="s" s="6" r="G1114">
        <v>8183</v>
      </c>
      <c s="6" r="H1114">
        <v>0</v>
      </c>
      <c t="s" s="6" r="I1114">
        <v>120</v>
      </c>
      <c t="s" s="6" r="J1114">
        <v>2041</v>
      </c>
      <c t="s" s="6" r="M1114">
        <v>379</v>
      </c>
      <c s="6" r="N1114">
        <v>0</v>
      </c>
      <c s="6" r="O1114">
        <v>0</v>
      </c>
      <c t="s" s="6" r="P1114">
        <v>86</v>
      </c>
      <c t="s" s="6" r="Q1114">
        <v>87</v>
      </c>
      <c t="s" s="6" r="R1114">
        <v>8184</v>
      </c>
      <c t="s" s="6" r="S1114">
        <v>8185</v>
      </c>
      <c t="s" s="6" r="T1114">
        <v>7122</v>
      </c>
      <c t="s" s="6" r="U1114">
        <v>8186</v>
      </c>
      <c s="6" r="V1114">
        <v>1</v>
      </c>
      <c s="6" r="W1114">
        <v>1</v>
      </c>
      <c s="6" r="X1114">
        <v>1</v>
      </c>
      <c s="6" r="Y1114">
        <v>0</v>
      </c>
      <c s="6" r="Z1114">
        <v>1</v>
      </c>
      <c t="s" s="6" r="AA1114">
        <v>92</v>
      </c>
      <c t="s" s="6" r="AB1114">
        <v>92</v>
      </c>
      <c s="6" r="AC1114">
        <v>1</v>
      </c>
      <c t="s" s="6" r="AD1114">
        <v>92</v>
      </c>
      <c t="s" s="6" r="AE1114">
        <v>92</v>
      </c>
      <c t="s" s="6" r="AF1114">
        <v>92</v>
      </c>
      <c s="6" r="AG1114">
        <v>1</v>
      </c>
      <c t="s" s="6" r="AH1114">
        <v>92</v>
      </c>
      <c t="s" s="6" r="AI1114">
        <v>92</v>
      </c>
      <c s="6" r="AJ1114">
        <v>1</v>
      </c>
      <c s="6" r="AK1114">
        <v>1</v>
      </c>
      <c s="6" r="AL1114">
        <v>1</v>
      </c>
      <c t="s" s="6" r="AM1114">
        <v>92</v>
      </c>
      <c t="s" s="6" r="AN1114">
        <v>92</v>
      </c>
      <c s="6" r="AP1114">
        <v>1</v>
      </c>
      <c t="s" s="6" r="AR1114">
        <v>8187</v>
      </c>
      <c s="6" r="AS1114">
        <v>0</v>
      </c>
      <c s="6" r="AT1114">
        <v>0</v>
      </c>
      <c s="6" r="AU1114">
        <v>0</v>
      </c>
      <c s="6" r="AV1114">
        <v>0</v>
      </c>
      <c s="6" r="AW1114">
        <v>0</v>
      </c>
      <c s="6" r="AX1114">
        <v>0</v>
      </c>
      <c s="6" r="AY1114">
        <v>0</v>
      </c>
      <c s="6" r="AZ1114">
        <v>0</v>
      </c>
      <c s="6" r="BA1114">
        <v>0</v>
      </c>
      <c s="6" r="BB1114">
        <v>0</v>
      </c>
      <c s="6" r="BC1114">
        <v>0</v>
      </c>
      <c s="6" r="BD1114">
        <v>0</v>
      </c>
      <c s="6" r="BE1114">
        <v>0</v>
      </c>
      <c s="6" r="BF1114">
        <v>0</v>
      </c>
      <c s="6" r="BG1114">
        <v>0</v>
      </c>
      <c s="6" r="BH1114">
        <v>1</v>
      </c>
      <c s="6" r="BI1114">
        <v>0</v>
      </c>
      <c s="6" r="BJ1114">
        <v>0</v>
      </c>
      <c s="6" r="BK1114">
        <v>0</v>
      </c>
      <c s="6" r="BL1114">
        <v>0</v>
      </c>
      <c s="6" r="BM1114">
        <v>0</v>
      </c>
      <c s="6" r="BN1114">
        <v>0</v>
      </c>
      <c s="6" r="BO1114">
        <v>0</v>
      </c>
      <c s="6" r="BP1114">
        <v>0</v>
      </c>
      <c s="6" r="BQ1114">
        <v>0</v>
      </c>
      <c t="str" s="6" r="BR1114">
        <f>HYPERLINK("http://www.d20pfsrd.com/magic/all-spells/s/sanctify-corpse","Sanctify Corpse")</f>
        <v>Sanctify Corpse</v>
      </c>
      <c s="6" r="BS1114">
        <v>1136</v>
      </c>
      <c t="s" s="6" r="BT1114">
        <v>92</v>
      </c>
      <c s="6" r="BY1114">
        <v>0</v>
      </c>
    </row>
    <row customHeight="1" r="1115" ht="14.25">
      <c t="s" s="6" r="A1115">
        <v>8188</v>
      </c>
      <c t="s" s="6" r="B1115">
        <v>227</v>
      </c>
      <c t="s" s="6" r="E1115">
        <v>7850</v>
      </c>
      <c t="s" s="6" r="F1115">
        <v>81</v>
      </c>
      <c t="s" s="6" r="G1115">
        <v>106</v>
      </c>
      <c s="6" r="H1115">
        <v>0</v>
      </c>
      <c t="s" s="6" r="I1115">
        <v>120</v>
      </c>
      <c t="s" s="6" r="L1115">
        <v>8189</v>
      </c>
      <c t="s" s="6" r="M1115">
        <v>8190</v>
      </c>
      <c s="6" r="N1115">
        <v>0</v>
      </c>
      <c s="6" r="O1115">
        <v>0</v>
      </c>
      <c t="s" s="6" r="P1115">
        <v>86</v>
      </c>
      <c t="s" s="6" r="Q1115">
        <v>188</v>
      </c>
      <c t="s" s="6" r="R1115">
        <v>8191</v>
      </c>
      <c t="s" s="6" r="S1115">
        <v>8192</v>
      </c>
      <c t="s" s="6" r="T1115">
        <v>7122</v>
      </c>
      <c t="s" s="6" r="U1115">
        <v>8193</v>
      </c>
      <c s="6" r="V1115">
        <v>1</v>
      </c>
      <c s="6" r="W1115">
        <v>1</v>
      </c>
      <c s="6" r="X1115">
        <v>0</v>
      </c>
      <c s="6" r="Y1115">
        <v>0</v>
      </c>
      <c s="6" r="Z1115">
        <v>0</v>
      </c>
      <c s="6" r="AA1115">
        <v>3</v>
      </c>
      <c s="6" r="AB1115">
        <v>3</v>
      </c>
      <c s="6" r="AC1115">
        <v>3</v>
      </c>
      <c t="s" s="6" r="AD1115">
        <v>92</v>
      </c>
      <c t="s" s="6" r="AE1115">
        <v>92</v>
      </c>
      <c t="s" s="6" r="AF1115">
        <v>92</v>
      </c>
      <c t="s" s="6" r="AG1115">
        <v>92</v>
      </c>
      <c t="s" s="6" r="AH1115">
        <v>92</v>
      </c>
      <c t="s" s="6" r="AI1115">
        <v>92</v>
      </c>
      <c s="6" r="AJ1115">
        <v>3</v>
      </c>
      <c t="s" s="6" r="AK1115">
        <v>92</v>
      </c>
      <c s="6" r="AL1115">
        <v>3</v>
      </c>
      <c t="s" s="6" r="AM1115">
        <v>92</v>
      </c>
      <c t="s" s="6" r="AN1115">
        <v>92</v>
      </c>
      <c s="6" r="AP1115">
        <v>3</v>
      </c>
      <c t="s" s="6" r="AR1115">
        <v>8194</v>
      </c>
      <c s="6" r="AS1115">
        <v>0</v>
      </c>
      <c s="6" r="AT1115">
        <v>0</v>
      </c>
      <c s="6" r="AU1115">
        <v>0</v>
      </c>
      <c s="6" r="AV1115">
        <v>0</v>
      </c>
      <c s="6" r="AW1115">
        <v>0</v>
      </c>
      <c s="6" r="AX1115">
        <v>0</v>
      </c>
      <c s="6" r="AY1115">
        <v>0</v>
      </c>
      <c s="6" r="AZ1115">
        <v>0</v>
      </c>
      <c s="6" r="BA1115">
        <v>0</v>
      </c>
      <c s="6" r="BB1115">
        <v>0</v>
      </c>
      <c s="6" r="BC1115">
        <v>0</v>
      </c>
      <c s="6" r="BD1115">
        <v>0</v>
      </c>
      <c s="6" r="BE1115">
        <v>0</v>
      </c>
      <c s="6" r="BF1115">
        <v>0</v>
      </c>
      <c s="6" r="BG1115">
        <v>0</v>
      </c>
      <c s="6" r="BH1115">
        <v>0</v>
      </c>
      <c s="6" r="BI1115">
        <v>0</v>
      </c>
      <c s="6" r="BJ1115">
        <v>0</v>
      </c>
      <c s="6" r="BK1115">
        <v>0</v>
      </c>
      <c s="6" r="BL1115">
        <v>0</v>
      </c>
      <c s="6" r="BM1115">
        <v>0</v>
      </c>
      <c s="6" r="BN1115">
        <v>0</v>
      </c>
      <c s="6" r="BO1115">
        <v>0</v>
      </c>
      <c s="6" r="BP1115">
        <v>0</v>
      </c>
      <c s="6" r="BQ1115">
        <v>0</v>
      </c>
      <c t="str" s="6" r="BR1115">
        <f>HYPERLINK("http://www.d20pfsrd.com/magic/all-spells/s/sands-of-time","Sands of Time")</f>
        <v>Sands of Time</v>
      </c>
      <c s="6" r="BS1115">
        <v>1137</v>
      </c>
      <c t="s" s="6" r="BT1115">
        <v>92</v>
      </c>
      <c s="6" r="BY1115">
        <v>0</v>
      </c>
    </row>
    <row customHeight="1" r="1116" ht="14.25">
      <c t="s" s="6" r="A1116">
        <v>8195</v>
      </c>
      <c t="s" s="6" r="B1116">
        <v>493</v>
      </c>
      <c t="s" s="6" r="D1116">
        <v>8196</v>
      </c>
      <c t="s" s="6" r="E1116">
        <v>8197</v>
      </c>
      <c t="s" s="6" r="F1116">
        <v>81</v>
      </c>
      <c t="s" s="6" r="G1116">
        <v>106</v>
      </c>
      <c s="6" r="H1116">
        <v>0</v>
      </c>
      <c t="s" s="6" r="I1116">
        <v>97</v>
      </c>
      <c t="s" s="6" r="K1116">
        <v>8198</v>
      </c>
      <c t="s" s="6" r="M1116">
        <v>483</v>
      </c>
      <c s="6" r="N1116">
        <v>1</v>
      </c>
      <c s="6" r="O1116">
        <v>0</v>
      </c>
      <c t="s" s="6" r="P1116">
        <v>86</v>
      </c>
      <c t="s" s="6" r="Q1116">
        <v>7890</v>
      </c>
      <c t="s" s="6" r="R1116">
        <v>8199</v>
      </c>
      <c t="s" s="6" r="S1116">
        <v>8200</v>
      </c>
      <c t="s" s="6" r="T1116">
        <v>7122</v>
      </c>
      <c t="s" s="6" r="U1116">
        <v>8201</v>
      </c>
      <c s="6" r="V1116">
        <v>1</v>
      </c>
      <c s="6" r="W1116">
        <v>1</v>
      </c>
      <c s="6" r="X1116">
        <v>0</v>
      </c>
      <c s="6" r="Y1116">
        <v>0</v>
      </c>
      <c s="6" r="Z1116">
        <v>0</v>
      </c>
      <c s="6" r="AA1116">
        <v>7</v>
      </c>
      <c s="6" r="AB1116">
        <v>7</v>
      </c>
      <c t="s" s="6" r="AC1116">
        <v>92</v>
      </c>
      <c s="6" r="AD1116">
        <v>7</v>
      </c>
      <c t="s" s="6" r="AE1116">
        <v>92</v>
      </c>
      <c t="s" s="6" r="AF1116">
        <v>92</v>
      </c>
      <c t="s" s="6" r="AG1116">
        <v>92</v>
      </c>
      <c t="s" s="6" r="AH1116">
        <v>92</v>
      </c>
      <c t="s" s="6" r="AI1116">
        <v>92</v>
      </c>
      <c s="6" r="AJ1116">
        <v>7</v>
      </c>
      <c t="s" s="6" r="AK1116">
        <v>92</v>
      </c>
      <c t="s" s="6" r="AL1116">
        <v>92</v>
      </c>
      <c t="s" s="6" r="AM1116">
        <v>92</v>
      </c>
      <c t="s" s="6" r="AN1116">
        <v>92</v>
      </c>
      <c s="6" r="AP1116">
        <v>7</v>
      </c>
      <c t="s" s="6" r="AR1116">
        <v>8202</v>
      </c>
      <c s="6" r="AS1116">
        <v>0</v>
      </c>
      <c s="6" r="AT1116">
        <v>1</v>
      </c>
      <c s="6" r="AU1116">
        <v>0</v>
      </c>
      <c s="6" r="AV1116">
        <v>0</v>
      </c>
      <c s="6" r="AW1116">
        <v>0</v>
      </c>
      <c s="6" r="AX1116">
        <v>0</v>
      </c>
      <c s="6" r="AY1116">
        <v>0</v>
      </c>
      <c s="6" r="AZ1116">
        <v>0</v>
      </c>
      <c s="6" r="BA1116">
        <v>1</v>
      </c>
      <c s="6" r="BB1116">
        <v>0</v>
      </c>
      <c s="6" r="BC1116">
        <v>0</v>
      </c>
      <c s="6" r="BD1116">
        <v>0</v>
      </c>
      <c s="6" r="BE1116">
        <v>0</v>
      </c>
      <c s="6" r="BF1116">
        <v>0</v>
      </c>
      <c s="6" r="BG1116">
        <v>0</v>
      </c>
      <c s="6" r="BH1116">
        <v>0</v>
      </c>
      <c s="6" r="BI1116">
        <v>0</v>
      </c>
      <c s="6" r="BJ1116">
        <v>0</v>
      </c>
      <c s="6" r="BK1116">
        <v>0</v>
      </c>
      <c s="6" r="BL1116">
        <v>0</v>
      </c>
      <c s="6" r="BM1116">
        <v>0</v>
      </c>
      <c s="6" r="BN1116">
        <v>0</v>
      </c>
      <c s="6" r="BO1116">
        <v>0</v>
      </c>
      <c s="6" r="BP1116">
        <v>0</v>
      </c>
      <c s="6" r="BQ1116">
        <v>0</v>
      </c>
      <c t="str" s="6" r="BR1116">
        <f>HYPERLINK("http://www.d20pfsrd.com/magic/all-spells/s/scouring-winds","Scouring Winds")</f>
        <v>Scouring Winds</v>
      </c>
      <c s="6" r="BS1116">
        <v>1138</v>
      </c>
      <c t="s" s="6" r="BT1116">
        <v>92</v>
      </c>
      <c t="s" s="6" r="BW1116">
        <v>8203</v>
      </c>
      <c t="s" s="6" r="BX1116">
        <v>8204</v>
      </c>
      <c s="6" r="BY1116">
        <v>1</v>
      </c>
    </row>
    <row customHeight="1" r="1117" ht="14.25">
      <c t="s" s="6" r="A1117">
        <v>8205</v>
      </c>
      <c t="s" s="6" r="B1117">
        <v>131</v>
      </c>
      <c t="s" s="6" r="E1117">
        <v>320</v>
      </c>
      <c t="s" s="6" r="F1117">
        <v>81</v>
      </c>
      <c t="s" s="6" r="G1117">
        <v>106</v>
      </c>
      <c s="6" r="H1117">
        <v>0</v>
      </c>
      <c t="s" s="6" r="I1117">
        <v>120</v>
      </c>
      <c t="s" s="6" r="L1117">
        <v>8206</v>
      </c>
      <c t="s" s="6" r="M1117">
        <v>109</v>
      </c>
      <c s="6" r="N1117">
        <v>0</v>
      </c>
      <c s="6" r="O1117">
        <v>0</v>
      </c>
      <c t="s" s="6" r="P1117">
        <v>187</v>
      </c>
      <c t="s" s="6" r="Q1117">
        <v>188</v>
      </c>
      <c t="s" s="6" r="R1117">
        <v>8207</v>
      </c>
      <c t="s" s="6" r="S1117">
        <v>8208</v>
      </c>
      <c t="s" s="6" r="T1117">
        <v>7122</v>
      </c>
      <c t="s" s="6" r="U1117">
        <v>8209</v>
      </c>
      <c s="6" r="V1117">
        <v>1</v>
      </c>
      <c s="6" r="W1117">
        <v>1</v>
      </c>
      <c s="6" r="X1117">
        <v>0</v>
      </c>
      <c s="6" r="Y1117">
        <v>0</v>
      </c>
      <c s="6" r="Z1117">
        <v>0</v>
      </c>
      <c s="6" r="AA1117">
        <v>2</v>
      </c>
      <c s="6" r="AB1117">
        <v>2</v>
      </c>
      <c t="s" s="6" r="AC1117">
        <v>92</v>
      </c>
      <c t="s" s="6" r="AD1117">
        <v>92</v>
      </c>
      <c t="s" s="6" r="AE1117">
        <v>92</v>
      </c>
      <c t="s" s="6" r="AF1117">
        <v>92</v>
      </c>
      <c t="s" s="6" r="AG1117">
        <v>92</v>
      </c>
      <c t="s" s="6" r="AH1117">
        <v>92</v>
      </c>
      <c t="s" s="6" r="AI1117">
        <v>92</v>
      </c>
      <c t="s" s="6" r="AJ1117">
        <v>92</v>
      </c>
      <c t="s" s="6" r="AK1117">
        <v>92</v>
      </c>
      <c t="s" s="6" r="AL1117">
        <v>92</v>
      </c>
      <c t="s" s="6" r="AM1117">
        <v>92</v>
      </c>
      <c t="s" s="6" r="AN1117">
        <v>92</v>
      </c>
      <c s="6" r="AP1117">
        <v>2</v>
      </c>
      <c t="s" s="6" r="AR1117">
        <v>8210</v>
      </c>
      <c s="6" r="AS1117">
        <v>0</v>
      </c>
      <c s="6" r="AT1117">
        <v>0</v>
      </c>
      <c s="6" r="AU1117">
        <v>0</v>
      </c>
      <c s="6" r="AV1117">
        <v>0</v>
      </c>
      <c s="6" r="AW1117">
        <v>0</v>
      </c>
      <c s="6" r="AX1117">
        <v>0</v>
      </c>
      <c s="6" r="AY1117">
        <v>0</v>
      </c>
      <c s="6" r="AZ1117">
        <v>0</v>
      </c>
      <c s="6" r="BA1117">
        <v>0</v>
      </c>
      <c s="6" r="BB1117">
        <v>0</v>
      </c>
      <c s="6" r="BC1117">
        <v>0</v>
      </c>
      <c s="6" r="BD1117">
        <v>0</v>
      </c>
      <c s="6" r="BE1117">
        <v>0</v>
      </c>
      <c s="6" r="BF1117">
        <v>0</v>
      </c>
      <c s="6" r="BG1117">
        <v>0</v>
      </c>
      <c s="6" r="BH1117">
        <v>0</v>
      </c>
      <c s="6" r="BI1117">
        <v>0</v>
      </c>
      <c s="6" r="BJ1117">
        <v>0</v>
      </c>
      <c s="6" r="BK1117">
        <v>0</v>
      </c>
      <c s="6" r="BL1117">
        <v>0</v>
      </c>
      <c s="6" r="BM1117">
        <v>0</v>
      </c>
      <c s="6" r="BN1117">
        <v>0</v>
      </c>
      <c s="6" r="BO1117">
        <v>0</v>
      </c>
      <c s="6" r="BP1117">
        <v>0</v>
      </c>
      <c s="6" r="BQ1117">
        <v>0</v>
      </c>
      <c t="str" s="6" r="BR1117">
        <f>HYPERLINK("http://www.d20pfsrd.com/magic/all-spells/s/sculpt-simulacrum","Sculpt Simulacrum")</f>
        <v>Sculpt Simulacrum</v>
      </c>
      <c s="6" r="BS1117">
        <v>1139</v>
      </c>
      <c t="s" s="6" r="BT1117">
        <v>92</v>
      </c>
      <c s="6" r="BY1117">
        <v>0</v>
      </c>
    </row>
    <row customHeight="1" r="1118" ht="14.25">
      <c t="s" s="6" r="A1118">
        <v>8211</v>
      </c>
      <c t="s" s="6" r="B1118">
        <v>115</v>
      </c>
      <c t="s" s="6" r="C1118">
        <v>116</v>
      </c>
      <c t="s" s="6" r="D1118">
        <v>7379</v>
      </c>
      <c t="s" s="6" r="E1118">
        <v>8212</v>
      </c>
      <c t="s" s="6" r="F1118">
        <v>81</v>
      </c>
      <c t="s" s="6" r="G1118">
        <v>106</v>
      </c>
      <c s="6" r="H1118">
        <v>0</v>
      </c>
      <c t="s" s="6" r="I1118">
        <v>97</v>
      </c>
      <c t="s" s="6" r="L1118">
        <v>620</v>
      </c>
      <c t="s" s="6" r="M1118">
        <v>99</v>
      </c>
      <c s="6" r="N1118">
        <v>0</v>
      </c>
      <c s="6" r="O1118">
        <v>0</v>
      </c>
      <c t="s" s="6" r="P1118">
        <v>221</v>
      </c>
      <c t="s" s="6" r="Q1118">
        <v>188</v>
      </c>
      <c t="s" s="6" r="R1118">
        <v>8213</v>
      </c>
      <c t="s" s="6" r="S1118">
        <v>8214</v>
      </c>
      <c t="s" s="6" r="T1118">
        <v>7122</v>
      </c>
      <c t="s" s="6" r="U1118">
        <v>8215</v>
      </c>
      <c s="6" r="V1118">
        <v>1</v>
      </c>
      <c s="6" r="W1118">
        <v>1</v>
      </c>
      <c s="6" r="X1118">
        <v>0</v>
      </c>
      <c s="6" r="Y1118">
        <v>0</v>
      </c>
      <c s="6" r="Z1118">
        <v>0</v>
      </c>
      <c s="6" r="AA1118">
        <v>6</v>
      </c>
      <c s="6" r="AB1118">
        <v>6</v>
      </c>
      <c s="6" r="AC1118">
        <v>5</v>
      </c>
      <c t="s" s="6" r="AD1118">
        <v>92</v>
      </c>
      <c t="s" s="6" r="AE1118">
        <v>92</v>
      </c>
      <c s="6" r="AF1118">
        <v>4</v>
      </c>
      <c t="s" s="6" r="AG1118">
        <v>92</v>
      </c>
      <c t="s" s="6" r="AH1118">
        <v>92</v>
      </c>
      <c t="s" s="6" r="AI1118">
        <v>92</v>
      </c>
      <c t="s" s="6" r="AJ1118">
        <v>92</v>
      </c>
      <c t="s" s="6" r="AK1118">
        <v>92</v>
      </c>
      <c s="6" r="AL1118">
        <v>5</v>
      </c>
      <c t="s" s="6" r="AM1118">
        <v>92</v>
      </c>
      <c t="s" s="6" r="AN1118">
        <v>92</v>
      </c>
      <c s="6" r="AP1118">
        <v>6</v>
      </c>
      <c t="s" s="6" r="AR1118">
        <v>8216</v>
      </c>
      <c s="6" r="AS1118">
        <v>0</v>
      </c>
      <c s="6" r="AT1118">
        <v>0</v>
      </c>
      <c s="6" r="AU1118">
        <v>0</v>
      </c>
      <c s="6" r="AV1118">
        <v>0</v>
      </c>
      <c s="6" r="AW1118">
        <v>0</v>
      </c>
      <c s="6" r="AX1118">
        <v>0</v>
      </c>
      <c s="6" r="AY1118">
        <v>0</v>
      </c>
      <c s="6" r="AZ1118">
        <v>0</v>
      </c>
      <c s="6" r="BA1118">
        <v>0</v>
      </c>
      <c s="6" r="BB1118">
        <v>0</v>
      </c>
      <c s="6" r="BC1118">
        <v>1</v>
      </c>
      <c s="6" r="BD1118">
        <v>0</v>
      </c>
      <c s="6" r="BE1118">
        <v>0</v>
      </c>
      <c s="6" r="BF1118">
        <v>0</v>
      </c>
      <c s="6" r="BG1118">
        <v>0</v>
      </c>
      <c s="6" r="BH1118">
        <v>0</v>
      </c>
      <c s="6" r="BI1118">
        <v>0</v>
      </c>
      <c s="6" r="BJ1118">
        <v>0</v>
      </c>
      <c s="6" r="BK1118">
        <v>0</v>
      </c>
      <c s="6" r="BL1118">
        <v>1</v>
      </c>
      <c s="6" r="BM1118">
        <v>0</v>
      </c>
      <c s="6" r="BN1118">
        <v>0</v>
      </c>
      <c s="6" r="BO1118">
        <v>0</v>
      </c>
      <c s="6" r="BP1118">
        <v>0</v>
      </c>
      <c s="6" r="BQ1118">
        <v>0</v>
      </c>
      <c t="str" s="6" r="BR1118">
        <f>HYPERLINK("http://www.d20pfsrd.com/magic/all-spells/s/serenity","Serenity")</f>
        <v>Serenity</v>
      </c>
      <c s="6" r="BS1118">
        <v>1140</v>
      </c>
      <c t="s" s="6" r="BT1118">
        <v>92</v>
      </c>
      <c t="s" s="6" r="BV1118">
        <v>301</v>
      </c>
      <c s="6" r="BY1118">
        <v>0</v>
      </c>
    </row>
    <row customHeight="1" r="1119" ht="14.25">
      <c t="s" s="6" r="A1119">
        <v>8217</v>
      </c>
      <c t="s" s="6" r="B1119">
        <v>579</v>
      </c>
      <c t="s" s="6" r="C1119">
        <v>66</v>
      </c>
      <c t="s" s="6" r="D1119">
        <v>66</v>
      </c>
      <c t="s" s="6" r="E1119">
        <v>4038</v>
      </c>
      <c t="s" s="6" r="F1119">
        <v>81</v>
      </c>
      <c t="s" s="6" r="G1119">
        <v>1051</v>
      </c>
      <c s="6" r="H1119">
        <v>0</v>
      </c>
      <c t="s" s="6" r="I1119">
        <v>7673</v>
      </c>
      <c t="s" s="6" r="K1119">
        <v>8218</v>
      </c>
      <c t="s" s="6" r="M1119">
        <v>483</v>
      </c>
      <c s="6" r="N1119">
        <v>1</v>
      </c>
      <c s="6" r="O1119">
        <v>0</v>
      </c>
      <c t="s" s="6" r="P1119">
        <v>86</v>
      </c>
      <c t="s" s="6" r="Q1119">
        <v>87</v>
      </c>
      <c t="s" s="6" r="R1119">
        <v>8219</v>
      </c>
      <c t="s" s="6" r="S1119">
        <v>8220</v>
      </c>
      <c t="s" s="6" r="T1119">
        <v>7122</v>
      </c>
      <c t="s" s="6" r="U1119">
        <v>8221</v>
      </c>
      <c s="6" r="V1119">
        <v>1</v>
      </c>
      <c s="6" r="W1119">
        <v>1</v>
      </c>
      <c s="6" r="X1119">
        <v>1</v>
      </c>
      <c s="6" r="Y1119">
        <v>0</v>
      </c>
      <c s="6" r="Z1119">
        <v>0</v>
      </c>
      <c t="s" s="6" r="AA1119">
        <v>92</v>
      </c>
      <c t="s" s="6" r="AB1119">
        <v>92</v>
      </c>
      <c t="s" s="6" r="AC1119">
        <v>92</v>
      </c>
      <c t="s" s="6" r="AD1119">
        <v>92</v>
      </c>
      <c t="s" s="6" r="AE1119">
        <v>92</v>
      </c>
      <c s="6" r="AF1119">
        <v>5</v>
      </c>
      <c t="s" s="6" r="AG1119">
        <v>92</v>
      </c>
      <c t="s" s="6" r="AH1119">
        <v>92</v>
      </c>
      <c t="s" s="6" r="AI1119">
        <v>92</v>
      </c>
      <c t="s" s="6" r="AJ1119">
        <v>92</v>
      </c>
      <c t="s" s="6" r="AK1119">
        <v>92</v>
      </c>
      <c t="s" s="6" r="AL1119">
        <v>92</v>
      </c>
      <c t="s" s="6" r="AM1119">
        <v>92</v>
      </c>
      <c t="s" s="6" r="AN1119">
        <v>92</v>
      </c>
      <c s="6" r="AP1119">
        <v>5</v>
      </c>
      <c t="s" s="6" r="AR1119">
        <v>8222</v>
      </c>
      <c s="6" r="AS1119">
        <v>0</v>
      </c>
      <c s="6" r="AT1119">
        <v>0</v>
      </c>
      <c s="6" r="AU1119">
        <v>0</v>
      </c>
      <c s="6" r="AV1119">
        <v>0</v>
      </c>
      <c s="6" r="AW1119">
        <v>0</v>
      </c>
      <c s="6" r="AX1119">
        <v>0</v>
      </c>
      <c s="6" r="AY1119">
        <v>0</v>
      </c>
      <c s="6" r="AZ1119">
        <v>0</v>
      </c>
      <c s="6" r="BA1119">
        <v>0</v>
      </c>
      <c s="6" r="BB1119">
        <v>0</v>
      </c>
      <c s="6" r="BC1119">
        <v>0</v>
      </c>
      <c s="6" r="BD1119">
        <v>0</v>
      </c>
      <c s="6" r="BE1119">
        <v>0</v>
      </c>
      <c s="6" r="BF1119">
        <v>0</v>
      </c>
      <c s="6" r="BG1119">
        <v>0</v>
      </c>
      <c s="6" r="BH1119">
        <v>0</v>
      </c>
      <c s="6" r="BI1119">
        <v>0</v>
      </c>
      <c s="6" r="BJ1119">
        <v>0</v>
      </c>
      <c s="6" r="BK1119">
        <v>0</v>
      </c>
      <c s="6" r="BL1119">
        <v>0</v>
      </c>
      <c s="6" r="BM1119">
        <v>0</v>
      </c>
      <c s="6" r="BN1119">
        <v>0</v>
      </c>
      <c s="6" r="BO1119">
        <v>1</v>
      </c>
      <c s="6" r="BP1119">
        <v>0</v>
      </c>
      <c s="6" r="BQ1119">
        <v>0</v>
      </c>
      <c t="str" s="6" r="BR1119">
        <f>HYPERLINK("http://www.d20pfsrd.com/magic/all-spells/s/shadowbard","Shadowbard")</f>
        <v>Shadowbard</v>
      </c>
      <c s="6" r="BS1119">
        <v>1141</v>
      </c>
      <c t="s" s="6" r="BT1119">
        <v>92</v>
      </c>
      <c s="6" r="BY1119">
        <v>0</v>
      </c>
    </row>
    <row customHeight="1" r="1120" ht="14.25">
      <c t="s" s="6" r="A1120">
        <v>8223</v>
      </c>
      <c t="s" s="6" r="B1120">
        <v>579</v>
      </c>
      <c t="s" s="6" r="C1120">
        <v>66</v>
      </c>
      <c t="s" s="6" r="D1120">
        <v>66</v>
      </c>
      <c t="s" s="6" r="E1120">
        <v>3785</v>
      </c>
      <c t="s" s="6" r="F1120">
        <v>81</v>
      </c>
      <c t="s" s="6" r="G1120">
        <v>106</v>
      </c>
      <c s="6" r="H1120">
        <v>0</v>
      </c>
      <c t="s" s="6" r="I1120">
        <v>97</v>
      </c>
      <c t="s" s="6" r="L1120">
        <v>156</v>
      </c>
      <c t="s" s="6" r="M1120">
        <v>109</v>
      </c>
      <c s="6" r="N1120">
        <v>0</v>
      </c>
      <c s="6" r="O1120">
        <v>0</v>
      </c>
      <c t="s" s="6" r="P1120">
        <v>86</v>
      </c>
      <c t="s" s="6" r="Q1120">
        <v>87</v>
      </c>
      <c t="s" s="6" r="R1120">
        <v>8224</v>
      </c>
      <c t="s" s="6" r="S1120">
        <v>8225</v>
      </c>
      <c t="s" s="6" r="T1120">
        <v>7122</v>
      </c>
      <c t="s" s="6" r="U1120">
        <v>8226</v>
      </c>
      <c s="6" r="V1120">
        <v>1</v>
      </c>
      <c s="6" r="W1120">
        <v>1</v>
      </c>
      <c s="6" r="X1120">
        <v>0</v>
      </c>
      <c s="6" r="Y1120">
        <v>0</v>
      </c>
      <c s="6" r="Z1120">
        <v>0</v>
      </c>
      <c s="6" r="AA1120">
        <v>4</v>
      </c>
      <c s="6" r="AB1120">
        <v>4</v>
      </c>
      <c t="s" s="6" r="AC1120">
        <v>92</v>
      </c>
      <c t="s" s="6" r="AD1120">
        <v>92</v>
      </c>
      <c t="s" s="6" r="AE1120">
        <v>92</v>
      </c>
      <c s="6" r="AF1120">
        <v>4</v>
      </c>
      <c t="s" s="6" r="AG1120">
        <v>92</v>
      </c>
      <c t="s" s="6" r="AH1120">
        <v>92</v>
      </c>
      <c t="s" s="6" r="AI1120">
        <v>92</v>
      </c>
      <c s="6" r="AJ1120">
        <v>4</v>
      </c>
      <c t="s" s="6" r="AK1120">
        <v>92</v>
      </c>
      <c t="s" s="6" r="AL1120">
        <v>92</v>
      </c>
      <c t="s" s="6" r="AM1120">
        <v>92</v>
      </c>
      <c t="s" s="6" r="AN1120">
        <v>92</v>
      </c>
      <c s="6" r="AP1120">
        <v>4</v>
      </c>
      <c t="s" s="6" r="AR1120">
        <v>8227</v>
      </c>
      <c s="6" r="AS1120">
        <v>0</v>
      </c>
      <c s="6" r="AT1120">
        <v>0</v>
      </c>
      <c s="6" r="AU1120">
        <v>0</v>
      </c>
      <c s="6" r="AV1120">
        <v>0</v>
      </c>
      <c s="6" r="AW1120">
        <v>0</v>
      </c>
      <c s="6" r="AX1120">
        <v>0</v>
      </c>
      <c s="6" r="AY1120">
        <v>0</v>
      </c>
      <c s="6" r="AZ1120">
        <v>0</v>
      </c>
      <c s="6" r="BA1120">
        <v>0</v>
      </c>
      <c s="6" r="BB1120">
        <v>0</v>
      </c>
      <c s="6" r="BC1120">
        <v>0</v>
      </c>
      <c s="6" r="BD1120">
        <v>0</v>
      </c>
      <c s="6" r="BE1120">
        <v>0</v>
      </c>
      <c s="6" r="BF1120">
        <v>0</v>
      </c>
      <c s="6" r="BG1120">
        <v>0</v>
      </c>
      <c s="6" r="BH1120">
        <v>0</v>
      </c>
      <c s="6" r="BI1120">
        <v>0</v>
      </c>
      <c s="6" r="BJ1120">
        <v>0</v>
      </c>
      <c s="6" r="BK1120">
        <v>0</v>
      </c>
      <c s="6" r="BL1120">
        <v>0</v>
      </c>
      <c s="6" r="BM1120">
        <v>0</v>
      </c>
      <c s="6" r="BN1120">
        <v>0</v>
      </c>
      <c s="6" r="BO1120">
        <v>1</v>
      </c>
      <c s="6" r="BP1120">
        <v>0</v>
      </c>
      <c s="6" r="BQ1120">
        <v>0</v>
      </c>
      <c t="str" s="6" r="BR1120">
        <f>HYPERLINK("http://www.d20pfsrd.com/magic/all-spells/s/shadow-step","Shadow Step")</f>
        <v>Shadow Step</v>
      </c>
      <c s="6" r="BS1120">
        <v>1142</v>
      </c>
      <c t="s" s="6" r="BT1120">
        <v>92</v>
      </c>
      <c s="6" r="BY1120">
        <v>0</v>
      </c>
    </row>
    <row customHeight="1" r="1121" ht="14.25">
      <c t="s" s="6" r="A1121">
        <v>8228</v>
      </c>
      <c t="s" s="6" r="B1121">
        <v>579</v>
      </c>
      <c t="s" s="6" r="C1121">
        <v>66</v>
      </c>
      <c t="s" s="6" r="D1121">
        <v>66</v>
      </c>
      <c t="s" s="6" r="E1121">
        <v>7311</v>
      </c>
      <c t="s" s="6" r="F1121">
        <v>81</v>
      </c>
      <c t="s" s="6" r="G1121">
        <v>106</v>
      </c>
      <c s="6" r="H1121">
        <v>0</v>
      </c>
      <c t="s" s="6" r="I1121">
        <v>813</v>
      </c>
      <c t="s" s="6" r="K1121">
        <v>8229</v>
      </c>
      <c t="s" s="6" r="M1121">
        <v>2718</v>
      </c>
      <c s="6" r="N1121">
        <v>0</v>
      </c>
      <c s="6" r="O1121">
        <v>0</v>
      </c>
      <c t="s" s="6" r="P1121">
        <v>2197</v>
      </c>
      <c t="s" s="6" r="Q1121">
        <v>188</v>
      </c>
      <c t="s" s="6" r="R1121">
        <v>8230</v>
      </c>
      <c t="s" s="6" r="S1121">
        <v>8231</v>
      </c>
      <c t="s" s="6" r="T1121">
        <v>7122</v>
      </c>
      <c t="s" s="6" r="U1121">
        <v>8232</v>
      </c>
      <c s="6" r="V1121">
        <v>1</v>
      </c>
      <c s="6" r="W1121">
        <v>1</v>
      </c>
      <c s="6" r="X1121">
        <v>0</v>
      </c>
      <c s="6" r="Y1121">
        <v>0</v>
      </c>
      <c s="6" r="Z1121">
        <v>0</v>
      </c>
      <c s="6" r="AA1121">
        <v>1</v>
      </c>
      <c s="6" r="AB1121">
        <v>1</v>
      </c>
      <c t="s" s="6" r="AC1121">
        <v>92</v>
      </c>
      <c t="s" s="6" r="AD1121">
        <v>92</v>
      </c>
      <c t="s" s="6" r="AE1121">
        <v>92</v>
      </c>
      <c t="s" s="6" r="AF1121">
        <v>92</v>
      </c>
      <c t="s" s="6" r="AG1121">
        <v>92</v>
      </c>
      <c t="s" s="6" r="AH1121">
        <v>92</v>
      </c>
      <c t="s" s="6" r="AI1121">
        <v>92</v>
      </c>
      <c s="6" r="AJ1121">
        <v>1</v>
      </c>
      <c t="s" s="6" r="AK1121">
        <v>92</v>
      </c>
      <c t="s" s="6" r="AL1121">
        <v>92</v>
      </c>
      <c t="s" s="6" r="AM1121">
        <v>92</v>
      </c>
      <c t="s" s="6" r="AN1121">
        <v>92</v>
      </c>
      <c s="6" r="AP1121">
        <v>1</v>
      </c>
      <c t="s" s="6" r="AR1121">
        <v>8233</v>
      </c>
      <c s="6" r="AS1121">
        <v>0</v>
      </c>
      <c s="6" r="AT1121">
        <v>0</v>
      </c>
      <c s="6" r="AU1121">
        <v>0</v>
      </c>
      <c s="6" r="AV1121">
        <v>0</v>
      </c>
      <c s="6" r="AW1121">
        <v>0</v>
      </c>
      <c s="6" r="AX1121">
        <v>0</v>
      </c>
      <c s="6" r="AY1121">
        <v>0</v>
      </c>
      <c s="6" r="AZ1121">
        <v>0</v>
      </c>
      <c s="6" r="BA1121">
        <v>0</v>
      </c>
      <c s="6" r="BB1121">
        <v>0</v>
      </c>
      <c s="6" r="BC1121">
        <v>0</v>
      </c>
      <c s="6" r="BD1121">
        <v>0</v>
      </c>
      <c s="6" r="BE1121">
        <v>0</v>
      </c>
      <c s="6" r="BF1121">
        <v>0</v>
      </c>
      <c s="6" r="BG1121">
        <v>0</v>
      </c>
      <c s="6" r="BH1121">
        <v>0</v>
      </c>
      <c s="6" r="BI1121">
        <v>0</v>
      </c>
      <c s="6" r="BJ1121">
        <v>0</v>
      </c>
      <c s="6" r="BK1121">
        <v>0</v>
      </c>
      <c s="6" r="BL1121">
        <v>0</v>
      </c>
      <c s="6" r="BM1121">
        <v>0</v>
      </c>
      <c s="6" r="BN1121">
        <v>0</v>
      </c>
      <c s="6" r="BO1121">
        <v>1</v>
      </c>
      <c s="6" r="BP1121">
        <v>0</v>
      </c>
      <c s="6" r="BQ1121">
        <v>0</v>
      </c>
      <c t="str" s="6" r="BR1121">
        <f>HYPERLINK("http://www.d20pfsrd.com/magic/all-spells/s/shadow-weapon","Shadow Weapon")</f>
        <v>Shadow Weapon</v>
      </c>
      <c s="6" r="BS1121">
        <v>1143</v>
      </c>
      <c t="s" s="6" r="BT1121">
        <v>92</v>
      </c>
      <c t="s" s="6" r="BW1121">
        <v>8234</v>
      </c>
      <c s="6" r="BY1121">
        <v>1</v>
      </c>
    </row>
    <row customHeight="1" r="1122" ht="14.25">
      <c t="s" s="6" r="A1122">
        <v>8235</v>
      </c>
      <c t="s" s="6" r="B1122">
        <v>493</v>
      </c>
      <c t="s" s="6" r="D1122">
        <v>8236</v>
      </c>
      <c t="s" s="6" r="E1122">
        <v>7814</v>
      </c>
      <c t="s" s="6" r="F1122">
        <v>81</v>
      </c>
      <c t="s" s="6" r="G1122">
        <v>119</v>
      </c>
      <c s="6" r="H1122">
        <v>0</v>
      </c>
      <c t="s" s="6" r="I1122">
        <v>107</v>
      </c>
      <c t="s" s="6" r="K1122">
        <v>8237</v>
      </c>
      <c t="s" s="6" r="M1122">
        <v>8238</v>
      </c>
      <c s="6" r="N1122">
        <v>0</v>
      </c>
      <c s="6" r="O1122">
        <v>0</v>
      </c>
      <c t="s" s="6" r="P1122">
        <v>7202</v>
      </c>
      <c t="s" s="6" r="Q1122">
        <v>188</v>
      </c>
      <c t="s" s="6" r="R1122">
        <v>8239</v>
      </c>
      <c t="s" s="6" r="S1122">
        <v>8240</v>
      </c>
      <c t="s" s="6" r="T1122">
        <v>7122</v>
      </c>
      <c t="s" s="6" r="U1122">
        <v>8241</v>
      </c>
      <c s="6" r="V1122">
        <v>1</v>
      </c>
      <c s="6" r="W1122">
        <v>1</v>
      </c>
      <c s="6" r="X1122">
        <v>0</v>
      </c>
      <c s="6" r="Y1122">
        <v>0</v>
      </c>
      <c s="6" r="Z1122">
        <v>1</v>
      </c>
      <c t="s" s="6" r="AA1122">
        <v>92</v>
      </c>
      <c t="s" s="6" r="AB1122">
        <v>92</v>
      </c>
      <c s="6" r="AC1122">
        <v>2</v>
      </c>
      <c t="s" s="6" r="AD1122">
        <v>92</v>
      </c>
      <c t="s" s="6" r="AE1122">
        <v>92</v>
      </c>
      <c t="s" s="6" r="AF1122">
        <v>92</v>
      </c>
      <c t="s" s="6" r="AG1122">
        <v>92</v>
      </c>
      <c t="s" s="6" r="AH1122">
        <v>92</v>
      </c>
      <c t="s" s="6" r="AI1122">
        <v>92</v>
      </c>
      <c t="s" s="6" r="AJ1122">
        <v>92</v>
      </c>
      <c t="s" s="6" r="AK1122">
        <v>92</v>
      </c>
      <c s="6" r="AL1122">
        <v>2</v>
      </c>
      <c t="s" s="6" r="AM1122">
        <v>92</v>
      </c>
      <c t="s" s="6" r="AN1122">
        <v>92</v>
      </c>
      <c s="6" r="AP1122">
        <v>2</v>
      </c>
      <c t="s" s="6" r="AR1122">
        <v>8242</v>
      </c>
      <c s="6" r="AS1122">
        <v>0</v>
      </c>
      <c s="6" r="AT1122">
        <v>0</v>
      </c>
      <c s="6" r="AU1122">
        <v>0</v>
      </c>
      <c s="6" r="AV1122">
        <v>0</v>
      </c>
      <c s="6" r="AW1122">
        <v>0</v>
      </c>
      <c s="6" r="AX1122">
        <v>0</v>
      </c>
      <c s="6" r="AY1122">
        <v>0</v>
      </c>
      <c s="6" r="AZ1122">
        <v>0</v>
      </c>
      <c s="6" r="BA1122">
        <v>0</v>
      </c>
      <c s="6" r="BB1122">
        <v>0</v>
      </c>
      <c s="6" r="BC1122">
        <v>0</v>
      </c>
      <c s="6" r="BD1122">
        <v>0</v>
      </c>
      <c s="6" r="BE1122">
        <v>0</v>
      </c>
      <c s="6" r="BF1122">
        <v>0</v>
      </c>
      <c s="6" r="BG1122">
        <v>0</v>
      </c>
      <c s="6" r="BH1122">
        <v>0</v>
      </c>
      <c s="6" r="BI1122">
        <v>0</v>
      </c>
      <c s="6" r="BJ1122">
        <v>0</v>
      </c>
      <c s="6" r="BK1122">
        <v>0</v>
      </c>
      <c s="6" r="BL1122">
        <v>0</v>
      </c>
      <c s="6" r="BM1122">
        <v>0</v>
      </c>
      <c s="6" r="BN1122">
        <v>0</v>
      </c>
      <c s="6" r="BO1122">
        <v>0</v>
      </c>
      <c s="6" r="BP1122">
        <v>0</v>
      </c>
      <c s="6" r="BQ1122">
        <v>0</v>
      </c>
      <c t="str" s="6" r="BR1122">
        <f>HYPERLINK("http://www.d20pfsrd.com/magic/all-spells/s/shard-of-chaos","Shard of Chaos")</f>
        <v>Shard of Chaos</v>
      </c>
      <c s="6" r="BS1122">
        <v>1144</v>
      </c>
      <c t="s" s="6" r="BT1122">
        <v>92</v>
      </c>
      <c s="6" r="BY1122">
        <v>0</v>
      </c>
    </row>
    <row customHeight="1" r="1123" ht="14.25">
      <c t="s" s="6" r="A1123">
        <v>8243</v>
      </c>
      <c t="s" s="6" r="B1123">
        <v>174</v>
      </c>
      <c t="s" s="6" r="E1123">
        <v>7740</v>
      </c>
      <c t="s" s="6" r="F1123">
        <v>81</v>
      </c>
      <c t="s" s="6" r="G1123">
        <v>106</v>
      </c>
      <c s="6" r="H1123">
        <v>0</v>
      </c>
      <c t="s" s="6" r="I1123">
        <v>120</v>
      </c>
      <c t="s" s="6" r="L1123">
        <v>8244</v>
      </c>
      <c t="s" s="6" r="M1123">
        <v>109</v>
      </c>
      <c s="6" r="N1123">
        <v>0</v>
      </c>
      <c s="6" r="O1123">
        <v>0</v>
      </c>
      <c t="s" s="6" r="P1123">
        <v>221</v>
      </c>
      <c t="s" s="6" r="Q1123">
        <v>188</v>
      </c>
      <c t="s" s="6" r="R1123">
        <v>8245</v>
      </c>
      <c t="s" s="6" r="S1123">
        <v>8246</v>
      </c>
      <c t="s" s="6" r="T1123">
        <v>7122</v>
      </c>
      <c t="s" s="6" r="U1123">
        <v>8247</v>
      </c>
      <c s="6" r="V1123">
        <v>1</v>
      </c>
      <c s="6" r="W1123">
        <v>1</v>
      </c>
      <c s="6" r="X1123">
        <v>0</v>
      </c>
      <c s="6" r="Y1123">
        <v>0</v>
      </c>
      <c s="6" r="Z1123">
        <v>0</v>
      </c>
      <c s="6" r="AA1123">
        <v>2</v>
      </c>
      <c s="6" r="AB1123">
        <v>2</v>
      </c>
      <c t="s" s="6" r="AC1123">
        <v>92</v>
      </c>
      <c t="s" s="6" r="AD1123">
        <v>92</v>
      </c>
      <c t="s" s="6" r="AE1123">
        <v>92</v>
      </c>
      <c s="6" r="AF1123">
        <v>2</v>
      </c>
      <c t="s" s="6" r="AG1123">
        <v>92</v>
      </c>
      <c t="s" s="6" r="AH1123">
        <v>92</v>
      </c>
      <c t="s" s="6" r="AI1123">
        <v>92</v>
      </c>
      <c s="6" r="AJ1123">
        <v>2</v>
      </c>
      <c t="s" s="6" r="AK1123">
        <v>92</v>
      </c>
      <c t="s" s="6" r="AL1123">
        <v>92</v>
      </c>
      <c t="s" s="6" r="AM1123">
        <v>92</v>
      </c>
      <c t="s" s="6" r="AN1123">
        <v>92</v>
      </c>
      <c s="6" r="AP1123">
        <v>2</v>
      </c>
      <c t="s" s="6" r="AR1123">
        <v>8248</v>
      </c>
      <c s="6" r="AS1123">
        <v>0</v>
      </c>
      <c s="6" r="AT1123">
        <v>0</v>
      </c>
      <c s="6" r="AU1123">
        <v>0</v>
      </c>
      <c s="6" r="AV1123">
        <v>0</v>
      </c>
      <c s="6" r="AW1123">
        <v>0</v>
      </c>
      <c s="6" r="AX1123">
        <v>0</v>
      </c>
      <c s="6" r="AY1123">
        <v>0</v>
      </c>
      <c s="6" r="AZ1123">
        <v>0</v>
      </c>
      <c s="6" r="BA1123">
        <v>0</v>
      </c>
      <c s="6" r="BB1123">
        <v>0</v>
      </c>
      <c s="6" r="BC1123">
        <v>0</v>
      </c>
      <c s="6" r="BD1123">
        <v>0</v>
      </c>
      <c s="6" r="BE1123">
        <v>0</v>
      </c>
      <c s="6" r="BF1123">
        <v>0</v>
      </c>
      <c s="6" r="BG1123">
        <v>0</v>
      </c>
      <c s="6" r="BH1123">
        <v>0</v>
      </c>
      <c s="6" r="BI1123">
        <v>0</v>
      </c>
      <c s="6" r="BJ1123">
        <v>0</v>
      </c>
      <c s="6" r="BK1123">
        <v>0</v>
      </c>
      <c s="6" r="BL1123">
        <v>0</v>
      </c>
      <c s="6" r="BM1123">
        <v>0</v>
      </c>
      <c s="6" r="BN1123">
        <v>0</v>
      </c>
      <c s="6" r="BO1123">
        <v>0</v>
      </c>
      <c s="6" r="BP1123">
        <v>0</v>
      </c>
      <c s="6" r="BQ1123">
        <v>0</v>
      </c>
      <c t="str" s="6" r="BR1123">
        <f>HYPERLINK("http://www.d20pfsrd.com/magic/all-spells/s/share-memory","Share Memory")</f>
        <v>Share Memory</v>
      </c>
      <c s="6" r="BS1123">
        <v>1145</v>
      </c>
      <c t="s" s="6" r="BT1123">
        <v>92</v>
      </c>
      <c s="6" r="BY1123">
        <v>0</v>
      </c>
    </row>
    <row customHeight="1" r="1124" ht="14.25">
      <c t="s" s="6" r="A1124">
        <v>8249</v>
      </c>
      <c t="s" s="6" r="B1124">
        <v>579</v>
      </c>
      <c t="s" s="6" r="C1124">
        <v>66</v>
      </c>
      <c t="s" s="6" r="E1124">
        <v>2102</v>
      </c>
      <c t="s" s="6" r="F1124">
        <v>293</v>
      </c>
      <c t="s" s="6" r="G1124">
        <v>8250</v>
      </c>
      <c s="6" r="H1124">
        <v>1</v>
      </c>
      <c t="s" s="6" r="I1124">
        <v>813</v>
      </c>
      <c t="s" s="6" r="K1124">
        <v>3980</v>
      </c>
      <c t="s" s="6" r="M1124">
        <v>209</v>
      </c>
      <c s="6" r="N1124">
        <v>0</v>
      </c>
      <c s="6" r="O1124">
        <v>0</v>
      </c>
      <c t="s" s="6" r="P1124">
        <v>86</v>
      </c>
      <c t="s" s="6" r="Q1124">
        <v>87</v>
      </c>
      <c t="s" s="6" r="R1124">
        <v>8251</v>
      </c>
      <c t="s" s="6" r="S1124">
        <v>8252</v>
      </c>
      <c t="s" s="6" r="T1124">
        <v>7122</v>
      </c>
      <c t="s" s="6" r="U1124">
        <v>8253</v>
      </c>
      <c s="6" r="V1124">
        <v>1</v>
      </c>
      <c s="6" r="W1124">
        <v>1</v>
      </c>
      <c s="6" r="X1124">
        <v>1</v>
      </c>
      <c s="6" r="Y1124">
        <v>0</v>
      </c>
      <c s="6" r="Z1124">
        <v>0</v>
      </c>
      <c s="6" r="AA1124">
        <v>4</v>
      </c>
      <c s="6" r="AB1124">
        <v>4</v>
      </c>
      <c t="s" s="6" r="AC1124">
        <v>92</v>
      </c>
      <c t="s" s="6" r="AD1124">
        <v>92</v>
      </c>
      <c t="s" s="6" r="AE1124">
        <v>92</v>
      </c>
      <c t="s" s="6" r="AF1124">
        <v>92</v>
      </c>
      <c t="s" s="6" r="AG1124">
        <v>92</v>
      </c>
      <c t="s" s="6" r="AH1124">
        <v>92</v>
      </c>
      <c t="s" s="6" r="AI1124">
        <v>92</v>
      </c>
      <c t="s" s="6" r="AJ1124">
        <v>92</v>
      </c>
      <c t="s" s="6" r="AK1124">
        <v>92</v>
      </c>
      <c t="s" s="6" r="AL1124">
        <v>92</v>
      </c>
      <c t="s" s="6" r="AM1124">
        <v>92</v>
      </c>
      <c t="s" s="6" r="AN1124">
        <v>92</v>
      </c>
      <c s="6" r="AP1124">
        <v>4</v>
      </c>
      <c t="s" s="6" r="AR1124">
        <v>8254</v>
      </c>
      <c s="6" r="AS1124">
        <v>0</v>
      </c>
      <c s="6" r="AT1124">
        <v>0</v>
      </c>
      <c s="6" r="AU1124">
        <v>0</v>
      </c>
      <c s="6" r="AV1124">
        <v>0</v>
      </c>
      <c s="6" r="AW1124">
        <v>0</v>
      </c>
      <c s="6" r="AX1124">
        <v>0</v>
      </c>
      <c s="6" r="AY1124">
        <v>0</v>
      </c>
      <c s="6" r="AZ1124">
        <v>0</v>
      </c>
      <c s="6" r="BA1124">
        <v>0</v>
      </c>
      <c s="6" r="BB1124">
        <v>0</v>
      </c>
      <c s="6" r="BC1124">
        <v>0</v>
      </c>
      <c s="6" r="BD1124">
        <v>0</v>
      </c>
      <c s="6" r="BE1124">
        <v>0</v>
      </c>
      <c s="6" r="BF1124">
        <v>0</v>
      </c>
      <c s="6" r="BG1124">
        <v>0</v>
      </c>
      <c s="6" r="BH1124">
        <v>0</v>
      </c>
      <c s="6" r="BI1124">
        <v>0</v>
      </c>
      <c s="6" r="BJ1124">
        <v>0</v>
      </c>
      <c s="6" r="BK1124">
        <v>0</v>
      </c>
      <c s="6" r="BL1124">
        <v>0</v>
      </c>
      <c s="6" r="BM1124">
        <v>0</v>
      </c>
      <c s="6" r="BN1124">
        <v>0</v>
      </c>
      <c s="6" r="BO1124">
        <v>0</v>
      </c>
      <c s="6" r="BP1124">
        <v>0</v>
      </c>
      <c s="6" r="BQ1124">
        <v>0</v>
      </c>
      <c t="str" s="6" r="BR1124">
        <f>HYPERLINK("http://www.d20pfsrd.com/magic/all-spells/s/simulacrum","Simulacrum, Lesser")</f>
        <v>Simulacrum, Lesser</v>
      </c>
      <c s="6" r="BS1124">
        <v>1146</v>
      </c>
      <c s="6" r="BT1124">
        <v>50</v>
      </c>
      <c s="6" r="BY1124">
        <v>0</v>
      </c>
    </row>
    <row customHeight="1" r="1125" ht="14.25">
      <c t="s" s="6" r="A1125">
        <v>8255</v>
      </c>
      <c t="s" s="6" r="B1125">
        <v>227</v>
      </c>
      <c t="s" s="6" r="E1125">
        <v>8256</v>
      </c>
      <c t="s" s="6" r="F1125">
        <v>197</v>
      </c>
      <c t="s" s="6" r="G1125">
        <v>106</v>
      </c>
      <c s="6" r="H1125">
        <v>0</v>
      </c>
      <c t="s" s="6" r="I1125">
        <v>155</v>
      </c>
      <c t="s" s="6" r="L1125">
        <v>156</v>
      </c>
      <c t="s" s="6" r="M1125">
        <v>711</v>
      </c>
      <c s="6" r="N1125">
        <v>1</v>
      </c>
      <c s="6" r="O1125">
        <v>0</v>
      </c>
      <c t="s" s="6" r="R1125">
        <v>8257</v>
      </c>
      <c t="s" s="6" r="S1125">
        <v>8258</v>
      </c>
      <c t="s" s="6" r="T1125">
        <v>7122</v>
      </c>
      <c t="s" s="6" r="U1125">
        <v>8259</v>
      </c>
      <c s="6" r="V1125">
        <v>1</v>
      </c>
      <c s="6" r="W1125">
        <v>1</v>
      </c>
      <c s="6" r="X1125">
        <v>0</v>
      </c>
      <c s="6" r="Y1125">
        <v>0</v>
      </c>
      <c s="6" r="Z1125">
        <v>0</v>
      </c>
      <c s="6" r="AA1125">
        <v>2</v>
      </c>
      <c s="6" r="AB1125">
        <v>2</v>
      </c>
      <c t="s" s="6" r="AC1125">
        <v>92</v>
      </c>
      <c t="s" s="6" r="AD1125">
        <v>92</v>
      </c>
      <c t="s" s="6" r="AE1125">
        <v>92</v>
      </c>
      <c t="s" s="6" r="AF1125">
        <v>92</v>
      </c>
      <c t="s" s="6" r="AG1125">
        <v>92</v>
      </c>
      <c s="6" r="AH1125">
        <v>2</v>
      </c>
      <c t="s" s="6" r="AI1125">
        <v>92</v>
      </c>
      <c s="6" r="AJ1125">
        <v>2</v>
      </c>
      <c t="s" s="6" r="AK1125">
        <v>92</v>
      </c>
      <c t="s" s="6" r="AL1125">
        <v>92</v>
      </c>
      <c t="s" s="6" r="AM1125">
        <v>92</v>
      </c>
      <c t="s" s="6" r="AN1125">
        <v>92</v>
      </c>
      <c s="6" r="AP1125">
        <v>2</v>
      </c>
      <c t="s" s="6" r="AR1125">
        <v>8260</v>
      </c>
      <c s="6" r="AS1125">
        <v>0</v>
      </c>
      <c s="6" r="AT1125">
        <v>0</v>
      </c>
      <c s="6" r="AU1125">
        <v>0</v>
      </c>
      <c s="6" r="AV1125">
        <v>0</v>
      </c>
      <c s="6" r="AW1125">
        <v>0</v>
      </c>
      <c s="6" r="AX1125">
        <v>0</v>
      </c>
      <c s="6" r="AY1125">
        <v>0</v>
      </c>
      <c s="6" r="AZ1125">
        <v>0</v>
      </c>
      <c s="6" r="BA1125">
        <v>0</v>
      </c>
      <c s="6" r="BB1125">
        <v>0</v>
      </c>
      <c s="6" r="BC1125">
        <v>0</v>
      </c>
      <c s="6" r="BD1125">
        <v>0</v>
      </c>
      <c s="6" r="BE1125">
        <v>0</v>
      </c>
      <c s="6" r="BF1125">
        <v>0</v>
      </c>
      <c s="6" r="BG1125">
        <v>0</v>
      </c>
      <c s="6" r="BH1125">
        <v>0</v>
      </c>
      <c s="6" r="BI1125">
        <v>0</v>
      </c>
      <c s="6" r="BJ1125">
        <v>0</v>
      </c>
      <c s="6" r="BK1125">
        <v>0</v>
      </c>
      <c s="6" r="BL1125">
        <v>0</v>
      </c>
      <c s="6" r="BM1125">
        <v>0</v>
      </c>
      <c s="6" r="BN1125">
        <v>0</v>
      </c>
      <c s="6" r="BO1125">
        <v>0</v>
      </c>
      <c s="6" r="BP1125">
        <v>0</v>
      </c>
      <c s="6" r="BQ1125">
        <v>0</v>
      </c>
      <c t="str" s="6" r="BR1125">
        <f>HYPERLINK("http://www.d20pfsrd.com/magic/all-spells/s/skinsend","Skinsend")</f>
        <v>Skinsend</v>
      </c>
      <c s="6" r="BS1125">
        <v>1147</v>
      </c>
      <c t="s" s="6" r="BT1125">
        <v>92</v>
      </c>
      <c s="6" r="BY1125">
        <v>0</v>
      </c>
    </row>
    <row customHeight="1" r="1126" ht="14.25">
      <c t="s" s="6" r="A1126">
        <v>8261</v>
      </c>
      <c t="s" s="6" r="B1126">
        <v>115</v>
      </c>
      <c t="s" s="6" r="C1126">
        <v>116</v>
      </c>
      <c t="s" s="6" r="D1126">
        <v>7379</v>
      </c>
      <c t="s" s="6" r="E1126">
        <v>7461</v>
      </c>
      <c t="s" s="6" r="F1126">
        <v>81</v>
      </c>
      <c t="s" s="6" r="G1126">
        <v>8262</v>
      </c>
      <c s="6" r="H1126">
        <v>0</v>
      </c>
      <c t="s" s="6" r="I1126">
        <v>107</v>
      </c>
      <c t="s" s="6" r="L1126">
        <v>1235</v>
      </c>
      <c t="s" s="6" r="M1126">
        <v>7555</v>
      </c>
      <c s="6" r="N1126">
        <v>1</v>
      </c>
      <c s="6" r="O1126">
        <v>0</v>
      </c>
      <c t="s" s="6" r="P1126">
        <v>221</v>
      </c>
      <c t="s" s="6" r="Q1126">
        <v>188</v>
      </c>
      <c t="s" s="6" r="R1126">
        <v>8263</v>
      </c>
      <c t="s" s="6" r="S1126">
        <v>8264</v>
      </c>
      <c t="s" s="6" r="T1126">
        <v>7122</v>
      </c>
      <c t="s" s="6" r="U1126">
        <v>8265</v>
      </c>
      <c s="6" r="V1126">
        <v>1</v>
      </c>
      <c s="6" r="W1126">
        <v>1</v>
      </c>
      <c s="6" r="X1126">
        <v>1</v>
      </c>
      <c s="6" r="Y1126">
        <v>0</v>
      </c>
      <c s="6" r="Z1126">
        <v>0</v>
      </c>
      <c s="6" r="AA1126">
        <v>5</v>
      </c>
      <c s="6" r="AB1126">
        <v>5</v>
      </c>
      <c t="s" s="6" r="AC1126">
        <v>92</v>
      </c>
      <c t="s" s="6" r="AD1126">
        <v>92</v>
      </c>
      <c t="s" s="6" r="AE1126">
        <v>92</v>
      </c>
      <c s="6" r="AF1126">
        <v>3</v>
      </c>
      <c t="s" s="6" r="AG1126">
        <v>92</v>
      </c>
      <c t="s" s="6" r="AH1126">
        <v>92</v>
      </c>
      <c t="s" s="6" r="AI1126">
        <v>92</v>
      </c>
      <c s="6" r="AJ1126">
        <v>5</v>
      </c>
      <c t="s" s="6" r="AK1126">
        <v>92</v>
      </c>
      <c t="s" s="6" r="AL1126">
        <v>92</v>
      </c>
      <c t="s" s="6" r="AM1126">
        <v>92</v>
      </c>
      <c t="s" s="6" r="AN1126">
        <v>92</v>
      </c>
      <c s="6" r="AP1126">
        <v>5</v>
      </c>
      <c t="s" s="6" r="AR1126">
        <v>8266</v>
      </c>
      <c s="6" r="AS1126">
        <v>0</v>
      </c>
      <c s="6" r="AT1126">
        <v>0</v>
      </c>
      <c s="6" r="AU1126">
        <v>0</v>
      </c>
      <c s="6" r="AV1126">
        <v>0</v>
      </c>
      <c s="6" r="AW1126">
        <v>0</v>
      </c>
      <c s="6" r="AX1126">
        <v>0</v>
      </c>
      <c s="6" r="AY1126">
        <v>0</v>
      </c>
      <c s="6" r="AZ1126">
        <v>0</v>
      </c>
      <c s="6" r="BA1126">
        <v>0</v>
      </c>
      <c s="6" r="BB1126">
        <v>0</v>
      </c>
      <c s="6" r="BC1126">
        <v>1</v>
      </c>
      <c s="6" r="BD1126">
        <v>0</v>
      </c>
      <c s="6" r="BE1126">
        <v>0</v>
      </c>
      <c s="6" r="BF1126">
        <v>0</v>
      </c>
      <c s="6" r="BG1126">
        <v>0</v>
      </c>
      <c s="6" r="BH1126">
        <v>0</v>
      </c>
      <c s="6" r="BI1126">
        <v>0</v>
      </c>
      <c s="6" r="BJ1126">
        <v>0</v>
      </c>
      <c s="6" r="BK1126">
        <v>0</v>
      </c>
      <c s="6" r="BL1126">
        <v>1</v>
      </c>
      <c s="6" r="BM1126">
        <v>0</v>
      </c>
      <c s="6" r="BN1126">
        <v>0</v>
      </c>
      <c s="6" r="BO1126">
        <v>0</v>
      </c>
      <c s="6" r="BP1126">
        <v>0</v>
      </c>
      <c s="6" r="BQ1126">
        <v>0</v>
      </c>
      <c t="str" s="6" r="BR1126">
        <f>HYPERLINK("http://www.d20pfsrd.com/magic/all-spells/s/smug-narcissism","Smug Narcissism")</f>
        <v>Smug Narcissism</v>
      </c>
      <c s="6" r="BS1126">
        <v>1148</v>
      </c>
      <c t="s" s="6" r="BT1126">
        <v>92</v>
      </c>
      <c s="6" r="BY1126">
        <v>0</v>
      </c>
    </row>
    <row customHeight="1" r="1127" ht="14.25">
      <c t="s" s="6" r="A1127">
        <v>8267</v>
      </c>
      <c t="s" s="6" r="B1127">
        <v>131</v>
      </c>
      <c t="s" s="6" r="D1127">
        <v>5482</v>
      </c>
      <c t="s" s="6" r="E1127">
        <v>8268</v>
      </c>
      <c t="s" s="6" r="F1127">
        <v>81</v>
      </c>
      <c t="s" s="6" r="G1127">
        <v>8269</v>
      </c>
      <c s="6" r="H1127">
        <v>0</v>
      </c>
      <c t="s" s="6" r="I1127">
        <v>83</v>
      </c>
      <c t="s" s="6" r="K1127">
        <v>8270</v>
      </c>
      <c t="s" s="6" r="M1127">
        <v>99</v>
      </c>
      <c s="6" r="N1127">
        <v>0</v>
      </c>
      <c s="6" r="O1127">
        <v>0</v>
      </c>
      <c t="s" s="6" r="P1127">
        <v>1865</v>
      </c>
      <c t="s" s="6" r="Q1127">
        <v>188</v>
      </c>
      <c t="s" s="6" r="R1127">
        <v>8271</v>
      </c>
      <c t="s" s="6" r="S1127">
        <v>8272</v>
      </c>
      <c t="s" s="6" r="T1127">
        <v>7122</v>
      </c>
      <c t="s" s="6" r="U1127">
        <v>8273</v>
      </c>
      <c s="6" r="V1127">
        <v>1</v>
      </c>
      <c s="6" r="W1127">
        <v>1</v>
      </c>
      <c s="6" r="X1127">
        <v>1</v>
      </c>
      <c s="6" r="Y1127">
        <v>0</v>
      </c>
      <c s="6" r="Z1127">
        <v>0</v>
      </c>
      <c s="6" r="AA1127">
        <v>1</v>
      </c>
      <c s="6" r="AB1127">
        <v>1</v>
      </c>
      <c t="s" s="6" r="AC1127">
        <v>92</v>
      </c>
      <c t="s" s="6" r="AD1127">
        <v>92</v>
      </c>
      <c t="s" s="6" r="AE1127">
        <v>92</v>
      </c>
      <c s="6" r="AF1127">
        <v>2</v>
      </c>
      <c t="s" s="6" r="AG1127">
        <v>92</v>
      </c>
      <c t="s" s="6" r="AH1127">
        <v>92</v>
      </c>
      <c t="s" s="6" r="AI1127">
        <v>92</v>
      </c>
      <c t="s" s="6" r="AJ1127">
        <v>92</v>
      </c>
      <c t="s" s="6" r="AK1127">
        <v>92</v>
      </c>
      <c t="s" s="6" r="AL1127">
        <v>92</v>
      </c>
      <c t="s" s="6" r="AM1127">
        <v>92</v>
      </c>
      <c t="s" s="6" r="AN1127">
        <v>92</v>
      </c>
      <c s="6" r="AP1127">
        <v>1</v>
      </c>
      <c t="s" s="6" r="AR1127">
        <v>8274</v>
      </c>
      <c s="6" r="AS1127">
        <v>0</v>
      </c>
      <c s="6" r="AT1127">
        <v>0</v>
      </c>
      <c s="6" r="AU1127">
        <v>0</v>
      </c>
      <c s="6" r="AV1127">
        <v>0</v>
      </c>
      <c s="6" r="AW1127">
        <v>0</v>
      </c>
      <c s="6" r="AX1127">
        <v>0</v>
      </c>
      <c s="6" r="AY1127">
        <v>0</v>
      </c>
      <c s="6" r="AZ1127">
        <v>0</v>
      </c>
      <c s="6" r="BA1127">
        <v>0</v>
      </c>
      <c s="6" r="BB1127">
        <v>0</v>
      </c>
      <c s="6" r="BC1127">
        <v>0</v>
      </c>
      <c s="6" r="BD1127">
        <v>0</v>
      </c>
      <c s="6" r="BE1127">
        <v>0</v>
      </c>
      <c s="6" r="BF1127">
        <v>1</v>
      </c>
      <c s="6" r="BG1127">
        <v>0</v>
      </c>
      <c s="6" r="BH1127">
        <v>0</v>
      </c>
      <c s="6" r="BI1127">
        <v>0</v>
      </c>
      <c s="6" r="BJ1127">
        <v>0</v>
      </c>
      <c s="6" r="BK1127">
        <v>1</v>
      </c>
      <c s="6" r="BL1127">
        <v>0</v>
      </c>
      <c s="6" r="BM1127">
        <v>0</v>
      </c>
      <c s="6" r="BN1127">
        <v>0</v>
      </c>
      <c s="6" r="BO1127">
        <v>0</v>
      </c>
      <c s="6" r="BP1127">
        <v>0</v>
      </c>
      <c s="6" r="BQ1127">
        <v>0</v>
      </c>
      <c t="str" s="6" r="BR1127">
        <f>HYPERLINK("http://www.d20pfsrd.com/magic/all-spells/s/snapdragon-fireworks","Snapdragon Fireworks")</f>
        <v>Snapdragon Fireworks</v>
      </c>
      <c s="6" r="BS1127">
        <v>1149</v>
      </c>
      <c t="s" s="6" r="BT1127">
        <v>92</v>
      </c>
      <c s="6" r="BY1127">
        <v>0</v>
      </c>
    </row>
    <row customHeight="1" r="1128" ht="14.25">
      <c t="s" s="6" r="A1128">
        <v>8275</v>
      </c>
      <c t="s" s="6" r="B1128">
        <v>493</v>
      </c>
      <c t="s" s="6" r="D1128">
        <v>67</v>
      </c>
      <c t="s" s="6" r="E1128">
        <v>8276</v>
      </c>
      <c t="s" s="6" r="F1128">
        <v>81</v>
      </c>
      <c t="s" s="6" r="G1128">
        <v>106</v>
      </c>
      <c s="6" r="H1128">
        <v>0</v>
      </c>
      <c t="s" s="6" r="I1128">
        <v>83</v>
      </c>
      <c t="s" s="6" r="L1128">
        <v>141</v>
      </c>
      <c t="s" s="6" r="M1128">
        <v>109</v>
      </c>
      <c s="6" r="N1128">
        <v>0</v>
      </c>
      <c s="6" r="O1128">
        <v>0</v>
      </c>
      <c t="s" s="6" r="P1128">
        <v>8277</v>
      </c>
      <c t="s" s="6" r="Q1128">
        <v>8278</v>
      </c>
      <c t="s" s="6" r="R1128">
        <v>8279</v>
      </c>
      <c t="s" s="6" r="S1128">
        <v>8280</v>
      </c>
      <c t="s" s="6" r="T1128">
        <v>7122</v>
      </c>
      <c t="s" s="6" r="U1128">
        <v>8281</v>
      </c>
      <c s="6" r="V1128">
        <v>1</v>
      </c>
      <c s="6" r="W1128">
        <v>1</v>
      </c>
      <c s="6" r="X1128">
        <v>0</v>
      </c>
      <c s="6" r="Y1128">
        <v>0</v>
      </c>
      <c s="6" r="Z1128">
        <v>0</v>
      </c>
      <c s="6" r="AA1128">
        <v>5</v>
      </c>
      <c s="6" r="AB1128">
        <v>5</v>
      </c>
      <c t="s" s="6" r="AC1128">
        <v>92</v>
      </c>
      <c t="s" s="6" r="AD1128">
        <v>92</v>
      </c>
      <c t="s" s="6" r="AE1128">
        <v>92</v>
      </c>
      <c s="6" r="AF1128">
        <v>4</v>
      </c>
      <c t="s" s="6" r="AG1128">
        <v>92</v>
      </c>
      <c t="s" s="6" r="AH1128">
        <v>92</v>
      </c>
      <c t="s" s="6" r="AI1128">
        <v>92</v>
      </c>
      <c t="s" s="6" r="AJ1128">
        <v>92</v>
      </c>
      <c t="s" s="6" r="AK1128">
        <v>92</v>
      </c>
      <c t="s" s="6" r="AL1128">
        <v>92</v>
      </c>
      <c t="s" s="6" r="AM1128">
        <v>92</v>
      </c>
      <c t="s" s="6" r="AN1128">
        <v>92</v>
      </c>
      <c s="6" r="AP1128">
        <v>5</v>
      </c>
      <c t="s" s="6" r="AR1128">
        <v>8282</v>
      </c>
      <c s="6" r="AS1128">
        <v>0</v>
      </c>
      <c s="6" r="AT1128">
        <v>0</v>
      </c>
      <c s="6" r="AU1128">
        <v>0</v>
      </c>
      <c s="6" r="AV1128">
        <v>0</v>
      </c>
      <c s="6" r="AW1128">
        <v>0</v>
      </c>
      <c s="6" r="AX1128">
        <v>0</v>
      </c>
      <c s="6" r="AY1128">
        <v>0</v>
      </c>
      <c s="6" r="AZ1128">
        <v>0</v>
      </c>
      <c s="6" r="BA1128">
        <v>0</v>
      </c>
      <c s="6" r="BB1128">
        <v>0</v>
      </c>
      <c s="6" r="BC1128">
        <v>0</v>
      </c>
      <c s="6" r="BD1128">
        <v>0</v>
      </c>
      <c s="6" r="BE1128">
        <v>0</v>
      </c>
      <c s="6" r="BF1128">
        <v>0</v>
      </c>
      <c s="6" r="BG1128">
        <v>0</v>
      </c>
      <c s="6" r="BH1128">
        <v>0</v>
      </c>
      <c s="6" r="BI1128">
        <v>0</v>
      </c>
      <c s="6" r="BJ1128">
        <v>0</v>
      </c>
      <c s="6" r="BK1128">
        <v>0</v>
      </c>
      <c s="6" r="BL1128">
        <v>0</v>
      </c>
      <c s="6" r="BM1128">
        <v>0</v>
      </c>
      <c s="6" r="BN1128">
        <v>0</v>
      </c>
      <c s="6" r="BO1128">
        <v>0</v>
      </c>
      <c s="6" r="BP1128">
        <v>1</v>
      </c>
      <c s="6" r="BQ1128">
        <v>0</v>
      </c>
      <c t="str" s="6" r="BR1128">
        <f>HYPERLINK("http://www.d20pfsrd.com/magic/all-spells/s/sonic-thrust","Sonic Thrust")</f>
        <v>Sonic Thrust</v>
      </c>
      <c s="6" r="BS1128">
        <v>1150</v>
      </c>
      <c t="s" s="6" r="BT1128">
        <v>92</v>
      </c>
      <c s="6" r="BY1128">
        <v>0</v>
      </c>
    </row>
    <row customHeight="1" r="1129" ht="14.25">
      <c t="s" s="6" r="A1129">
        <v>8283</v>
      </c>
      <c t="s" s="6" r="B1129">
        <v>162</v>
      </c>
      <c t="s" s="6" r="E1129">
        <v>8284</v>
      </c>
      <c t="s" s="6" r="F1129">
        <v>272</v>
      </c>
      <c t="s" s="6" r="G1129">
        <v>106</v>
      </c>
      <c s="6" r="H1129">
        <v>0</v>
      </c>
      <c t="s" s="6" r="I1129">
        <v>107</v>
      </c>
      <c t="s" s="6" r="L1129">
        <v>7401</v>
      </c>
      <c t="s" s="6" r="M1129">
        <v>109</v>
      </c>
      <c s="6" r="N1129">
        <v>0</v>
      </c>
      <c s="6" r="O1129">
        <v>0</v>
      </c>
      <c t="s" s="6" r="P1129">
        <v>86</v>
      </c>
      <c t="s" s="6" r="Q1129">
        <v>87</v>
      </c>
      <c t="s" s="6" r="R1129">
        <v>8285</v>
      </c>
      <c t="s" s="6" r="S1129">
        <v>8286</v>
      </c>
      <c t="s" s="6" r="T1129">
        <v>7122</v>
      </c>
      <c t="s" s="6" r="U1129">
        <v>8287</v>
      </c>
      <c s="6" r="V1129">
        <v>1</v>
      </c>
      <c s="6" r="W1129">
        <v>1</v>
      </c>
      <c s="6" r="X1129">
        <v>0</v>
      </c>
      <c s="6" r="Y1129">
        <v>0</v>
      </c>
      <c s="6" r="Z1129">
        <v>0</v>
      </c>
      <c s="6" r="AA1129">
        <v>5</v>
      </c>
      <c s="6" r="AB1129">
        <v>5</v>
      </c>
      <c s="6" r="AC1129">
        <v>4</v>
      </c>
      <c t="s" s="6" r="AD1129">
        <v>92</v>
      </c>
      <c t="s" s="6" r="AE1129">
        <v>92</v>
      </c>
      <c t="s" s="6" r="AF1129">
        <v>92</v>
      </c>
      <c t="s" s="6" r="AG1129">
        <v>92</v>
      </c>
      <c t="s" s="6" r="AH1129">
        <v>92</v>
      </c>
      <c t="s" s="6" r="AI1129">
        <v>92</v>
      </c>
      <c t="s" s="6" r="AJ1129">
        <v>92</v>
      </c>
      <c t="s" s="6" r="AK1129">
        <v>92</v>
      </c>
      <c s="6" r="AL1129">
        <v>4</v>
      </c>
      <c t="s" s="6" r="AM1129">
        <v>92</v>
      </c>
      <c t="s" s="6" r="AN1129">
        <v>92</v>
      </c>
      <c s="6" r="AP1129">
        <v>5</v>
      </c>
      <c t="s" s="6" r="AR1129">
        <v>8288</v>
      </c>
      <c s="6" r="AS1129">
        <v>0</v>
      </c>
      <c s="6" r="AT1129">
        <v>0</v>
      </c>
      <c s="6" r="AU1129">
        <v>0</v>
      </c>
      <c s="6" r="AV1129">
        <v>0</v>
      </c>
      <c s="6" r="AW1129">
        <v>0</v>
      </c>
      <c s="6" r="AX1129">
        <v>0</v>
      </c>
      <c s="6" r="AY1129">
        <v>0</v>
      </c>
      <c s="6" r="AZ1129">
        <v>0</v>
      </c>
      <c s="6" r="BA1129">
        <v>0</v>
      </c>
      <c s="6" r="BB1129">
        <v>0</v>
      </c>
      <c s="6" r="BC1129">
        <v>0</v>
      </c>
      <c s="6" r="BD1129">
        <v>0</v>
      </c>
      <c s="6" r="BE1129">
        <v>0</v>
      </c>
      <c s="6" r="BF1129">
        <v>0</v>
      </c>
      <c s="6" r="BG1129">
        <v>0</v>
      </c>
      <c s="6" r="BH1129">
        <v>0</v>
      </c>
      <c s="6" r="BI1129">
        <v>0</v>
      </c>
      <c s="6" r="BJ1129">
        <v>0</v>
      </c>
      <c s="6" r="BK1129">
        <v>0</v>
      </c>
      <c s="6" r="BL1129">
        <v>0</v>
      </c>
      <c s="6" r="BM1129">
        <v>0</v>
      </c>
      <c s="6" r="BN1129">
        <v>0</v>
      </c>
      <c s="6" r="BO1129">
        <v>0</v>
      </c>
      <c s="6" r="BP1129">
        <v>0</v>
      </c>
      <c s="6" r="BQ1129">
        <v>0</v>
      </c>
      <c t="str" s="6" r="BR1129">
        <f>HYPERLINK("http://www.d20pfsrd.com/magic/all-spells/s/soothe-construct","Soothe Construct")</f>
        <v>Soothe Construct</v>
      </c>
      <c s="6" r="BS1129">
        <v>1151</v>
      </c>
      <c t="s" s="6" r="BT1129">
        <v>92</v>
      </c>
      <c s="6" r="BY1129">
        <v>0</v>
      </c>
    </row>
    <row customHeight="1" r="1130" ht="14.25">
      <c t="s" s="6" r="A1130">
        <v>8289</v>
      </c>
      <c t="s" s="6" r="B1130">
        <v>493</v>
      </c>
      <c t="s" s="6" r="D1130">
        <v>59</v>
      </c>
      <c t="s" s="6" r="E1130">
        <v>7581</v>
      </c>
      <c t="s" s="6" r="F1130">
        <v>81</v>
      </c>
      <c t="s" s="6" r="G1130">
        <v>119</v>
      </c>
      <c s="6" r="H1130">
        <v>0</v>
      </c>
      <c t="s" s="6" r="I1130">
        <v>107</v>
      </c>
      <c t="s" s="6" r="K1130">
        <v>8290</v>
      </c>
      <c t="s" s="6" r="M1130">
        <v>8291</v>
      </c>
      <c s="6" r="N1130">
        <v>0</v>
      </c>
      <c s="6" r="O1130">
        <v>0</v>
      </c>
      <c t="s" s="6" r="P1130">
        <v>7202</v>
      </c>
      <c t="s" s="6" r="Q1130">
        <v>188</v>
      </c>
      <c t="s" s="6" r="R1130">
        <v>8292</v>
      </c>
      <c t="s" s="6" r="S1130">
        <v>8293</v>
      </c>
      <c t="s" s="6" r="T1130">
        <v>7122</v>
      </c>
      <c t="s" s="6" r="U1130">
        <v>8294</v>
      </c>
      <c s="6" r="V1130">
        <v>1</v>
      </c>
      <c s="6" r="W1130">
        <v>1</v>
      </c>
      <c s="6" r="X1130">
        <v>0</v>
      </c>
      <c s="6" r="Y1130">
        <v>0</v>
      </c>
      <c s="6" r="Z1130">
        <v>1</v>
      </c>
      <c t="s" s="6" r="AA1130">
        <v>92</v>
      </c>
      <c t="s" s="6" r="AB1130">
        <v>92</v>
      </c>
      <c s="6" r="AC1130">
        <v>2</v>
      </c>
      <c t="s" s="6" r="AD1130">
        <v>92</v>
      </c>
      <c t="s" s="6" r="AE1130">
        <v>92</v>
      </c>
      <c t="s" s="6" r="AF1130">
        <v>92</v>
      </c>
      <c t="s" s="6" r="AG1130">
        <v>92</v>
      </c>
      <c t="s" s="6" r="AH1130">
        <v>92</v>
      </c>
      <c t="s" s="6" r="AI1130">
        <v>92</v>
      </c>
      <c t="s" s="6" r="AJ1130">
        <v>92</v>
      </c>
      <c t="s" s="6" r="AK1130">
        <v>92</v>
      </c>
      <c s="6" r="AL1130">
        <v>2</v>
      </c>
      <c t="s" s="6" r="AM1130">
        <v>92</v>
      </c>
      <c t="s" s="6" r="AN1130">
        <v>92</v>
      </c>
      <c s="6" r="AP1130">
        <v>2</v>
      </c>
      <c t="s" s="6" r="AR1130">
        <v>8295</v>
      </c>
      <c s="6" r="AS1130">
        <v>0</v>
      </c>
      <c s="6" r="AT1130">
        <v>0</v>
      </c>
      <c s="6" r="AU1130">
        <v>0</v>
      </c>
      <c s="6" r="AV1130">
        <v>0</v>
      </c>
      <c s="6" r="AW1130">
        <v>0</v>
      </c>
      <c s="6" r="AX1130">
        <v>0</v>
      </c>
      <c s="6" r="AY1130">
        <v>0</v>
      </c>
      <c s="6" r="AZ1130">
        <v>0</v>
      </c>
      <c s="6" r="BA1130">
        <v>0</v>
      </c>
      <c s="6" r="BB1130">
        <v>0</v>
      </c>
      <c s="6" r="BC1130">
        <v>0</v>
      </c>
      <c s="6" r="BD1130">
        <v>0</v>
      </c>
      <c s="6" r="BE1130">
        <v>0</v>
      </c>
      <c s="6" r="BF1130">
        <v>0</v>
      </c>
      <c s="6" r="BG1130">
        <v>0</v>
      </c>
      <c s="6" r="BH1130">
        <v>1</v>
      </c>
      <c s="6" r="BI1130">
        <v>0</v>
      </c>
      <c s="6" r="BJ1130">
        <v>0</v>
      </c>
      <c s="6" r="BK1130">
        <v>0</v>
      </c>
      <c s="6" r="BL1130">
        <v>0</v>
      </c>
      <c s="6" r="BM1130">
        <v>0</v>
      </c>
      <c s="6" r="BN1130">
        <v>0</v>
      </c>
      <c s="6" r="BO1130">
        <v>0</v>
      </c>
      <c s="6" r="BP1130">
        <v>0</v>
      </c>
      <c s="6" r="BQ1130">
        <v>0</v>
      </c>
      <c t="str" s="6" r="BR1130">
        <f>HYPERLINK("http://www.d20pfsrd.com/magic/all-spells/s/spear-of-purity","Spear of Purity")</f>
        <v>Spear of Purity</v>
      </c>
      <c s="6" r="BS1130">
        <v>1152</v>
      </c>
      <c t="s" s="6" r="BT1130">
        <v>92</v>
      </c>
      <c s="6" r="BY1130">
        <v>0</v>
      </c>
    </row>
    <row customHeight="1" r="1131" ht="14.25">
      <c t="s" s="6" r="A1131">
        <v>8296</v>
      </c>
      <c t="s" s="6" r="B1131">
        <v>131</v>
      </c>
      <c t="s" s="6" r="D1131">
        <v>65</v>
      </c>
      <c t="s" s="6" r="E1131">
        <v>8297</v>
      </c>
      <c t="s" s="6" r="F1131">
        <v>81</v>
      </c>
      <c t="s" s="6" r="G1131">
        <v>251</v>
      </c>
      <c s="6" r="H1131">
        <v>0</v>
      </c>
      <c t="s" s="6" r="I1131">
        <v>107</v>
      </c>
      <c t="s" s="6" r="K1131">
        <v>8298</v>
      </c>
      <c t="s" s="6" r="M1131">
        <v>834</v>
      </c>
      <c s="6" r="N1131">
        <v>0</v>
      </c>
      <c s="6" r="O1131">
        <v>0</v>
      </c>
      <c t="s" s="6" r="P1131">
        <v>1254</v>
      </c>
      <c t="s" s="6" r="Q1131">
        <v>87</v>
      </c>
      <c t="s" s="6" r="R1131">
        <v>8299</v>
      </c>
      <c t="s" s="6" r="S1131">
        <v>8300</v>
      </c>
      <c t="s" s="6" r="T1131">
        <v>7122</v>
      </c>
      <c t="s" s="6" r="U1131">
        <v>8301</v>
      </c>
      <c s="6" r="V1131">
        <v>1</v>
      </c>
      <c s="6" r="W1131">
        <v>0</v>
      </c>
      <c s="6" r="X1131">
        <v>0</v>
      </c>
      <c s="6" r="Y1131">
        <v>0</v>
      </c>
      <c s="6" r="Z1131">
        <v>0</v>
      </c>
      <c t="s" s="6" r="AA1131">
        <v>92</v>
      </c>
      <c t="s" s="6" r="AB1131">
        <v>92</v>
      </c>
      <c s="6" r="AC1131">
        <v>4</v>
      </c>
      <c s="6" r="AD1131">
        <v>3</v>
      </c>
      <c t="s" s="6" r="AE1131">
        <v>92</v>
      </c>
      <c t="s" s="6" r="AF1131">
        <v>92</v>
      </c>
      <c t="s" s="6" r="AG1131">
        <v>92</v>
      </c>
      <c t="s" s="6" r="AH1131">
        <v>92</v>
      </c>
      <c t="s" s="6" r="AI1131">
        <v>92</v>
      </c>
      <c s="6" r="AJ1131">
        <v>3</v>
      </c>
      <c t="s" s="6" r="AK1131">
        <v>92</v>
      </c>
      <c s="6" r="AL1131">
        <v>4</v>
      </c>
      <c t="s" s="6" r="AM1131">
        <v>92</v>
      </c>
      <c t="s" s="6" r="AN1131">
        <v>92</v>
      </c>
      <c s="6" r="AP1131">
        <v>4</v>
      </c>
      <c t="s" s="6" r="AR1131">
        <v>8302</v>
      </c>
      <c s="6" r="AS1131">
        <v>0</v>
      </c>
      <c s="6" r="AT1131">
        <v>0</v>
      </c>
      <c s="6" r="AU1131">
        <v>0</v>
      </c>
      <c s="6" r="AV1131">
        <v>0</v>
      </c>
      <c s="6" r="AW1131">
        <v>0</v>
      </c>
      <c s="6" r="AX1131">
        <v>0</v>
      </c>
      <c s="6" r="AY1131">
        <v>0</v>
      </c>
      <c s="6" r="AZ1131">
        <v>0</v>
      </c>
      <c s="6" r="BA1131">
        <v>0</v>
      </c>
      <c s="6" r="BB1131">
        <v>0</v>
      </c>
      <c s="6" r="BC1131">
        <v>0</v>
      </c>
      <c s="6" r="BD1131">
        <v>0</v>
      </c>
      <c s="6" r="BE1131">
        <v>0</v>
      </c>
      <c s="6" r="BF1131">
        <v>0</v>
      </c>
      <c s="6" r="BG1131">
        <v>0</v>
      </c>
      <c s="6" r="BH1131">
        <v>0</v>
      </c>
      <c s="6" r="BI1131">
        <v>0</v>
      </c>
      <c s="6" r="BJ1131">
        <v>0</v>
      </c>
      <c s="6" r="BK1131">
        <v>0</v>
      </c>
      <c s="6" r="BL1131">
        <v>0</v>
      </c>
      <c s="6" r="BM1131">
        <v>0</v>
      </c>
      <c s="6" r="BN1131">
        <v>1</v>
      </c>
      <c s="6" r="BO1131">
        <v>0</v>
      </c>
      <c s="6" r="BP1131">
        <v>0</v>
      </c>
      <c s="6" r="BQ1131">
        <v>0</v>
      </c>
      <c t="str" s="6" r="BR1131">
        <f>HYPERLINK("http://www.d20pfsrd.com/magic/all-spells/s/spit-venom","Spit Venom")</f>
        <v>Spit Venom</v>
      </c>
      <c s="6" r="BS1131">
        <v>1153</v>
      </c>
      <c t="s" s="6" r="BT1131">
        <v>92</v>
      </c>
      <c s="6" r="BY1131">
        <v>0</v>
      </c>
    </row>
    <row customHeight="1" r="1132" ht="14.25">
      <c t="s" s="6" r="A1132">
        <v>8303</v>
      </c>
      <c t="s" s="6" r="B1132">
        <v>227</v>
      </c>
      <c t="s" s="6" r="E1132">
        <v>7740</v>
      </c>
      <c t="s" s="6" r="F1132">
        <v>81</v>
      </c>
      <c t="s" s="6" r="G1132">
        <v>251</v>
      </c>
      <c s="6" r="H1132">
        <v>0</v>
      </c>
      <c t="s" s="6" r="I1132">
        <v>97</v>
      </c>
      <c t="s" s="6" r="L1132">
        <v>1235</v>
      </c>
      <c t="s" s="6" r="M1132">
        <v>561</v>
      </c>
      <c s="6" r="N1132">
        <v>1</v>
      </c>
      <c s="6" r="O1132">
        <v>0</v>
      </c>
      <c t="s" s="6" r="P1132">
        <v>187</v>
      </c>
      <c t="s" s="6" r="Q1132">
        <v>188</v>
      </c>
      <c t="s" s="6" r="R1132">
        <v>8304</v>
      </c>
      <c t="s" s="6" r="S1132">
        <v>8305</v>
      </c>
      <c t="s" s="6" r="T1132">
        <v>7122</v>
      </c>
      <c t="s" s="6" r="U1132">
        <v>8306</v>
      </c>
      <c s="6" r="V1132">
        <v>1</v>
      </c>
      <c s="6" r="W1132">
        <v>0</v>
      </c>
      <c s="6" r="X1132">
        <v>0</v>
      </c>
      <c s="6" r="Y1132">
        <v>0</v>
      </c>
      <c s="6" r="Z1132">
        <v>0</v>
      </c>
      <c s="6" r="AA1132">
        <v>2</v>
      </c>
      <c s="6" r="AB1132">
        <v>2</v>
      </c>
      <c t="s" s="6" r="AC1132">
        <v>92</v>
      </c>
      <c t="s" s="6" r="AD1132">
        <v>92</v>
      </c>
      <c t="s" s="6" r="AE1132">
        <v>92</v>
      </c>
      <c s="6" r="AF1132">
        <v>2</v>
      </c>
      <c t="s" s="6" r="AG1132">
        <v>92</v>
      </c>
      <c t="s" s="6" r="AH1132">
        <v>92</v>
      </c>
      <c t="s" s="6" r="AI1132">
        <v>92</v>
      </c>
      <c s="6" r="AJ1132">
        <v>2</v>
      </c>
      <c t="s" s="6" r="AK1132">
        <v>92</v>
      </c>
      <c t="s" s="6" r="AL1132">
        <v>92</v>
      </c>
      <c t="s" s="6" r="AM1132">
        <v>92</v>
      </c>
      <c t="s" s="6" r="AN1132">
        <v>92</v>
      </c>
      <c s="6" r="AP1132">
        <v>2</v>
      </c>
      <c t="s" s="6" r="AR1132">
        <v>8307</v>
      </c>
      <c s="6" r="AS1132">
        <v>0</v>
      </c>
      <c s="6" r="AT1132">
        <v>0</v>
      </c>
      <c s="6" r="AU1132">
        <v>0</v>
      </c>
      <c s="6" r="AV1132">
        <v>0</v>
      </c>
      <c s="6" r="AW1132">
        <v>0</v>
      </c>
      <c s="6" r="AX1132">
        <v>0</v>
      </c>
      <c s="6" r="AY1132">
        <v>0</v>
      </c>
      <c s="6" r="AZ1132">
        <v>0</v>
      </c>
      <c s="6" r="BA1132">
        <v>0</v>
      </c>
      <c s="6" r="BB1132">
        <v>0</v>
      </c>
      <c s="6" r="BC1132">
        <v>0</v>
      </c>
      <c s="6" r="BD1132">
        <v>0</v>
      </c>
      <c s="6" r="BE1132">
        <v>0</v>
      </c>
      <c s="6" r="BF1132">
        <v>0</v>
      </c>
      <c s="6" r="BG1132">
        <v>0</v>
      </c>
      <c s="6" r="BH1132">
        <v>0</v>
      </c>
      <c s="6" r="BI1132">
        <v>0</v>
      </c>
      <c s="6" r="BJ1132">
        <v>0</v>
      </c>
      <c s="6" r="BK1132">
        <v>0</v>
      </c>
      <c s="6" r="BL1132">
        <v>0</v>
      </c>
      <c s="6" r="BM1132">
        <v>0</v>
      </c>
      <c s="6" r="BN1132">
        <v>0</v>
      </c>
      <c s="6" r="BO1132">
        <v>0</v>
      </c>
      <c s="6" r="BP1132">
        <v>0</v>
      </c>
      <c s="6" r="BQ1132">
        <v>0</v>
      </c>
      <c t="str" s="6" r="BR1132">
        <f>HYPERLINK("http://www.d20pfsrd.com/magic/all-spells/s/steal-voice","Steal Voice")</f>
        <v>Steal Voice</v>
      </c>
      <c s="6" r="BS1132">
        <v>1154</v>
      </c>
      <c t="s" s="6" r="BT1132">
        <v>92</v>
      </c>
      <c s="6" r="BY1132">
        <v>0</v>
      </c>
    </row>
    <row customHeight="1" r="1133" ht="14.25">
      <c t="s" s="6" r="A1133">
        <v>8308</v>
      </c>
      <c t="s" s="6" r="B1133">
        <v>131</v>
      </c>
      <c t="s" s="6" r="E1133">
        <v>6274</v>
      </c>
      <c t="s" s="6" r="F1133">
        <v>81</v>
      </c>
      <c t="s" s="6" r="G1133">
        <v>106</v>
      </c>
      <c s="6" r="H1133">
        <v>0</v>
      </c>
      <c t="s" s="6" r="I1133">
        <v>107</v>
      </c>
      <c t="s" s="6" r="L1133">
        <v>1235</v>
      </c>
      <c t="s" s="6" r="M1133">
        <v>666</v>
      </c>
      <c s="6" r="N1133">
        <v>0</v>
      </c>
      <c s="6" r="O1133">
        <v>0</v>
      </c>
      <c t="s" s="6" r="P1133">
        <v>86</v>
      </c>
      <c t="s" s="6" r="Q1133">
        <v>188</v>
      </c>
      <c t="s" s="6" r="R1133">
        <v>8309</v>
      </c>
      <c t="s" s="6" r="S1133">
        <v>8310</v>
      </c>
      <c t="s" s="6" r="T1133">
        <v>7122</v>
      </c>
      <c t="s" s="6" r="U1133">
        <v>8311</v>
      </c>
      <c s="6" r="V1133">
        <v>1</v>
      </c>
      <c s="6" r="W1133">
        <v>1</v>
      </c>
      <c s="6" r="X1133">
        <v>0</v>
      </c>
      <c s="6" r="Y1133">
        <v>0</v>
      </c>
      <c s="6" r="Z1133">
        <v>0</v>
      </c>
      <c s="6" r="AA1133">
        <v>3</v>
      </c>
      <c s="6" r="AB1133">
        <v>3</v>
      </c>
      <c t="s" s="6" r="AC1133">
        <v>92</v>
      </c>
      <c t="s" s="6" r="AD1133">
        <v>92</v>
      </c>
      <c t="s" s="6" r="AE1133">
        <v>92</v>
      </c>
      <c t="s" s="6" r="AF1133">
        <v>92</v>
      </c>
      <c t="s" s="6" r="AG1133">
        <v>92</v>
      </c>
      <c t="s" s="6" r="AH1133">
        <v>92</v>
      </c>
      <c t="s" s="6" r="AI1133">
        <v>92</v>
      </c>
      <c s="6" r="AJ1133">
        <v>3</v>
      </c>
      <c t="s" s="6" r="AK1133">
        <v>92</v>
      </c>
      <c t="s" s="6" r="AL1133">
        <v>92</v>
      </c>
      <c t="s" s="6" r="AM1133">
        <v>92</v>
      </c>
      <c t="s" s="6" r="AN1133">
        <v>92</v>
      </c>
      <c s="6" r="AP1133">
        <v>3</v>
      </c>
      <c t="s" s="6" r="AR1133">
        <v>8312</v>
      </c>
      <c s="6" r="AS1133">
        <v>0</v>
      </c>
      <c s="6" r="AT1133">
        <v>0</v>
      </c>
      <c s="6" r="AU1133">
        <v>0</v>
      </c>
      <c s="6" r="AV1133">
        <v>0</v>
      </c>
      <c s="6" r="AW1133">
        <v>0</v>
      </c>
      <c s="6" r="AX1133">
        <v>0</v>
      </c>
      <c s="6" r="AY1133">
        <v>0</v>
      </c>
      <c s="6" r="AZ1133">
        <v>0</v>
      </c>
      <c s="6" r="BA1133">
        <v>0</v>
      </c>
      <c s="6" r="BB1133">
        <v>0</v>
      </c>
      <c s="6" r="BC1133">
        <v>0</v>
      </c>
      <c s="6" r="BD1133">
        <v>0</v>
      </c>
      <c s="6" r="BE1133">
        <v>0</v>
      </c>
      <c s="6" r="BF1133">
        <v>0</v>
      </c>
      <c s="6" r="BG1133">
        <v>0</v>
      </c>
      <c s="6" r="BH1133">
        <v>0</v>
      </c>
      <c s="6" r="BI1133">
        <v>0</v>
      </c>
      <c s="6" r="BJ1133">
        <v>0</v>
      </c>
      <c s="6" r="BK1133">
        <v>0</v>
      </c>
      <c s="6" r="BL1133">
        <v>0</v>
      </c>
      <c s="6" r="BM1133">
        <v>0</v>
      </c>
      <c s="6" r="BN1133">
        <v>0</v>
      </c>
      <c s="6" r="BO1133">
        <v>0</v>
      </c>
      <c s="6" r="BP1133">
        <v>0</v>
      </c>
      <c s="6" r="BQ1133">
        <v>0</v>
      </c>
      <c t="str" s="6" r="BR1133">
        <f>HYPERLINK("http://www.d20pfsrd.com/magic/all-spells/s/strangling-hair","Strangling Hair")</f>
        <v>Strangling Hair</v>
      </c>
      <c s="6" r="BS1133">
        <v>1155</v>
      </c>
      <c t="s" s="6" r="BT1133">
        <v>92</v>
      </c>
      <c t="s" s="6" r="BW1133">
        <v>8313</v>
      </c>
      <c s="6" r="BY1133">
        <v>1</v>
      </c>
    </row>
    <row customHeight="1" r="1134" ht="14.25">
      <c t="s" s="6" r="A1134">
        <v>8314</v>
      </c>
      <c t="s" s="6" r="B1134">
        <v>78</v>
      </c>
      <c t="s" s="6" r="C1134">
        <v>1042</v>
      </c>
      <c t="s" s="6" r="E1134">
        <v>3866</v>
      </c>
      <c t="s" s="6" r="F1134">
        <v>272</v>
      </c>
      <c t="s" s="6" r="G1134">
        <v>106</v>
      </c>
      <c s="6" r="H1134">
        <v>0</v>
      </c>
      <c t="s" s="6" r="I1134">
        <v>107</v>
      </c>
      <c t="s" s="6" r="K1134">
        <v>4244</v>
      </c>
      <c t="s" s="6" r="M1134">
        <v>483</v>
      </c>
      <c s="6" r="N1134">
        <v>1</v>
      </c>
      <c s="6" r="O1134">
        <v>0</v>
      </c>
      <c t="s" s="6" r="P1134">
        <v>86</v>
      </c>
      <c t="s" s="6" r="Q1134">
        <v>87</v>
      </c>
      <c t="s" s="6" r="R1134">
        <v>8315</v>
      </c>
      <c t="s" s="6" r="S1134">
        <v>8316</v>
      </c>
      <c t="s" s="6" r="T1134">
        <v>7122</v>
      </c>
      <c t="s" s="6" r="U1134">
        <v>8317</v>
      </c>
      <c s="6" r="V1134">
        <v>1</v>
      </c>
      <c s="6" r="W1134">
        <v>1</v>
      </c>
      <c s="6" r="X1134">
        <v>0</v>
      </c>
      <c s="6" r="Y1134">
        <v>0</v>
      </c>
      <c s="6" r="Z1134">
        <v>0</v>
      </c>
      <c t="s" s="6" r="AA1134">
        <v>92</v>
      </c>
      <c t="s" s="6" r="AB1134">
        <v>92</v>
      </c>
      <c t="s" s="6" r="AC1134">
        <v>92</v>
      </c>
      <c s="6" r="AD1134">
        <v>9</v>
      </c>
      <c t="s" s="6" r="AE1134">
        <v>92</v>
      </c>
      <c t="s" s="6" r="AF1134">
        <v>92</v>
      </c>
      <c t="s" s="6" r="AG1134">
        <v>92</v>
      </c>
      <c t="s" s="6" r="AH1134">
        <v>92</v>
      </c>
      <c t="s" s="6" r="AI1134">
        <v>92</v>
      </c>
      <c t="s" s="6" r="AJ1134">
        <v>92</v>
      </c>
      <c t="s" s="6" r="AK1134">
        <v>92</v>
      </c>
      <c t="s" s="6" r="AL1134">
        <v>92</v>
      </c>
      <c t="s" s="6" r="AM1134">
        <v>92</v>
      </c>
      <c t="s" s="6" r="AN1134">
        <v>92</v>
      </c>
      <c s="6" r="AP1134">
        <v>9</v>
      </c>
      <c t="s" s="6" r="AR1134">
        <v>8318</v>
      </c>
      <c s="6" r="AS1134">
        <v>0</v>
      </c>
      <c s="6" r="AT1134">
        <v>0</v>
      </c>
      <c s="6" r="AU1134">
        <v>0</v>
      </c>
      <c s="6" r="AV1134">
        <v>0</v>
      </c>
      <c s="6" r="AW1134">
        <v>0</v>
      </c>
      <c s="6" r="AX1134">
        <v>0</v>
      </c>
      <c s="6" r="AY1134">
        <v>0</v>
      </c>
      <c s="6" r="AZ1134">
        <v>0</v>
      </c>
      <c s="6" r="BA1134">
        <v>0</v>
      </c>
      <c s="6" r="BB1134">
        <v>0</v>
      </c>
      <c s="6" r="BC1134">
        <v>0</v>
      </c>
      <c s="6" r="BD1134">
        <v>0</v>
      </c>
      <c s="6" r="BE1134">
        <v>0</v>
      </c>
      <c s="6" r="BF1134">
        <v>0</v>
      </c>
      <c s="6" r="BG1134">
        <v>0</v>
      </c>
      <c s="6" r="BH1134">
        <v>0</v>
      </c>
      <c s="6" r="BI1134">
        <v>0</v>
      </c>
      <c s="6" r="BJ1134">
        <v>0</v>
      </c>
      <c s="6" r="BK1134">
        <v>0</v>
      </c>
      <c s="6" r="BL1134">
        <v>0</v>
      </c>
      <c s="6" r="BM1134">
        <v>0</v>
      </c>
      <c s="6" r="BN1134">
        <v>0</v>
      </c>
      <c s="6" r="BO1134">
        <v>0</v>
      </c>
      <c s="6" r="BP1134">
        <v>0</v>
      </c>
      <c s="6" r="BQ1134">
        <v>0</v>
      </c>
      <c t="str" s="6" r="BR1134">
        <f>HYPERLINK("http://www.d20pfsrd.com/magic/all-spells/s/summon-elder-worm","Summon Elder Worm")</f>
        <v>Summon Elder Worm</v>
      </c>
      <c s="6" r="BS1134">
        <v>1156</v>
      </c>
      <c t="s" s="6" r="BT1134">
        <v>92</v>
      </c>
      <c s="6" r="BY1134">
        <v>0</v>
      </c>
    </row>
    <row customHeight="1" r="1135" ht="14.25">
      <c t="s" s="6" r="A1135">
        <v>8319</v>
      </c>
      <c t="s" s="6" r="B1135">
        <v>78</v>
      </c>
      <c t="s" s="6" r="C1135">
        <v>1042</v>
      </c>
      <c t="s" s="6" r="E1135">
        <v>3866</v>
      </c>
      <c t="s" s="6" r="F1135">
        <v>272</v>
      </c>
      <c t="s" s="6" r="G1135">
        <v>106</v>
      </c>
      <c s="6" r="H1135">
        <v>0</v>
      </c>
      <c t="s" s="6" r="I1135">
        <v>107</v>
      </c>
      <c t="s" s="6" r="K1135">
        <v>4244</v>
      </c>
      <c t="s" s="6" r="M1135">
        <v>483</v>
      </c>
      <c s="6" r="N1135">
        <v>1</v>
      </c>
      <c s="6" r="O1135">
        <v>0</v>
      </c>
      <c t="s" s="6" r="P1135">
        <v>86</v>
      </c>
      <c t="s" s="6" r="Q1135">
        <v>87</v>
      </c>
      <c t="s" s="6" r="R1135">
        <v>8320</v>
      </c>
      <c t="s" s="6" r="S1135">
        <v>8321</v>
      </c>
      <c t="s" s="6" r="T1135">
        <v>7122</v>
      </c>
      <c t="s" s="6" r="U1135">
        <v>8322</v>
      </c>
      <c s="6" r="V1135">
        <v>1</v>
      </c>
      <c s="6" r="W1135">
        <v>1</v>
      </c>
      <c s="6" r="X1135">
        <v>0</v>
      </c>
      <c s="6" r="Y1135">
        <v>0</v>
      </c>
      <c s="6" r="Z1135">
        <v>0</v>
      </c>
      <c t="s" s="6" r="AA1135">
        <v>92</v>
      </c>
      <c t="s" s="6" r="AB1135">
        <v>92</v>
      </c>
      <c t="s" s="6" r="AC1135">
        <v>92</v>
      </c>
      <c s="6" r="AD1135">
        <v>9</v>
      </c>
      <c t="s" s="6" r="AE1135">
        <v>92</v>
      </c>
      <c t="s" s="6" r="AF1135">
        <v>92</v>
      </c>
      <c t="s" s="6" r="AG1135">
        <v>92</v>
      </c>
      <c t="s" s="6" r="AH1135">
        <v>92</v>
      </c>
      <c t="s" s="6" r="AI1135">
        <v>92</v>
      </c>
      <c t="s" s="6" r="AJ1135">
        <v>92</v>
      </c>
      <c t="s" s="6" r="AK1135">
        <v>92</v>
      </c>
      <c t="s" s="6" r="AL1135">
        <v>92</v>
      </c>
      <c t="s" s="6" r="AM1135">
        <v>92</v>
      </c>
      <c t="s" s="6" r="AN1135">
        <v>92</v>
      </c>
      <c s="6" r="AP1135">
        <v>9</v>
      </c>
      <c t="s" s="6" r="AR1135">
        <v>8323</v>
      </c>
      <c s="6" r="AS1135">
        <v>0</v>
      </c>
      <c s="6" r="AT1135">
        <v>0</v>
      </c>
      <c s="6" r="AU1135">
        <v>0</v>
      </c>
      <c s="6" r="AV1135">
        <v>0</v>
      </c>
      <c s="6" r="AW1135">
        <v>0</v>
      </c>
      <c s="6" r="AX1135">
        <v>0</v>
      </c>
      <c s="6" r="AY1135">
        <v>0</v>
      </c>
      <c s="6" r="AZ1135">
        <v>0</v>
      </c>
      <c s="6" r="BA1135">
        <v>0</v>
      </c>
      <c s="6" r="BB1135">
        <v>0</v>
      </c>
      <c s="6" r="BC1135">
        <v>0</v>
      </c>
      <c s="6" r="BD1135">
        <v>0</v>
      </c>
      <c s="6" r="BE1135">
        <v>0</v>
      </c>
      <c s="6" r="BF1135">
        <v>0</v>
      </c>
      <c s="6" r="BG1135">
        <v>0</v>
      </c>
      <c s="6" r="BH1135">
        <v>0</v>
      </c>
      <c s="6" r="BI1135">
        <v>0</v>
      </c>
      <c s="6" r="BJ1135">
        <v>0</v>
      </c>
      <c s="6" r="BK1135">
        <v>0</v>
      </c>
      <c s="6" r="BL1135">
        <v>0</v>
      </c>
      <c s="6" r="BM1135">
        <v>0</v>
      </c>
      <c s="6" r="BN1135">
        <v>0</v>
      </c>
      <c s="6" r="BO1135">
        <v>0</v>
      </c>
      <c s="6" r="BP1135">
        <v>0</v>
      </c>
      <c s="6" r="BQ1135">
        <v>0</v>
      </c>
      <c t="str" s="6" r="BR1135">
        <f>HYPERLINK("http://www.d20pfsrd.com/magic/all-spells/s/summon-froghemoth","Summon Froghemoth")</f>
        <v>Summon Froghemoth</v>
      </c>
      <c s="6" r="BS1135">
        <v>1157</v>
      </c>
      <c t="s" s="6" r="BT1135">
        <v>92</v>
      </c>
      <c s="6" r="BY1135">
        <v>0</v>
      </c>
    </row>
    <row customHeight="1" r="1136" ht="14.25">
      <c t="s" s="6" r="A1136">
        <v>8324</v>
      </c>
      <c t="s" s="6" r="B1136">
        <v>78</v>
      </c>
      <c t="s" s="6" r="C1136">
        <v>1042</v>
      </c>
      <c t="s" s="6" r="E1136">
        <v>656</v>
      </c>
      <c t="s" s="6" r="F1136">
        <v>272</v>
      </c>
      <c t="s" s="6" r="G1136">
        <v>119</v>
      </c>
      <c s="6" r="H1136">
        <v>0</v>
      </c>
      <c t="s" s="6" r="I1136">
        <v>107</v>
      </c>
      <c t="s" s="6" r="K1136">
        <v>8325</v>
      </c>
      <c t="s" s="6" r="M1136">
        <v>483</v>
      </c>
      <c s="6" r="N1136">
        <v>1</v>
      </c>
      <c s="6" r="O1136">
        <v>0</v>
      </c>
      <c t="s" s="6" r="P1136">
        <v>86</v>
      </c>
      <c t="s" s="6" r="Q1136">
        <v>87</v>
      </c>
      <c t="s" s="6" r="R1136">
        <v>8326</v>
      </c>
      <c t="s" s="6" r="S1136">
        <v>8327</v>
      </c>
      <c t="s" s="6" r="T1136">
        <v>7122</v>
      </c>
      <c t="s" s="6" r="U1136">
        <v>8328</v>
      </c>
      <c s="6" r="V1136">
        <v>1</v>
      </c>
      <c s="6" r="W1136">
        <v>1</v>
      </c>
      <c s="6" r="X1136">
        <v>0</v>
      </c>
      <c s="6" r="Y1136">
        <v>0</v>
      </c>
      <c s="6" r="Z1136">
        <v>1</v>
      </c>
      <c t="s" s="6" r="AA1136">
        <v>92</v>
      </c>
      <c t="s" s="6" r="AB1136">
        <v>92</v>
      </c>
      <c t="s" s="6" r="AC1136">
        <v>92</v>
      </c>
      <c s="6" r="AD1136">
        <v>1</v>
      </c>
      <c s="6" r="AE1136">
        <v>1</v>
      </c>
      <c t="s" s="6" r="AF1136">
        <v>92</v>
      </c>
      <c t="s" s="6" r="AG1136">
        <v>92</v>
      </c>
      <c t="s" s="6" r="AH1136">
        <v>92</v>
      </c>
      <c t="s" s="6" r="AI1136">
        <v>92</v>
      </c>
      <c t="s" s="6" r="AJ1136">
        <v>92</v>
      </c>
      <c t="s" s="6" r="AK1136">
        <v>92</v>
      </c>
      <c t="s" s="6" r="AL1136">
        <v>92</v>
      </c>
      <c t="s" s="6" r="AM1136">
        <v>92</v>
      </c>
      <c t="s" s="6" r="AN1136">
        <v>92</v>
      </c>
      <c s="6" r="AP1136">
        <v>1</v>
      </c>
      <c t="s" s="6" r="AR1136">
        <v>8329</v>
      </c>
      <c s="6" r="AS1136">
        <v>0</v>
      </c>
      <c s="6" r="AT1136">
        <v>0</v>
      </c>
      <c s="6" r="AU1136">
        <v>0</v>
      </c>
      <c s="6" r="AV1136">
        <v>0</v>
      </c>
      <c s="6" r="AW1136">
        <v>0</v>
      </c>
      <c s="6" r="AX1136">
        <v>0</v>
      </c>
      <c s="6" r="AY1136">
        <v>0</v>
      </c>
      <c s="6" r="AZ1136">
        <v>0</v>
      </c>
      <c s="6" r="BA1136">
        <v>0</v>
      </c>
      <c s="6" r="BB1136">
        <v>0</v>
      </c>
      <c s="6" r="BC1136">
        <v>0</v>
      </c>
      <c s="6" r="BD1136">
        <v>0</v>
      </c>
      <c s="6" r="BE1136">
        <v>0</v>
      </c>
      <c s="6" r="BF1136">
        <v>0</v>
      </c>
      <c s="6" r="BG1136">
        <v>0</v>
      </c>
      <c s="6" r="BH1136">
        <v>0</v>
      </c>
      <c s="6" r="BI1136">
        <v>0</v>
      </c>
      <c s="6" r="BJ1136">
        <v>0</v>
      </c>
      <c s="6" r="BK1136">
        <v>0</v>
      </c>
      <c s="6" r="BL1136">
        <v>0</v>
      </c>
      <c s="6" r="BM1136">
        <v>0</v>
      </c>
      <c s="6" r="BN1136">
        <v>0</v>
      </c>
      <c s="6" r="BO1136">
        <v>0</v>
      </c>
      <c s="6" r="BP1136">
        <v>0</v>
      </c>
      <c s="6" r="BQ1136">
        <v>0</v>
      </c>
      <c t="str" s="6" r="BR1136">
        <f>HYPERLINK("http://www.d20pfsrd.com/magic/all-spells/s/summon-minor-ally","Summon Minor Ally")</f>
        <v>Summon Minor Ally</v>
      </c>
      <c s="6" r="BS1136">
        <v>1158</v>
      </c>
      <c t="s" s="6" r="BT1136">
        <v>92</v>
      </c>
      <c s="6" r="BY1136">
        <v>0</v>
      </c>
    </row>
    <row customHeight="1" r="1137" ht="14.25">
      <c t="s" s="6" r="A1137">
        <v>8330</v>
      </c>
      <c t="s" s="6" r="B1137">
        <v>78</v>
      </c>
      <c t="s" s="6" r="C1137">
        <v>1042</v>
      </c>
      <c t="s" s="6" r="E1137">
        <v>8331</v>
      </c>
      <c t="s" s="6" r="F1137">
        <v>272</v>
      </c>
      <c t="s" s="6" r="G1137">
        <v>4243</v>
      </c>
      <c s="6" r="H1137">
        <v>0</v>
      </c>
      <c t="s" s="6" r="I1137">
        <v>107</v>
      </c>
      <c t="s" s="6" r="K1137">
        <v>8325</v>
      </c>
      <c t="s" s="6" r="M1137">
        <v>483</v>
      </c>
      <c s="6" r="N1137">
        <v>1</v>
      </c>
      <c s="6" r="O1137">
        <v>0</v>
      </c>
      <c t="s" s="6" r="P1137">
        <v>86</v>
      </c>
      <c t="s" s="6" r="Q1137">
        <v>87</v>
      </c>
      <c t="s" s="6" r="R1137">
        <v>8332</v>
      </c>
      <c t="s" s="6" r="S1137">
        <v>8333</v>
      </c>
      <c t="s" s="6" r="T1137">
        <v>7122</v>
      </c>
      <c t="s" s="6" r="U1137">
        <v>8334</v>
      </c>
      <c s="6" r="V1137">
        <v>1</v>
      </c>
      <c s="6" r="W1137">
        <v>1</v>
      </c>
      <c s="6" r="X1137">
        <v>0</v>
      </c>
      <c s="6" r="Y1137">
        <v>0</v>
      </c>
      <c s="6" r="Z1137">
        <v>1</v>
      </c>
      <c s="6" r="AA1137">
        <v>1</v>
      </c>
      <c s="6" r="AB1137">
        <v>1</v>
      </c>
      <c s="6" r="AC1137">
        <v>1</v>
      </c>
      <c t="s" s="6" r="AD1137">
        <v>92</v>
      </c>
      <c t="s" s="6" r="AE1137">
        <v>92</v>
      </c>
      <c s="6" r="AF1137">
        <v>1</v>
      </c>
      <c t="s" s="6" r="AG1137">
        <v>92</v>
      </c>
      <c t="s" s="6" r="AH1137">
        <v>92</v>
      </c>
      <c s="6" r="AI1137">
        <v>1</v>
      </c>
      <c s="6" r="AJ1137">
        <v>1</v>
      </c>
      <c t="s" s="6" r="AK1137">
        <v>92</v>
      </c>
      <c s="6" r="AL1137">
        <v>1</v>
      </c>
      <c s="6" r="AM1137">
        <v>1</v>
      </c>
      <c t="s" s="6" r="AN1137">
        <v>92</v>
      </c>
      <c s="6" r="AP1137">
        <v>1</v>
      </c>
      <c t="s" s="6" r="AR1137">
        <v>8329</v>
      </c>
      <c s="6" r="AS1137">
        <v>0</v>
      </c>
      <c s="6" r="AT1137">
        <v>0</v>
      </c>
      <c s="6" r="AU1137">
        <v>0</v>
      </c>
      <c s="6" r="AV1137">
        <v>0</v>
      </c>
      <c s="6" r="AW1137">
        <v>0</v>
      </c>
      <c s="6" r="AX1137">
        <v>0</v>
      </c>
      <c s="6" r="AY1137">
        <v>0</v>
      </c>
      <c s="6" r="AZ1137">
        <v>0</v>
      </c>
      <c s="6" r="BA1137">
        <v>0</v>
      </c>
      <c s="6" r="BB1137">
        <v>0</v>
      </c>
      <c s="6" r="BC1137">
        <v>0</v>
      </c>
      <c s="6" r="BD1137">
        <v>0</v>
      </c>
      <c s="6" r="BE1137">
        <v>0</v>
      </c>
      <c s="6" r="BF1137">
        <v>0</v>
      </c>
      <c s="6" r="BG1137">
        <v>0</v>
      </c>
      <c s="6" r="BH1137">
        <v>0</v>
      </c>
      <c s="6" r="BI1137">
        <v>0</v>
      </c>
      <c s="6" r="BJ1137">
        <v>0</v>
      </c>
      <c s="6" r="BK1137">
        <v>0</v>
      </c>
      <c s="6" r="BL1137">
        <v>0</v>
      </c>
      <c s="6" r="BM1137">
        <v>0</v>
      </c>
      <c s="6" r="BN1137">
        <v>0</v>
      </c>
      <c s="6" r="BO1137">
        <v>0</v>
      </c>
      <c s="6" r="BP1137">
        <v>0</v>
      </c>
      <c s="6" r="BQ1137">
        <v>0</v>
      </c>
      <c t="str" s="6" r="BR1137">
        <f>HYPERLINK("http://www.d20pfsrd.com/magic/all-spells/s/summon-minor-monster","Summon Minor Monster")</f>
        <v>Summon Minor Monster</v>
      </c>
      <c s="6" r="BS1137">
        <v>1159</v>
      </c>
      <c t="s" s="6" r="BT1137">
        <v>92</v>
      </c>
      <c s="6" r="BY1137">
        <v>0</v>
      </c>
    </row>
    <row customHeight="1" r="1138" ht="14.25">
      <c t="s" s="6" r="A1138">
        <v>8335</v>
      </c>
      <c t="s" s="6" r="B1138">
        <v>162</v>
      </c>
      <c t="s" s="6" r="E1138">
        <v>922</v>
      </c>
      <c t="s" s="6" r="F1138">
        <v>81</v>
      </c>
      <c t="s" s="6" r="G1138">
        <v>106</v>
      </c>
      <c s="6" r="H1138">
        <v>0</v>
      </c>
      <c t="s" s="6" r="I1138">
        <v>156</v>
      </c>
      <c t="s" s="6" r="L1138">
        <v>155</v>
      </c>
      <c t="s" s="6" r="M1138">
        <v>99</v>
      </c>
      <c s="6" r="N1138">
        <v>0</v>
      </c>
      <c s="6" r="O1138">
        <v>0</v>
      </c>
      <c t="s" s="6" r="R1138">
        <v>8336</v>
      </c>
      <c t="s" s="6" r="S1138">
        <v>8337</v>
      </c>
      <c t="s" s="6" r="T1138">
        <v>7122</v>
      </c>
      <c t="s" s="6" r="U1138">
        <v>8338</v>
      </c>
      <c s="6" r="V1138">
        <v>1</v>
      </c>
      <c s="6" r="W1138">
        <v>1</v>
      </c>
      <c s="6" r="X1138">
        <v>0</v>
      </c>
      <c s="6" r="Y1138">
        <v>0</v>
      </c>
      <c s="6" r="Z1138">
        <v>0</v>
      </c>
      <c t="s" s="6" r="AA1138">
        <v>92</v>
      </c>
      <c t="s" s="6" r="AB1138">
        <v>92</v>
      </c>
      <c s="6" r="AC1138">
        <v>2</v>
      </c>
      <c t="s" s="6" r="AD1138">
        <v>92</v>
      </c>
      <c t="s" s="6" r="AE1138">
        <v>92</v>
      </c>
      <c t="s" s="6" r="AF1138">
        <v>92</v>
      </c>
      <c t="s" s="6" r="AG1138">
        <v>92</v>
      </c>
      <c t="s" s="6" r="AH1138">
        <v>92</v>
      </c>
      <c t="s" s="6" r="AI1138">
        <v>92</v>
      </c>
      <c t="s" s="6" r="AJ1138">
        <v>92</v>
      </c>
      <c s="6" r="AK1138">
        <v>2</v>
      </c>
      <c s="6" r="AL1138">
        <v>2</v>
      </c>
      <c t="s" s="6" r="AM1138">
        <v>92</v>
      </c>
      <c t="s" s="6" r="AN1138">
        <v>92</v>
      </c>
      <c s="6" r="AP1138">
        <v>2</v>
      </c>
      <c t="s" s="6" r="AR1138">
        <v>8339</v>
      </c>
      <c s="6" r="AS1138">
        <v>0</v>
      </c>
      <c s="6" r="AT1138">
        <v>0</v>
      </c>
      <c s="6" r="AU1138">
        <v>0</v>
      </c>
      <c s="6" r="AV1138">
        <v>0</v>
      </c>
      <c s="6" r="AW1138">
        <v>0</v>
      </c>
      <c s="6" r="AX1138">
        <v>0</v>
      </c>
      <c s="6" r="AY1138">
        <v>0</v>
      </c>
      <c s="6" r="AZ1138">
        <v>0</v>
      </c>
      <c s="6" r="BA1138">
        <v>0</v>
      </c>
      <c s="6" r="BB1138">
        <v>0</v>
      </c>
      <c s="6" r="BC1138">
        <v>0</v>
      </c>
      <c s="6" r="BD1138">
        <v>0</v>
      </c>
      <c s="6" r="BE1138">
        <v>0</v>
      </c>
      <c s="6" r="BF1138">
        <v>0</v>
      </c>
      <c s="6" r="BG1138">
        <v>0</v>
      </c>
      <c s="6" r="BH1138">
        <v>0</v>
      </c>
      <c s="6" r="BI1138">
        <v>0</v>
      </c>
      <c s="6" r="BJ1138">
        <v>0</v>
      </c>
      <c s="6" r="BK1138">
        <v>0</v>
      </c>
      <c s="6" r="BL1138">
        <v>0</v>
      </c>
      <c s="6" r="BM1138">
        <v>0</v>
      </c>
      <c s="6" r="BN1138">
        <v>0</v>
      </c>
      <c s="6" r="BO1138">
        <v>0</v>
      </c>
      <c s="6" r="BP1138">
        <v>0</v>
      </c>
      <c s="6" r="BQ1138">
        <v>0</v>
      </c>
      <c t="str" s="6" r="BR1138">
        <f>HYPERLINK("http://www.d20pfsrd.com/magic/all-spells/s/surmount-affliction","Surmount Affliction")</f>
        <v>Surmount Affliction</v>
      </c>
      <c s="6" r="BS1138">
        <v>1160</v>
      </c>
      <c t="s" s="6" r="BT1138">
        <v>92</v>
      </c>
      <c t="s" s="6" r="BU1138">
        <v>1596</v>
      </c>
      <c t="s" s="6" r="BW1138">
        <v>8340</v>
      </c>
      <c t="s" s="6" r="BX1138">
        <v>8341</v>
      </c>
      <c s="6" r="BY1138">
        <v>1</v>
      </c>
    </row>
    <row customHeight="1" r="1139" ht="14.25">
      <c t="s" s="6" r="A1139">
        <v>8342</v>
      </c>
      <c t="s" s="6" r="B1139">
        <v>78</v>
      </c>
      <c t="s" s="6" r="C1139">
        <v>598</v>
      </c>
      <c t="s" s="6" r="E1139">
        <v>8343</v>
      </c>
      <c t="s" s="6" r="F1139">
        <v>311</v>
      </c>
      <c t="s" s="6" r="G1139">
        <v>8344</v>
      </c>
      <c s="6" r="H1139">
        <v>1</v>
      </c>
      <c t="s" s="6" r="I1139">
        <v>4361</v>
      </c>
      <c t="s" s="6" r="K1139">
        <v>4362</v>
      </c>
      <c t="s" s="6" r="M1139">
        <v>141</v>
      </c>
      <c s="6" r="N1139">
        <v>0</v>
      </c>
      <c s="6" r="O1139">
        <v>0</v>
      </c>
      <c t="s" s="6" r="P1139">
        <v>8345</v>
      </c>
      <c t="s" s="6" r="Q1139">
        <v>8346</v>
      </c>
      <c t="s" s="6" r="R1139">
        <v>8347</v>
      </c>
      <c t="s" s="6" r="S1139">
        <v>8348</v>
      </c>
      <c t="s" s="6" r="T1139">
        <v>7122</v>
      </c>
      <c t="s" s="6" r="U1139">
        <v>8349</v>
      </c>
      <c s="6" r="V1139">
        <v>1</v>
      </c>
      <c s="6" r="W1139">
        <v>1</v>
      </c>
      <c s="6" r="X1139">
        <v>1</v>
      </c>
      <c s="6" r="Y1139">
        <v>0</v>
      </c>
      <c s="6" r="Z1139">
        <v>0</v>
      </c>
      <c t="s" s="6" r="AA1139">
        <v>92</v>
      </c>
      <c t="s" s="6" r="AB1139">
        <v>92</v>
      </c>
      <c s="6" r="AC1139">
        <v>3</v>
      </c>
      <c t="s" s="6" r="AD1139">
        <v>92</v>
      </c>
      <c t="s" s="6" r="AE1139">
        <v>92</v>
      </c>
      <c t="s" s="6" r="AF1139">
        <v>92</v>
      </c>
      <c s="6" r="AG1139">
        <v>4</v>
      </c>
      <c t="s" s="6" r="AH1139">
        <v>92</v>
      </c>
      <c t="s" s="6" r="AI1139">
        <v>92</v>
      </c>
      <c s="6" r="AJ1139">
        <v>4</v>
      </c>
      <c t="s" s="6" r="AK1139">
        <v>92</v>
      </c>
      <c s="6" r="AL1139">
        <v>3</v>
      </c>
      <c t="s" s="6" r="AM1139">
        <v>92</v>
      </c>
      <c t="s" s="6" r="AN1139">
        <v>92</v>
      </c>
      <c s="6" r="AP1139">
        <v>3</v>
      </c>
      <c t="s" s="6" r="AR1139">
        <v>8350</v>
      </c>
      <c s="6" r="AS1139">
        <v>0</v>
      </c>
      <c s="6" r="AT1139">
        <v>0</v>
      </c>
      <c s="6" r="AU1139">
        <v>0</v>
      </c>
      <c s="6" r="AV1139">
        <v>0</v>
      </c>
      <c s="6" r="AW1139">
        <v>0</v>
      </c>
      <c s="6" r="AX1139">
        <v>0</v>
      </c>
      <c s="6" r="AY1139">
        <v>0</v>
      </c>
      <c s="6" r="AZ1139">
        <v>0</v>
      </c>
      <c s="6" r="BA1139">
        <v>0</v>
      </c>
      <c s="6" r="BB1139">
        <v>0</v>
      </c>
      <c s="6" r="BC1139">
        <v>0</v>
      </c>
      <c s="6" r="BD1139">
        <v>0</v>
      </c>
      <c s="6" r="BE1139">
        <v>0</v>
      </c>
      <c s="6" r="BF1139">
        <v>0</v>
      </c>
      <c s="6" r="BG1139">
        <v>0</v>
      </c>
      <c s="6" r="BH1139">
        <v>0</v>
      </c>
      <c s="6" r="BI1139">
        <v>0</v>
      </c>
      <c s="6" r="BJ1139">
        <v>0</v>
      </c>
      <c s="6" r="BK1139">
        <v>0</v>
      </c>
      <c s="6" r="BL1139">
        <v>0</v>
      </c>
      <c s="6" r="BM1139">
        <v>0</v>
      </c>
      <c s="6" r="BN1139">
        <v>0</v>
      </c>
      <c s="6" r="BO1139">
        <v>0</v>
      </c>
      <c s="6" r="BP1139">
        <v>0</v>
      </c>
      <c s="6" r="BQ1139">
        <v>0</v>
      </c>
      <c t="str" s="6" r="BR1139">
        <f>HYPERLINK("http://www.d20pfsrd.com/magic/all-spells/s/symbol-of-healing","Symbol of Healing")</f>
        <v>Symbol of Healing</v>
      </c>
      <c s="6" r="BS1139">
        <v>1161</v>
      </c>
      <c s="6" r="BT1139">
        <v>500</v>
      </c>
      <c s="6" r="BY1139">
        <v>0</v>
      </c>
    </row>
    <row customHeight="1" r="1140" ht="14.25">
      <c t="s" s="6" r="A1140">
        <v>8351</v>
      </c>
      <c t="s" s="6" r="B1140">
        <v>579</v>
      </c>
      <c t="s" s="6" r="C1140">
        <v>2047</v>
      </c>
      <c t="s" s="6" r="E1140">
        <v>4080</v>
      </c>
      <c t="s" s="6" r="F1140">
        <v>311</v>
      </c>
      <c t="s" s="6" r="G1140">
        <v>8352</v>
      </c>
      <c s="6" r="H1140">
        <v>1</v>
      </c>
      <c t="s" s="6" r="I1140">
        <v>4361</v>
      </c>
      <c t="s" s="6" r="K1140">
        <v>4362</v>
      </c>
      <c t="s" s="6" r="M1140">
        <v>141</v>
      </c>
      <c s="6" r="N1140">
        <v>0</v>
      </c>
      <c s="6" r="O1140">
        <v>0</v>
      </c>
      <c t="s" s="6" r="P1140">
        <v>8353</v>
      </c>
      <c t="s" s="6" r="Q1140">
        <v>188</v>
      </c>
      <c t="s" s="6" r="R1140">
        <v>8354</v>
      </c>
      <c t="s" s="6" r="S1140">
        <v>8355</v>
      </c>
      <c t="s" s="6" r="T1140">
        <v>7122</v>
      </c>
      <c t="s" s="6" r="U1140">
        <v>8356</v>
      </c>
      <c s="6" r="V1140">
        <v>1</v>
      </c>
      <c s="6" r="W1140">
        <v>1</v>
      </c>
      <c s="6" r="X1140">
        <v>1</v>
      </c>
      <c s="6" r="Y1140">
        <v>0</v>
      </c>
      <c s="6" r="Z1140">
        <v>0</v>
      </c>
      <c s="6" r="AA1140">
        <v>2</v>
      </c>
      <c s="6" r="AB1140">
        <v>2</v>
      </c>
      <c t="s" s="6" r="AC1140">
        <v>92</v>
      </c>
      <c t="s" s="6" r="AD1140">
        <v>92</v>
      </c>
      <c t="s" s="6" r="AE1140">
        <v>92</v>
      </c>
      <c t="s" s="6" r="AF1140">
        <v>92</v>
      </c>
      <c t="s" s="6" r="AG1140">
        <v>92</v>
      </c>
      <c t="s" s="6" r="AH1140">
        <v>92</v>
      </c>
      <c t="s" s="6" r="AI1140">
        <v>92</v>
      </c>
      <c s="6" r="AJ1140">
        <v>2</v>
      </c>
      <c t="s" s="6" r="AK1140">
        <v>92</v>
      </c>
      <c t="s" s="6" r="AL1140">
        <v>92</v>
      </c>
      <c t="s" s="6" r="AM1140">
        <v>92</v>
      </c>
      <c t="s" s="6" r="AN1140">
        <v>92</v>
      </c>
      <c s="6" r="AP1140">
        <v>2</v>
      </c>
      <c t="s" s="6" r="AR1140">
        <v>8357</v>
      </c>
      <c s="6" r="AS1140">
        <v>0</v>
      </c>
      <c s="6" r="AT1140">
        <v>0</v>
      </c>
      <c s="6" r="AU1140">
        <v>0</v>
      </c>
      <c s="6" r="AV1140">
        <v>0</v>
      </c>
      <c s="6" r="AW1140">
        <v>0</v>
      </c>
      <c s="6" r="AX1140">
        <v>0</v>
      </c>
      <c s="6" r="AY1140">
        <v>0</v>
      </c>
      <c s="6" r="AZ1140">
        <v>0</v>
      </c>
      <c s="6" r="BA1140">
        <v>0</v>
      </c>
      <c s="6" r="BB1140">
        <v>0</v>
      </c>
      <c s="6" r="BC1140">
        <v>0</v>
      </c>
      <c s="6" r="BD1140">
        <v>0</v>
      </c>
      <c s="6" r="BE1140">
        <v>0</v>
      </c>
      <c s="6" r="BF1140">
        <v>0</v>
      </c>
      <c s="6" r="BG1140">
        <v>0</v>
      </c>
      <c s="6" r="BH1140">
        <v>0</v>
      </c>
      <c s="6" r="BI1140">
        <v>0</v>
      </c>
      <c s="6" r="BJ1140">
        <v>0</v>
      </c>
      <c s="6" r="BK1140">
        <v>0</v>
      </c>
      <c s="6" r="BL1140">
        <v>0</v>
      </c>
      <c s="6" r="BM1140">
        <v>0</v>
      </c>
      <c s="6" r="BN1140">
        <v>0</v>
      </c>
      <c s="6" r="BO1140">
        <v>0</v>
      </c>
      <c s="6" r="BP1140">
        <v>0</v>
      </c>
      <c s="6" r="BQ1140">
        <v>0</v>
      </c>
      <c t="str" s="6" r="BR1140">
        <f>HYPERLINK("http://www.d20pfsrd.com/magic/all-spells/s/symbol-of-mirroring","Symbol of Mirroring")</f>
        <v>Symbol of Mirroring</v>
      </c>
      <c s="6" r="BS1140">
        <v>1162</v>
      </c>
      <c s="6" r="BT1140">
        <v>100</v>
      </c>
      <c s="6" r="BY1140">
        <v>0</v>
      </c>
    </row>
    <row customHeight="1" r="1141" ht="14.25">
      <c t="s" s="6" r="A1141">
        <v>8358</v>
      </c>
      <c t="s" s="6" r="B1141">
        <v>174</v>
      </c>
      <c t="s" s="6" r="E1141">
        <v>8359</v>
      </c>
      <c t="s" s="6" r="F1141">
        <v>311</v>
      </c>
      <c t="s" s="6" r="G1141">
        <v>8360</v>
      </c>
      <c s="6" r="H1141">
        <v>1</v>
      </c>
      <c t="s" s="6" r="I1141">
        <v>4361</v>
      </c>
      <c t="s" s="6" r="K1141">
        <v>4362</v>
      </c>
      <c t="s" s="6" r="M1141">
        <v>141</v>
      </c>
      <c s="6" r="N1141">
        <v>0</v>
      </c>
      <c s="6" r="O1141">
        <v>0</v>
      </c>
      <c t="s" s="6" r="P1141">
        <v>86</v>
      </c>
      <c t="s" s="6" r="Q1141">
        <v>188</v>
      </c>
      <c t="s" s="6" r="R1141">
        <v>8361</v>
      </c>
      <c t="s" s="6" r="S1141">
        <v>8362</v>
      </c>
      <c t="s" s="6" r="T1141">
        <v>7122</v>
      </c>
      <c t="s" s="6" r="U1141">
        <v>8363</v>
      </c>
      <c s="6" r="V1141">
        <v>1</v>
      </c>
      <c s="6" r="W1141">
        <v>1</v>
      </c>
      <c s="6" r="X1141">
        <v>1</v>
      </c>
      <c s="6" r="Y1141">
        <v>0</v>
      </c>
      <c s="6" r="Z1141">
        <v>0</v>
      </c>
      <c s="6" r="AA1141">
        <v>4</v>
      </c>
      <c s="6" r="AB1141">
        <v>4</v>
      </c>
      <c s="6" r="AC1141">
        <v>4</v>
      </c>
      <c t="s" s="6" r="AD1141">
        <v>92</v>
      </c>
      <c t="s" s="6" r="AE1141">
        <v>92</v>
      </c>
      <c t="s" s="6" r="AF1141">
        <v>92</v>
      </c>
      <c t="s" s="6" r="AG1141">
        <v>92</v>
      </c>
      <c t="s" s="6" r="AH1141">
        <v>92</v>
      </c>
      <c t="s" s="6" r="AI1141">
        <v>92</v>
      </c>
      <c s="6" r="AJ1141">
        <v>4</v>
      </c>
      <c t="s" s="6" r="AK1141">
        <v>92</v>
      </c>
      <c s="6" r="AL1141">
        <v>4</v>
      </c>
      <c t="s" s="6" r="AM1141">
        <v>92</v>
      </c>
      <c t="s" s="6" r="AN1141">
        <v>92</v>
      </c>
      <c s="6" r="AP1141">
        <v>4</v>
      </c>
      <c t="s" s="6" r="AR1141">
        <v>8364</v>
      </c>
      <c s="6" r="AS1141">
        <v>0</v>
      </c>
      <c s="6" r="AT1141">
        <v>0</v>
      </c>
      <c s="6" r="AU1141">
        <v>0</v>
      </c>
      <c s="6" r="AV1141">
        <v>0</v>
      </c>
      <c s="6" r="AW1141">
        <v>0</v>
      </c>
      <c s="6" r="AX1141">
        <v>0</v>
      </c>
      <c s="6" r="AY1141">
        <v>0</v>
      </c>
      <c s="6" r="AZ1141">
        <v>0</v>
      </c>
      <c s="6" r="BA1141">
        <v>0</v>
      </c>
      <c s="6" r="BB1141">
        <v>0</v>
      </c>
      <c s="6" r="BC1141">
        <v>0</v>
      </c>
      <c s="6" r="BD1141">
        <v>0</v>
      </c>
      <c s="6" r="BE1141">
        <v>0</v>
      </c>
      <c s="6" r="BF1141">
        <v>0</v>
      </c>
      <c s="6" r="BG1141">
        <v>0</v>
      </c>
      <c s="6" r="BH1141">
        <v>0</v>
      </c>
      <c s="6" r="BI1141">
        <v>0</v>
      </c>
      <c s="6" r="BJ1141">
        <v>0</v>
      </c>
      <c s="6" r="BK1141">
        <v>0</v>
      </c>
      <c s="6" r="BL1141">
        <v>0</v>
      </c>
      <c s="6" r="BM1141">
        <v>0</v>
      </c>
      <c s="6" r="BN1141">
        <v>0</v>
      </c>
      <c s="6" r="BO1141">
        <v>0</v>
      </c>
      <c s="6" r="BP1141">
        <v>0</v>
      </c>
      <c s="6" r="BQ1141">
        <v>0</v>
      </c>
      <c t="str" s="6" r="BR1141">
        <f>HYPERLINK("http://www.d20pfsrd.com/magic/all-spells/s/symbol-of-revelation","Symbol of Revelation")</f>
        <v>Symbol of Revelation</v>
      </c>
      <c s="6" r="BS1141">
        <v>1163</v>
      </c>
      <c s="6" r="BT1141">
        <v>1000</v>
      </c>
      <c s="6" r="BY1141">
        <v>0</v>
      </c>
    </row>
    <row customHeight="1" r="1142" ht="14.25">
      <c t="s" s="6" r="A1142">
        <v>8365</v>
      </c>
      <c t="s" s="6" r="B1142">
        <v>174</v>
      </c>
      <c t="s" s="6" r="C1142">
        <v>309</v>
      </c>
      <c t="s" s="6" r="E1142">
        <v>4382</v>
      </c>
      <c t="s" s="6" r="F1142">
        <v>311</v>
      </c>
      <c t="s" s="6" r="G1142">
        <v>8360</v>
      </c>
      <c s="6" r="H1142">
        <v>1</v>
      </c>
      <c t="s" s="6" r="I1142">
        <v>4361</v>
      </c>
      <c t="s" s="6" r="K1142">
        <v>4362</v>
      </c>
      <c t="s" s="6" r="M1142">
        <v>141</v>
      </c>
      <c s="6" r="N1142">
        <v>0</v>
      </c>
      <c s="6" r="O1142">
        <v>0</v>
      </c>
      <c t="s" s="6" r="P1142">
        <v>86</v>
      </c>
      <c t="s" s="6" r="Q1142">
        <v>87</v>
      </c>
      <c t="s" s="6" r="R1142">
        <v>8366</v>
      </c>
      <c t="s" s="6" r="S1142">
        <v>8367</v>
      </c>
      <c t="s" s="6" r="T1142">
        <v>7122</v>
      </c>
      <c t="s" s="6" r="U1142">
        <v>8368</v>
      </c>
      <c s="6" r="V1142">
        <v>1</v>
      </c>
      <c s="6" r="W1142">
        <v>1</v>
      </c>
      <c s="6" r="X1142">
        <v>1</v>
      </c>
      <c s="6" r="Y1142">
        <v>0</v>
      </c>
      <c s="6" r="Z1142">
        <v>0</v>
      </c>
      <c s="6" r="AA1142">
        <v>5</v>
      </c>
      <c s="6" r="AB1142">
        <v>5</v>
      </c>
      <c s="6" r="AC1142">
        <v>5</v>
      </c>
      <c t="s" s="6" r="AD1142">
        <v>92</v>
      </c>
      <c t="s" s="6" r="AE1142">
        <v>92</v>
      </c>
      <c t="s" s="6" r="AF1142">
        <v>92</v>
      </c>
      <c t="s" s="6" r="AG1142">
        <v>92</v>
      </c>
      <c t="s" s="6" r="AH1142">
        <v>92</v>
      </c>
      <c t="s" s="6" r="AI1142">
        <v>92</v>
      </c>
      <c s="6" r="AJ1142">
        <v>5</v>
      </c>
      <c t="s" s="6" r="AK1142">
        <v>92</v>
      </c>
      <c s="6" r="AL1142">
        <v>5</v>
      </c>
      <c t="s" s="6" r="AM1142">
        <v>92</v>
      </c>
      <c t="s" s="6" r="AN1142">
        <v>92</v>
      </c>
      <c s="6" r="AP1142">
        <v>5</v>
      </c>
      <c t="s" s="6" r="AR1142">
        <v>8369</v>
      </c>
      <c s="6" r="AS1142">
        <v>0</v>
      </c>
      <c s="6" r="AT1142">
        <v>0</v>
      </c>
      <c s="6" r="AU1142">
        <v>0</v>
      </c>
      <c s="6" r="AV1142">
        <v>0</v>
      </c>
      <c s="6" r="AW1142">
        <v>0</v>
      </c>
      <c s="6" r="AX1142">
        <v>0</v>
      </c>
      <c s="6" r="AY1142">
        <v>0</v>
      </c>
      <c s="6" r="AZ1142">
        <v>0</v>
      </c>
      <c s="6" r="BA1142">
        <v>0</v>
      </c>
      <c s="6" r="BB1142">
        <v>0</v>
      </c>
      <c s="6" r="BC1142">
        <v>0</v>
      </c>
      <c s="6" r="BD1142">
        <v>0</v>
      </c>
      <c s="6" r="BE1142">
        <v>0</v>
      </c>
      <c s="6" r="BF1142">
        <v>0</v>
      </c>
      <c s="6" r="BG1142">
        <v>0</v>
      </c>
      <c s="6" r="BH1142">
        <v>0</v>
      </c>
      <c s="6" r="BI1142">
        <v>0</v>
      </c>
      <c s="6" r="BJ1142">
        <v>0</v>
      </c>
      <c s="6" r="BK1142">
        <v>0</v>
      </c>
      <c s="6" r="BL1142">
        <v>0</v>
      </c>
      <c s="6" r="BM1142">
        <v>0</v>
      </c>
      <c s="6" r="BN1142">
        <v>0</v>
      </c>
      <c s="6" r="BO1142">
        <v>0</v>
      </c>
      <c s="6" r="BP1142">
        <v>0</v>
      </c>
      <c s="6" r="BQ1142">
        <v>0</v>
      </c>
      <c t="str" s="6" r="BR1142">
        <f>HYPERLINK("http://www.d20pfsrd.com/magic/all-spells/s/symbol-of-scrying","Symbol of Scrying")</f>
        <v>Symbol of Scrying</v>
      </c>
      <c s="6" r="BS1142">
        <v>1164</v>
      </c>
      <c s="6" r="BT1142">
        <v>1000</v>
      </c>
      <c s="6" r="BY1142">
        <v>0</v>
      </c>
    </row>
    <row customHeight="1" r="1143" ht="14.25">
      <c t="s" s="6" r="A1143">
        <v>8370</v>
      </c>
      <c t="s" s="6" r="B1143">
        <v>162</v>
      </c>
      <c t="s" s="6" r="D1143">
        <v>58</v>
      </c>
      <c t="s" s="6" r="E1143">
        <v>4368</v>
      </c>
      <c t="s" s="6" r="F1143">
        <v>311</v>
      </c>
      <c t="s" s="6" r="G1143">
        <v>8371</v>
      </c>
      <c s="6" r="H1143">
        <v>1</v>
      </c>
      <c t="s" s="6" r="I1143">
        <v>4361</v>
      </c>
      <c t="s" s="6" r="K1143">
        <v>4362</v>
      </c>
      <c t="s" s="6" r="M1143">
        <v>323</v>
      </c>
      <c s="6" r="N1143">
        <v>0</v>
      </c>
      <c s="6" r="O1143">
        <v>0</v>
      </c>
      <c t="s" s="6" r="P1143">
        <v>86</v>
      </c>
      <c t="s" s="6" r="Q1143">
        <v>87</v>
      </c>
      <c t="s" s="6" r="R1143">
        <v>8372</v>
      </c>
      <c t="s" s="6" r="S1143">
        <v>8373</v>
      </c>
      <c t="s" s="6" r="T1143">
        <v>7122</v>
      </c>
      <c t="s" s="6" r="U1143">
        <v>8374</v>
      </c>
      <c s="6" r="V1143">
        <v>1</v>
      </c>
      <c s="6" r="W1143">
        <v>1</v>
      </c>
      <c s="6" r="X1143">
        <v>1</v>
      </c>
      <c s="6" r="Y1143">
        <v>0</v>
      </c>
      <c s="6" r="Z1143">
        <v>0</v>
      </c>
      <c s="6" r="AA1143">
        <v>6</v>
      </c>
      <c s="6" r="AB1143">
        <v>6</v>
      </c>
      <c s="6" r="AC1143">
        <v>6</v>
      </c>
      <c t="s" s="6" r="AD1143">
        <v>92</v>
      </c>
      <c t="s" s="6" r="AE1143">
        <v>92</v>
      </c>
      <c t="s" s="6" r="AF1143">
        <v>92</v>
      </c>
      <c t="s" s="6" r="AG1143">
        <v>92</v>
      </c>
      <c t="s" s="6" r="AH1143">
        <v>92</v>
      </c>
      <c t="s" s="6" r="AI1143">
        <v>92</v>
      </c>
      <c s="6" r="AJ1143">
        <v>6</v>
      </c>
      <c t="s" s="6" r="AK1143">
        <v>92</v>
      </c>
      <c s="6" r="AL1143">
        <v>6</v>
      </c>
      <c t="s" s="6" r="AM1143">
        <v>92</v>
      </c>
      <c t="s" s="6" r="AN1143">
        <v>92</v>
      </c>
      <c s="6" r="AP1143">
        <v>6</v>
      </c>
      <c t="s" s="6" r="AR1143">
        <v>8375</v>
      </c>
      <c s="6" r="AS1143">
        <v>0</v>
      </c>
      <c s="6" r="AT1143">
        <v>0</v>
      </c>
      <c s="6" r="AU1143">
        <v>0</v>
      </c>
      <c s="6" r="AV1143">
        <v>0</v>
      </c>
      <c s="6" r="AW1143">
        <v>0</v>
      </c>
      <c s="6" r="AX1143">
        <v>0</v>
      </c>
      <c s="6" r="AY1143">
        <v>0</v>
      </c>
      <c s="6" r="AZ1143">
        <v>0</v>
      </c>
      <c s="6" r="BA1143">
        <v>0</v>
      </c>
      <c s="6" r="BB1143">
        <v>0</v>
      </c>
      <c s="6" r="BC1143">
        <v>0</v>
      </c>
      <c s="6" r="BD1143">
        <v>0</v>
      </c>
      <c s="6" r="BE1143">
        <v>0</v>
      </c>
      <c s="6" r="BF1143">
        <v>0</v>
      </c>
      <c s="6" r="BG1143">
        <v>1</v>
      </c>
      <c s="6" r="BH1143">
        <v>0</v>
      </c>
      <c s="6" r="BI1143">
        <v>0</v>
      </c>
      <c s="6" r="BJ1143">
        <v>0</v>
      </c>
      <c s="6" r="BK1143">
        <v>0</v>
      </c>
      <c s="6" r="BL1143">
        <v>0</v>
      </c>
      <c s="6" r="BM1143">
        <v>0</v>
      </c>
      <c s="6" r="BN1143">
        <v>0</v>
      </c>
      <c s="6" r="BO1143">
        <v>0</v>
      </c>
      <c s="6" r="BP1143">
        <v>0</v>
      </c>
      <c s="6" r="BQ1143">
        <v>0</v>
      </c>
      <c t="str" s="6" r="BR1143">
        <f>HYPERLINK("http://www.d20pfsrd.com/magic/all-spells/s/symbol-of-sealing","Symbol of Sealing")</f>
        <v>Symbol of Sealing</v>
      </c>
      <c s="6" r="BS1143">
        <v>1165</v>
      </c>
      <c s="6" r="BT1143">
        <v>5000</v>
      </c>
      <c s="6" r="BY1143">
        <v>0</v>
      </c>
    </row>
    <row customHeight="1" r="1144" ht="14.25">
      <c t="s" s="6" r="A1144">
        <v>8376</v>
      </c>
      <c t="s" s="6" r="B1144">
        <v>131</v>
      </c>
      <c t="s" s="6" r="E1144">
        <v>8359</v>
      </c>
      <c t="s" s="6" r="F1144">
        <v>311</v>
      </c>
      <c t="s" s="6" r="G1144">
        <v>8360</v>
      </c>
      <c s="6" r="H1144">
        <v>1</v>
      </c>
      <c t="s" s="6" r="I1144">
        <v>4361</v>
      </c>
      <c t="s" s="6" r="K1144">
        <v>4362</v>
      </c>
      <c t="s" s="6" r="M1144">
        <v>141</v>
      </c>
      <c s="6" r="N1144">
        <v>0</v>
      </c>
      <c s="6" r="O1144">
        <v>0</v>
      </c>
      <c t="s" s="6" r="P1144">
        <v>221</v>
      </c>
      <c t="s" s="6" r="Q1144">
        <v>188</v>
      </c>
      <c t="s" s="6" r="R1144">
        <v>8377</v>
      </c>
      <c t="s" s="6" r="S1144">
        <v>8378</v>
      </c>
      <c t="s" s="6" r="T1144">
        <v>7122</v>
      </c>
      <c t="s" s="6" r="U1144">
        <v>8379</v>
      </c>
      <c s="6" r="V1144">
        <v>1</v>
      </c>
      <c s="6" r="W1144">
        <v>1</v>
      </c>
      <c s="6" r="X1144">
        <v>1</v>
      </c>
      <c s="6" r="Y1144">
        <v>0</v>
      </c>
      <c s="6" r="Z1144">
        <v>0</v>
      </c>
      <c s="6" r="AA1144">
        <v>4</v>
      </c>
      <c s="6" r="AB1144">
        <v>4</v>
      </c>
      <c s="6" r="AC1144">
        <v>4</v>
      </c>
      <c t="s" s="6" r="AD1144">
        <v>92</v>
      </c>
      <c t="s" s="6" r="AE1144">
        <v>92</v>
      </c>
      <c t="s" s="6" r="AF1144">
        <v>92</v>
      </c>
      <c t="s" s="6" r="AG1144">
        <v>92</v>
      </c>
      <c t="s" s="6" r="AH1144">
        <v>92</v>
      </c>
      <c t="s" s="6" r="AI1144">
        <v>92</v>
      </c>
      <c s="6" r="AJ1144">
        <v>4</v>
      </c>
      <c t="s" s="6" r="AK1144">
        <v>92</v>
      </c>
      <c s="6" r="AL1144">
        <v>4</v>
      </c>
      <c t="s" s="6" r="AM1144">
        <v>92</v>
      </c>
      <c t="s" s="6" r="AN1144">
        <v>92</v>
      </c>
      <c s="6" r="AP1144">
        <v>4</v>
      </c>
      <c t="s" s="6" r="AR1144">
        <v>8380</v>
      </c>
      <c s="6" r="AS1144">
        <v>0</v>
      </c>
      <c s="6" r="AT1144">
        <v>0</v>
      </c>
      <c s="6" r="AU1144">
        <v>0</v>
      </c>
      <c s="6" r="AV1144">
        <v>0</v>
      </c>
      <c s="6" r="AW1144">
        <v>0</v>
      </c>
      <c s="6" r="AX1144">
        <v>0</v>
      </c>
      <c s="6" r="AY1144">
        <v>0</v>
      </c>
      <c s="6" r="AZ1144">
        <v>0</v>
      </c>
      <c s="6" r="BA1144">
        <v>0</v>
      </c>
      <c s="6" r="BB1144">
        <v>0</v>
      </c>
      <c s="6" r="BC1144">
        <v>0</v>
      </c>
      <c s="6" r="BD1144">
        <v>0</v>
      </c>
      <c s="6" r="BE1144">
        <v>0</v>
      </c>
      <c s="6" r="BF1144">
        <v>0</v>
      </c>
      <c s="6" r="BG1144">
        <v>0</v>
      </c>
      <c s="6" r="BH1144">
        <v>0</v>
      </c>
      <c s="6" r="BI1144">
        <v>0</v>
      </c>
      <c s="6" r="BJ1144">
        <v>0</v>
      </c>
      <c s="6" r="BK1144">
        <v>0</v>
      </c>
      <c s="6" r="BL1144">
        <v>0</v>
      </c>
      <c s="6" r="BM1144">
        <v>0</v>
      </c>
      <c s="6" r="BN1144">
        <v>0</v>
      </c>
      <c s="6" r="BO1144">
        <v>0</v>
      </c>
      <c s="6" r="BP1144">
        <v>0</v>
      </c>
      <c s="6" r="BQ1144">
        <v>0</v>
      </c>
      <c t="str" s="6" r="BR1144">
        <f>HYPERLINK("http://www.d20pfsrd.com/magic/all-spells/s/symbol-of-slowing","Symbol of Slowing")</f>
        <v>Symbol of Slowing</v>
      </c>
      <c s="6" r="BS1144">
        <v>1166</v>
      </c>
      <c s="6" r="BT1144">
        <v>1000</v>
      </c>
      <c s="6" r="BY1144">
        <v>0</v>
      </c>
    </row>
    <row customHeight="1" r="1145" ht="14.25">
      <c t="s" s="6" r="A1145">
        <v>8381</v>
      </c>
      <c t="s" s="6" r="B1145">
        <v>115</v>
      </c>
      <c t="s" s="6" r="C1145">
        <v>116</v>
      </c>
      <c t="s" s="6" r="D1145">
        <v>117</v>
      </c>
      <c t="s" s="6" r="E1145">
        <v>350</v>
      </c>
      <c t="s" s="6" r="F1145">
        <v>311</v>
      </c>
      <c t="s" s="6" r="G1145">
        <v>8382</v>
      </c>
      <c s="6" r="H1145">
        <v>1</v>
      </c>
      <c t="s" s="6" r="I1145">
        <v>4361</v>
      </c>
      <c t="s" s="6" r="K1145">
        <v>4362</v>
      </c>
      <c t="s" s="6" r="M1145">
        <v>141</v>
      </c>
      <c s="6" r="N1145">
        <v>0</v>
      </c>
      <c s="6" r="O1145">
        <v>0</v>
      </c>
      <c t="s" s="6" r="P1145">
        <v>221</v>
      </c>
      <c t="s" s="6" r="Q1145">
        <v>188</v>
      </c>
      <c t="s" s="6" r="R1145">
        <v>8383</v>
      </c>
      <c t="s" s="6" r="S1145">
        <v>8384</v>
      </c>
      <c t="s" s="6" r="T1145">
        <v>7122</v>
      </c>
      <c t="s" s="6" r="U1145">
        <v>8385</v>
      </c>
      <c s="6" r="V1145">
        <v>1</v>
      </c>
      <c s="6" r="W1145">
        <v>1</v>
      </c>
      <c s="6" r="X1145">
        <v>1</v>
      </c>
      <c s="6" r="Y1145">
        <v>0</v>
      </c>
      <c s="6" r="Z1145">
        <v>0</v>
      </c>
      <c s="6" r="AA1145">
        <v>9</v>
      </c>
      <c s="6" r="AB1145">
        <v>9</v>
      </c>
      <c s="6" r="AC1145">
        <v>9</v>
      </c>
      <c t="s" s="6" r="AD1145">
        <v>92</v>
      </c>
      <c t="s" s="6" r="AE1145">
        <v>92</v>
      </c>
      <c t="s" s="6" r="AF1145">
        <v>92</v>
      </c>
      <c t="s" s="6" r="AG1145">
        <v>92</v>
      </c>
      <c t="s" s="6" r="AH1145">
        <v>92</v>
      </c>
      <c t="s" s="6" r="AI1145">
        <v>92</v>
      </c>
      <c s="6" r="AJ1145">
        <v>9</v>
      </c>
      <c t="s" s="6" r="AK1145">
        <v>92</v>
      </c>
      <c s="6" r="AL1145">
        <v>9</v>
      </c>
      <c t="s" s="6" r="AM1145">
        <v>92</v>
      </c>
      <c t="s" s="6" r="AN1145">
        <v>92</v>
      </c>
      <c s="6" r="AP1145">
        <v>9</v>
      </c>
      <c t="s" s="6" r="AR1145">
        <v>8386</v>
      </c>
      <c s="6" r="AS1145">
        <v>0</v>
      </c>
      <c s="6" r="AT1145">
        <v>0</v>
      </c>
      <c s="6" r="AU1145">
        <v>0</v>
      </c>
      <c s="6" r="AV1145">
        <v>0</v>
      </c>
      <c s="6" r="AW1145">
        <v>0</v>
      </c>
      <c s="6" r="AX1145">
        <v>0</v>
      </c>
      <c s="6" r="AY1145">
        <v>0</v>
      </c>
      <c s="6" r="AZ1145">
        <v>0</v>
      </c>
      <c s="6" r="BA1145">
        <v>0</v>
      </c>
      <c s="6" r="BB1145">
        <v>0</v>
      </c>
      <c s="6" r="BC1145">
        <v>0</v>
      </c>
      <c s="6" r="BD1145">
        <v>0</v>
      </c>
      <c s="6" r="BE1145">
        <v>0</v>
      </c>
      <c s="6" r="BF1145">
        <v>0</v>
      </c>
      <c s="6" r="BG1145">
        <v>0</v>
      </c>
      <c s="6" r="BH1145">
        <v>0</v>
      </c>
      <c s="6" r="BI1145">
        <v>0</v>
      </c>
      <c s="6" r="BJ1145">
        <v>0</v>
      </c>
      <c s="6" r="BK1145">
        <v>0</v>
      </c>
      <c s="6" r="BL1145">
        <v>1</v>
      </c>
      <c s="6" r="BM1145">
        <v>0</v>
      </c>
      <c s="6" r="BN1145">
        <v>0</v>
      </c>
      <c s="6" r="BO1145">
        <v>0</v>
      </c>
      <c s="6" r="BP1145">
        <v>0</v>
      </c>
      <c s="6" r="BQ1145">
        <v>0</v>
      </c>
      <c t="str" s="6" r="BR1145">
        <f>HYPERLINK("http://www.d20pfsrd.com/magic/all-spells/s/symbol-of-strife","Symbol of Strife")</f>
        <v>Symbol of Strife</v>
      </c>
      <c s="6" r="BS1145">
        <v>1167</v>
      </c>
      <c s="6" r="BT1145">
        <v>15000</v>
      </c>
      <c s="6" r="BY1145">
        <v>0</v>
      </c>
    </row>
    <row customHeight="1" r="1146" ht="14.25">
      <c t="s" s="6" r="A1146">
        <v>8387</v>
      </c>
      <c t="s" s="6" r="B1146">
        <v>162</v>
      </c>
      <c t="s" s="6" r="E1146">
        <v>350</v>
      </c>
      <c t="s" s="6" r="F1146">
        <v>311</v>
      </c>
      <c t="s" s="6" r="G1146">
        <v>8382</v>
      </c>
      <c s="6" r="H1146">
        <v>1</v>
      </c>
      <c t="s" s="6" r="I1146">
        <v>4361</v>
      </c>
      <c t="s" s="6" r="K1146">
        <v>4362</v>
      </c>
      <c t="s" s="6" r="M1146">
        <v>141</v>
      </c>
      <c s="6" r="N1146">
        <v>0</v>
      </c>
      <c s="6" r="O1146">
        <v>0</v>
      </c>
      <c t="s" s="6" r="P1146">
        <v>86</v>
      </c>
      <c t="s" s="6" r="Q1146">
        <v>87</v>
      </c>
      <c t="s" s="6" r="R1146">
        <v>8388</v>
      </c>
      <c t="s" s="6" r="S1146">
        <v>8389</v>
      </c>
      <c t="s" s="6" r="T1146">
        <v>7122</v>
      </c>
      <c t="s" s="6" r="U1146">
        <v>8390</v>
      </c>
      <c s="6" r="V1146">
        <v>1</v>
      </c>
      <c s="6" r="W1146">
        <v>1</v>
      </c>
      <c s="6" r="X1146">
        <v>1</v>
      </c>
      <c s="6" r="Y1146">
        <v>0</v>
      </c>
      <c s="6" r="Z1146">
        <v>0</v>
      </c>
      <c s="6" r="AA1146">
        <v>9</v>
      </c>
      <c s="6" r="AB1146">
        <v>9</v>
      </c>
      <c s="6" r="AC1146">
        <v>9</v>
      </c>
      <c t="s" s="6" r="AD1146">
        <v>92</v>
      </c>
      <c t="s" s="6" r="AE1146">
        <v>92</v>
      </c>
      <c t="s" s="6" r="AF1146">
        <v>92</v>
      </c>
      <c t="s" s="6" r="AG1146">
        <v>92</v>
      </c>
      <c t="s" s="6" r="AH1146">
        <v>92</v>
      </c>
      <c t="s" s="6" r="AI1146">
        <v>92</v>
      </c>
      <c s="6" r="AJ1146">
        <v>9</v>
      </c>
      <c t="s" s="6" r="AK1146">
        <v>92</v>
      </c>
      <c s="6" r="AL1146">
        <v>9</v>
      </c>
      <c t="s" s="6" r="AM1146">
        <v>92</v>
      </c>
      <c t="s" s="6" r="AN1146">
        <v>92</v>
      </c>
      <c s="6" r="AP1146">
        <v>9</v>
      </c>
      <c t="s" s="6" r="AR1146">
        <v>8391</v>
      </c>
      <c s="6" r="AS1146">
        <v>0</v>
      </c>
      <c s="6" r="AT1146">
        <v>0</v>
      </c>
      <c s="6" r="AU1146">
        <v>0</v>
      </c>
      <c s="6" r="AV1146">
        <v>0</v>
      </c>
      <c s="6" r="AW1146">
        <v>0</v>
      </c>
      <c s="6" r="AX1146">
        <v>0</v>
      </c>
      <c s="6" r="AY1146">
        <v>0</v>
      </c>
      <c s="6" r="AZ1146">
        <v>0</v>
      </c>
      <c s="6" r="BA1146">
        <v>0</v>
      </c>
      <c s="6" r="BB1146">
        <v>0</v>
      </c>
      <c s="6" r="BC1146">
        <v>0</v>
      </c>
      <c s="6" r="BD1146">
        <v>0</v>
      </c>
      <c s="6" r="BE1146">
        <v>0</v>
      </c>
      <c s="6" r="BF1146">
        <v>0</v>
      </c>
      <c s="6" r="BG1146">
        <v>0</v>
      </c>
      <c s="6" r="BH1146">
        <v>0</v>
      </c>
      <c s="6" r="BI1146">
        <v>0</v>
      </c>
      <c s="6" r="BJ1146">
        <v>0</v>
      </c>
      <c s="6" r="BK1146">
        <v>0</v>
      </c>
      <c s="6" r="BL1146">
        <v>0</v>
      </c>
      <c s="6" r="BM1146">
        <v>0</v>
      </c>
      <c s="6" r="BN1146">
        <v>0</v>
      </c>
      <c s="6" r="BO1146">
        <v>0</v>
      </c>
      <c s="6" r="BP1146">
        <v>0</v>
      </c>
      <c s="6" r="BQ1146">
        <v>0</v>
      </c>
      <c t="str" s="6" r="BR1146">
        <f>HYPERLINK("http://www.d20pfsrd.com/magic/all-spells/s/symbol-of-vulnerability","Symbol of Vulnerability")</f>
        <v>Symbol of Vulnerability</v>
      </c>
      <c s="6" r="BS1146">
        <v>1168</v>
      </c>
      <c s="6" r="BT1146">
        <v>15000</v>
      </c>
      <c s="6" r="BY1146">
        <v>0</v>
      </c>
    </row>
    <row customHeight="1" r="1147" ht="14.25">
      <c t="s" s="6" r="A1147">
        <v>8392</v>
      </c>
      <c t="s" s="6" r="B1147">
        <v>131</v>
      </c>
      <c t="s" s="6" r="E1147">
        <v>760</v>
      </c>
      <c t="s" s="6" r="F1147">
        <v>81</v>
      </c>
      <c t="s" s="6" r="G1147">
        <v>8393</v>
      </c>
      <c s="6" r="H1147">
        <v>0</v>
      </c>
      <c t="s" s="6" r="I1147">
        <v>107</v>
      </c>
      <c t="s" s="6" r="K1147">
        <v>8394</v>
      </c>
      <c t="s" s="6" r="M1147">
        <v>109</v>
      </c>
      <c s="6" r="N1147">
        <v>0</v>
      </c>
      <c s="6" r="O1147">
        <v>0</v>
      </c>
      <c t="s" s="6" r="P1147">
        <v>86</v>
      </c>
      <c t="s" s="6" r="Q1147">
        <v>87</v>
      </c>
      <c t="s" s="6" r="R1147">
        <v>8395</v>
      </c>
      <c t="s" s="6" r="S1147">
        <v>8396</v>
      </c>
      <c t="s" s="6" r="T1147">
        <v>7122</v>
      </c>
      <c t="s" s="6" r="U1147">
        <v>8397</v>
      </c>
      <c s="6" r="V1147">
        <v>1</v>
      </c>
      <c s="6" r="W1147">
        <v>1</v>
      </c>
      <c s="6" r="X1147">
        <v>1</v>
      </c>
      <c s="6" r="Y1147">
        <v>0</v>
      </c>
      <c s="6" r="Z1147">
        <v>0</v>
      </c>
      <c t="s" s="6" r="AA1147">
        <v>92</v>
      </c>
      <c t="s" s="6" r="AB1147">
        <v>92</v>
      </c>
      <c t="s" s="6" r="AC1147">
        <v>92</v>
      </c>
      <c s="6" r="AD1147">
        <v>2</v>
      </c>
      <c t="s" s="6" r="AE1147">
        <v>92</v>
      </c>
      <c t="s" s="6" r="AF1147">
        <v>92</v>
      </c>
      <c t="s" s="6" r="AG1147">
        <v>92</v>
      </c>
      <c t="s" s="6" r="AH1147">
        <v>92</v>
      </c>
      <c t="s" s="6" r="AI1147">
        <v>92</v>
      </c>
      <c t="s" s="6" r="AJ1147">
        <v>92</v>
      </c>
      <c t="s" s="6" r="AK1147">
        <v>92</v>
      </c>
      <c t="s" s="6" r="AL1147">
        <v>92</v>
      </c>
      <c t="s" s="6" r="AM1147">
        <v>92</v>
      </c>
      <c t="s" s="6" r="AN1147">
        <v>92</v>
      </c>
      <c s="6" r="AP1147">
        <v>2</v>
      </c>
      <c t="s" s="6" r="AR1147">
        <v>8398</v>
      </c>
      <c s="6" r="AS1147">
        <v>0</v>
      </c>
      <c s="6" r="AT1147">
        <v>0</v>
      </c>
      <c s="6" r="AU1147">
        <v>0</v>
      </c>
      <c s="6" r="AV1147">
        <v>0</v>
      </c>
      <c s="6" r="AW1147">
        <v>0</v>
      </c>
      <c s="6" r="AX1147">
        <v>0</v>
      </c>
      <c s="6" r="AY1147">
        <v>0</v>
      </c>
      <c s="6" r="AZ1147">
        <v>0</v>
      </c>
      <c s="6" r="BA1147">
        <v>0</v>
      </c>
      <c s="6" r="BB1147">
        <v>0</v>
      </c>
      <c s="6" r="BC1147">
        <v>0</v>
      </c>
      <c s="6" r="BD1147">
        <v>0</v>
      </c>
      <c s="6" r="BE1147">
        <v>0</v>
      </c>
      <c s="6" r="BF1147">
        <v>0</v>
      </c>
      <c s="6" r="BG1147">
        <v>0</v>
      </c>
      <c s="6" r="BH1147">
        <v>0</v>
      </c>
      <c s="6" r="BI1147">
        <v>0</v>
      </c>
      <c s="6" r="BJ1147">
        <v>0</v>
      </c>
      <c s="6" r="BK1147">
        <v>0</v>
      </c>
      <c s="6" r="BL1147">
        <v>0</v>
      </c>
      <c s="6" r="BM1147">
        <v>0</v>
      </c>
      <c s="6" r="BN1147">
        <v>0</v>
      </c>
      <c s="6" r="BO1147">
        <v>0</v>
      </c>
      <c s="6" r="BP1147">
        <v>0</v>
      </c>
      <c s="6" r="BQ1147">
        <v>0</v>
      </c>
      <c t="str" s="6" r="BR1147">
        <f>HYPERLINK("http://www.d20pfsrd.com/magic/all-spells/t/tar-ball","Tar Ball")</f>
        <v>Tar Ball</v>
      </c>
      <c s="6" r="BS1147">
        <v>1169</v>
      </c>
      <c t="s" s="6" r="BT1147">
        <v>92</v>
      </c>
      <c s="6" r="BY1147">
        <v>0</v>
      </c>
    </row>
    <row customHeight="1" r="1148" ht="14.25">
      <c t="s" s="6" r="A1148">
        <v>8399</v>
      </c>
      <c t="s" s="6" r="B1148">
        <v>227</v>
      </c>
      <c t="s" s="6" r="E1148">
        <v>344</v>
      </c>
      <c t="s" s="6" r="F1148">
        <v>311</v>
      </c>
      <c t="s" s="6" r="G1148">
        <v>8400</v>
      </c>
      <c s="6" r="H1148">
        <v>1</v>
      </c>
      <c t="s" s="6" r="I1148">
        <v>120</v>
      </c>
      <c t="s" s="6" r="L1148">
        <v>3488</v>
      </c>
      <c t="s" s="6" r="M1148">
        <v>379</v>
      </c>
      <c s="6" r="N1148">
        <v>0</v>
      </c>
      <c s="6" r="O1148">
        <v>0</v>
      </c>
      <c t="s" s="6" r="R1148">
        <v>8401</v>
      </c>
      <c t="s" s="6" r="S1148">
        <v>8402</v>
      </c>
      <c t="s" s="6" r="T1148">
        <v>7122</v>
      </c>
      <c t="s" s="6" r="U1148">
        <v>8403</v>
      </c>
      <c s="6" r="V1148">
        <v>1</v>
      </c>
      <c s="6" r="W1148">
        <v>1</v>
      </c>
      <c s="6" r="X1148">
        <v>1</v>
      </c>
      <c s="6" r="Y1148">
        <v>0</v>
      </c>
      <c s="6" r="Z1148">
        <v>0</v>
      </c>
      <c s="6" r="AA1148">
        <v>7</v>
      </c>
      <c s="6" r="AB1148">
        <v>7</v>
      </c>
      <c t="s" s="6" r="AC1148">
        <v>92</v>
      </c>
      <c t="s" s="6" r="AD1148">
        <v>92</v>
      </c>
      <c t="s" s="6" r="AE1148">
        <v>92</v>
      </c>
      <c t="s" s="6" r="AF1148">
        <v>92</v>
      </c>
      <c t="s" s="6" r="AG1148">
        <v>92</v>
      </c>
      <c t="s" s="6" r="AH1148">
        <v>92</v>
      </c>
      <c t="s" s="6" r="AI1148">
        <v>92</v>
      </c>
      <c s="6" r="AJ1148">
        <v>7</v>
      </c>
      <c t="s" s="6" r="AK1148">
        <v>92</v>
      </c>
      <c t="s" s="6" r="AL1148">
        <v>92</v>
      </c>
      <c t="s" s="6" r="AM1148">
        <v>92</v>
      </c>
      <c t="s" s="6" r="AN1148">
        <v>92</v>
      </c>
      <c s="6" r="AP1148">
        <v>7</v>
      </c>
      <c t="s" s="6" r="AR1148">
        <v>8404</v>
      </c>
      <c s="6" r="AS1148">
        <v>0</v>
      </c>
      <c s="6" r="AT1148">
        <v>0</v>
      </c>
      <c s="6" r="AU1148">
        <v>0</v>
      </c>
      <c s="6" r="AV1148">
        <v>0</v>
      </c>
      <c s="6" r="AW1148">
        <v>0</v>
      </c>
      <c s="6" r="AX1148">
        <v>0</v>
      </c>
      <c s="6" r="AY1148">
        <v>0</v>
      </c>
      <c s="6" r="AZ1148">
        <v>0</v>
      </c>
      <c s="6" r="BA1148">
        <v>0</v>
      </c>
      <c s="6" r="BB1148">
        <v>0</v>
      </c>
      <c s="6" r="BC1148">
        <v>0</v>
      </c>
      <c s="6" r="BD1148">
        <v>0</v>
      </c>
      <c s="6" r="BE1148">
        <v>0</v>
      </c>
      <c s="6" r="BF1148">
        <v>0</v>
      </c>
      <c s="6" r="BG1148">
        <v>0</v>
      </c>
      <c s="6" r="BH1148">
        <v>0</v>
      </c>
      <c s="6" r="BI1148">
        <v>0</v>
      </c>
      <c s="6" r="BJ1148">
        <v>0</v>
      </c>
      <c s="6" r="BK1148">
        <v>0</v>
      </c>
      <c s="6" r="BL1148">
        <v>0</v>
      </c>
      <c s="6" r="BM1148">
        <v>0</v>
      </c>
      <c s="6" r="BN1148">
        <v>0</v>
      </c>
      <c s="6" r="BO1148">
        <v>0</v>
      </c>
      <c s="6" r="BP1148">
        <v>0</v>
      </c>
      <c s="6" r="BQ1148">
        <v>0</v>
      </c>
      <c t="str" s="6" r="BR1148">
        <f>HYPERLINK("http://www.d20pfsrd.com/magic/all-spells/t/temporary-resurrection","Temporary Resurrection")</f>
        <v>Temporary Resurrection</v>
      </c>
      <c s="6" r="BS1148">
        <v>1170</v>
      </c>
      <c s="6" r="BT1148">
        <v>500</v>
      </c>
      <c s="6" r="BY1148">
        <v>0</v>
      </c>
    </row>
    <row customHeight="1" r="1149" ht="14.25">
      <c t="s" s="6" r="A1149">
        <v>8405</v>
      </c>
      <c t="s" s="6" r="B1149">
        <v>115</v>
      </c>
      <c t="s" s="6" r="C1149">
        <v>116</v>
      </c>
      <c t="s" s="6" r="D1149">
        <v>7379</v>
      </c>
      <c t="s" s="6" r="E1149">
        <v>8406</v>
      </c>
      <c t="s" s="6" r="F1149">
        <v>81</v>
      </c>
      <c t="s" s="6" r="G1149">
        <v>106</v>
      </c>
      <c s="6" r="H1149">
        <v>0</v>
      </c>
      <c t="s" s="6" r="I1149">
        <v>107</v>
      </c>
      <c t="s" s="6" r="L1149">
        <v>8407</v>
      </c>
      <c t="s" s="6" r="M1149">
        <v>99</v>
      </c>
      <c s="6" r="N1149">
        <v>0</v>
      </c>
      <c s="6" r="O1149">
        <v>0</v>
      </c>
      <c t="s" s="6" r="P1149">
        <v>7202</v>
      </c>
      <c t="s" s="6" r="Q1149">
        <v>188</v>
      </c>
      <c t="s" s="6" r="R1149">
        <v>8408</v>
      </c>
      <c t="s" s="6" r="S1149">
        <v>8409</v>
      </c>
      <c t="s" s="6" r="T1149">
        <v>7122</v>
      </c>
      <c t="s" s="6" r="U1149">
        <v>8410</v>
      </c>
      <c s="6" r="V1149">
        <v>1</v>
      </c>
      <c s="6" r="W1149">
        <v>1</v>
      </c>
      <c s="6" r="X1149">
        <v>0</v>
      </c>
      <c s="6" r="Y1149">
        <v>0</v>
      </c>
      <c s="6" r="Z1149">
        <v>0</v>
      </c>
      <c s="6" r="AA1149">
        <v>4</v>
      </c>
      <c s="6" r="AB1149">
        <v>4</v>
      </c>
      <c s="6" r="AC1149">
        <v>4</v>
      </c>
      <c t="s" s="6" r="AD1149">
        <v>92</v>
      </c>
      <c t="s" s="6" r="AE1149">
        <v>92</v>
      </c>
      <c s="6" r="AF1149">
        <v>3</v>
      </c>
      <c t="s" s="6" r="AG1149">
        <v>92</v>
      </c>
      <c t="s" s="6" r="AH1149">
        <v>92</v>
      </c>
      <c t="s" s="6" r="AI1149">
        <v>92</v>
      </c>
      <c t="s" s="6" r="AJ1149">
        <v>92</v>
      </c>
      <c s="6" r="AK1149">
        <v>3</v>
      </c>
      <c s="6" r="AL1149">
        <v>4</v>
      </c>
      <c t="s" s="6" r="AM1149">
        <v>92</v>
      </c>
      <c t="s" s="6" r="AN1149">
        <v>92</v>
      </c>
      <c s="6" r="AP1149">
        <v>4</v>
      </c>
      <c t="s" s="6" r="AR1149">
        <v>8411</v>
      </c>
      <c s="6" r="AS1149">
        <v>0</v>
      </c>
      <c s="6" r="AT1149">
        <v>0</v>
      </c>
      <c s="6" r="AU1149">
        <v>0</v>
      </c>
      <c s="6" r="AV1149">
        <v>0</v>
      </c>
      <c s="6" r="AW1149">
        <v>0</v>
      </c>
      <c s="6" r="AX1149">
        <v>0</v>
      </c>
      <c s="6" r="AY1149">
        <v>0</v>
      </c>
      <c s="6" r="AZ1149">
        <v>0</v>
      </c>
      <c s="6" r="BA1149">
        <v>0</v>
      </c>
      <c s="6" r="BB1149">
        <v>0</v>
      </c>
      <c s="6" r="BC1149">
        <v>1</v>
      </c>
      <c s="6" r="BD1149">
        <v>0</v>
      </c>
      <c s="6" r="BE1149">
        <v>0</v>
      </c>
      <c s="6" r="BF1149">
        <v>0</v>
      </c>
      <c s="6" r="BG1149">
        <v>0</v>
      </c>
      <c s="6" r="BH1149">
        <v>0</v>
      </c>
      <c s="6" r="BI1149">
        <v>0</v>
      </c>
      <c s="6" r="BJ1149">
        <v>0</v>
      </c>
      <c s="6" r="BK1149">
        <v>0</v>
      </c>
      <c s="6" r="BL1149">
        <v>1</v>
      </c>
      <c s="6" r="BM1149">
        <v>0</v>
      </c>
      <c s="6" r="BN1149">
        <v>0</v>
      </c>
      <c s="6" r="BO1149">
        <v>0</v>
      </c>
      <c s="6" r="BP1149">
        <v>0</v>
      </c>
      <c s="6" r="BQ1149">
        <v>0</v>
      </c>
      <c t="str" s="6" r="BR1149">
        <f>HYPERLINK("http://www.d20pfsrd.com/magic/all-spells/t/terrible-remorse","Terrible Remorse")</f>
        <v>Terrible Remorse</v>
      </c>
      <c s="6" r="BS1149">
        <v>1171</v>
      </c>
      <c t="s" s="6" r="BT1149">
        <v>92</v>
      </c>
      <c s="6" r="BY1149">
        <v>0</v>
      </c>
    </row>
    <row customHeight="1" r="1150" ht="14.25">
      <c t="s" s="6" r="A1150">
        <v>8412</v>
      </c>
      <c t="s" s="6" r="B1150">
        <v>78</v>
      </c>
      <c t="s" s="6" r="C1150">
        <v>79</v>
      </c>
      <c t="s" s="6" r="D1150">
        <v>51</v>
      </c>
      <c t="s" s="6" r="E1150">
        <v>8413</v>
      </c>
      <c t="s" s="6" r="F1150">
        <v>81</v>
      </c>
      <c t="s" s="6" r="G1150">
        <v>8414</v>
      </c>
      <c s="6" r="H1150">
        <v>0</v>
      </c>
      <c t="s" s="6" r="I1150">
        <v>120</v>
      </c>
      <c t="s" s="6" r="L1150">
        <v>121</v>
      </c>
      <c t="s" s="6" r="M1150">
        <v>109</v>
      </c>
      <c s="6" r="N1150">
        <v>0</v>
      </c>
      <c s="6" r="O1150">
        <v>0</v>
      </c>
      <c t="s" s="6" r="P1150">
        <v>187</v>
      </c>
      <c t="s" s="6" r="Q1150">
        <v>188</v>
      </c>
      <c t="s" s="6" r="R1150">
        <v>8415</v>
      </c>
      <c t="s" s="6" r="S1150">
        <v>8416</v>
      </c>
      <c t="s" s="6" r="T1150">
        <v>7122</v>
      </c>
      <c t="s" s="6" r="U1150">
        <v>8417</v>
      </c>
      <c s="6" r="V1150">
        <v>1</v>
      </c>
      <c s="6" r="W1150">
        <v>1</v>
      </c>
      <c s="6" r="X1150">
        <v>1</v>
      </c>
      <c s="6" r="Y1150">
        <v>0</v>
      </c>
      <c s="6" r="Z1150">
        <v>0</v>
      </c>
      <c s="6" r="AA1150">
        <v>4</v>
      </c>
      <c s="6" r="AB1150">
        <v>4</v>
      </c>
      <c t="s" s="6" r="AC1150">
        <v>92</v>
      </c>
      <c s="6" r="AD1150">
        <v>4</v>
      </c>
      <c t="s" s="6" r="AE1150">
        <v>92</v>
      </c>
      <c t="s" s="6" r="AF1150">
        <v>92</v>
      </c>
      <c t="s" s="6" r="AG1150">
        <v>92</v>
      </c>
      <c s="6" r="AH1150">
        <v>4</v>
      </c>
      <c t="s" s="6" r="AI1150">
        <v>92</v>
      </c>
      <c s="6" r="AJ1150">
        <v>4</v>
      </c>
      <c t="s" s="6" r="AK1150">
        <v>92</v>
      </c>
      <c t="s" s="6" r="AL1150">
        <v>92</v>
      </c>
      <c t="s" s="6" r="AM1150">
        <v>92</v>
      </c>
      <c t="s" s="6" r="AN1150">
        <v>92</v>
      </c>
      <c s="6" r="AP1150">
        <v>4</v>
      </c>
      <c t="s" s="6" r="AR1150">
        <v>8418</v>
      </c>
      <c s="6" r="AS1150">
        <v>0</v>
      </c>
      <c s="6" r="AT1150">
        <v>0</v>
      </c>
      <c s="6" r="AU1150">
        <v>0</v>
      </c>
      <c s="6" r="AV1150">
        <v>0</v>
      </c>
      <c s="6" r="AW1150">
        <v>0</v>
      </c>
      <c s="6" r="AX1150">
        <v>0</v>
      </c>
      <c s="6" r="AY1150">
        <v>0</v>
      </c>
      <c s="6" r="AZ1150">
        <v>1</v>
      </c>
      <c s="6" r="BA1150">
        <v>0</v>
      </c>
      <c s="6" r="BB1150">
        <v>0</v>
      </c>
      <c s="6" r="BC1150">
        <v>0</v>
      </c>
      <c s="6" r="BD1150">
        <v>0</v>
      </c>
      <c s="6" r="BE1150">
        <v>0</v>
      </c>
      <c s="6" r="BF1150">
        <v>0</v>
      </c>
      <c s="6" r="BG1150">
        <v>0</v>
      </c>
      <c s="6" r="BH1150">
        <v>0</v>
      </c>
      <c s="6" r="BI1150">
        <v>0</v>
      </c>
      <c s="6" r="BJ1150">
        <v>0</v>
      </c>
      <c s="6" r="BK1150">
        <v>0</v>
      </c>
      <c s="6" r="BL1150">
        <v>0</v>
      </c>
      <c s="6" r="BM1150">
        <v>0</v>
      </c>
      <c s="6" r="BN1150">
        <v>0</v>
      </c>
      <c s="6" r="BO1150">
        <v>0</v>
      </c>
      <c s="6" r="BP1150">
        <v>0</v>
      </c>
      <c s="6" r="BQ1150">
        <v>0</v>
      </c>
      <c t="str" s="6" r="BR1150">
        <f>HYPERLINK("http://www.d20pfsrd.com/magic/all-spells/t/touch-of-slime","Touch of Slime")</f>
        <v>Touch of Slime</v>
      </c>
      <c s="6" r="BS1150">
        <v>1172</v>
      </c>
      <c t="s" s="6" r="BT1150">
        <v>92</v>
      </c>
      <c s="6" r="BY1150">
        <v>0</v>
      </c>
    </row>
    <row customHeight="1" r="1151" ht="14.25">
      <c t="s" s="6" r="A1151">
        <v>8419</v>
      </c>
      <c t="s" s="6" r="B1151">
        <v>227</v>
      </c>
      <c t="s" s="6" r="D1151">
        <v>65</v>
      </c>
      <c t="s" s="6" r="E1151">
        <v>8420</v>
      </c>
      <c t="s" s="6" r="F1151">
        <v>81</v>
      </c>
      <c t="s" s="6" r="G1151">
        <v>106</v>
      </c>
      <c s="6" r="H1151">
        <v>0</v>
      </c>
      <c t="s" s="6" r="I1151">
        <v>120</v>
      </c>
      <c t="s" s="6" r="L1151">
        <v>121</v>
      </c>
      <c t="s" s="6" r="M1151">
        <v>834</v>
      </c>
      <c s="6" r="N1151">
        <v>0</v>
      </c>
      <c s="6" r="O1151">
        <v>0</v>
      </c>
      <c t="s" s="6" r="P1151">
        <v>5439</v>
      </c>
      <c t="s" s="6" r="Q1151">
        <v>188</v>
      </c>
      <c t="s" s="6" r="R1151">
        <v>8421</v>
      </c>
      <c t="s" s="6" r="S1151">
        <v>8422</v>
      </c>
      <c t="s" s="6" r="T1151">
        <v>7122</v>
      </c>
      <c t="s" s="6" r="U1151">
        <v>8423</v>
      </c>
      <c s="6" r="V1151">
        <v>1</v>
      </c>
      <c s="6" r="W1151">
        <v>1</v>
      </c>
      <c s="6" r="X1151">
        <v>0</v>
      </c>
      <c s="6" r="Y1151">
        <v>0</v>
      </c>
      <c s="6" r="Z1151">
        <v>0</v>
      </c>
      <c s="6" r="AA1151">
        <v>3</v>
      </c>
      <c s="6" r="AB1151">
        <v>3</v>
      </c>
      <c t="s" s="6" r="AC1151">
        <v>92</v>
      </c>
      <c t="s" s="6" r="AD1151">
        <v>92</v>
      </c>
      <c t="s" s="6" r="AE1151">
        <v>92</v>
      </c>
      <c t="s" s="6" r="AF1151">
        <v>92</v>
      </c>
      <c t="s" s="6" r="AG1151">
        <v>92</v>
      </c>
      <c t="s" s="6" r="AH1151">
        <v>92</v>
      </c>
      <c t="s" s="6" r="AI1151">
        <v>92</v>
      </c>
      <c t="s" s="6" r="AJ1151">
        <v>92</v>
      </c>
      <c t="s" s="6" r="AK1151">
        <v>92</v>
      </c>
      <c t="s" s="6" r="AL1151">
        <v>92</v>
      </c>
      <c s="6" r="AM1151">
        <v>2</v>
      </c>
      <c t="s" s="6" r="AN1151">
        <v>92</v>
      </c>
      <c s="6" r="AP1151">
        <v>3</v>
      </c>
      <c t="s" s="6" r="AR1151">
        <v>8424</v>
      </c>
      <c s="6" r="AS1151">
        <v>0</v>
      </c>
      <c s="6" r="AT1151">
        <v>0</v>
      </c>
      <c s="6" r="AU1151">
        <v>0</v>
      </c>
      <c s="6" r="AV1151">
        <v>0</v>
      </c>
      <c s="6" r="AW1151">
        <v>0</v>
      </c>
      <c s="6" r="AX1151">
        <v>0</v>
      </c>
      <c s="6" r="AY1151">
        <v>0</v>
      </c>
      <c s="6" r="AZ1151">
        <v>0</v>
      </c>
      <c s="6" r="BA1151">
        <v>0</v>
      </c>
      <c s="6" r="BB1151">
        <v>0</v>
      </c>
      <c s="6" r="BC1151">
        <v>0</v>
      </c>
      <c s="6" r="BD1151">
        <v>0</v>
      </c>
      <c s="6" r="BE1151">
        <v>0</v>
      </c>
      <c s="6" r="BF1151">
        <v>0</v>
      </c>
      <c s="6" r="BG1151">
        <v>0</v>
      </c>
      <c s="6" r="BH1151">
        <v>0</v>
      </c>
      <c s="6" r="BI1151">
        <v>0</v>
      </c>
      <c s="6" r="BJ1151">
        <v>0</v>
      </c>
      <c s="6" r="BK1151">
        <v>0</v>
      </c>
      <c s="6" r="BL1151">
        <v>0</v>
      </c>
      <c s="6" r="BM1151">
        <v>0</v>
      </c>
      <c s="6" r="BN1151">
        <v>1</v>
      </c>
      <c s="6" r="BO1151">
        <v>0</v>
      </c>
      <c s="6" r="BP1151">
        <v>0</v>
      </c>
      <c s="6" r="BQ1151">
        <v>0</v>
      </c>
      <c t="str" s="6" r="BR1151">
        <f>HYPERLINK("http://www.d20pfsrd.com/magic/all-spells/t/toxic-gift","Toxic Gift")</f>
        <v>Toxic Gift</v>
      </c>
      <c s="6" r="BS1151">
        <v>1173</v>
      </c>
      <c t="s" s="6" r="BT1151">
        <v>92</v>
      </c>
      <c s="6" r="BY1151">
        <v>0</v>
      </c>
    </row>
    <row customHeight="1" r="1152" ht="14.25">
      <c t="s" s="6" r="A1152">
        <v>8425</v>
      </c>
      <c t="s" s="6" r="B1152">
        <v>131</v>
      </c>
      <c t="s" s="6" r="D1152">
        <v>8426</v>
      </c>
      <c t="s" s="6" r="E1152">
        <v>1058</v>
      </c>
      <c t="s" s="6" r="F1152">
        <v>81</v>
      </c>
      <c t="s" s="6" r="G1152">
        <v>8427</v>
      </c>
      <c s="6" r="H1152">
        <v>1</v>
      </c>
      <c t="s" s="6" r="I1152">
        <v>107</v>
      </c>
      <c t="s" s="6" r="L1152">
        <v>473</v>
      </c>
      <c t="s" s="6" r="M1152">
        <v>8428</v>
      </c>
      <c s="6" r="N1152">
        <v>0</v>
      </c>
      <c s="6" r="O1152">
        <v>0</v>
      </c>
      <c t="s" s="6" r="P1152">
        <v>2384</v>
      </c>
      <c t="s" s="6" r="Q1152">
        <v>188</v>
      </c>
      <c t="s" s="6" r="R1152">
        <v>8429</v>
      </c>
      <c t="s" s="6" r="S1152">
        <v>8430</v>
      </c>
      <c t="s" s="6" r="T1152">
        <v>7122</v>
      </c>
      <c t="s" s="6" r="U1152">
        <v>8431</v>
      </c>
      <c s="6" r="V1152">
        <v>1</v>
      </c>
      <c s="6" r="W1152">
        <v>1</v>
      </c>
      <c s="6" r="X1152">
        <v>1</v>
      </c>
      <c s="6" r="Y1152">
        <v>0</v>
      </c>
      <c s="6" r="Z1152">
        <v>0</v>
      </c>
      <c s="6" r="AA1152">
        <v>9</v>
      </c>
      <c s="6" r="AB1152">
        <v>9</v>
      </c>
      <c t="s" s="6" r="AC1152">
        <v>92</v>
      </c>
      <c t="s" s="6" r="AD1152">
        <v>92</v>
      </c>
      <c t="s" s="6" r="AE1152">
        <v>92</v>
      </c>
      <c t="s" s="6" r="AF1152">
        <v>92</v>
      </c>
      <c t="s" s="6" r="AG1152">
        <v>92</v>
      </c>
      <c t="s" s="6" r="AH1152">
        <v>92</v>
      </c>
      <c t="s" s="6" r="AI1152">
        <v>92</v>
      </c>
      <c t="s" s="6" r="AJ1152">
        <v>92</v>
      </c>
      <c t="s" s="6" r="AK1152">
        <v>92</v>
      </c>
      <c t="s" s="6" r="AL1152">
        <v>92</v>
      </c>
      <c t="s" s="6" r="AM1152">
        <v>92</v>
      </c>
      <c t="s" s="6" r="AN1152">
        <v>92</v>
      </c>
      <c s="6" r="AP1152">
        <v>9</v>
      </c>
      <c t="s" s="6" r="AR1152">
        <v>8432</v>
      </c>
      <c s="6" r="AS1152">
        <v>1</v>
      </c>
      <c s="6" r="AT1152">
        <v>0</v>
      </c>
      <c s="6" r="AU1152">
        <v>0</v>
      </c>
      <c s="6" r="AV1152">
        <v>0</v>
      </c>
      <c s="6" r="AW1152">
        <v>0</v>
      </c>
      <c s="6" r="AX1152">
        <v>0</v>
      </c>
      <c s="6" r="AY1152">
        <v>0</v>
      </c>
      <c s="6" r="AZ1152">
        <v>0</v>
      </c>
      <c s="6" r="BA1152">
        <v>0</v>
      </c>
      <c s="6" r="BB1152">
        <v>0</v>
      </c>
      <c s="6" r="BC1152">
        <v>0</v>
      </c>
      <c s="6" r="BD1152">
        <v>0</v>
      </c>
      <c s="6" r="BE1152">
        <v>0</v>
      </c>
      <c s="6" r="BF1152">
        <v>0</v>
      </c>
      <c s="6" r="BG1152">
        <v>0</v>
      </c>
      <c s="6" r="BH1152">
        <v>0</v>
      </c>
      <c s="6" r="BI1152">
        <v>0</v>
      </c>
      <c s="6" r="BJ1152">
        <v>0</v>
      </c>
      <c s="6" r="BK1152">
        <v>0</v>
      </c>
      <c s="6" r="BL1152">
        <v>0</v>
      </c>
      <c s="6" r="BM1152">
        <v>1</v>
      </c>
      <c s="6" r="BN1152">
        <v>0</v>
      </c>
      <c s="6" r="BO1152">
        <v>0</v>
      </c>
      <c s="6" r="BP1152">
        <v>0</v>
      </c>
      <c s="6" r="BQ1152">
        <v>0</v>
      </c>
      <c t="str" s="6" r="BR1152">
        <f>HYPERLINK("http://www.d20pfsrd.com/magic/all-spells/t/transmute-blood-to-acid","Transmute Blood To Acid")</f>
        <v>Transmute Blood To Acid</v>
      </c>
      <c s="6" r="BS1152">
        <v>1174</v>
      </c>
      <c s="6" r="BT1152">
        <v>10</v>
      </c>
      <c s="6" r="BY1152">
        <v>0</v>
      </c>
    </row>
    <row customHeight="1" r="1153" ht="14.25">
      <c t="s" s="6" r="A1153">
        <v>8433</v>
      </c>
      <c t="s" s="6" r="B1153">
        <v>115</v>
      </c>
      <c t="s" s="6" r="C1153">
        <v>116</v>
      </c>
      <c t="s" s="6" r="D1153">
        <v>7379</v>
      </c>
      <c t="s" s="6" r="E1153">
        <v>8434</v>
      </c>
      <c t="s" s="6" r="F1153">
        <v>81</v>
      </c>
      <c t="s" s="6" r="G1153">
        <v>1051</v>
      </c>
      <c s="6" r="H1153">
        <v>0</v>
      </c>
      <c t="s" s="6" r="I1153">
        <v>107</v>
      </c>
      <c t="s" s="6" r="L1153">
        <v>1235</v>
      </c>
      <c t="s" s="6" r="M1153">
        <v>200</v>
      </c>
      <c s="6" r="N1153">
        <v>0</v>
      </c>
      <c s="6" r="O1153">
        <v>0</v>
      </c>
      <c t="s" s="6" r="P1153">
        <v>221</v>
      </c>
      <c t="s" s="6" r="Q1153">
        <v>188</v>
      </c>
      <c t="s" s="6" r="R1153">
        <v>8435</v>
      </c>
      <c t="s" s="6" r="S1153">
        <v>8436</v>
      </c>
      <c t="s" s="6" r="T1153">
        <v>7122</v>
      </c>
      <c t="s" s="6" r="U1153">
        <v>8437</v>
      </c>
      <c s="6" r="V1153">
        <v>1</v>
      </c>
      <c s="6" r="W1153">
        <v>1</v>
      </c>
      <c s="6" r="X1153">
        <v>1</v>
      </c>
      <c s="6" r="Y1153">
        <v>0</v>
      </c>
      <c s="6" r="Z1153">
        <v>0</v>
      </c>
      <c s="6" r="AA1153">
        <v>3</v>
      </c>
      <c s="6" r="AB1153">
        <v>3</v>
      </c>
      <c t="s" s="6" r="AC1153">
        <v>92</v>
      </c>
      <c t="s" s="6" r="AD1153">
        <v>92</v>
      </c>
      <c t="s" s="6" r="AE1153">
        <v>92</v>
      </c>
      <c s="6" r="AF1153">
        <v>2</v>
      </c>
      <c t="s" s="6" r="AG1153">
        <v>92</v>
      </c>
      <c t="s" s="6" r="AH1153">
        <v>92</v>
      </c>
      <c t="s" s="6" r="AI1153">
        <v>92</v>
      </c>
      <c s="6" r="AJ1153">
        <v>3</v>
      </c>
      <c t="s" s="6" r="AK1153">
        <v>92</v>
      </c>
      <c t="s" s="6" r="AL1153">
        <v>92</v>
      </c>
      <c s="6" r="AM1153">
        <v>2</v>
      </c>
      <c t="s" s="6" r="AN1153">
        <v>92</v>
      </c>
      <c s="6" r="AP1153">
        <v>3</v>
      </c>
      <c t="s" s="6" r="AR1153">
        <v>8438</v>
      </c>
      <c s="6" r="AS1153">
        <v>0</v>
      </c>
      <c s="6" r="AT1153">
        <v>0</v>
      </c>
      <c s="6" r="AU1153">
        <v>0</v>
      </c>
      <c s="6" r="AV1153">
        <v>0</v>
      </c>
      <c s="6" r="AW1153">
        <v>0</v>
      </c>
      <c s="6" r="AX1153">
        <v>0</v>
      </c>
      <c s="6" r="AY1153">
        <v>0</v>
      </c>
      <c s="6" r="AZ1153">
        <v>0</v>
      </c>
      <c s="6" r="BA1153">
        <v>0</v>
      </c>
      <c s="6" r="BB1153">
        <v>0</v>
      </c>
      <c s="6" r="BC1153">
        <v>1</v>
      </c>
      <c s="6" r="BD1153">
        <v>0</v>
      </c>
      <c s="6" r="BE1153">
        <v>0</v>
      </c>
      <c s="6" r="BF1153">
        <v>0</v>
      </c>
      <c s="6" r="BG1153">
        <v>0</v>
      </c>
      <c s="6" r="BH1153">
        <v>0</v>
      </c>
      <c s="6" r="BI1153">
        <v>0</v>
      </c>
      <c s="6" r="BJ1153">
        <v>0</v>
      </c>
      <c s="6" r="BK1153">
        <v>0</v>
      </c>
      <c s="6" r="BL1153">
        <v>1</v>
      </c>
      <c s="6" r="BM1153">
        <v>0</v>
      </c>
      <c s="6" r="BN1153">
        <v>0</v>
      </c>
      <c s="6" r="BO1153">
        <v>0</v>
      </c>
      <c s="6" r="BP1153">
        <v>0</v>
      </c>
      <c s="6" r="BQ1153">
        <v>0</v>
      </c>
      <c t="str" s="6" r="BR1153">
        <f>HYPERLINK("http://www.d20pfsrd.com/magic/all-spells/u/unadulterated-loathing","Unadulterated Loathing")</f>
        <v>Unadulterated Loathing</v>
      </c>
      <c s="6" r="BS1153">
        <v>1175</v>
      </c>
      <c t="s" s="6" r="BT1153">
        <v>92</v>
      </c>
      <c t="s" s="6" r="BV1153">
        <v>1242</v>
      </c>
      <c s="6" r="BY1153">
        <v>0</v>
      </c>
    </row>
    <row customHeight="1" r="1154" ht="14.25">
      <c t="s" s="6" r="A1154">
        <v>8439</v>
      </c>
      <c t="s" s="6" r="B1154">
        <v>162</v>
      </c>
      <c t="s" s="6" r="E1154">
        <v>1709</v>
      </c>
      <c t="s" s="6" r="F1154">
        <v>81</v>
      </c>
      <c t="s" s="6" r="G1154">
        <v>8440</v>
      </c>
      <c s="6" r="H1154">
        <v>1</v>
      </c>
      <c t="s" s="6" r="I1154">
        <v>107</v>
      </c>
      <c t="s" s="6" r="L1154">
        <v>7401</v>
      </c>
      <c t="s" s="6" r="M1154">
        <v>99</v>
      </c>
      <c s="6" r="N1154">
        <v>0</v>
      </c>
      <c s="6" r="O1154">
        <v>0</v>
      </c>
      <c t="s" s="6" r="P1154">
        <v>421</v>
      </c>
      <c t="s" s="6" r="Q1154">
        <v>87</v>
      </c>
      <c t="s" s="6" r="R1154">
        <v>8441</v>
      </c>
      <c t="s" s="6" r="S1154">
        <v>8442</v>
      </c>
      <c t="s" s="6" r="T1154">
        <v>7122</v>
      </c>
      <c t="s" s="6" r="U1154">
        <v>8443</v>
      </c>
      <c s="6" r="V1154">
        <v>1</v>
      </c>
      <c s="6" r="W1154">
        <v>1</v>
      </c>
      <c s="6" r="X1154">
        <v>1</v>
      </c>
      <c s="6" r="Y1154">
        <v>0</v>
      </c>
      <c s="6" r="Z1154">
        <v>0</v>
      </c>
      <c s="6" r="AA1154">
        <v>5</v>
      </c>
      <c s="6" r="AB1154">
        <v>5</v>
      </c>
      <c t="s" s="6" r="AC1154">
        <v>92</v>
      </c>
      <c t="s" s="6" r="AD1154">
        <v>92</v>
      </c>
      <c t="s" s="6" r="AE1154">
        <v>92</v>
      </c>
      <c t="s" s="6" r="AF1154">
        <v>92</v>
      </c>
      <c t="s" s="6" r="AG1154">
        <v>92</v>
      </c>
      <c t="s" s="6" r="AH1154">
        <v>92</v>
      </c>
      <c t="s" s="6" r="AI1154">
        <v>92</v>
      </c>
      <c t="s" s="6" r="AJ1154">
        <v>92</v>
      </c>
      <c t="s" s="6" r="AK1154">
        <v>92</v>
      </c>
      <c t="s" s="6" r="AL1154">
        <v>92</v>
      </c>
      <c t="s" s="6" r="AM1154">
        <v>92</v>
      </c>
      <c t="s" s="6" r="AN1154">
        <v>92</v>
      </c>
      <c s="6" r="AP1154">
        <v>5</v>
      </c>
      <c t="s" s="6" r="AR1154">
        <v>8444</v>
      </c>
      <c s="6" r="AS1154">
        <v>0</v>
      </c>
      <c s="6" r="AT1154">
        <v>0</v>
      </c>
      <c s="6" r="AU1154">
        <v>0</v>
      </c>
      <c s="6" r="AV1154">
        <v>0</v>
      </c>
      <c s="6" r="AW1154">
        <v>0</v>
      </c>
      <c s="6" r="AX1154">
        <v>0</v>
      </c>
      <c s="6" r="AY1154">
        <v>0</v>
      </c>
      <c s="6" r="AZ1154">
        <v>0</v>
      </c>
      <c s="6" r="BA1154">
        <v>0</v>
      </c>
      <c s="6" r="BB1154">
        <v>0</v>
      </c>
      <c s="6" r="BC1154">
        <v>0</v>
      </c>
      <c s="6" r="BD1154">
        <v>0</v>
      </c>
      <c s="6" r="BE1154">
        <v>0</v>
      </c>
      <c s="6" r="BF1154">
        <v>0</v>
      </c>
      <c s="6" r="BG1154">
        <v>0</v>
      </c>
      <c s="6" r="BH1154">
        <v>0</v>
      </c>
      <c s="6" r="BI1154">
        <v>0</v>
      </c>
      <c s="6" r="BJ1154">
        <v>0</v>
      </c>
      <c s="6" r="BK1154">
        <v>0</v>
      </c>
      <c s="6" r="BL1154">
        <v>0</v>
      </c>
      <c s="6" r="BM1154">
        <v>0</v>
      </c>
      <c s="6" r="BN1154">
        <v>0</v>
      </c>
      <c s="6" r="BO1154">
        <v>0</v>
      </c>
      <c s="6" r="BP1154">
        <v>0</v>
      </c>
      <c s="6" r="BQ1154">
        <v>0</v>
      </c>
      <c t="str" s="6" r="BR1154">
        <f>HYPERLINK("http://www.d20pfsrd.com/magic/all-spells/u/unbreakable-construct","Unbreakable Construct")</f>
        <v>Unbreakable Construct</v>
      </c>
      <c s="6" r="BS1154">
        <v>1176</v>
      </c>
      <c s="6" r="BT1154">
        <v>100</v>
      </c>
      <c s="6" r="BY1154">
        <v>0</v>
      </c>
    </row>
    <row customHeight="1" r="1155" ht="14.25">
      <c t="s" s="6" r="A1155">
        <v>8445</v>
      </c>
      <c t="s" s="6" r="B1155">
        <v>131</v>
      </c>
      <c t="s" s="6" r="C1155">
        <v>152</v>
      </c>
      <c t="s" s="6" r="E1155">
        <v>7962</v>
      </c>
      <c t="s" s="6" r="F1155">
        <v>81</v>
      </c>
      <c t="s" s="6" r="G1155">
        <v>154</v>
      </c>
      <c s="6" r="H1155">
        <v>0</v>
      </c>
      <c t="s" s="6" r="I1155">
        <v>155</v>
      </c>
      <c t="s" s="6" r="L1155">
        <v>156</v>
      </c>
      <c t="s" s="6" r="M1155">
        <v>5513</v>
      </c>
      <c s="6" r="N1155">
        <v>1</v>
      </c>
      <c s="6" r="O1155">
        <v>0</v>
      </c>
      <c t="s" s="6" r="R1155">
        <v>8446</v>
      </c>
      <c t="s" s="6" r="S1155">
        <v>8447</v>
      </c>
      <c t="s" s="6" r="T1155">
        <v>7122</v>
      </c>
      <c t="s" s="6" r="U1155">
        <v>8448</v>
      </c>
      <c s="6" r="V1155">
        <v>1</v>
      </c>
      <c s="6" r="W1155">
        <v>1</v>
      </c>
      <c s="6" r="X1155">
        <v>1</v>
      </c>
      <c s="6" r="Y1155">
        <v>0</v>
      </c>
      <c s="6" r="Z1155">
        <v>0</v>
      </c>
      <c s="6" r="AA1155">
        <v>3</v>
      </c>
      <c s="6" r="AB1155">
        <v>3</v>
      </c>
      <c t="s" s="6" r="AC1155">
        <v>92</v>
      </c>
      <c t="s" s="6" r="AD1155">
        <v>92</v>
      </c>
      <c t="s" s="6" r="AE1155">
        <v>92</v>
      </c>
      <c t="s" s="6" r="AF1155">
        <v>92</v>
      </c>
      <c t="s" s="6" r="AG1155">
        <v>92</v>
      </c>
      <c s="6" r="AH1155">
        <v>3</v>
      </c>
      <c t="s" s="6" r="AI1155">
        <v>92</v>
      </c>
      <c t="s" s="6" r="AJ1155">
        <v>92</v>
      </c>
      <c t="s" s="6" r="AK1155">
        <v>92</v>
      </c>
      <c t="s" s="6" r="AL1155">
        <v>92</v>
      </c>
      <c t="s" s="6" r="AM1155">
        <v>92</v>
      </c>
      <c s="6" r="AN1155">
        <v>3</v>
      </c>
      <c s="6" r="AP1155">
        <v>3</v>
      </c>
      <c t="s" s="6" r="AR1155">
        <v>8449</v>
      </c>
      <c s="6" r="AS1155">
        <v>0</v>
      </c>
      <c s="6" r="AT1155">
        <v>0</v>
      </c>
      <c s="6" r="AU1155">
        <v>0</v>
      </c>
      <c s="6" r="AV1155">
        <v>0</v>
      </c>
      <c s="6" r="AW1155">
        <v>0</v>
      </c>
      <c s="6" r="AX1155">
        <v>0</v>
      </c>
      <c s="6" r="AY1155">
        <v>0</v>
      </c>
      <c s="6" r="AZ1155">
        <v>0</v>
      </c>
      <c s="6" r="BA1155">
        <v>0</v>
      </c>
      <c s="6" r="BB1155">
        <v>0</v>
      </c>
      <c s="6" r="BC1155">
        <v>0</v>
      </c>
      <c s="6" r="BD1155">
        <v>0</v>
      </c>
      <c s="6" r="BE1155">
        <v>0</v>
      </c>
      <c s="6" r="BF1155">
        <v>0</v>
      </c>
      <c s="6" r="BG1155">
        <v>0</v>
      </c>
      <c s="6" r="BH1155">
        <v>0</v>
      </c>
      <c s="6" r="BI1155">
        <v>0</v>
      </c>
      <c s="6" r="BJ1155">
        <v>0</v>
      </c>
      <c s="6" r="BK1155">
        <v>0</v>
      </c>
      <c s="6" r="BL1155">
        <v>0</v>
      </c>
      <c s="6" r="BM1155">
        <v>0</v>
      </c>
      <c s="6" r="BN1155">
        <v>0</v>
      </c>
      <c s="6" r="BO1155">
        <v>0</v>
      </c>
      <c s="6" r="BP1155">
        <v>0</v>
      </c>
      <c s="6" r="BQ1155">
        <v>0</v>
      </c>
      <c t="str" s="6" r="BR1155">
        <f>HYPERLINK("http://www.d20pfsrd.com/magic/all-spells/u/undead-anatomy-i","Undead Anatomy I")</f>
        <v>Undead Anatomy I</v>
      </c>
      <c s="6" r="BS1155">
        <v>1177</v>
      </c>
      <c t="s" s="6" r="BT1155">
        <v>92</v>
      </c>
      <c s="6" r="BY1155">
        <v>0</v>
      </c>
    </row>
    <row customHeight="1" r="1156" ht="14.25">
      <c t="s" s="6" r="A1156">
        <v>8450</v>
      </c>
      <c t="s" s="6" r="B1156">
        <v>131</v>
      </c>
      <c t="s" s="6" r="C1156">
        <v>152</v>
      </c>
      <c t="s" s="6" r="E1156">
        <v>7976</v>
      </c>
      <c t="s" s="6" r="F1156">
        <v>81</v>
      </c>
      <c t="s" s="6" r="G1156">
        <v>154</v>
      </c>
      <c s="6" r="H1156">
        <v>0</v>
      </c>
      <c t="s" s="6" r="I1156">
        <v>155</v>
      </c>
      <c t="s" s="6" r="L1156">
        <v>156</v>
      </c>
      <c t="s" s="6" r="M1156">
        <v>5513</v>
      </c>
      <c s="6" r="N1156">
        <v>1</v>
      </c>
      <c s="6" r="O1156">
        <v>0</v>
      </c>
      <c t="s" s="6" r="R1156">
        <v>8451</v>
      </c>
      <c t="s" s="6" r="S1156">
        <v>8452</v>
      </c>
      <c t="s" s="6" r="T1156">
        <v>7122</v>
      </c>
      <c t="s" s="6" r="U1156">
        <v>8453</v>
      </c>
      <c s="6" r="V1156">
        <v>1</v>
      </c>
      <c s="6" r="W1156">
        <v>1</v>
      </c>
      <c s="6" r="X1156">
        <v>1</v>
      </c>
      <c s="6" r="Y1156">
        <v>0</v>
      </c>
      <c s="6" r="Z1156">
        <v>0</v>
      </c>
      <c s="6" r="AA1156">
        <v>5</v>
      </c>
      <c s="6" r="AB1156">
        <v>5</v>
      </c>
      <c t="s" s="6" r="AC1156">
        <v>92</v>
      </c>
      <c t="s" s="6" r="AD1156">
        <v>92</v>
      </c>
      <c t="s" s="6" r="AE1156">
        <v>92</v>
      </c>
      <c t="s" s="6" r="AF1156">
        <v>92</v>
      </c>
      <c t="s" s="6" r="AG1156">
        <v>92</v>
      </c>
      <c s="6" r="AH1156">
        <v>5</v>
      </c>
      <c t="s" s="6" r="AI1156">
        <v>92</v>
      </c>
      <c t="s" s="6" r="AJ1156">
        <v>92</v>
      </c>
      <c t="s" s="6" r="AK1156">
        <v>92</v>
      </c>
      <c t="s" s="6" r="AL1156">
        <v>92</v>
      </c>
      <c t="s" s="6" r="AM1156">
        <v>92</v>
      </c>
      <c s="6" r="AN1156">
        <v>5</v>
      </c>
      <c s="6" r="AP1156">
        <v>5</v>
      </c>
      <c t="s" s="6" r="AR1156">
        <v>8454</v>
      </c>
      <c s="6" r="AS1156">
        <v>0</v>
      </c>
      <c s="6" r="AT1156">
        <v>0</v>
      </c>
      <c s="6" r="AU1156">
        <v>0</v>
      </c>
      <c s="6" r="AV1156">
        <v>0</v>
      </c>
      <c s="6" r="AW1156">
        <v>0</v>
      </c>
      <c s="6" r="AX1156">
        <v>0</v>
      </c>
      <c s="6" r="AY1156">
        <v>0</v>
      </c>
      <c s="6" r="AZ1156">
        <v>0</v>
      </c>
      <c s="6" r="BA1156">
        <v>0</v>
      </c>
      <c s="6" r="BB1156">
        <v>0</v>
      </c>
      <c s="6" r="BC1156">
        <v>0</v>
      </c>
      <c s="6" r="BD1156">
        <v>0</v>
      </c>
      <c s="6" r="BE1156">
        <v>0</v>
      </c>
      <c s="6" r="BF1156">
        <v>0</v>
      </c>
      <c s="6" r="BG1156">
        <v>0</v>
      </c>
      <c s="6" r="BH1156">
        <v>0</v>
      </c>
      <c s="6" r="BI1156">
        <v>0</v>
      </c>
      <c s="6" r="BJ1156">
        <v>0</v>
      </c>
      <c s="6" r="BK1156">
        <v>0</v>
      </c>
      <c s="6" r="BL1156">
        <v>0</v>
      </c>
      <c s="6" r="BM1156">
        <v>0</v>
      </c>
      <c s="6" r="BN1156">
        <v>0</v>
      </c>
      <c s="6" r="BO1156">
        <v>0</v>
      </c>
      <c s="6" r="BP1156">
        <v>0</v>
      </c>
      <c s="6" r="BQ1156">
        <v>0</v>
      </c>
      <c t="str" s="6" r="BR1156">
        <f>HYPERLINK("http://www.d20pfsrd.com/magic/all-spells/u/undead-anatomy-i#TOC-Undead-Anatomy-II","Undead Anatomy II")</f>
        <v>Undead Anatomy II</v>
      </c>
      <c s="6" r="BS1156">
        <v>1178</v>
      </c>
      <c t="s" s="6" r="BT1156">
        <v>92</v>
      </c>
      <c s="6" r="BY1156">
        <v>0</v>
      </c>
    </row>
    <row customHeight="1" r="1157" ht="14.25">
      <c t="s" s="6" r="A1157">
        <v>8455</v>
      </c>
      <c t="s" s="6" r="B1157">
        <v>131</v>
      </c>
      <c t="s" s="6" r="C1157">
        <v>152</v>
      </c>
      <c t="s" s="6" r="E1157">
        <v>7982</v>
      </c>
      <c t="s" s="6" r="F1157">
        <v>81</v>
      </c>
      <c t="s" s="6" r="G1157">
        <v>154</v>
      </c>
      <c s="6" r="H1157">
        <v>0</v>
      </c>
      <c t="s" s="6" r="I1157">
        <v>155</v>
      </c>
      <c t="s" s="6" r="L1157">
        <v>156</v>
      </c>
      <c t="s" s="6" r="M1157">
        <v>5513</v>
      </c>
      <c s="6" r="N1157">
        <v>1</v>
      </c>
      <c s="6" r="O1157">
        <v>0</v>
      </c>
      <c t="s" s="6" r="R1157">
        <v>8456</v>
      </c>
      <c t="s" s="6" r="S1157">
        <v>8457</v>
      </c>
      <c t="s" s="6" r="T1157">
        <v>7122</v>
      </c>
      <c t="s" s="6" r="U1157">
        <v>8458</v>
      </c>
      <c s="6" r="V1157">
        <v>1</v>
      </c>
      <c s="6" r="W1157">
        <v>1</v>
      </c>
      <c s="6" r="X1157">
        <v>1</v>
      </c>
      <c s="6" r="Y1157">
        <v>0</v>
      </c>
      <c s="6" r="Z1157">
        <v>0</v>
      </c>
      <c s="6" r="AA1157">
        <v>6</v>
      </c>
      <c s="6" r="AB1157">
        <v>6</v>
      </c>
      <c t="s" s="6" r="AC1157">
        <v>92</v>
      </c>
      <c t="s" s="6" r="AD1157">
        <v>92</v>
      </c>
      <c t="s" s="6" r="AE1157">
        <v>92</v>
      </c>
      <c t="s" s="6" r="AF1157">
        <v>92</v>
      </c>
      <c t="s" s="6" r="AG1157">
        <v>92</v>
      </c>
      <c s="6" r="AH1157">
        <v>6</v>
      </c>
      <c t="s" s="6" r="AI1157">
        <v>92</v>
      </c>
      <c t="s" s="6" r="AJ1157">
        <v>92</v>
      </c>
      <c t="s" s="6" r="AK1157">
        <v>92</v>
      </c>
      <c t="s" s="6" r="AL1157">
        <v>92</v>
      </c>
      <c t="s" s="6" r="AM1157">
        <v>92</v>
      </c>
      <c s="6" r="AN1157">
        <v>6</v>
      </c>
      <c s="6" r="AP1157">
        <v>6</v>
      </c>
      <c t="s" s="6" r="AR1157">
        <v>8459</v>
      </c>
      <c s="6" r="AS1157">
        <v>0</v>
      </c>
      <c s="6" r="AT1157">
        <v>0</v>
      </c>
      <c s="6" r="AU1157">
        <v>0</v>
      </c>
      <c s="6" r="AV1157">
        <v>0</v>
      </c>
      <c s="6" r="AW1157">
        <v>0</v>
      </c>
      <c s="6" r="AX1157">
        <v>0</v>
      </c>
      <c s="6" r="AY1157">
        <v>0</v>
      </c>
      <c s="6" r="AZ1157">
        <v>0</v>
      </c>
      <c s="6" r="BA1157">
        <v>0</v>
      </c>
      <c s="6" r="BB1157">
        <v>0</v>
      </c>
      <c s="6" r="BC1157">
        <v>0</v>
      </c>
      <c s="6" r="BD1157">
        <v>0</v>
      </c>
      <c s="6" r="BE1157">
        <v>0</v>
      </c>
      <c s="6" r="BF1157">
        <v>0</v>
      </c>
      <c s="6" r="BG1157">
        <v>0</v>
      </c>
      <c s="6" r="BH1157">
        <v>0</v>
      </c>
      <c s="6" r="BI1157">
        <v>0</v>
      </c>
      <c s="6" r="BJ1157">
        <v>0</v>
      </c>
      <c s="6" r="BK1157">
        <v>0</v>
      </c>
      <c s="6" r="BL1157">
        <v>0</v>
      </c>
      <c s="6" r="BM1157">
        <v>0</v>
      </c>
      <c s="6" r="BN1157">
        <v>0</v>
      </c>
      <c s="6" r="BO1157">
        <v>0</v>
      </c>
      <c s="6" r="BP1157">
        <v>0</v>
      </c>
      <c s="6" r="BQ1157">
        <v>0</v>
      </c>
      <c t="str" s="6" r="BR1157">
        <f>HYPERLINK("http://www.d20pfsrd.com/magic/all-spells/u/undead-anatomy-i#TOC-Undead-Anatomy-III","Undead Anatomy III")</f>
        <v>Undead Anatomy III</v>
      </c>
      <c s="6" r="BS1157">
        <v>1179</v>
      </c>
      <c t="s" s="6" r="BT1157">
        <v>92</v>
      </c>
      <c s="6" r="BY1157">
        <v>0</v>
      </c>
    </row>
    <row customHeight="1" r="1158" ht="14.25">
      <c t="s" s="6" r="A1158">
        <v>8460</v>
      </c>
      <c t="s" s="6" r="B1158">
        <v>131</v>
      </c>
      <c t="s" s="6" r="C1158">
        <v>152</v>
      </c>
      <c t="s" s="6" r="E1158">
        <v>794</v>
      </c>
      <c t="s" s="6" r="F1158">
        <v>81</v>
      </c>
      <c t="s" s="6" r="G1158">
        <v>154</v>
      </c>
      <c s="6" r="H1158">
        <v>0</v>
      </c>
      <c t="s" s="6" r="I1158">
        <v>155</v>
      </c>
      <c t="s" s="6" r="L1158">
        <v>156</v>
      </c>
      <c t="s" s="6" r="M1158">
        <v>8461</v>
      </c>
      <c s="6" r="N1158">
        <v>1</v>
      </c>
      <c s="6" r="O1158">
        <v>0</v>
      </c>
      <c t="s" s="6" r="R1158">
        <v>8462</v>
      </c>
      <c t="s" s="6" r="S1158">
        <v>8463</v>
      </c>
      <c t="s" s="6" r="T1158">
        <v>7122</v>
      </c>
      <c t="s" s="6" r="U1158">
        <v>8464</v>
      </c>
      <c s="6" r="V1158">
        <v>1</v>
      </c>
      <c s="6" r="W1158">
        <v>1</v>
      </c>
      <c s="6" r="X1158">
        <v>1</v>
      </c>
      <c s="6" r="Y1158">
        <v>0</v>
      </c>
      <c s="6" r="Z1158">
        <v>0</v>
      </c>
      <c s="6" r="AA1158">
        <v>8</v>
      </c>
      <c s="6" r="AB1158">
        <v>8</v>
      </c>
      <c t="s" s="6" r="AC1158">
        <v>92</v>
      </c>
      <c t="s" s="6" r="AD1158">
        <v>92</v>
      </c>
      <c t="s" s="6" r="AE1158">
        <v>92</v>
      </c>
      <c t="s" s="6" r="AF1158">
        <v>92</v>
      </c>
      <c t="s" s="6" r="AG1158">
        <v>92</v>
      </c>
      <c t="s" s="6" r="AH1158">
        <v>92</v>
      </c>
      <c t="s" s="6" r="AI1158">
        <v>92</v>
      </c>
      <c t="s" s="6" r="AJ1158">
        <v>92</v>
      </c>
      <c t="s" s="6" r="AK1158">
        <v>92</v>
      </c>
      <c t="s" s="6" r="AL1158">
        <v>92</v>
      </c>
      <c t="s" s="6" r="AM1158">
        <v>92</v>
      </c>
      <c t="s" s="6" r="AN1158">
        <v>92</v>
      </c>
      <c s="6" r="AP1158">
        <v>8</v>
      </c>
      <c t="s" s="6" r="AR1158">
        <v>8465</v>
      </c>
      <c s="6" r="AS1158">
        <v>0</v>
      </c>
      <c s="6" r="AT1158">
        <v>0</v>
      </c>
      <c s="6" r="AU1158">
        <v>0</v>
      </c>
      <c s="6" r="AV1158">
        <v>0</v>
      </c>
      <c s="6" r="AW1158">
        <v>0</v>
      </c>
      <c s="6" r="AX1158">
        <v>0</v>
      </c>
      <c s="6" r="AY1158">
        <v>0</v>
      </c>
      <c s="6" r="AZ1158">
        <v>0</v>
      </c>
      <c s="6" r="BA1158">
        <v>0</v>
      </c>
      <c s="6" r="BB1158">
        <v>0</v>
      </c>
      <c s="6" r="BC1158">
        <v>0</v>
      </c>
      <c s="6" r="BD1158">
        <v>0</v>
      </c>
      <c s="6" r="BE1158">
        <v>0</v>
      </c>
      <c s="6" r="BF1158">
        <v>0</v>
      </c>
      <c s="6" r="BG1158">
        <v>0</v>
      </c>
      <c s="6" r="BH1158">
        <v>0</v>
      </c>
      <c s="6" r="BI1158">
        <v>0</v>
      </c>
      <c s="6" r="BJ1158">
        <v>0</v>
      </c>
      <c s="6" r="BK1158">
        <v>0</v>
      </c>
      <c s="6" r="BL1158">
        <v>0</v>
      </c>
      <c s="6" r="BM1158">
        <v>0</v>
      </c>
      <c s="6" r="BN1158">
        <v>0</v>
      </c>
      <c s="6" r="BO1158">
        <v>0</v>
      </c>
      <c s="6" r="BP1158">
        <v>0</v>
      </c>
      <c s="6" r="BQ1158">
        <v>0</v>
      </c>
      <c t="str" s="6" r="BR1158">
        <f>HYPERLINK("http://www.d20pfsrd.com/magic/all-spells/u/undead-anatomy-i#TOC-Undead-Anatomy-IV","Undead Anatomy IV")</f>
        <v>Undead Anatomy IV</v>
      </c>
      <c s="6" r="BS1158">
        <v>1180</v>
      </c>
      <c t="s" s="6" r="BT1158">
        <v>92</v>
      </c>
      <c s="6" r="BY1158">
        <v>0</v>
      </c>
    </row>
    <row customHeight="1" r="1159" ht="14.25">
      <c t="s" s="6" r="A1159">
        <v>8466</v>
      </c>
      <c t="s" s="6" r="B1159">
        <v>131</v>
      </c>
      <c t="s" s="6" r="D1159">
        <v>8467</v>
      </c>
      <c t="s" s="6" r="E1159">
        <v>4979</v>
      </c>
      <c t="s" s="6" r="F1159">
        <v>81</v>
      </c>
      <c t="s" s="6" r="G1159">
        <v>8468</v>
      </c>
      <c s="6" r="H1159">
        <v>1</v>
      </c>
      <c t="s" s="6" r="I1159">
        <v>97</v>
      </c>
      <c t="s" s="6" r="K1159">
        <v>7756</v>
      </c>
      <c t="s" s="6" r="M1159">
        <v>7757</v>
      </c>
      <c s="6" r="N1159">
        <v>0</v>
      </c>
      <c s="6" r="O1159">
        <v>0</v>
      </c>
      <c t="s" s="6" r="P1159">
        <v>7758</v>
      </c>
      <c t="s" s="6" r="Q1159">
        <v>188</v>
      </c>
      <c t="s" s="6" r="R1159">
        <v>8469</v>
      </c>
      <c t="s" s="6" r="S1159">
        <v>8470</v>
      </c>
      <c t="s" s="6" r="T1159">
        <v>7122</v>
      </c>
      <c t="s" s="6" r="U1159">
        <v>8471</v>
      </c>
      <c s="6" r="V1159">
        <v>1</v>
      </c>
      <c s="6" r="W1159">
        <v>1</v>
      </c>
      <c s="6" r="X1159">
        <v>1</v>
      </c>
      <c s="6" r="Y1159">
        <v>0</v>
      </c>
      <c s="6" r="Z1159">
        <v>0</v>
      </c>
      <c t="s" s="6" r="AA1159">
        <v>92</v>
      </c>
      <c t="s" s="6" r="AB1159">
        <v>92</v>
      </c>
      <c s="6" r="AC1159">
        <v>5</v>
      </c>
      <c t="s" s="6" r="AD1159">
        <v>92</v>
      </c>
      <c t="s" s="6" r="AE1159">
        <v>92</v>
      </c>
      <c t="s" s="6" r="AF1159">
        <v>92</v>
      </c>
      <c t="s" s="6" r="AG1159">
        <v>92</v>
      </c>
      <c t="s" s="6" r="AH1159">
        <v>92</v>
      </c>
      <c t="s" s="6" r="AI1159">
        <v>92</v>
      </c>
      <c t="s" s="6" r="AJ1159">
        <v>92</v>
      </c>
      <c t="s" s="6" r="AK1159">
        <v>92</v>
      </c>
      <c s="6" r="AL1159">
        <v>5</v>
      </c>
      <c t="s" s="6" r="AM1159">
        <v>92</v>
      </c>
      <c t="s" s="6" r="AN1159">
        <v>92</v>
      </c>
      <c s="6" r="AP1159">
        <v>5</v>
      </c>
      <c t="s" s="6" r="AR1159">
        <v>8472</v>
      </c>
      <c s="6" r="AS1159">
        <v>0</v>
      </c>
      <c s="6" r="AT1159">
        <v>0</v>
      </c>
      <c s="6" r="AU1159">
        <v>0</v>
      </c>
      <c s="6" r="AV1159">
        <v>1</v>
      </c>
      <c s="6" r="AW1159">
        <v>0</v>
      </c>
      <c s="6" r="AX1159">
        <v>0</v>
      </c>
      <c s="6" r="AY1159">
        <v>0</v>
      </c>
      <c s="6" r="AZ1159">
        <v>0</v>
      </c>
      <c s="6" r="BA1159">
        <v>0</v>
      </c>
      <c s="6" r="BB1159">
        <v>0</v>
      </c>
      <c s="6" r="BC1159">
        <v>0</v>
      </c>
      <c s="6" r="BD1159">
        <v>1</v>
      </c>
      <c s="6" r="BE1159">
        <v>0</v>
      </c>
      <c s="6" r="BF1159">
        <v>0</v>
      </c>
      <c s="6" r="BG1159">
        <v>0</v>
      </c>
      <c s="6" r="BH1159">
        <v>0</v>
      </c>
      <c s="6" r="BI1159">
        <v>0</v>
      </c>
      <c s="6" r="BJ1159">
        <v>0</v>
      </c>
      <c s="6" r="BK1159">
        <v>0</v>
      </c>
      <c s="6" r="BL1159">
        <v>0</v>
      </c>
      <c s="6" r="BM1159">
        <v>0</v>
      </c>
      <c s="6" r="BN1159">
        <v>0</v>
      </c>
      <c s="6" r="BO1159">
        <v>0</v>
      </c>
      <c s="6" r="BP1159">
        <v>0</v>
      </c>
      <c s="6" r="BQ1159">
        <v>1</v>
      </c>
      <c t="str" s="6" r="BR1159">
        <f>HYPERLINK("http://www.d20pfsrd.com/magic/all-spells/u/unholy-ice","Unholy Ice")</f>
        <v>Unholy Ice</v>
      </c>
      <c s="6" r="BS1159">
        <v>1181</v>
      </c>
      <c s="6" r="BT1159">
        <v>25</v>
      </c>
      <c s="6" r="BY1159">
        <v>0</v>
      </c>
    </row>
    <row customHeight="1" r="1160" ht="14.25">
      <c t="s" s="6" r="A1160">
        <v>8473</v>
      </c>
      <c t="s" s="6" r="B1160">
        <v>493</v>
      </c>
      <c t="s" s="6" r="D1160">
        <v>55</v>
      </c>
      <c t="s" s="6" r="E1160">
        <v>8474</v>
      </c>
      <c t="s" s="6" r="F1160">
        <v>81</v>
      </c>
      <c t="s" s="6" r="G1160">
        <v>106</v>
      </c>
      <c s="6" r="H1160">
        <v>0</v>
      </c>
      <c t="s" s="6" r="I1160">
        <v>120</v>
      </c>
      <c t="s" s="6" r="L1160">
        <v>2368</v>
      </c>
      <c t="s" s="6" r="M1160">
        <v>99</v>
      </c>
      <c s="6" r="N1160">
        <v>0</v>
      </c>
      <c s="6" r="O1160">
        <v>0</v>
      </c>
      <c t="s" s="6" r="P1160">
        <v>86</v>
      </c>
      <c t="s" s="6" r="Q1160">
        <v>87</v>
      </c>
      <c t="s" s="6" r="R1160">
        <v>8475</v>
      </c>
      <c t="s" s="6" r="S1160">
        <v>8476</v>
      </c>
      <c t="s" s="6" r="T1160">
        <v>7122</v>
      </c>
      <c t="s" s="6" r="U1160">
        <v>8477</v>
      </c>
      <c s="6" r="V1160">
        <v>1</v>
      </c>
      <c s="6" r="W1160">
        <v>1</v>
      </c>
      <c s="6" r="X1160">
        <v>0</v>
      </c>
      <c s="6" r="Y1160">
        <v>0</v>
      </c>
      <c s="6" r="Z1160">
        <v>0</v>
      </c>
      <c t="s" s="6" r="AA1160">
        <v>92</v>
      </c>
      <c t="s" s="6" r="AB1160">
        <v>92</v>
      </c>
      <c t="s" s="6" r="AC1160">
        <v>92</v>
      </c>
      <c t="s" s="6" r="AD1160">
        <v>92</v>
      </c>
      <c t="s" s="6" r="AE1160">
        <v>92</v>
      </c>
      <c t="s" s="6" r="AF1160">
        <v>92</v>
      </c>
      <c t="s" s="6" r="AG1160">
        <v>92</v>
      </c>
      <c t="s" s="6" r="AH1160">
        <v>92</v>
      </c>
      <c t="s" s="6" r="AI1160">
        <v>92</v>
      </c>
      <c t="s" s="6" r="AJ1160">
        <v>92</v>
      </c>
      <c t="s" s="6" r="AK1160">
        <v>92</v>
      </c>
      <c t="s" s="6" r="AL1160">
        <v>92</v>
      </c>
      <c s="6" r="AM1160">
        <v>4</v>
      </c>
      <c t="s" s="6" r="AN1160">
        <v>92</v>
      </c>
      <c s="6" r="AP1160">
        <v>4</v>
      </c>
      <c t="s" s="6" r="AR1160">
        <v>8478</v>
      </c>
      <c s="6" r="AS1160">
        <v>0</v>
      </c>
      <c s="6" r="AT1160">
        <v>0</v>
      </c>
      <c s="6" r="AU1160">
        <v>0</v>
      </c>
      <c s="6" r="AV1160">
        <v>0</v>
      </c>
      <c s="6" r="AW1160">
        <v>0</v>
      </c>
      <c s="6" r="AX1160">
        <v>0</v>
      </c>
      <c s="6" r="AY1160">
        <v>0</v>
      </c>
      <c s="6" r="AZ1160">
        <v>0</v>
      </c>
      <c s="6" r="BA1160">
        <v>0</v>
      </c>
      <c s="6" r="BB1160">
        <v>0</v>
      </c>
      <c s="6" r="BC1160">
        <v>0</v>
      </c>
      <c s="6" r="BD1160">
        <v>1</v>
      </c>
      <c s="6" r="BE1160">
        <v>0</v>
      </c>
      <c s="6" r="BF1160">
        <v>0</v>
      </c>
      <c s="6" r="BG1160">
        <v>0</v>
      </c>
      <c s="6" r="BH1160">
        <v>0</v>
      </c>
      <c s="6" r="BI1160">
        <v>0</v>
      </c>
      <c s="6" r="BJ1160">
        <v>0</v>
      </c>
      <c s="6" r="BK1160">
        <v>0</v>
      </c>
      <c s="6" r="BL1160">
        <v>0</v>
      </c>
      <c s="6" r="BM1160">
        <v>0</v>
      </c>
      <c s="6" r="BN1160">
        <v>0</v>
      </c>
      <c s="6" r="BO1160">
        <v>0</v>
      </c>
      <c s="6" r="BP1160">
        <v>0</v>
      </c>
      <c s="6" r="BQ1160">
        <v>0</v>
      </c>
      <c t="str" s="6" r="BR1160">
        <f>HYPERLINK("http://www.d20pfsrd.com/magic/all-spells/u/unholy-sword","Unholy Sword")</f>
        <v>Unholy Sword</v>
      </c>
      <c s="6" r="BS1160">
        <v>1182</v>
      </c>
      <c t="s" s="6" r="BT1160">
        <v>92</v>
      </c>
      <c s="6" r="BY1160">
        <v>0</v>
      </c>
    </row>
    <row customHeight="1" r="1161" ht="14.25">
      <c t="s" s="6" r="A1161">
        <v>8479</v>
      </c>
      <c t="s" s="6" r="B1161">
        <v>115</v>
      </c>
      <c t="s" s="6" r="C1161">
        <v>116</v>
      </c>
      <c t="s" s="6" r="D1161">
        <v>7379</v>
      </c>
      <c t="s" s="6" r="E1161">
        <v>8480</v>
      </c>
      <c t="s" s="6" r="F1161">
        <v>81</v>
      </c>
      <c t="s" s="6" r="G1161">
        <v>106</v>
      </c>
      <c s="6" r="H1161">
        <v>0</v>
      </c>
      <c t="s" s="6" r="I1161">
        <v>107</v>
      </c>
      <c t="s" s="6" r="L1161">
        <v>1235</v>
      </c>
      <c t="s" s="6" r="M1161">
        <v>272</v>
      </c>
      <c s="6" r="N1161">
        <v>0</v>
      </c>
      <c s="6" r="O1161">
        <v>0</v>
      </c>
      <c t="s" s="6" r="P1161">
        <v>221</v>
      </c>
      <c t="s" s="6" r="Q1161">
        <v>188</v>
      </c>
      <c t="s" s="6" r="R1161">
        <v>8481</v>
      </c>
      <c t="s" s="6" r="S1161">
        <v>8482</v>
      </c>
      <c t="s" s="6" r="T1161">
        <v>7122</v>
      </c>
      <c t="s" s="6" r="U1161">
        <v>8483</v>
      </c>
      <c s="6" r="V1161">
        <v>1</v>
      </c>
      <c s="6" r="W1161">
        <v>1</v>
      </c>
      <c s="6" r="X1161">
        <v>0</v>
      </c>
      <c s="6" r="Y1161">
        <v>0</v>
      </c>
      <c s="6" r="Z1161">
        <v>0</v>
      </c>
      <c s="6" r="AA1161">
        <v>2</v>
      </c>
      <c s="6" r="AB1161">
        <v>2</v>
      </c>
      <c t="s" s="6" r="AC1161">
        <v>92</v>
      </c>
      <c t="s" s="6" r="AD1161">
        <v>92</v>
      </c>
      <c t="s" s="6" r="AE1161">
        <v>92</v>
      </c>
      <c s="6" r="AF1161">
        <v>1</v>
      </c>
      <c t="s" s="6" r="AG1161">
        <v>92</v>
      </c>
      <c t="s" s="6" r="AH1161">
        <v>92</v>
      </c>
      <c t="s" s="6" r="AI1161">
        <v>92</v>
      </c>
      <c s="6" r="AJ1161">
        <v>2</v>
      </c>
      <c t="s" s="6" r="AK1161">
        <v>92</v>
      </c>
      <c t="s" s="6" r="AL1161">
        <v>92</v>
      </c>
      <c t="s" s="6" r="AM1161">
        <v>92</v>
      </c>
      <c t="s" s="6" r="AN1161">
        <v>92</v>
      </c>
      <c s="6" r="AP1161">
        <v>2</v>
      </c>
      <c t="s" s="6" r="AR1161">
        <v>8484</v>
      </c>
      <c s="6" r="AS1161">
        <v>0</v>
      </c>
      <c s="6" r="AT1161">
        <v>0</v>
      </c>
      <c s="6" r="AU1161">
        <v>0</v>
      </c>
      <c s="6" r="AV1161">
        <v>0</v>
      </c>
      <c s="6" r="AW1161">
        <v>0</v>
      </c>
      <c s="6" r="AX1161">
        <v>0</v>
      </c>
      <c s="6" r="AY1161">
        <v>0</v>
      </c>
      <c s="6" r="AZ1161">
        <v>0</v>
      </c>
      <c s="6" r="BA1161">
        <v>0</v>
      </c>
      <c s="6" r="BB1161">
        <v>0</v>
      </c>
      <c s="6" r="BC1161">
        <v>1</v>
      </c>
      <c s="6" r="BD1161">
        <v>0</v>
      </c>
      <c s="6" r="BE1161">
        <v>0</v>
      </c>
      <c s="6" r="BF1161">
        <v>0</v>
      </c>
      <c s="6" r="BG1161">
        <v>0</v>
      </c>
      <c s="6" r="BH1161">
        <v>0</v>
      </c>
      <c s="6" r="BI1161">
        <v>0</v>
      </c>
      <c s="6" r="BJ1161">
        <v>0</v>
      </c>
      <c s="6" r="BK1161">
        <v>0</v>
      </c>
      <c s="6" r="BL1161">
        <v>1</v>
      </c>
      <c s="6" r="BM1161">
        <v>0</v>
      </c>
      <c s="6" r="BN1161">
        <v>0</v>
      </c>
      <c s="6" r="BO1161">
        <v>0</v>
      </c>
      <c s="6" r="BP1161">
        <v>0</v>
      </c>
      <c s="6" r="BQ1161">
        <v>0</v>
      </c>
      <c t="str" s="6" r="BR1161">
        <f>HYPERLINK("http://www.d20pfsrd.com/magic/all-spells/u/unnatural-lust","Unnatural Lust")</f>
        <v>Unnatural Lust</v>
      </c>
      <c s="6" r="BS1161">
        <v>1183</v>
      </c>
      <c t="s" s="6" r="BT1161">
        <v>92</v>
      </c>
      <c t="s" s="6" r="BV1161">
        <v>1242</v>
      </c>
      <c s="6" r="BY1161">
        <v>0</v>
      </c>
    </row>
    <row customHeight="1" r="1162" ht="14.25">
      <c t="s" s="6" r="A1162">
        <v>8485</v>
      </c>
      <c t="s" s="6" r="B1162">
        <v>115</v>
      </c>
      <c t="s" s="6" r="C1162">
        <v>116</v>
      </c>
      <c t="s" s="6" r="D1162">
        <v>7379</v>
      </c>
      <c t="s" s="6" r="E1162">
        <v>730</v>
      </c>
      <c t="s" s="6" r="F1162">
        <v>81</v>
      </c>
      <c t="s" s="6" r="G1162">
        <v>106</v>
      </c>
      <c s="6" r="H1162">
        <v>0</v>
      </c>
      <c t="s" s="6" r="I1162">
        <v>107</v>
      </c>
      <c t="s" s="6" r="L1162">
        <v>1235</v>
      </c>
      <c t="s" s="6" r="M1162">
        <v>2718</v>
      </c>
      <c s="6" r="N1162">
        <v>0</v>
      </c>
      <c s="6" r="O1162">
        <v>0</v>
      </c>
      <c t="s" s="6" r="P1162">
        <v>221</v>
      </c>
      <c t="s" s="6" r="Q1162">
        <v>188</v>
      </c>
      <c t="s" s="6" r="R1162">
        <v>8486</v>
      </c>
      <c t="s" s="6" r="S1162">
        <v>8487</v>
      </c>
      <c t="s" s="6" r="T1162">
        <v>7122</v>
      </c>
      <c t="s" s="6" r="U1162">
        <v>8488</v>
      </c>
      <c s="6" r="V1162">
        <v>1</v>
      </c>
      <c s="6" r="W1162">
        <v>1</v>
      </c>
      <c s="6" r="X1162">
        <v>0</v>
      </c>
      <c s="6" r="Y1162">
        <v>0</v>
      </c>
      <c s="6" r="Z1162">
        <v>0</v>
      </c>
      <c s="6" r="AA1162">
        <v>1</v>
      </c>
      <c s="6" r="AB1162">
        <v>1</v>
      </c>
      <c t="s" s="6" r="AC1162">
        <v>92</v>
      </c>
      <c t="s" s="6" r="AD1162">
        <v>92</v>
      </c>
      <c t="s" s="6" r="AE1162">
        <v>92</v>
      </c>
      <c s="6" r="AF1162">
        <v>1</v>
      </c>
      <c t="s" s="6" r="AG1162">
        <v>92</v>
      </c>
      <c t="s" s="6" r="AH1162">
        <v>92</v>
      </c>
      <c t="s" s="6" r="AI1162">
        <v>92</v>
      </c>
      <c s="6" r="AJ1162">
        <v>1</v>
      </c>
      <c t="s" s="6" r="AK1162">
        <v>92</v>
      </c>
      <c t="s" s="6" r="AL1162">
        <v>92</v>
      </c>
      <c t="s" s="6" r="AM1162">
        <v>92</v>
      </c>
      <c t="s" s="6" r="AN1162">
        <v>92</v>
      </c>
      <c s="6" r="AP1162">
        <v>1</v>
      </c>
      <c t="s" s="6" r="AR1162">
        <v>8489</v>
      </c>
      <c s="6" r="AS1162">
        <v>0</v>
      </c>
      <c s="6" r="AT1162">
        <v>0</v>
      </c>
      <c s="6" r="AU1162">
        <v>0</v>
      </c>
      <c s="6" r="AV1162">
        <v>0</v>
      </c>
      <c s="6" r="AW1162">
        <v>0</v>
      </c>
      <c s="6" r="AX1162">
        <v>0</v>
      </c>
      <c s="6" r="AY1162">
        <v>0</v>
      </c>
      <c s="6" r="AZ1162">
        <v>0</v>
      </c>
      <c s="6" r="BA1162">
        <v>0</v>
      </c>
      <c s="6" r="BB1162">
        <v>0</v>
      </c>
      <c s="6" r="BC1162">
        <v>1</v>
      </c>
      <c s="6" r="BD1162">
        <v>0</v>
      </c>
      <c s="6" r="BE1162">
        <v>0</v>
      </c>
      <c s="6" r="BF1162">
        <v>0</v>
      </c>
      <c s="6" r="BG1162">
        <v>0</v>
      </c>
      <c s="6" r="BH1162">
        <v>0</v>
      </c>
      <c s="6" r="BI1162">
        <v>0</v>
      </c>
      <c s="6" r="BJ1162">
        <v>0</v>
      </c>
      <c s="6" r="BK1162">
        <v>0</v>
      </c>
      <c s="6" r="BL1162">
        <v>1</v>
      </c>
      <c s="6" r="BM1162">
        <v>0</v>
      </c>
      <c s="6" r="BN1162">
        <v>0</v>
      </c>
      <c s="6" r="BO1162">
        <v>0</v>
      </c>
      <c s="6" r="BP1162">
        <v>0</v>
      </c>
      <c s="6" r="BQ1162">
        <v>0</v>
      </c>
      <c t="str" s="6" r="BR1162">
        <f>HYPERLINK("http://www.d20pfsrd.com/magic/all-spells/u/unprepared-combatant","Unprepared Combatant")</f>
        <v>Unprepared Combatant</v>
      </c>
      <c s="6" r="BS1162">
        <v>1184</v>
      </c>
      <c t="s" s="6" r="BT1162">
        <v>92</v>
      </c>
      <c s="6" r="BY1162">
        <v>0</v>
      </c>
    </row>
    <row customHeight="1" r="1163" ht="14.25">
      <c t="s" s="6" r="A1163">
        <v>8490</v>
      </c>
      <c t="s" s="6" r="B1163">
        <v>227</v>
      </c>
      <c t="s" s="6" r="D1163">
        <v>47</v>
      </c>
      <c t="s" s="6" r="E1163">
        <v>8491</v>
      </c>
      <c t="s" s="6" r="F1163">
        <v>81</v>
      </c>
      <c t="s" s="6" r="G1163">
        <v>1051</v>
      </c>
      <c s="6" r="H1163">
        <v>0</v>
      </c>
      <c t="s" s="6" r="I1163">
        <v>107</v>
      </c>
      <c t="s" s="6" r="L1163">
        <v>1235</v>
      </c>
      <c t="s" s="6" r="M1163">
        <v>6880</v>
      </c>
      <c s="6" r="N1163">
        <v>0</v>
      </c>
      <c s="6" r="O1163">
        <v>0</v>
      </c>
      <c t="s" s="6" r="P1163">
        <v>5439</v>
      </c>
      <c t="s" s="6" r="Q1163">
        <v>188</v>
      </c>
      <c t="s" s="6" r="R1163">
        <v>8492</v>
      </c>
      <c t="s" s="6" r="S1163">
        <v>8493</v>
      </c>
      <c t="s" s="6" r="T1163">
        <v>7122</v>
      </c>
      <c t="s" s="6" r="U1163">
        <v>8494</v>
      </c>
      <c s="6" r="V1163">
        <v>1</v>
      </c>
      <c s="6" r="W1163">
        <v>1</v>
      </c>
      <c s="6" r="X1163">
        <v>1</v>
      </c>
      <c s="6" r="Y1163">
        <v>0</v>
      </c>
      <c s="6" r="Z1163">
        <v>0</v>
      </c>
      <c s="6" r="AA1163">
        <v>2</v>
      </c>
      <c s="6" r="AB1163">
        <v>2</v>
      </c>
      <c t="s" s="6" r="AC1163">
        <v>92</v>
      </c>
      <c s="6" r="AD1163">
        <v>2</v>
      </c>
      <c t="s" s="6" r="AE1163">
        <v>92</v>
      </c>
      <c t="s" s="6" r="AF1163">
        <v>92</v>
      </c>
      <c t="s" s="6" r="AG1163">
        <v>92</v>
      </c>
      <c t="s" s="6" r="AH1163">
        <v>92</v>
      </c>
      <c t="s" s="6" r="AI1163">
        <v>92</v>
      </c>
      <c s="6" r="AJ1163">
        <v>2</v>
      </c>
      <c t="s" s="6" r="AK1163">
        <v>92</v>
      </c>
      <c t="s" s="6" r="AL1163">
        <v>92</v>
      </c>
      <c t="s" s="6" r="AM1163">
        <v>92</v>
      </c>
      <c t="s" s="6" r="AN1163">
        <v>92</v>
      </c>
      <c s="6" r="AP1163">
        <v>2</v>
      </c>
      <c t="s" s="6" r="AR1163">
        <v>8495</v>
      </c>
      <c s="6" r="AS1163">
        <v>0</v>
      </c>
      <c s="6" r="AT1163">
        <v>0</v>
      </c>
      <c s="6" r="AU1163">
        <v>0</v>
      </c>
      <c s="6" r="AV1163">
        <v>1</v>
      </c>
      <c s="6" r="AW1163">
        <v>0</v>
      </c>
      <c s="6" r="AX1163">
        <v>0</v>
      </c>
      <c s="6" r="AY1163">
        <v>0</v>
      </c>
      <c s="6" r="AZ1163">
        <v>0</v>
      </c>
      <c s="6" r="BA1163">
        <v>0</v>
      </c>
      <c s="6" r="BB1163">
        <v>0</v>
      </c>
      <c s="6" r="BC1163">
        <v>0</v>
      </c>
      <c s="6" r="BD1163">
        <v>0</v>
      </c>
      <c s="6" r="BE1163">
        <v>0</v>
      </c>
      <c s="6" r="BF1163">
        <v>0</v>
      </c>
      <c s="6" r="BG1163">
        <v>0</v>
      </c>
      <c s="6" r="BH1163">
        <v>0</v>
      </c>
      <c s="6" r="BI1163">
        <v>0</v>
      </c>
      <c s="6" r="BJ1163">
        <v>0</v>
      </c>
      <c s="6" r="BK1163">
        <v>0</v>
      </c>
      <c s="6" r="BL1163">
        <v>0</v>
      </c>
      <c s="6" r="BM1163">
        <v>0</v>
      </c>
      <c s="6" r="BN1163">
        <v>0</v>
      </c>
      <c s="6" r="BO1163">
        <v>0</v>
      </c>
      <c s="6" r="BP1163">
        <v>0</v>
      </c>
      <c s="6" r="BQ1163">
        <v>0</v>
      </c>
      <c t="str" s="6" r="BR1163">
        <f>HYPERLINK("http://www.d20pfsrd.com/magic/all-spells/u/unshakable-chill","Unshakable Chill")</f>
        <v>Unshakable Chill</v>
      </c>
      <c s="6" r="BS1163">
        <v>1185</v>
      </c>
      <c t="s" s="6" r="BT1163">
        <v>92</v>
      </c>
      <c t="s" s="6" r="BV1163">
        <v>903</v>
      </c>
      <c t="s" s="6" r="BW1163">
        <v>8496</v>
      </c>
      <c t="s" s="6" r="BX1163">
        <v>8497</v>
      </c>
      <c s="6" r="BY1163">
        <v>1</v>
      </c>
    </row>
    <row customHeight="1" r="1164" ht="14.25">
      <c t="s" s="6" r="A1164">
        <v>8498</v>
      </c>
      <c t="s" s="6" r="B1164">
        <v>115</v>
      </c>
      <c t="s" s="6" r="D1164">
        <v>54</v>
      </c>
      <c t="s" s="6" r="E1164">
        <v>8499</v>
      </c>
      <c t="s" s="6" r="F1164">
        <v>81</v>
      </c>
      <c t="s" s="6" r="G1164">
        <v>8500</v>
      </c>
      <c s="6" r="H1164">
        <v>0</v>
      </c>
      <c t="s" s="6" r="I1164">
        <v>107</v>
      </c>
      <c t="s" s="6" r="L1164">
        <v>1235</v>
      </c>
      <c t="s" s="6" r="M1164">
        <v>2718</v>
      </c>
      <c s="6" r="N1164">
        <v>0</v>
      </c>
      <c s="6" r="O1164">
        <v>0</v>
      </c>
      <c t="s" s="6" r="P1164">
        <v>221</v>
      </c>
      <c t="s" s="6" r="Q1164">
        <v>188</v>
      </c>
      <c t="s" s="6" r="R1164">
        <v>8501</v>
      </c>
      <c t="s" s="6" r="S1164">
        <v>8502</v>
      </c>
      <c t="s" s="6" r="T1164">
        <v>7122</v>
      </c>
      <c t="s" s="6" r="U1164">
        <v>8503</v>
      </c>
      <c s="6" r="V1164">
        <v>1</v>
      </c>
      <c s="6" r="W1164">
        <v>1</v>
      </c>
      <c s="6" r="X1164">
        <v>1</v>
      </c>
      <c s="6" r="Y1164">
        <v>0</v>
      </c>
      <c s="6" r="Z1164">
        <v>0</v>
      </c>
      <c s="6" r="AA1164">
        <v>6</v>
      </c>
      <c s="6" r="AB1164">
        <v>6</v>
      </c>
      <c t="s" s="6" r="AC1164">
        <v>92</v>
      </c>
      <c t="s" s="6" r="AD1164">
        <v>92</v>
      </c>
      <c t="s" s="6" r="AE1164">
        <v>92</v>
      </c>
      <c s="6" r="AF1164">
        <v>4</v>
      </c>
      <c t="s" s="6" r="AG1164">
        <v>92</v>
      </c>
      <c t="s" s="6" r="AH1164">
        <v>92</v>
      </c>
      <c t="s" s="6" r="AI1164">
        <v>92</v>
      </c>
      <c t="s" s="6" r="AJ1164">
        <v>92</v>
      </c>
      <c t="s" s="6" r="AK1164">
        <v>92</v>
      </c>
      <c t="s" s="6" r="AL1164">
        <v>92</v>
      </c>
      <c s="6" r="AM1164">
        <v>3</v>
      </c>
      <c t="s" s="6" r="AN1164">
        <v>92</v>
      </c>
      <c s="6" r="AP1164">
        <v>6</v>
      </c>
      <c t="s" s="6" r="AR1164">
        <v>8504</v>
      </c>
      <c s="6" r="AS1164">
        <v>0</v>
      </c>
      <c s="6" r="AT1164">
        <v>0</v>
      </c>
      <c s="6" r="AU1164">
        <v>0</v>
      </c>
      <c s="6" r="AV1164">
        <v>0</v>
      </c>
      <c s="6" r="AW1164">
        <v>0</v>
      </c>
      <c s="6" r="AX1164">
        <v>0</v>
      </c>
      <c s="6" r="AY1164">
        <v>0</v>
      </c>
      <c s="6" r="AZ1164">
        <v>0</v>
      </c>
      <c s="6" r="BA1164">
        <v>0</v>
      </c>
      <c s="6" r="BB1164">
        <v>0</v>
      </c>
      <c s="6" r="BC1164">
        <v>1</v>
      </c>
      <c s="6" r="BD1164">
        <v>0</v>
      </c>
      <c s="6" r="BE1164">
        <v>0</v>
      </c>
      <c s="6" r="BF1164">
        <v>0</v>
      </c>
      <c s="6" r="BG1164">
        <v>0</v>
      </c>
      <c s="6" r="BH1164">
        <v>0</v>
      </c>
      <c s="6" r="BI1164">
        <v>0</v>
      </c>
      <c s="6" r="BJ1164">
        <v>0</v>
      </c>
      <c s="6" r="BK1164">
        <v>0</v>
      </c>
      <c s="6" r="BL1164">
        <v>0</v>
      </c>
      <c s="6" r="BM1164">
        <v>0</v>
      </c>
      <c s="6" r="BN1164">
        <v>0</v>
      </c>
      <c s="6" r="BO1164">
        <v>0</v>
      </c>
      <c s="6" r="BP1164">
        <v>0</v>
      </c>
      <c s="6" r="BQ1164">
        <v>0</v>
      </c>
      <c t="str" s="6" r="BR1164">
        <f>HYPERLINK("http://www.d20pfsrd.com/magic/all-spells/u/utter-contempt","Utter Contempt")</f>
        <v>Utter Contempt</v>
      </c>
      <c s="6" r="BS1164">
        <v>1186</v>
      </c>
      <c t="s" s="6" r="BT1164">
        <v>92</v>
      </c>
      <c s="6" r="BY1164">
        <v>0</v>
      </c>
    </row>
    <row customHeight="1" r="1165" ht="14.25">
      <c t="s" s="6" r="A1165">
        <v>8505</v>
      </c>
      <c t="s" s="6" r="B1165">
        <v>115</v>
      </c>
      <c t="s" s="6" r="C1165">
        <v>116</v>
      </c>
      <c t="s" s="6" r="D1165">
        <v>8506</v>
      </c>
      <c t="s" s="6" r="E1165">
        <v>4229</v>
      </c>
      <c t="s" s="6" r="F1165">
        <v>272</v>
      </c>
      <c t="s" s="6" r="G1165">
        <v>106</v>
      </c>
      <c s="6" r="H1165">
        <v>0</v>
      </c>
      <c t="s" s="6" r="I1165">
        <v>107</v>
      </c>
      <c t="s" s="6" r="L1165">
        <v>1235</v>
      </c>
      <c t="s" s="6" r="M1165">
        <v>2718</v>
      </c>
      <c s="6" r="N1165">
        <v>0</v>
      </c>
      <c s="6" r="O1165">
        <v>0</v>
      </c>
      <c t="s" s="6" r="P1165">
        <v>221</v>
      </c>
      <c t="s" s="6" r="Q1165">
        <v>188</v>
      </c>
      <c t="s" s="6" r="R1165">
        <v>8507</v>
      </c>
      <c t="s" s="6" r="S1165">
        <v>8508</v>
      </c>
      <c t="s" s="6" r="T1165">
        <v>7122</v>
      </c>
      <c t="s" s="6" r="U1165">
        <v>8509</v>
      </c>
      <c s="6" r="V1165">
        <v>1</v>
      </c>
      <c s="6" r="W1165">
        <v>1</v>
      </c>
      <c s="6" r="X1165">
        <v>0</v>
      </c>
      <c s="6" r="Y1165">
        <v>0</v>
      </c>
      <c s="6" r="Z1165">
        <v>0</v>
      </c>
      <c s="6" r="AA1165">
        <v>6</v>
      </c>
      <c s="6" r="AB1165">
        <v>6</v>
      </c>
      <c t="s" s="6" r="AC1165">
        <v>92</v>
      </c>
      <c t="s" s="6" r="AD1165">
        <v>92</v>
      </c>
      <c t="s" s="6" r="AE1165">
        <v>92</v>
      </c>
      <c s="6" r="AF1165">
        <v>5</v>
      </c>
      <c t="s" s="6" r="AG1165">
        <v>92</v>
      </c>
      <c t="s" s="6" r="AH1165">
        <v>92</v>
      </c>
      <c t="s" s="6" r="AI1165">
        <v>92</v>
      </c>
      <c s="6" r="AJ1165">
        <v>6</v>
      </c>
      <c t="s" s="6" r="AK1165">
        <v>92</v>
      </c>
      <c t="s" s="6" r="AL1165">
        <v>92</v>
      </c>
      <c t="s" s="6" r="AM1165">
        <v>92</v>
      </c>
      <c t="s" s="6" r="AN1165">
        <v>92</v>
      </c>
      <c s="6" r="AP1165">
        <v>6</v>
      </c>
      <c t="s" s="6" r="AR1165">
        <v>8510</v>
      </c>
      <c s="6" r="AS1165">
        <v>0</v>
      </c>
      <c s="6" r="AT1165">
        <v>0</v>
      </c>
      <c s="6" r="AU1165">
        <v>0</v>
      </c>
      <c s="6" r="AV1165">
        <v>0</v>
      </c>
      <c s="6" r="AW1165">
        <v>0</v>
      </c>
      <c s="6" r="AX1165">
        <v>0</v>
      </c>
      <c s="6" r="AY1165">
        <v>0</v>
      </c>
      <c s="6" r="AZ1165">
        <v>0</v>
      </c>
      <c s="6" r="BA1165">
        <v>0</v>
      </c>
      <c s="6" r="BB1165">
        <v>0</v>
      </c>
      <c s="6" r="BC1165">
        <v>1</v>
      </c>
      <c s="6" r="BD1165">
        <v>0</v>
      </c>
      <c s="6" r="BE1165">
        <v>0</v>
      </c>
      <c s="6" r="BF1165">
        <v>0</v>
      </c>
      <c s="6" r="BG1165">
        <v>0</v>
      </c>
      <c s="6" r="BH1165">
        <v>0</v>
      </c>
      <c s="6" r="BI1165">
        <v>1</v>
      </c>
      <c s="6" r="BJ1165">
        <v>0</v>
      </c>
      <c s="6" r="BK1165">
        <v>0</v>
      </c>
      <c s="6" r="BL1165">
        <v>1</v>
      </c>
      <c s="6" r="BM1165">
        <v>0</v>
      </c>
      <c s="6" r="BN1165">
        <v>0</v>
      </c>
      <c s="6" r="BO1165">
        <v>0</v>
      </c>
      <c s="6" r="BP1165">
        <v>0</v>
      </c>
      <c s="6" r="BQ1165">
        <v>0</v>
      </c>
      <c t="str" s="6" r="BR1165">
        <f>HYPERLINK("http://www.d20pfsrd.com/magic/all-spells/v/vengeful-outrage","Vengeful Outrage")</f>
        <v>Vengeful Outrage</v>
      </c>
      <c s="6" r="BS1165">
        <v>1187</v>
      </c>
      <c t="s" s="6" r="BT1165">
        <v>92</v>
      </c>
      <c s="6" r="BY1165">
        <v>0</v>
      </c>
    </row>
    <row customHeight="1" r="1166" ht="14.25">
      <c t="s" s="6" r="A1166">
        <v>8511</v>
      </c>
      <c t="s" s="6" r="B1166">
        <v>131</v>
      </c>
      <c t="s" s="6" r="C1166">
        <v>152</v>
      </c>
      <c t="s" s="6" r="E1166">
        <v>8512</v>
      </c>
      <c t="s" s="6" r="F1166">
        <v>81</v>
      </c>
      <c t="s" s="6" r="G1166">
        <v>154</v>
      </c>
      <c s="6" r="H1166">
        <v>0</v>
      </c>
      <c t="s" s="6" r="I1166">
        <v>155</v>
      </c>
      <c t="s" s="6" r="L1166">
        <v>156</v>
      </c>
      <c t="s" s="6" r="M1166">
        <v>2718</v>
      </c>
      <c s="6" r="N1166">
        <v>0</v>
      </c>
      <c s="6" r="O1166">
        <v>0</v>
      </c>
      <c t="s" s="6" r="R1166">
        <v>8513</v>
      </c>
      <c t="s" s="6" r="S1166">
        <v>8514</v>
      </c>
      <c t="s" s="6" r="T1166">
        <v>7122</v>
      </c>
      <c t="s" s="6" r="U1166">
        <v>8515</v>
      </c>
      <c s="6" r="V1166">
        <v>1</v>
      </c>
      <c s="6" r="W1166">
        <v>1</v>
      </c>
      <c s="6" r="X1166">
        <v>1</v>
      </c>
      <c s="6" r="Y1166">
        <v>0</v>
      </c>
      <c s="6" r="Z1166">
        <v>0</v>
      </c>
      <c s="6" r="AA1166">
        <v>4</v>
      </c>
      <c s="6" r="AB1166">
        <v>4</v>
      </c>
      <c t="s" s="6" r="AC1166">
        <v>92</v>
      </c>
      <c s="6" r="AD1166">
        <v>3</v>
      </c>
      <c t="s" s="6" r="AE1166">
        <v>92</v>
      </c>
      <c t="s" s="6" r="AF1166">
        <v>92</v>
      </c>
      <c t="s" s="6" r="AG1166">
        <v>92</v>
      </c>
      <c s="6" r="AH1166">
        <v>4</v>
      </c>
      <c t="s" s="6" r="AI1166">
        <v>92</v>
      </c>
      <c s="6" r="AJ1166">
        <v>3</v>
      </c>
      <c t="s" s="6" r="AK1166">
        <v>92</v>
      </c>
      <c t="s" s="6" r="AL1166">
        <v>92</v>
      </c>
      <c t="s" s="6" r="AM1166">
        <v>92</v>
      </c>
      <c s="6" r="AN1166">
        <v>4</v>
      </c>
      <c s="6" r="AP1166">
        <v>4</v>
      </c>
      <c t="s" s="6" r="AR1166">
        <v>8516</v>
      </c>
      <c s="6" r="AS1166">
        <v>0</v>
      </c>
      <c s="6" r="AT1166">
        <v>0</v>
      </c>
      <c s="6" r="AU1166">
        <v>0</v>
      </c>
      <c s="6" r="AV1166">
        <v>0</v>
      </c>
      <c s="6" r="AW1166">
        <v>0</v>
      </c>
      <c s="6" r="AX1166">
        <v>0</v>
      </c>
      <c s="6" r="AY1166">
        <v>0</v>
      </c>
      <c s="6" r="AZ1166">
        <v>0</v>
      </c>
      <c s="6" r="BA1166">
        <v>0</v>
      </c>
      <c s="6" r="BB1166">
        <v>0</v>
      </c>
      <c s="6" r="BC1166">
        <v>0</v>
      </c>
      <c s="6" r="BD1166">
        <v>0</v>
      </c>
      <c s="6" r="BE1166">
        <v>0</v>
      </c>
      <c s="6" r="BF1166">
        <v>0</v>
      </c>
      <c s="6" r="BG1166">
        <v>0</v>
      </c>
      <c s="6" r="BH1166">
        <v>0</v>
      </c>
      <c s="6" r="BI1166">
        <v>0</v>
      </c>
      <c s="6" r="BJ1166">
        <v>0</v>
      </c>
      <c s="6" r="BK1166">
        <v>0</v>
      </c>
      <c s="6" r="BL1166">
        <v>0</v>
      </c>
      <c s="6" r="BM1166">
        <v>0</v>
      </c>
      <c s="6" r="BN1166">
        <v>0</v>
      </c>
      <c s="6" r="BO1166">
        <v>0</v>
      </c>
      <c s="6" r="BP1166">
        <v>0</v>
      </c>
      <c s="6" r="BQ1166">
        <v>0</v>
      </c>
      <c t="str" s="6" r="BR1166">
        <f>HYPERLINK("http://www.d20pfsrd.com/magic/all-spells/v/vermin-shape-i","Vermin Shape I")</f>
        <v>Vermin Shape I</v>
      </c>
      <c s="6" r="BS1166">
        <v>1188</v>
      </c>
      <c t="s" s="6" r="BT1166">
        <v>92</v>
      </c>
      <c s="6" r="BY1166">
        <v>0</v>
      </c>
    </row>
    <row customHeight="1" r="1167" ht="14.25">
      <c t="s" s="6" r="A1167">
        <v>8517</v>
      </c>
      <c t="s" s="6" r="B1167">
        <v>131</v>
      </c>
      <c t="s" s="6" r="C1167">
        <v>152</v>
      </c>
      <c t="s" s="6" r="E1167">
        <v>8518</v>
      </c>
      <c t="s" s="6" r="F1167">
        <v>81</v>
      </c>
      <c t="s" s="6" r="G1167">
        <v>154</v>
      </c>
      <c s="6" r="H1167">
        <v>0</v>
      </c>
      <c t="s" s="6" r="I1167">
        <v>155</v>
      </c>
      <c t="s" s="6" r="L1167">
        <v>156</v>
      </c>
      <c t="s" s="6" r="M1167">
        <v>2718</v>
      </c>
      <c s="6" r="N1167">
        <v>0</v>
      </c>
      <c s="6" r="O1167">
        <v>0</v>
      </c>
      <c t="s" s="6" r="R1167">
        <v>8519</v>
      </c>
      <c t="s" s="6" r="S1167">
        <v>8520</v>
      </c>
      <c t="s" s="6" r="T1167">
        <v>7122</v>
      </c>
      <c t="s" s="6" r="U1167">
        <v>8521</v>
      </c>
      <c s="6" r="V1167">
        <v>1</v>
      </c>
      <c s="6" r="W1167">
        <v>1</v>
      </c>
      <c s="6" r="X1167">
        <v>1</v>
      </c>
      <c s="6" r="Y1167">
        <v>0</v>
      </c>
      <c s="6" r="Z1167">
        <v>0</v>
      </c>
      <c s="6" r="AA1167">
        <v>5</v>
      </c>
      <c s="6" r="AB1167">
        <v>5</v>
      </c>
      <c t="s" s="6" r="AC1167">
        <v>92</v>
      </c>
      <c s="6" r="AD1167">
        <v>4</v>
      </c>
      <c t="s" s="6" r="AE1167">
        <v>92</v>
      </c>
      <c t="s" s="6" r="AF1167">
        <v>92</v>
      </c>
      <c t="s" s="6" r="AG1167">
        <v>92</v>
      </c>
      <c s="6" r="AH1167">
        <v>5</v>
      </c>
      <c t="s" s="6" r="AI1167">
        <v>92</v>
      </c>
      <c s="6" r="AJ1167">
        <v>4</v>
      </c>
      <c t="s" s="6" r="AK1167">
        <v>92</v>
      </c>
      <c t="s" s="6" r="AL1167">
        <v>92</v>
      </c>
      <c t="s" s="6" r="AM1167">
        <v>92</v>
      </c>
      <c s="6" r="AN1167">
        <v>5</v>
      </c>
      <c s="6" r="AP1167">
        <v>5</v>
      </c>
      <c t="s" s="6" r="AR1167">
        <v>8522</v>
      </c>
      <c s="6" r="AS1167">
        <v>0</v>
      </c>
      <c s="6" r="AT1167">
        <v>0</v>
      </c>
      <c s="6" r="AU1167">
        <v>0</v>
      </c>
      <c s="6" r="AV1167">
        <v>0</v>
      </c>
      <c s="6" r="AW1167">
        <v>0</v>
      </c>
      <c s="6" r="AX1167">
        <v>0</v>
      </c>
      <c s="6" r="AY1167">
        <v>0</v>
      </c>
      <c s="6" r="AZ1167">
        <v>0</v>
      </c>
      <c s="6" r="BA1167">
        <v>0</v>
      </c>
      <c s="6" r="BB1167">
        <v>0</v>
      </c>
      <c s="6" r="BC1167">
        <v>0</v>
      </c>
      <c s="6" r="BD1167">
        <v>0</v>
      </c>
      <c s="6" r="BE1167">
        <v>0</v>
      </c>
      <c s="6" r="BF1167">
        <v>0</v>
      </c>
      <c s="6" r="BG1167">
        <v>0</v>
      </c>
      <c s="6" r="BH1167">
        <v>0</v>
      </c>
      <c s="6" r="BI1167">
        <v>0</v>
      </c>
      <c s="6" r="BJ1167">
        <v>0</v>
      </c>
      <c s="6" r="BK1167">
        <v>0</v>
      </c>
      <c s="6" r="BL1167">
        <v>0</v>
      </c>
      <c s="6" r="BM1167">
        <v>0</v>
      </c>
      <c s="6" r="BN1167">
        <v>0</v>
      </c>
      <c s="6" r="BO1167">
        <v>0</v>
      </c>
      <c s="6" r="BP1167">
        <v>0</v>
      </c>
      <c s="6" r="BQ1167">
        <v>0</v>
      </c>
      <c t="str" s="6" r="BR1167">
        <f>HYPERLINK("http://www.d20pfsrd.com/magic/all-spells/v/vermin-shape-ii","Vermin Shape II")</f>
        <v>Vermin Shape II</v>
      </c>
      <c s="6" r="BS1167">
        <v>1189</v>
      </c>
      <c t="s" s="6" r="BT1167">
        <v>92</v>
      </c>
      <c s="6" r="BY1167">
        <v>0</v>
      </c>
    </row>
    <row customHeight="1" r="1168" ht="14.25">
      <c t="s" s="6" r="A1168">
        <v>8523</v>
      </c>
      <c t="s" s="6" r="B1168">
        <v>162</v>
      </c>
      <c t="s" s="6" r="E1168">
        <v>8524</v>
      </c>
      <c t="s" s="6" r="F1168">
        <v>81</v>
      </c>
      <c t="s" s="6" r="G1168">
        <v>106</v>
      </c>
      <c s="6" r="H1168">
        <v>0</v>
      </c>
      <c t="s" s="6" r="I1168">
        <v>120</v>
      </c>
      <c t="s" s="6" r="L1168">
        <v>2837</v>
      </c>
      <c t="s" s="6" r="M1168">
        <v>2718</v>
      </c>
      <c s="6" r="N1168">
        <v>0</v>
      </c>
      <c s="6" r="O1168">
        <v>0</v>
      </c>
      <c t="s" s="6" r="P1168">
        <v>86</v>
      </c>
      <c t="s" s="6" r="Q1168">
        <v>87</v>
      </c>
      <c t="s" s="6" r="R1168">
        <v>8525</v>
      </c>
      <c t="s" s="6" r="S1168">
        <v>8526</v>
      </c>
      <c t="s" s="6" r="T1168">
        <v>7122</v>
      </c>
      <c t="s" s="6" r="U1168">
        <v>8527</v>
      </c>
      <c s="6" r="V1168">
        <v>1</v>
      </c>
      <c s="6" r="W1168">
        <v>1</v>
      </c>
      <c s="6" r="X1168">
        <v>0</v>
      </c>
      <c s="6" r="Y1168">
        <v>0</v>
      </c>
      <c s="6" r="Z1168">
        <v>0</v>
      </c>
      <c t="s" s="6" r="AA1168">
        <v>92</v>
      </c>
      <c t="s" s="6" r="AB1168">
        <v>92</v>
      </c>
      <c t="s" s="6" r="AC1168">
        <v>92</v>
      </c>
      <c t="s" s="6" r="AD1168">
        <v>92</v>
      </c>
      <c t="s" s="6" r="AE1168">
        <v>92</v>
      </c>
      <c t="s" s="6" r="AF1168">
        <v>92</v>
      </c>
      <c s="6" r="AG1168">
        <v>2</v>
      </c>
      <c t="s" s="6" r="AH1168">
        <v>92</v>
      </c>
      <c t="s" s="6" r="AI1168">
        <v>92</v>
      </c>
      <c t="s" s="6" r="AJ1168">
        <v>92</v>
      </c>
      <c t="s" s="6" r="AK1168">
        <v>92</v>
      </c>
      <c t="s" s="6" r="AL1168">
        <v>92</v>
      </c>
      <c s="6" r="AM1168">
        <v>2</v>
      </c>
      <c t="s" s="6" r="AN1168">
        <v>92</v>
      </c>
      <c s="6" r="AP1168">
        <v>2</v>
      </c>
      <c t="s" s="6" r="AR1168">
        <v>8528</v>
      </c>
      <c s="6" r="AS1168">
        <v>0</v>
      </c>
      <c s="6" r="AT1168">
        <v>0</v>
      </c>
      <c s="6" r="AU1168">
        <v>0</v>
      </c>
      <c s="6" r="AV1168">
        <v>0</v>
      </c>
      <c s="6" r="AW1168">
        <v>0</v>
      </c>
      <c s="6" r="AX1168">
        <v>0</v>
      </c>
      <c s="6" r="AY1168">
        <v>0</v>
      </c>
      <c s="6" r="AZ1168">
        <v>0</v>
      </c>
      <c s="6" r="BA1168">
        <v>0</v>
      </c>
      <c s="6" r="BB1168">
        <v>0</v>
      </c>
      <c s="6" r="BC1168">
        <v>0</v>
      </c>
      <c s="6" r="BD1168">
        <v>0</v>
      </c>
      <c s="6" r="BE1168">
        <v>0</v>
      </c>
      <c s="6" r="BF1168">
        <v>0</v>
      </c>
      <c s="6" r="BG1168">
        <v>0</v>
      </c>
      <c s="6" r="BH1168">
        <v>0</v>
      </c>
      <c s="6" r="BI1168">
        <v>0</v>
      </c>
      <c s="6" r="BJ1168">
        <v>0</v>
      </c>
      <c s="6" r="BK1168">
        <v>0</v>
      </c>
      <c s="6" r="BL1168">
        <v>0</v>
      </c>
      <c s="6" r="BM1168">
        <v>0</v>
      </c>
      <c s="6" r="BN1168">
        <v>0</v>
      </c>
      <c s="6" r="BO1168">
        <v>0</v>
      </c>
      <c s="6" r="BP1168">
        <v>0</v>
      </c>
      <c s="6" r="BQ1168">
        <v>0</v>
      </c>
      <c t="str" s="6" r="BR1168">
        <f>HYPERLINK("http://www.d20pfsrd.com/magic/all-spells/v/vestment-of-the-champion","Vestment of the Champion")</f>
        <v>Vestment of the Champion</v>
      </c>
      <c s="6" r="BS1168">
        <v>1190</v>
      </c>
      <c t="s" s="6" r="BT1168">
        <v>92</v>
      </c>
      <c s="6" r="BY1168">
        <v>0</v>
      </c>
    </row>
    <row customHeight="1" r="1169" ht="14.25">
      <c t="s" s="6" r="A1169">
        <v>8529</v>
      </c>
      <c t="s" s="6" r="B1169">
        <v>131</v>
      </c>
      <c t="s" s="6" r="E1169">
        <v>3011</v>
      </c>
      <c t="s" s="6" r="F1169">
        <v>81</v>
      </c>
      <c t="s" s="6" r="G1169">
        <v>251</v>
      </c>
      <c s="6" r="H1169">
        <v>0</v>
      </c>
      <c t="s" s="6" r="I1169">
        <v>155</v>
      </c>
      <c t="s" s="6" r="L1169">
        <v>156</v>
      </c>
      <c t="s" s="6" r="M1169">
        <v>99</v>
      </c>
      <c s="6" r="N1169">
        <v>0</v>
      </c>
      <c s="6" r="O1169">
        <v>0</v>
      </c>
      <c t="s" s="6" r="R1169">
        <v>8530</v>
      </c>
      <c t="s" s="6" r="S1169">
        <v>8531</v>
      </c>
      <c t="s" s="6" r="T1169">
        <v>7122</v>
      </c>
      <c t="s" s="6" r="U1169">
        <v>8532</v>
      </c>
      <c s="6" r="V1169">
        <v>1</v>
      </c>
      <c s="6" r="W1169">
        <v>0</v>
      </c>
      <c s="6" r="X1169">
        <v>0</v>
      </c>
      <c s="6" r="Y1169">
        <v>0</v>
      </c>
      <c s="6" r="Z1169">
        <v>0</v>
      </c>
      <c t="s" s="6" r="AA1169">
        <v>92</v>
      </c>
      <c t="s" s="6" r="AB1169">
        <v>92</v>
      </c>
      <c t="s" s="6" r="AC1169">
        <v>92</v>
      </c>
      <c t="s" s="6" r="AD1169">
        <v>92</v>
      </c>
      <c t="s" s="6" r="AE1169">
        <v>92</v>
      </c>
      <c s="6" r="AF1169">
        <v>4</v>
      </c>
      <c t="s" s="6" r="AG1169">
        <v>92</v>
      </c>
      <c t="s" s="6" r="AH1169">
        <v>92</v>
      </c>
      <c t="s" s="6" r="AI1169">
        <v>92</v>
      </c>
      <c t="s" s="6" r="AJ1169">
        <v>92</v>
      </c>
      <c t="s" s="6" r="AK1169">
        <v>92</v>
      </c>
      <c t="s" s="6" r="AL1169">
        <v>92</v>
      </c>
      <c t="s" s="6" r="AM1169">
        <v>92</v>
      </c>
      <c t="s" s="6" r="AN1169">
        <v>92</v>
      </c>
      <c s="6" r="AP1169">
        <v>4</v>
      </c>
      <c t="s" s="6" r="AR1169">
        <v>8533</v>
      </c>
      <c s="6" r="AS1169">
        <v>0</v>
      </c>
      <c s="6" r="AT1169">
        <v>0</v>
      </c>
      <c s="6" r="AU1169">
        <v>0</v>
      </c>
      <c s="6" r="AV1169">
        <v>0</v>
      </c>
      <c s="6" r="AW1169">
        <v>0</v>
      </c>
      <c s="6" r="AX1169">
        <v>0</v>
      </c>
      <c s="6" r="AY1169">
        <v>0</v>
      </c>
      <c s="6" r="AZ1169">
        <v>0</v>
      </c>
      <c s="6" r="BA1169">
        <v>0</v>
      </c>
      <c s="6" r="BB1169">
        <v>0</v>
      </c>
      <c s="6" r="BC1169">
        <v>0</v>
      </c>
      <c s="6" r="BD1169">
        <v>0</v>
      </c>
      <c s="6" r="BE1169">
        <v>0</v>
      </c>
      <c s="6" r="BF1169">
        <v>0</v>
      </c>
      <c s="6" r="BG1169">
        <v>0</v>
      </c>
      <c s="6" r="BH1169">
        <v>0</v>
      </c>
      <c s="6" r="BI1169">
        <v>0</v>
      </c>
      <c s="6" r="BJ1169">
        <v>0</v>
      </c>
      <c s="6" r="BK1169">
        <v>0</v>
      </c>
      <c s="6" r="BL1169">
        <v>0</v>
      </c>
      <c s="6" r="BM1169">
        <v>0</v>
      </c>
      <c s="6" r="BN1169">
        <v>0</v>
      </c>
      <c s="6" r="BO1169">
        <v>0</v>
      </c>
      <c s="6" r="BP1169">
        <v>0</v>
      </c>
      <c s="6" r="BQ1169">
        <v>0</v>
      </c>
      <c t="str" s="6" r="BR1169">
        <f>HYPERLINK("http://www.d20pfsrd.com/magic/all-spells/v/virtuoso-performance","Virtuoso Performance")</f>
        <v>Virtuoso Performance</v>
      </c>
      <c s="6" r="BS1169">
        <v>1191</v>
      </c>
      <c t="s" s="6" r="BT1169">
        <v>92</v>
      </c>
      <c s="6" r="BY1169">
        <v>0</v>
      </c>
    </row>
    <row customHeight="1" r="1170" ht="14.25">
      <c t="s" s="6" r="A1170">
        <v>8534</v>
      </c>
      <c t="s" s="6" r="B1170">
        <v>579</v>
      </c>
      <c t="s" s="6" r="C1170">
        <v>580</v>
      </c>
      <c t="s" s="6" r="D1170">
        <v>8535</v>
      </c>
      <c t="s" s="6" r="E1170">
        <v>8536</v>
      </c>
      <c t="s" s="6" r="F1170">
        <v>81</v>
      </c>
      <c t="s" s="6" r="G1170">
        <v>8537</v>
      </c>
      <c s="6" r="H1170">
        <v>0</v>
      </c>
      <c t="s" s="6" r="I1170">
        <v>97</v>
      </c>
      <c t="s" s="6" r="K1170">
        <v>8538</v>
      </c>
      <c t="s" s="6" r="M1170">
        <v>5513</v>
      </c>
      <c s="6" r="N1170">
        <v>1</v>
      </c>
      <c s="6" r="O1170">
        <v>0</v>
      </c>
      <c t="s" s="6" r="P1170">
        <v>221</v>
      </c>
      <c t="s" s="6" r="Q1170">
        <v>87</v>
      </c>
      <c t="s" s="6" r="R1170">
        <v>8539</v>
      </c>
      <c t="s" s="6" r="S1170">
        <v>8540</v>
      </c>
      <c t="s" s="6" r="T1170">
        <v>7122</v>
      </c>
      <c t="s" s="6" r="U1170">
        <v>8541</v>
      </c>
      <c s="6" r="V1170">
        <v>1</v>
      </c>
      <c s="6" r="W1170">
        <v>0</v>
      </c>
      <c s="6" r="X1170">
        <v>1</v>
      </c>
      <c s="6" r="Y1170">
        <v>0</v>
      </c>
      <c s="6" r="Z1170">
        <v>0</v>
      </c>
      <c s="6" r="AA1170">
        <v>3</v>
      </c>
      <c s="6" r="AB1170">
        <v>3</v>
      </c>
      <c s="6" r="AC1170">
        <v>3</v>
      </c>
      <c t="s" s="6" r="AD1170">
        <v>92</v>
      </c>
      <c t="s" s="6" r="AE1170">
        <v>92</v>
      </c>
      <c s="6" r="AF1170">
        <v>3</v>
      </c>
      <c t="s" s="6" r="AG1170">
        <v>92</v>
      </c>
      <c t="s" s="6" r="AH1170">
        <v>92</v>
      </c>
      <c t="s" s="6" r="AI1170">
        <v>92</v>
      </c>
      <c s="6" r="AJ1170">
        <v>3</v>
      </c>
      <c t="s" s="6" r="AK1170">
        <v>92</v>
      </c>
      <c s="6" r="AL1170">
        <v>3</v>
      </c>
      <c t="s" s="6" r="AM1170">
        <v>92</v>
      </c>
      <c t="s" s="6" r="AN1170">
        <v>92</v>
      </c>
      <c s="6" r="AP1170">
        <v>3</v>
      </c>
      <c t="s" s="6" r="AR1170">
        <v>8542</v>
      </c>
      <c s="6" r="AS1170">
        <v>0</v>
      </c>
      <c s="6" r="AT1170">
        <v>0</v>
      </c>
      <c s="6" r="AU1170">
        <v>0</v>
      </c>
      <c s="6" r="AV1170">
        <v>0</v>
      </c>
      <c s="6" r="AW1170">
        <v>0</v>
      </c>
      <c s="6" r="AX1170">
        <v>0</v>
      </c>
      <c s="6" r="AY1170">
        <v>0</v>
      </c>
      <c s="6" r="AZ1170">
        <v>0</v>
      </c>
      <c s="6" r="BA1170">
        <v>0</v>
      </c>
      <c s="6" r="BB1170">
        <v>0</v>
      </c>
      <c s="6" r="BC1170">
        <v>0</v>
      </c>
      <c s="6" r="BD1170">
        <v>1</v>
      </c>
      <c s="6" r="BE1170">
        <v>1</v>
      </c>
      <c s="6" r="BF1170">
        <v>0</v>
      </c>
      <c s="6" r="BG1170">
        <v>0</v>
      </c>
      <c s="6" r="BH1170">
        <v>0</v>
      </c>
      <c s="6" r="BI1170">
        <v>0</v>
      </c>
      <c s="6" r="BJ1170">
        <v>0</v>
      </c>
      <c s="6" r="BK1170">
        <v>0</v>
      </c>
      <c s="6" r="BL1170">
        <v>0</v>
      </c>
      <c s="6" r="BM1170">
        <v>0</v>
      </c>
      <c s="6" r="BN1170">
        <v>0</v>
      </c>
      <c s="6" r="BO1170">
        <v>0</v>
      </c>
      <c s="6" r="BP1170">
        <v>0</v>
      </c>
      <c s="6" r="BQ1170">
        <v>0</v>
      </c>
      <c t="str" s="6" r="BR1170">
        <f>HYPERLINK("http://www.d20pfsrd.com/magic/all-spells/v/vision-of-hell","Vision of Hell")</f>
        <v>Vision of Hell</v>
      </c>
      <c s="6" r="BS1170">
        <v>1192</v>
      </c>
      <c t="s" s="6" r="BT1170">
        <v>92</v>
      </c>
      <c s="6" r="BY1170">
        <v>0</v>
      </c>
    </row>
    <row customHeight="1" r="1171" ht="14.25">
      <c t="s" s="6" r="A1171">
        <v>8543</v>
      </c>
      <c t="s" s="6" r="B1171">
        <v>493</v>
      </c>
      <c t="s" s="6" r="D1171">
        <v>44</v>
      </c>
      <c t="s" s="6" r="E1171">
        <v>8544</v>
      </c>
      <c t="s" s="6" r="F1171">
        <v>81</v>
      </c>
      <c t="s" s="6" r="G1171">
        <v>8545</v>
      </c>
      <c s="6" r="H1171">
        <v>0</v>
      </c>
      <c t="s" s="6" r="I1171">
        <v>155</v>
      </c>
      <c t="s" s="6" r="L1171">
        <v>156</v>
      </c>
      <c t="s" s="6" r="M1171">
        <v>483</v>
      </c>
      <c s="6" r="N1171">
        <v>1</v>
      </c>
      <c s="6" r="O1171">
        <v>0</v>
      </c>
      <c t="s" s="6" r="R1171">
        <v>8546</v>
      </c>
      <c t="s" s="6" r="S1171">
        <v>8547</v>
      </c>
      <c t="s" s="6" r="T1171">
        <v>7122</v>
      </c>
      <c t="s" s="6" r="U1171">
        <v>8548</v>
      </c>
      <c s="6" r="V1171">
        <v>1</v>
      </c>
      <c s="6" r="W1171">
        <v>1</v>
      </c>
      <c s="6" r="X1171">
        <v>1</v>
      </c>
      <c s="6" r="Y1171">
        <v>0</v>
      </c>
      <c s="6" r="Z1171">
        <v>0</v>
      </c>
      <c s="6" r="AA1171">
        <v>4</v>
      </c>
      <c s="6" r="AB1171">
        <v>4</v>
      </c>
      <c t="s" s="6" r="AC1171">
        <v>92</v>
      </c>
      <c t="s" s="6" r="AD1171">
        <v>92</v>
      </c>
      <c t="s" s="6" r="AE1171">
        <v>92</v>
      </c>
      <c t="s" s="6" r="AF1171">
        <v>92</v>
      </c>
      <c t="s" s="6" r="AG1171">
        <v>92</v>
      </c>
      <c s="6" r="AH1171">
        <v>4</v>
      </c>
      <c s="6" r="AI1171">
        <v>4</v>
      </c>
      <c t="s" s="6" r="AJ1171">
        <v>92</v>
      </c>
      <c t="s" s="6" r="AK1171">
        <v>92</v>
      </c>
      <c t="s" s="6" r="AL1171">
        <v>92</v>
      </c>
      <c t="s" s="6" r="AM1171">
        <v>92</v>
      </c>
      <c t="s" s="6" r="AN1171">
        <v>92</v>
      </c>
      <c s="6" r="AP1171">
        <v>4</v>
      </c>
      <c t="s" s="6" r="AR1171">
        <v>8549</v>
      </c>
      <c s="6" r="AS1171">
        <v>1</v>
      </c>
      <c s="6" r="AT1171">
        <v>0</v>
      </c>
      <c s="6" r="AU1171">
        <v>0</v>
      </c>
      <c s="6" r="AV1171">
        <v>0</v>
      </c>
      <c s="6" r="AW1171">
        <v>0</v>
      </c>
      <c s="6" r="AX1171">
        <v>0</v>
      </c>
      <c s="6" r="AY1171">
        <v>0</v>
      </c>
      <c s="6" r="AZ1171">
        <v>0</v>
      </c>
      <c s="6" r="BA1171">
        <v>0</v>
      </c>
      <c s="6" r="BB1171">
        <v>0</v>
      </c>
      <c s="6" r="BC1171">
        <v>0</v>
      </c>
      <c s="6" r="BD1171">
        <v>0</v>
      </c>
      <c s="6" r="BE1171">
        <v>0</v>
      </c>
      <c s="6" r="BF1171">
        <v>0</v>
      </c>
      <c s="6" r="BG1171">
        <v>0</v>
      </c>
      <c s="6" r="BH1171">
        <v>0</v>
      </c>
      <c s="6" r="BI1171">
        <v>0</v>
      </c>
      <c s="6" r="BJ1171">
        <v>0</v>
      </c>
      <c s="6" r="BK1171">
        <v>0</v>
      </c>
      <c s="6" r="BL1171">
        <v>0</v>
      </c>
      <c s="6" r="BM1171">
        <v>0</v>
      </c>
      <c s="6" r="BN1171">
        <v>0</v>
      </c>
      <c s="6" r="BO1171">
        <v>0</v>
      </c>
      <c s="6" r="BP1171">
        <v>0</v>
      </c>
      <c s="6" r="BQ1171">
        <v>0</v>
      </c>
      <c t="str" s="6" r="BR1171">
        <f>HYPERLINK("http://www.d20pfsrd.com/magic/all-spells/v/vitriolic-mist","Vitriolic Mist")</f>
        <v>Vitriolic Mist</v>
      </c>
      <c s="6" r="BS1171">
        <v>1193</v>
      </c>
      <c t="s" s="6" r="BT1171">
        <v>92</v>
      </c>
      <c s="6" r="BY1171">
        <v>0</v>
      </c>
    </row>
    <row customHeight="1" r="1172" ht="14.25">
      <c t="s" s="6" r="A1172">
        <v>8550</v>
      </c>
      <c t="s" s="6" r="B1172">
        <v>131</v>
      </c>
      <c t="s" s="6" r="E1172">
        <v>8551</v>
      </c>
      <c t="s" s="6" r="F1172">
        <v>81</v>
      </c>
      <c t="s" s="6" r="G1172">
        <v>106</v>
      </c>
      <c s="6" r="H1172">
        <v>0</v>
      </c>
      <c t="s" s="6" r="I1172">
        <v>107</v>
      </c>
      <c t="s" s="6" r="L1172">
        <v>731</v>
      </c>
      <c t="s" s="6" r="M1172">
        <v>2718</v>
      </c>
      <c s="6" r="N1172">
        <v>0</v>
      </c>
      <c s="6" r="O1172">
        <v>0</v>
      </c>
      <c t="s" s="6" r="P1172">
        <v>187</v>
      </c>
      <c t="s" s="6" r="Q1172">
        <v>188</v>
      </c>
      <c t="s" s="6" r="R1172">
        <v>8552</v>
      </c>
      <c t="s" s="6" r="S1172">
        <v>8553</v>
      </c>
      <c t="s" s="6" r="T1172">
        <v>7122</v>
      </c>
      <c t="s" s="6" r="U1172">
        <v>8554</v>
      </c>
      <c s="6" r="V1172">
        <v>1</v>
      </c>
      <c s="6" r="W1172">
        <v>1</v>
      </c>
      <c s="6" r="X1172">
        <v>0</v>
      </c>
      <c s="6" r="Y1172">
        <v>0</v>
      </c>
      <c s="6" r="Z1172">
        <v>0</v>
      </c>
      <c s="6" r="AA1172">
        <v>1</v>
      </c>
      <c s="6" r="AB1172">
        <v>1</v>
      </c>
      <c t="s" s="6" r="AC1172">
        <v>92</v>
      </c>
      <c t="s" s="6" r="AD1172">
        <v>92</v>
      </c>
      <c t="s" s="6" r="AE1172">
        <v>92</v>
      </c>
      <c s="6" r="AF1172">
        <v>1</v>
      </c>
      <c t="s" s="6" r="AG1172">
        <v>92</v>
      </c>
      <c s="6" r="AH1172">
        <v>1</v>
      </c>
      <c t="s" s="6" r="AI1172">
        <v>92</v>
      </c>
      <c s="6" r="AJ1172">
        <v>1</v>
      </c>
      <c s="6" r="AK1172">
        <v>1</v>
      </c>
      <c t="s" s="6" r="AL1172">
        <v>92</v>
      </c>
      <c t="s" s="6" r="AM1172">
        <v>92</v>
      </c>
      <c t="s" s="6" r="AN1172">
        <v>92</v>
      </c>
      <c s="6" r="AP1172">
        <v>1</v>
      </c>
      <c t="s" s="6" r="AR1172">
        <v>8555</v>
      </c>
      <c s="6" r="AS1172">
        <v>0</v>
      </c>
      <c s="6" r="AT1172">
        <v>0</v>
      </c>
      <c s="6" r="AU1172">
        <v>0</v>
      </c>
      <c s="6" r="AV1172">
        <v>0</v>
      </c>
      <c s="6" r="AW1172">
        <v>0</v>
      </c>
      <c s="6" r="AX1172">
        <v>0</v>
      </c>
      <c s="6" r="AY1172">
        <v>0</v>
      </c>
      <c s="6" r="AZ1172">
        <v>0</v>
      </c>
      <c s="6" r="BA1172">
        <v>0</v>
      </c>
      <c s="6" r="BB1172">
        <v>0</v>
      </c>
      <c s="6" r="BC1172">
        <v>0</v>
      </c>
      <c s="6" r="BD1172">
        <v>0</v>
      </c>
      <c s="6" r="BE1172">
        <v>0</v>
      </c>
      <c s="6" r="BF1172">
        <v>0</v>
      </c>
      <c s="6" r="BG1172">
        <v>0</v>
      </c>
      <c s="6" r="BH1172">
        <v>0</v>
      </c>
      <c s="6" r="BI1172">
        <v>0</v>
      </c>
      <c s="6" r="BJ1172">
        <v>0</v>
      </c>
      <c s="6" r="BK1172">
        <v>0</v>
      </c>
      <c s="6" r="BL1172">
        <v>0</v>
      </c>
      <c s="6" r="BM1172">
        <v>0</v>
      </c>
      <c s="6" r="BN1172">
        <v>0</v>
      </c>
      <c s="6" r="BO1172">
        <v>0</v>
      </c>
      <c s="6" r="BP1172">
        <v>0</v>
      </c>
      <c s="6" r="BQ1172">
        <v>0</v>
      </c>
      <c t="str" s="6" r="BR1172">
        <f>HYPERLINK("http://www.d20pfsrd.com/magic/all-spells/v/vocal-alteration","Vocal Alteration")</f>
        <v>Vocal Alteration</v>
      </c>
      <c s="6" r="BS1172">
        <v>1194</v>
      </c>
      <c t="s" s="6" r="BT1172">
        <v>92</v>
      </c>
      <c s="6" r="BY1172">
        <v>0</v>
      </c>
    </row>
    <row customHeight="1" r="1173" ht="14.25">
      <c t="s" s="6" r="A1173">
        <v>8556</v>
      </c>
      <c t="s" s="6" r="B1173">
        <v>493</v>
      </c>
      <c t="s" s="6" r="D1173">
        <v>57</v>
      </c>
      <c t="s" s="6" r="E1173">
        <v>6229</v>
      </c>
      <c t="s" s="6" r="F1173">
        <v>81</v>
      </c>
      <c t="s" s="6" r="G1173">
        <v>8557</v>
      </c>
      <c s="6" r="H1173">
        <v>0</v>
      </c>
      <c t="s" s="6" r="I1173">
        <v>83</v>
      </c>
      <c t="s" s="6" r="J1173">
        <v>2410</v>
      </c>
      <c t="s" s="6" r="M1173">
        <v>483</v>
      </c>
      <c s="6" r="N1173">
        <v>1</v>
      </c>
      <c s="6" r="O1173">
        <v>0</v>
      </c>
      <c t="s" s="6" r="P1173">
        <v>86</v>
      </c>
      <c t="s" s="6" r="Q1173">
        <v>188</v>
      </c>
      <c t="s" s="6" r="R1173">
        <v>8558</v>
      </c>
      <c t="s" s="6" r="S1173">
        <v>8559</v>
      </c>
      <c t="s" s="6" r="T1173">
        <v>7122</v>
      </c>
      <c t="s" s="6" r="U1173">
        <v>8560</v>
      </c>
      <c s="6" r="V1173">
        <v>1</v>
      </c>
      <c s="6" r="W1173">
        <v>1</v>
      </c>
      <c s="6" r="X1173">
        <v>1</v>
      </c>
      <c s="6" r="Y1173">
        <v>0</v>
      </c>
      <c s="6" r="Z1173">
        <v>1</v>
      </c>
      <c s="6" r="AA1173">
        <v>4</v>
      </c>
      <c s="6" r="AB1173">
        <v>4</v>
      </c>
      <c t="s" s="6" r="AC1173">
        <v>92</v>
      </c>
      <c s="6" r="AD1173">
        <v>4</v>
      </c>
      <c t="s" s="6" r="AE1173">
        <v>92</v>
      </c>
      <c t="s" s="6" r="AF1173">
        <v>92</v>
      </c>
      <c t="s" s="6" r="AG1173">
        <v>92</v>
      </c>
      <c t="s" s="6" r="AH1173">
        <v>92</v>
      </c>
      <c t="s" s="6" r="AI1173">
        <v>92</v>
      </c>
      <c s="6" r="AJ1173">
        <v>4</v>
      </c>
      <c t="s" s="6" r="AK1173">
        <v>92</v>
      </c>
      <c t="s" s="6" r="AL1173">
        <v>92</v>
      </c>
      <c t="s" s="6" r="AM1173">
        <v>92</v>
      </c>
      <c t="s" s="6" r="AN1173">
        <v>92</v>
      </c>
      <c s="6" r="AP1173">
        <v>4</v>
      </c>
      <c t="s" s="6" r="AR1173">
        <v>8561</v>
      </c>
      <c s="6" r="AS1173">
        <v>0</v>
      </c>
      <c s="6" r="AT1173">
        <v>0</v>
      </c>
      <c s="6" r="AU1173">
        <v>0</v>
      </c>
      <c s="6" r="AV1173">
        <v>0</v>
      </c>
      <c s="6" r="AW1173">
        <v>0</v>
      </c>
      <c s="6" r="AX1173">
        <v>0</v>
      </c>
      <c s="6" r="AY1173">
        <v>0</v>
      </c>
      <c s="6" r="AZ1173">
        <v>0</v>
      </c>
      <c s="6" r="BA1173">
        <v>0</v>
      </c>
      <c s="6" r="BB1173">
        <v>0</v>
      </c>
      <c s="6" r="BC1173">
        <v>0</v>
      </c>
      <c s="6" r="BD1173">
        <v>0</v>
      </c>
      <c s="6" r="BE1173">
        <v>0</v>
      </c>
      <c s="6" r="BF1173">
        <v>1</v>
      </c>
      <c s="6" r="BG1173">
        <v>0</v>
      </c>
      <c s="6" r="BH1173">
        <v>0</v>
      </c>
      <c s="6" r="BI1173">
        <v>0</v>
      </c>
      <c s="6" r="BJ1173">
        <v>0</v>
      </c>
      <c s="6" r="BK1173">
        <v>0</v>
      </c>
      <c s="6" r="BL1173">
        <v>0</v>
      </c>
      <c s="6" r="BM1173">
        <v>0</v>
      </c>
      <c s="6" r="BN1173">
        <v>0</v>
      </c>
      <c s="6" r="BO1173">
        <v>0</v>
      </c>
      <c s="6" r="BP1173">
        <v>0</v>
      </c>
      <c s="6" r="BQ1173">
        <v>0</v>
      </c>
      <c t="str" s="6" r="BR1173">
        <f>HYPERLINK("http://www.d20pfsrd.com/magic/all-spells/v/volcanic-storm","Volcanic Storm")</f>
        <v>Volcanic Storm</v>
      </c>
      <c s="6" r="BS1173">
        <v>1195</v>
      </c>
      <c t="s" s="6" r="BT1173">
        <v>92</v>
      </c>
      <c s="6" r="BY1173">
        <v>0</v>
      </c>
    </row>
    <row customHeight="1" r="1174" ht="14.25">
      <c t="s" s="6" r="A1174">
        <v>8562</v>
      </c>
      <c t="s" s="6" r="B1174">
        <v>493</v>
      </c>
      <c t="s" s="6" r="D1174">
        <v>67</v>
      </c>
      <c t="s" s="6" r="E1174">
        <v>8563</v>
      </c>
      <c t="s" s="6" r="F1174">
        <v>81</v>
      </c>
      <c t="s" s="6" r="G1174">
        <v>8564</v>
      </c>
      <c s="6" r="H1174">
        <v>0</v>
      </c>
      <c t="s" s="6" r="I1174">
        <v>97</v>
      </c>
      <c t="s" s="6" r="K1174">
        <v>8565</v>
      </c>
      <c t="s" s="6" r="M1174">
        <v>2696</v>
      </c>
      <c s="6" r="N1174">
        <v>0</v>
      </c>
      <c s="6" r="O1174">
        <v>0</v>
      </c>
      <c t="s" s="6" r="P1174">
        <v>86</v>
      </c>
      <c t="s" s="6" r="Q1174">
        <v>188</v>
      </c>
      <c t="s" s="6" r="R1174">
        <v>8566</v>
      </c>
      <c t="s" s="6" r="S1174">
        <v>8567</v>
      </c>
      <c t="s" s="6" r="T1174">
        <v>7122</v>
      </c>
      <c t="s" s="6" r="U1174">
        <v>8568</v>
      </c>
      <c s="6" r="V1174">
        <v>1</v>
      </c>
      <c s="6" r="W1174">
        <v>1</v>
      </c>
      <c s="6" r="X1174">
        <v>1</v>
      </c>
      <c s="6" r="Y1174">
        <v>0</v>
      </c>
      <c s="6" r="Z1174">
        <v>0</v>
      </c>
      <c s="6" r="AA1174">
        <v>5</v>
      </c>
      <c s="6" r="AB1174">
        <v>5</v>
      </c>
      <c t="s" s="6" r="AC1174">
        <v>92</v>
      </c>
      <c t="s" s="6" r="AD1174">
        <v>92</v>
      </c>
      <c t="s" s="6" r="AE1174">
        <v>92</v>
      </c>
      <c s="6" r="AF1174">
        <v>4</v>
      </c>
      <c t="s" s="6" r="AG1174">
        <v>92</v>
      </c>
      <c t="s" s="6" r="AH1174">
        <v>92</v>
      </c>
      <c t="s" s="6" r="AI1174">
        <v>92</v>
      </c>
      <c t="s" s="6" r="AJ1174">
        <v>92</v>
      </c>
      <c t="s" s="6" r="AK1174">
        <v>92</v>
      </c>
      <c t="s" s="6" r="AL1174">
        <v>92</v>
      </c>
      <c t="s" s="6" r="AM1174">
        <v>92</v>
      </c>
      <c s="6" r="AN1174">
        <v>4</v>
      </c>
      <c s="6" r="AP1174">
        <v>5</v>
      </c>
      <c t="s" s="6" r="AR1174">
        <v>8569</v>
      </c>
      <c s="6" r="AS1174">
        <v>0</v>
      </c>
      <c s="6" r="AT1174">
        <v>0</v>
      </c>
      <c s="6" r="AU1174">
        <v>0</v>
      </c>
      <c s="6" r="AV1174">
        <v>0</v>
      </c>
      <c s="6" r="AW1174">
        <v>0</v>
      </c>
      <c s="6" r="AX1174">
        <v>0</v>
      </c>
      <c s="6" r="AY1174">
        <v>0</v>
      </c>
      <c s="6" r="AZ1174">
        <v>0</v>
      </c>
      <c s="6" r="BA1174">
        <v>0</v>
      </c>
      <c s="6" r="BB1174">
        <v>0</v>
      </c>
      <c s="6" r="BC1174">
        <v>0</v>
      </c>
      <c s="6" r="BD1174">
        <v>0</v>
      </c>
      <c s="6" r="BE1174">
        <v>0</v>
      </c>
      <c s="6" r="BF1174">
        <v>0</v>
      </c>
      <c s="6" r="BG1174">
        <v>0</v>
      </c>
      <c s="6" r="BH1174">
        <v>0</v>
      </c>
      <c s="6" r="BI1174">
        <v>0</v>
      </c>
      <c s="6" r="BJ1174">
        <v>0</v>
      </c>
      <c s="6" r="BK1174">
        <v>0</v>
      </c>
      <c s="6" r="BL1174">
        <v>0</v>
      </c>
      <c s="6" r="BM1174">
        <v>0</v>
      </c>
      <c s="6" r="BN1174">
        <v>0</v>
      </c>
      <c s="6" r="BO1174">
        <v>0</v>
      </c>
      <c s="6" r="BP1174">
        <v>1</v>
      </c>
      <c s="6" r="BQ1174">
        <v>0</v>
      </c>
      <c t="str" s="6" r="BR1174">
        <f>HYPERLINK("http://www.d20pfsrd.com/magic/all-spells/w/wall-of-sound","Wall of Sound")</f>
        <v>Wall of Sound</v>
      </c>
      <c s="6" r="BS1174">
        <v>1196</v>
      </c>
      <c t="s" s="6" r="BT1174">
        <v>92</v>
      </c>
      <c s="6" r="BY1174">
        <v>0</v>
      </c>
    </row>
    <row customHeight="1" r="1175" ht="14.25">
      <c t="s" s="6" r="A1175">
        <v>8570</v>
      </c>
      <c t="s" s="6" r="B1175">
        <v>115</v>
      </c>
      <c t="s" s="6" r="C1175">
        <v>116</v>
      </c>
      <c t="s" s="6" r="D1175">
        <v>117</v>
      </c>
      <c t="s" s="6" r="E1175">
        <v>8571</v>
      </c>
      <c t="s" s="6" r="F1175">
        <v>197</v>
      </c>
      <c t="s" s="6" r="G1175">
        <v>8572</v>
      </c>
      <c s="6" r="H1175">
        <v>0</v>
      </c>
      <c t="s" s="6" r="I1175">
        <v>107</v>
      </c>
      <c t="s" s="6" r="L1175">
        <v>8573</v>
      </c>
      <c t="s" s="6" r="M1175">
        <v>209</v>
      </c>
      <c s="6" r="N1175">
        <v>0</v>
      </c>
      <c s="6" r="O1175">
        <v>0</v>
      </c>
      <c t="s" s="6" r="P1175">
        <v>86</v>
      </c>
      <c t="s" s="6" r="Q1175">
        <v>188</v>
      </c>
      <c t="s" s="6" r="R1175">
        <v>8574</v>
      </c>
      <c t="s" s="6" r="S1175">
        <v>8575</v>
      </c>
      <c t="s" s="6" r="T1175">
        <v>7122</v>
      </c>
      <c t="s" s="6" r="U1175">
        <v>8576</v>
      </c>
      <c s="6" r="V1175">
        <v>1</v>
      </c>
      <c s="6" r="W1175">
        <v>1</v>
      </c>
      <c s="6" r="X1175">
        <v>1</v>
      </c>
      <c s="6" r="Y1175">
        <v>0</v>
      </c>
      <c s="6" r="Z1175">
        <v>0</v>
      </c>
      <c t="s" s="6" r="AA1175">
        <v>92</v>
      </c>
      <c t="s" s="6" r="AB1175">
        <v>92</v>
      </c>
      <c t="s" s="6" r="AC1175">
        <v>92</v>
      </c>
      <c s="6" r="AD1175">
        <v>2</v>
      </c>
      <c s="6" r="AE1175">
        <v>1</v>
      </c>
      <c s="6" r="AF1175">
        <v>2</v>
      </c>
      <c s="6" r="AG1175">
        <v>1</v>
      </c>
      <c t="s" s="6" r="AH1175">
        <v>92</v>
      </c>
      <c t="s" s="6" r="AI1175">
        <v>92</v>
      </c>
      <c t="s" s="6" r="AJ1175">
        <v>92</v>
      </c>
      <c s="6" r="AK1175">
        <v>1</v>
      </c>
      <c t="s" s="6" r="AL1175">
        <v>92</v>
      </c>
      <c s="6" r="AM1175">
        <v>1</v>
      </c>
      <c t="s" s="6" r="AN1175">
        <v>92</v>
      </c>
      <c s="6" r="AP1175">
        <v>2</v>
      </c>
      <c t="s" s="6" r="AR1175">
        <v>8577</v>
      </c>
      <c s="6" r="AS1175">
        <v>0</v>
      </c>
      <c s="6" r="AT1175">
        <v>0</v>
      </c>
      <c s="6" r="AU1175">
        <v>0</v>
      </c>
      <c s="6" r="AV1175">
        <v>0</v>
      </c>
      <c s="6" r="AW1175">
        <v>0</v>
      </c>
      <c s="6" r="AX1175">
        <v>0</v>
      </c>
      <c s="6" r="AY1175">
        <v>0</v>
      </c>
      <c s="6" r="AZ1175">
        <v>0</v>
      </c>
      <c s="6" r="BA1175">
        <v>0</v>
      </c>
      <c s="6" r="BB1175">
        <v>0</v>
      </c>
      <c s="6" r="BC1175">
        <v>0</v>
      </c>
      <c s="6" r="BD1175">
        <v>0</v>
      </c>
      <c s="6" r="BE1175">
        <v>0</v>
      </c>
      <c s="6" r="BF1175">
        <v>0</v>
      </c>
      <c s="6" r="BG1175">
        <v>0</v>
      </c>
      <c s="6" r="BH1175">
        <v>0</v>
      </c>
      <c s="6" r="BI1175">
        <v>0</v>
      </c>
      <c s="6" r="BJ1175">
        <v>0</v>
      </c>
      <c s="6" r="BK1175">
        <v>0</v>
      </c>
      <c s="6" r="BL1175">
        <v>1</v>
      </c>
      <c s="6" r="BM1175">
        <v>0</v>
      </c>
      <c s="6" r="BN1175">
        <v>0</v>
      </c>
      <c s="6" r="BO1175">
        <v>0</v>
      </c>
      <c s="6" r="BP1175">
        <v>0</v>
      </c>
      <c s="6" r="BQ1175">
        <v>0</v>
      </c>
      <c t="str" s="6" r="BR1175">
        <f>HYPERLINK("http://www.d20pfsrd.com/magic/all-spells/w/wartrain-mount","Wartrain Mount")</f>
        <v>Wartrain Mount</v>
      </c>
      <c s="6" r="BS1175">
        <v>1197</v>
      </c>
      <c t="s" s="6" r="BT1175">
        <v>92</v>
      </c>
      <c s="6" r="BY1175">
        <v>0</v>
      </c>
    </row>
    <row customHeight="1" r="1176" ht="14.25">
      <c t="s" s="6" r="A1176">
        <v>8578</v>
      </c>
      <c t="s" s="6" r="B1176">
        <v>115</v>
      </c>
      <c t="s" s="6" r="C1176">
        <v>116</v>
      </c>
      <c t="s" s="6" r="D1176">
        <v>7379</v>
      </c>
      <c t="s" s="6" r="E1176">
        <v>8579</v>
      </c>
      <c t="s" s="6" r="F1176">
        <v>81</v>
      </c>
      <c t="s" s="6" r="G1176">
        <v>106</v>
      </c>
      <c s="6" r="H1176">
        <v>0</v>
      </c>
      <c t="s" s="6" r="I1176">
        <v>1052</v>
      </c>
      <c t="s" s="6" r="J1176">
        <v>630</v>
      </c>
      <c t="s" s="6" r="M1176">
        <v>8580</v>
      </c>
      <c s="6" r="N1176">
        <v>0</v>
      </c>
      <c s="6" r="O1176">
        <v>0</v>
      </c>
      <c t="s" s="6" r="P1176">
        <v>7202</v>
      </c>
      <c t="s" s="6" r="Q1176">
        <v>188</v>
      </c>
      <c t="s" s="6" r="R1176">
        <v>8581</v>
      </c>
      <c t="s" s="6" r="S1176">
        <v>8582</v>
      </c>
      <c t="s" s="6" r="T1176">
        <v>7122</v>
      </c>
      <c t="s" s="6" r="U1176">
        <v>8583</v>
      </c>
      <c s="6" r="V1176">
        <v>1</v>
      </c>
      <c s="6" r="W1176">
        <v>1</v>
      </c>
      <c s="6" r="X1176">
        <v>0</v>
      </c>
      <c s="6" r="Y1176">
        <v>0</v>
      </c>
      <c s="6" r="Z1176">
        <v>0</v>
      </c>
      <c s="6" r="AA1176">
        <v>7</v>
      </c>
      <c s="6" r="AB1176">
        <v>7</v>
      </c>
      <c s="6" r="AC1176">
        <v>7</v>
      </c>
      <c t="s" s="6" r="AD1176">
        <v>92</v>
      </c>
      <c t="s" s="6" r="AE1176">
        <v>92</v>
      </c>
      <c s="6" r="AF1176">
        <v>6</v>
      </c>
      <c t="s" s="6" r="AG1176">
        <v>92</v>
      </c>
      <c t="s" s="6" r="AH1176">
        <v>92</v>
      </c>
      <c t="s" s="6" r="AI1176">
        <v>92</v>
      </c>
      <c s="6" r="AJ1176">
        <v>7</v>
      </c>
      <c t="s" s="6" r="AK1176">
        <v>92</v>
      </c>
      <c s="6" r="AL1176">
        <v>7</v>
      </c>
      <c t="s" s="6" r="AM1176">
        <v>92</v>
      </c>
      <c t="s" s="6" r="AN1176">
        <v>92</v>
      </c>
      <c s="6" r="AP1176">
        <v>7</v>
      </c>
      <c t="s" s="6" r="AR1176">
        <v>8584</v>
      </c>
      <c s="6" r="AS1176">
        <v>0</v>
      </c>
      <c s="6" r="AT1176">
        <v>0</v>
      </c>
      <c s="6" r="AU1176">
        <v>0</v>
      </c>
      <c s="6" r="AV1176">
        <v>0</v>
      </c>
      <c s="6" r="AW1176">
        <v>0</v>
      </c>
      <c s="6" r="AX1176">
        <v>0</v>
      </c>
      <c s="6" r="AY1176">
        <v>0</v>
      </c>
      <c s="6" r="AZ1176">
        <v>0</v>
      </c>
      <c s="6" r="BA1176">
        <v>0</v>
      </c>
      <c s="6" r="BB1176">
        <v>0</v>
      </c>
      <c s="6" r="BC1176">
        <v>1</v>
      </c>
      <c s="6" r="BD1176">
        <v>0</v>
      </c>
      <c s="6" r="BE1176">
        <v>0</v>
      </c>
      <c s="6" r="BF1176">
        <v>0</v>
      </c>
      <c s="6" r="BG1176">
        <v>0</v>
      </c>
      <c s="6" r="BH1176">
        <v>0</v>
      </c>
      <c s="6" r="BI1176">
        <v>0</v>
      </c>
      <c s="6" r="BJ1176">
        <v>0</v>
      </c>
      <c s="6" r="BK1176">
        <v>0</v>
      </c>
      <c s="6" r="BL1176">
        <v>1</v>
      </c>
      <c s="6" r="BM1176">
        <v>0</v>
      </c>
      <c s="6" r="BN1176">
        <v>0</v>
      </c>
      <c s="6" r="BO1176">
        <v>0</v>
      </c>
      <c s="6" r="BP1176">
        <v>0</v>
      </c>
      <c s="6" r="BQ1176">
        <v>0</v>
      </c>
      <c t="str" s="6" r="BR1176">
        <f>HYPERLINK("http://www.d20pfsrd.com/magic/all-spells/w/waves-of-ecstasy","Waves of Ecstasy")</f>
        <v>Waves of Ecstasy</v>
      </c>
      <c s="6" r="BS1176">
        <v>1198</v>
      </c>
      <c t="s" s="6" r="BT1176">
        <v>92</v>
      </c>
      <c s="6" r="BY1176">
        <v>0</v>
      </c>
    </row>
    <row customHeight="1" r="1177" ht="14.25">
      <c t="s" s="6" r="A1177">
        <v>8585</v>
      </c>
      <c t="s" s="6" r="B1177">
        <v>78</v>
      </c>
      <c t="s" s="6" r="C1177">
        <v>79</v>
      </c>
      <c t="s" s="6" r="E1177">
        <v>8586</v>
      </c>
      <c t="s" s="6" r="F1177">
        <v>197</v>
      </c>
      <c t="s" s="6" r="G1177">
        <v>119</v>
      </c>
      <c s="6" r="H1177">
        <v>0</v>
      </c>
      <c t="s" s="6" r="I1177">
        <v>8587</v>
      </c>
      <c t="s" s="6" r="K1177">
        <v>8588</v>
      </c>
      <c t="s" s="6" r="M1177">
        <v>711</v>
      </c>
      <c s="6" r="N1177">
        <v>1</v>
      </c>
      <c s="6" r="O1177">
        <v>0</v>
      </c>
      <c t="s" s="6" r="P1177">
        <v>86</v>
      </c>
      <c t="s" s="6" r="Q1177">
        <v>87</v>
      </c>
      <c t="s" s="6" r="R1177">
        <v>8589</v>
      </c>
      <c t="s" s="6" r="S1177">
        <v>8590</v>
      </c>
      <c t="s" s="6" r="T1177">
        <v>7122</v>
      </c>
      <c t="s" s="6" r="U1177">
        <v>8591</v>
      </c>
      <c s="6" r="V1177">
        <v>1</v>
      </c>
      <c s="6" r="W1177">
        <v>1</v>
      </c>
      <c s="6" r="X1177">
        <v>0</v>
      </c>
      <c s="6" r="Y1177">
        <v>0</v>
      </c>
      <c s="6" r="Z1177">
        <v>1</v>
      </c>
      <c s="6" r="AA1177">
        <v>2</v>
      </c>
      <c s="6" r="AB1177">
        <v>2</v>
      </c>
      <c s="6" r="AC1177">
        <v>2</v>
      </c>
      <c s="6" r="AD1177">
        <v>2</v>
      </c>
      <c s="6" r="AE1177">
        <v>2</v>
      </c>
      <c t="s" s="6" r="AF1177">
        <v>92</v>
      </c>
      <c t="s" s="6" r="AG1177">
        <v>92</v>
      </c>
      <c t="s" s="6" r="AH1177">
        <v>92</v>
      </c>
      <c s="6" r="AI1177">
        <v>2</v>
      </c>
      <c s="6" r="AJ1177">
        <v>2</v>
      </c>
      <c t="s" s="6" r="AK1177">
        <v>92</v>
      </c>
      <c s="6" r="AL1177">
        <v>2</v>
      </c>
      <c t="s" s="6" r="AM1177">
        <v>92</v>
      </c>
      <c t="s" s="6" r="AN1177">
        <v>92</v>
      </c>
      <c s="6" r="AP1177">
        <v>2</v>
      </c>
      <c t="s" s="6" r="AR1177">
        <v>8592</v>
      </c>
      <c s="6" r="AS1177">
        <v>0</v>
      </c>
      <c s="6" r="AT1177">
        <v>0</v>
      </c>
      <c s="6" r="AU1177">
        <v>0</v>
      </c>
      <c s="6" r="AV1177">
        <v>0</v>
      </c>
      <c s="6" r="AW1177">
        <v>0</v>
      </c>
      <c s="6" r="AX1177">
        <v>0</v>
      </c>
      <c s="6" r="AY1177">
        <v>0</v>
      </c>
      <c s="6" r="AZ1177">
        <v>0</v>
      </c>
      <c s="6" r="BA1177">
        <v>0</v>
      </c>
      <c s="6" r="BB1177">
        <v>0</v>
      </c>
      <c s="6" r="BC1177">
        <v>0</v>
      </c>
      <c s="6" r="BD1177">
        <v>0</v>
      </c>
      <c s="6" r="BE1177">
        <v>0</v>
      </c>
      <c s="6" r="BF1177">
        <v>0</v>
      </c>
      <c s="6" r="BG1177">
        <v>0</v>
      </c>
      <c s="6" r="BH1177">
        <v>0</v>
      </c>
      <c s="6" r="BI1177">
        <v>0</v>
      </c>
      <c s="6" r="BJ1177">
        <v>0</v>
      </c>
      <c s="6" r="BK1177">
        <v>0</v>
      </c>
      <c s="6" r="BL1177">
        <v>0</v>
      </c>
      <c s="6" r="BM1177">
        <v>0</v>
      </c>
      <c s="6" r="BN1177">
        <v>0</v>
      </c>
      <c s="6" r="BO1177">
        <v>0</v>
      </c>
      <c s="6" r="BP1177">
        <v>0</v>
      </c>
      <c s="6" r="BQ1177">
        <v>0</v>
      </c>
      <c t="str" s="6" r="BR1177">
        <f>HYPERLINK("http://www.d20pfsrd.com/magic/all-spells/w/web-shelter","Web Shelter")</f>
        <v>Web Shelter</v>
      </c>
      <c s="6" r="BS1177">
        <v>1199</v>
      </c>
      <c t="s" s="6" r="BT1177">
        <v>92</v>
      </c>
      <c s="6" r="BY1177">
        <v>0</v>
      </c>
    </row>
    <row customHeight="1" r="1178" ht="14.25">
      <c t="s" s="6" r="A1178">
        <v>8593</v>
      </c>
      <c t="s" s="6" r="B1178">
        <v>174</v>
      </c>
      <c t="s" s="6" r="C1178">
        <v>309</v>
      </c>
      <c t="s" s="6" r="E1178">
        <v>8594</v>
      </c>
      <c t="s" s="6" r="F1178">
        <v>81</v>
      </c>
      <c t="s" s="6" r="G1178">
        <v>106</v>
      </c>
      <c s="6" r="H1178">
        <v>0</v>
      </c>
      <c t="s" s="6" r="I1178">
        <v>83</v>
      </c>
      <c t="s" s="6" r="L1178">
        <v>473</v>
      </c>
      <c t="s" s="6" r="M1178">
        <v>5513</v>
      </c>
      <c s="6" r="N1178">
        <v>1</v>
      </c>
      <c s="6" r="O1178">
        <v>0</v>
      </c>
      <c t="s" s="6" r="P1178">
        <v>421</v>
      </c>
      <c t="s" s="6" r="Q1178">
        <v>123</v>
      </c>
      <c t="s" s="6" r="R1178">
        <v>8595</v>
      </c>
      <c t="s" s="6" r="S1178">
        <v>8596</v>
      </c>
      <c t="s" s="6" r="T1178">
        <v>7122</v>
      </c>
      <c t="s" s="6" r="U1178">
        <v>8597</v>
      </c>
      <c s="6" r="V1178">
        <v>1</v>
      </c>
      <c s="6" r="W1178">
        <v>1</v>
      </c>
      <c s="6" r="X1178">
        <v>0</v>
      </c>
      <c s="6" r="Y1178">
        <v>0</v>
      </c>
      <c s="6" r="Z1178">
        <v>0</v>
      </c>
      <c t="s" s="6" r="AA1178">
        <v>92</v>
      </c>
      <c t="s" s="6" r="AB1178">
        <v>92</v>
      </c>
      <c t="s" s="6" r="AC1178">
        <v>92</v>
      </c>
      <c t="s" s="6" r="AD1178">
        <v>92</v>
      </c>
      <c t="s" s="6" r="AE1178">
        <v>92</v>
      </c>
      <c s="6" r="AF1178">
        <v>3</v>
      </c>
      <c t="s" s="6" r="AG1178">
        <v>92</v>
      </c>
      <c t="s" s="6" r="AH1178">
        <v>92</v>
      </c>
      <c t="s" s="6" r="AI1178">
        <v>92</v>
      </c>
      <c s="6" r="AJ1178">
        <v>3</v>
      </c>
      <c s="6" r="AK1178">
        <v>3</v>
      </c>
      <c t="s" s="6" r="AL1178">
        <v>92</v>
      </c>
      <c t="s" s="6" r="AM1178">
        <v>92</v>
      </c>
      <c t="s" s="6" r="AN1178">
        <v>92</v>
      </c>
      <c s="6" r="AP1178">
        <v>3</v>
      </c>
      <c t="s" s="6" r="AR1178">
        <v>8598</v>
      </c>
      <c s="6" r="AS1178">
        <v>0</v>
      </c>
      <c s="6" r="AT1178">
        <v>0</v>
      </c>
      <c s="6" r="AU1178">
        <v>0</v>
      </c>
      <c s="6" r="AV1178">
        <v>0</v>
      </c>
      <c s="6" r="AW1178">
        <v>0</v>
      </c>
      <c s="6" r="AX1178">
        <v>0</v>
      </c>
      <c s="6" r="AY1178">
        <v>0</v>
      </c>
      <c s="6" r="AZ1178">
        <v>0</v>
      </c>
      <c s="6" r="BA1178">
        <v>0</v>
      </c>
      <c s="6" r="BB1178">
        <v>0</v>
      </c>
      <c s="6" r="BC1178">
        <v>0</v>
      </c>
      <c s="6" r="BD1178">
        <v>0</v>
      </c>
      <c s="6" r="BE1178">
        <v>0</v>
      </c>
      <c s="6" r="BF1178">
        <v>0</v>
      </c>
      <c s="6" r="BG1178">
        <v>0</v>
      </c>
      <c s="6" r="BH1178">
        <v>0</v>
      </c>
      <c s="6" r="BI1178">
        <v>0</v>
      </c>
      <c s="6" r="BJ1178">
        <v>0</v>
      </c>
      <c s="6" r="BK1178">
        <v>0</v>
      </c>
      <c s="6" r="BL1178">
        <v>0</v>
      </c>
      <c s="6" r="BM1178">
        <v>0</v>
      </c>
      <c s="6" r="BN1178">
        <v>0</v>
      </c>
      <c s="6" r="BO1178">
        <v>0</v>
      </c>
      <c s="6" r="BP1178">
        <v>0</v>
      </c>
      <c s="6" r="BQ1178">
        <v>0</v>
      </c>
      <c t="str" s="6" r="BR1178">
        <f>HYPERLINK("http://www.d20pfsrd.com/magic/all-spells/w/witness","Witness")</f>
        <v>Witness</v>
      </c>
      <c s="6" r="BS1178">
        <v>1200</v>
      </c>
      <c t="s" s="6" r="BT1178">
        <v>92</v>
      </c>
      <c s="6" r="BY1178">
        <v>0</v>
      </c>
    </row>
    <row customHeight="1" r="1179" ht="14.25">
      <c t="s" s="6" r="A1179">
        <v>8599</v>
      </c>
      <c t="s" s="6" r="B1179">
        <v>78</v>
      </c>
      <c t="s" s="6" r="C1179">
        <v>79</v>
      </c>
      <c t="s" s="6" r="E1179">
        <v>1599</v>
      </c>
      <c t="s" s="6" r="F1179">
        <v>81</v>
      </c>
      <c t="s" s="6" r="G1179">
        <v>106</v>
      </c>
      <c s="6" r="H1179">
        <v>0</v>
      </c>
      <c t="s" s="6" r="I1179">
        <v>97</v>
      </c>
      <c t="s" s="6" r="K1179">
        <v>8600</v>
      </c>
      <c t="s" s="6" r="M1179">
        <v>711</v>
      </c>
      <c s="6" r="N1179">
        <v>1</v>
      </c>
      <c s="6" r="O1179">
        <v>0</v>
      </c>
      <c t="s" s="6" r="P1179">
        <v>86</v>
      </c>
      <c t="s" s="6" r="Q1179">
        <v>87</v>
      </c>
      <c t="s" s="6" r="R1179">
        <v>8601</v>
      </c>
      <c t="s" s="6" r="S1179">
        <v>8602</v>
      </c>
      <c t="s" s="6" r="T1179">
        <v>7122</v>
      </c>
      <c t="s" s="6" r="U1179">
        <v>8603</v>
      </c>
      <c s="6" r="V1179">
        <v>1</v>
      </c>
      <c s="6" r="W1179">
        <v>1</v>
      </c>
      <c s="6" r="X1179">
        <v>0</v>
      </c>
      <c s="6" r="Y1179">
        <v>0</v>
      </c>
      <c s="6" r="Z1179">
        <v>0</v>
      </c>
      <c s="6" r="AA1179">
        <v>9</v>
      </c>
      <c s="6" r="AB1179">
        <v>9</v>
      </c>
      <c s="6" r="AC1179">
        <v>9</v>
      </c>
      <c t="s" s="6" r="AD1179">
        <v>92</v>
      </c>
      <c t="s" s="6" r="AE1179">
        <v>92</v>
      </c>
      <c t="s" s="6" r="AF1179">
        <v>92</v>
      </c>
      <c t="s" s="6" r="AG1179">
        <v>92</v>
      </c>
      <c t="s" s="6" r="AH1179">
        <v>92</v>
      </c>
      <c t="s" s="6" r="AI1179">
        <v>92</v>
      </c>
      <c t="s" s="6" r="AJ1179">
        <v>92</v>
      </c>
      <c t="s" s="6" r="AK1179">
        <v>92</v>
      </c>
      <c s="6" r="AL1179">
        <v>9</v>
      </c>
      <c t="s" s="6" r="AM1179">
        <v>92</v>
      </c>
      <c t="s" s="6" r="AN1179">
        <v>92</v>
      </c>
      <c s="6" r="AP1179">
        <v>9</v>
      </c>
      <c t="s" s="6" r="AR1179">
        <v>8604</v>
      </c>
      <c s="6" r="AS1179">
        <v>0</v>
      </c>
      <c s="6" r="AT1179">
        <v>0</v>
      </c>
      <c s="6" r="AU1179">
        <v>0</v>
      </c>
      <c s="6" r="AV1179">
        <v>0</v>
      </c>
      <c s="6" r="AW1179">
        <v>0</v>
      </c>
      <c s="6" r="AX1179">
        <v>0</v>
      </c>
      <c s="6" r="AY1179">
        <v>0</v>
      </c>
      <c s="6" r="AZ1179">
        <v>0</v>
      </c>
      <c s="6" r="BA1179">
        <v>0</v>
      </c>
      <c s="6" r="BB1179">
        <v>0</v>
      </c>
      <c s="6" r="BC1179">
        <v>0</v>
      </c>
      <c s="6" r="BD1179">
        <v>0</v>
      </c>
      <c s="6" r="BE1179">
        <v>0</v>
      </c>
      <c s="6" r="BF1179">
        <v>0</v>
      </c>
      <c s="6" r="BG1179">
        <v>0</v>
      </c>
      <c s="6" r="BH1179">
        <v>0</v>
      </c>
      <c s="6" r="BI1179">
        <v>0</v>
      </c>
      <c s="6" r="BJ1179">
        <v>0</v>
      </c>
      <c s="6" r="BK1179">
        <v>0</v>
      </c>
      <c s="6" r="BL1179">
        <v>0</v>
      </c>
      <c s="6" r="BM1179">
        <v>0</v>
      </c>
      <c s="6" r="BN1179">
        <v>0</v>
      </c>
      <c s="6" r="BO1179">
        <v>0</v>
      </c>
      <c s="6" r="BP1179">
        <v>0</v>
      </c>
      <c s="6" r="BQ1179">
        <v>0</v>
      </c>
      <c t="str" s="6" r="BR1179">
        <f>HYPERLINK("http://www.d20pfsrd.com/magic/all-spells/w/wooden-phalanx","Wooden Phalanx")</f>
        <v>Wooden Phalanx</v>
      </c>
      <c s="6" r="BS1179">
        <v>1201</v>
      </c>
      <c t="s" s="6" r="BT1179">
        <v>92</v>
      </c>
      <c s="6" r="BY1179">
        <v>0</v>
      </c>
    </row>
    <row customHeight="1" r="1180" ht="14.25">
      <c t="s" s="6" r="A1180">
        <v>8605</v>
      </c>
      <c t="s" s="6" r="B1180">
        <v>162</v>
      </c>
      <c t="s" s="6" r="E1180">
        <v>544</v>
      </c>
      <c t="s" s="6" r="F1180">
        <v>1743</v>
      </c>
      <c t="s" s="6" r="G1180">
        <v>5511</v>
      </c>
      <c s="6" r="H1180">
        <v>0</v>
      </c>
      <c t="s" s="6" r="I1180">
        <v>107</v>
      </c>
      <c t="s" s="6" r="L1180">
        <v>7877</v>
      </c>
      <c t="s" s="6" r="M1180">
        <v>109</v>
      </c>
      <c s="6" r="N1180">
        <v>0</v>
      </c>
      <c s="6" r="O1180">
        <v>0</v>
      </c>
      <c t="s" s="6" r="P1180">
        <v>8606</v>
      </c>
      <c t="s" s="6" r="Q1180">
        <v>123</v>
      </c>
      <c t="s" s="6" r="R1180">
        <v>8607</v>
      </c>
      <c t="s" s="6" r="S1180">
        <v>8608</v>
      </c>
      <c t="s" s="6" r="T1180">
        <v>7122</v>
      </c>
      <c t="s" s="6" r="U1180">
        <v>8609</v>
      </c>
      <c s="6" r="V1180">
        <v>1</v>
      </c>
      <c s="6" r="W1180">
        <v>0</v>
      </c>
      <c s="6" r="X1180">
        <v>0</v>
      </c>
      <c s="6" r="Y1180">
        <v>0</v>
      </c>
      <c s="6" r="Z1180">
        <v>1</v>
      </c>
      <c t="s" s="6" r="AA1180">
        <v>92</v>
      </c>
      <c t="s" s="6" r="AB1180">
        <v>92</v>
      </c>
      <c t="s" s="6" r="AC1180">
        <v>92</v>
      </c>
      <c t="s" s="6" r="AD1180">
        <v>92</v>
      </c>
      <c t="s" s="6" r="AE1180">
        <v>92</v>
      </c>
      <c t="s" s="6" r="AF1180">
        <v>92</v>
      </c>
      <c s="6" r="AG1180">
        <v>1</v>
      </c>
      <c t="s" s="6" r="AH1180">
        <v>92</v>
      </c>
      <c t="s" s="6" r="AI1180">
        <v>92</v>
      </c>
      <c t="s" s="6" r="AJ1180">
        <v>92</v>
      </c>
      <c t="s" s="6" r="AK1180">
        <v>92</v>
      </c>
      <c t="s" s="6" r="AL1180">
        <v>92</v>
      </c>
      <c t="s" s="6" r="AM1180">
        <v>92</v>
      </c>
      <c t="s" s="6" r="AN1180">
        <v>92</v>
      </c>
      <c s="6" r="AP1180">
        <v>1</v>
      </c>
      <c t="s" s="6" r="AR1180">
        <v>8610</v>
      </c>
      <c s="6" r="AS1180">
        <v>0</v>
      </c>
      <c s="6" r="AT1180">
        <v>0</v>
      </c>
      <c s="6" r="AU1180">
        <v>0</v>
      </c>
      <c s="6" r="AV1180">
        <v>0</v>
      </c>
      <c s="6" r="AW1180">
        <v>0</v>
      </c>
      <c s="6" r="AX1180">
        <v>0</v>
      </c>
      <c s="6" r="AY1180">
        <v>0</v>
      </c>
      <c s="6" r="AZ1180">
        <v>0</v>
      </c>
      <c s="6" r="BA1180">
        <v>0</v>
      </c>
      <c s="6" r="BB1180">
        <v>0</v>
      </c>
      <c s="6" r="BC1180">
        <v>0</v>
      </c>
      <c s="6" r="BD1180">
        <v>0</v>
      </c>
      <c s="6" r="BE1180">
        <v>0</v>
      </c>
      <c s="6" r="BF1180">
        <v>0</v>
      </c>
      <c s="6" r="BG1180">
        <v>0</v>
      </c>
      <c s="6" r="BH1180">
        <v>0</v>
      </c>
      <c s="6" r="BI1180">
        <v>0</v>
      </c>
      <c s="6" r="BJ1180">
        <v>0</v>
      </c>
      <c s="6" r="BK1180">
        <v>0</v>
      </c>
      <c s="6" r="BL1180">
        <v>0</v>
      </c>
      <c s="6" r="BM1180">
        <v>0</v>
      </c>
      <c s="6" r="BN1180">
        <v>0</v>
      </c>
      <c s="6" r="BO1180">
        <v>0</v>
      </c>
      <c s="6" r="BP1180">
        <v>0</v>
      </c>
      <c s="6" r="BQ1180">
        <v>0</v>
      </c>
      <c t="str" s="6" r="BR1180">
        <f>HYPERLINK("http://www.d20pfsrd.com/magic/all-spells/w/word-of-resolve","Word of Resolve")</f>
        <v>Word of Resolve</v>
      </c>
      <c s="6" r="BS1180">
        <v>1202</v>
      </c>
      <c t="s" s="6" r="BT1180">
        <v>92</v>
      </c>
      <c s="6" r="BY1180">
        <v>0</v>
      </c>
    </row>
    <row customHeight="1" r="1181" ht="14.25">
      <c t="s" s="6" r="A1181">
        <v>8611</v>
      </c>
      <c t="s" s="6" r="B1181">
        <v>131</v>
      </c>
      <c t="s" s="6" r="C1181">
        <v>152</v>
      </c>
      <c t="s" s="6" r="E1181">
        <v>1307</v>
      </c>
      <c t="s" s="6" r="F1181">
        <v>81</v>
      </c>
      <c t="s" s="6" r="G1181">
        <v>106</v>
      </c>
      <c s="6" r="H1181">
        <v>0</v>
      </c>
      <c t="s" s="6" r="I1181">
        <v>120</v>
      </c>
      <c t="s" s="6" r="L1181">
        <v>420</v>
      </c>
      <c t="s" s="6" r="M1181">
        <v>209</v>
      </c>
      <c s="6" r="N1181">
        <v>0</v>
      </c>
      <c s="6" r="O1181">
        <v>0</v>
      </c>
      <c t="s" s="6" r="R1181">
        <v>8612</v>
      </c>
      <c t="s" s="6" r="S1181">
        <v>8613</v>
      </c>
      <c t="s" s="6" r="T1181">
        <v>7122</v>
      </c>
      <c t="s" s="6" r="U1181">
        <v>8614</v>
      </c>
      <c s="6" r="V1181">
        <v>1</v>
      </c>
      <c s="6" r="W1181">
        <v>1</v>
      </c>
      <c s="6" r="X1181">
        <v>0</v>
      </c>
      <c s="6" r="Y1181">
        <v>0</v>
      </c>
      <c s="6" r="Z1181">
        <v>0</v>
      </c>
      <c s="6" r="AA1181">
        <v>1</v>
      </c>
      <c s="6" r="AB1181">
        <v>1</v>
      </c>
      <c t="s" s="6" r="AC1181">
        <v>92</v>
      </c>
      <c t="s" s="6" r="AD1181">
        <v>92</v>
      </c>
      <c t="s" s="6" r="AE1181">
        <v>92</v>
      </c>
      <c s="6" r="AF1181">
        <v>1</v>
      </c>
      <c t="s" s="6" r="AG1181">
        <v>92</v>
      </c>
      <c s="6" r="AH1181">
        <v>1</v>
      </c>
      <c t="s" s="6" r="AI1181">
        <v>92</v>
      </c>
      <c s="6" r="AJ1181">
        <v>1</v>
      </c>
      <c t="s" s="6" r="AK1181">
        <v>92</v>
      </c>
      <c t="s" s="6" r="AL1181">
        <v>92</v>
      </c>
      <c t="s" s="6" r="AM1181">
        <v>92</v>
      </c>
      <c t="s" s="6" r="AN1181">
        <v>92</v>
      </c>
      <c s="6" r="AP1181">
        <v>1</v>
      </c>
      <c t="s" s="6" r="AR1181">
        <v>8615</v>
      </c>
      <c s="6" r="AS1181">
        <v>0</v>
      </c>
      <c s="6" r="AT1181">
        <v>0</v>
      </c>
      <c s="6" r="AU1181">
        <v>0</v>
      </c>
      <c s="6" r="AV1181">
        <v>0</v>
      </c>
      <c s="6" r="AW1181">
        <v>0</v>
      </c>
      <c s="6" r="AX1181">
        <v>0</v>
      </c>
      <c s="6" r="AY1181">
        <v>0</v>
      </c>
      <c s="6" r="AZ1181">
        <v>0</v>
      </c>
      <c s="6" r="BA1181">
        <v>0</v>
      </c>
      <c s="6" r="BB1181">
        <v>0</v>
      </c>
      <c s="6" r="BC1181">
        <v>0</v>
      </c>
      <c s="6" r="BD1181">
        <v>0</v>
      </c>
      <c s="6" r="BE1181">
        <v>0</v>
      </c>
      <c s="6" r="BF1181">
        <v>0</v>
      </c>
      <c s="6" r="BG1181">
        <v>0</v>
      </c>
      <c s="6" r="BH1181">
        <v>0</v>
      </c>
      <c s="6" r="BI1181">
        <v>0</v>
      </c>
      <c s="6" r="BJ1181">
        <v>0</v>
      </c>
      <c s="6" r="BK1181">
        <v>0</v>
      </c>
      <c s="6" r="BL1181">
        <v>0</v>
      </c>
      <c s="6" r="BM1181">
        <v>0</v>
      </c>
      <c s="6" r="BN1181">
        <v>0</v>
      </c>
      <c s="6" r="BO1181">
        <v>0</v>
      </c>
      <c s="6" r="BP1181">
        <v>0</v>
      </c>
      <c s="6" r="BQ1181">
        <v>0</v>
      </c>
      <c t="str" s="6" r="BR1181">
        <f>HYPERLINK("http://www.d20pfsrd.com/magic/all-spells/y/youthful-appearance","Youthful Appearance")</f>
        <v>Youthful Appearance</v>
      </c>
      <c s="6" r="BS1181">
        <v>1203</v>
      </c>
      <c t="s" s="6" r="BT1181">
        <v>92</v>
      </c>
      <c s="6" r="BY1181">
        <v>0</v>
      </c>
    </row>
    <row customHeight="1" r="1182" ht="14.25">
      <c t="s" s="6" r="A1182">
        <v>8616</v>
      </c>
      <c t="s" s="6" r="B1182">
        <v>131</v>
      </c>
      <c t="s" s="6" r="E1182">
        <v>8099</v>
      </c>
      <c t="s" s="6" r="F1182">
        <v>1743</v>
      </c>
      <c t="s" s="6" r="G1182">
        <v>106</v>
      </c>
      <c s="6" r="H1182">
        <v>0</v>
      </c>
      <c t="s" s="6" r="I1182">
        <v>97</v>
      </c>
      <c t="s" s="6" r="L1182">
        <v>8617</v>
      </c>
      <c t="s" s="6" r="M1182">
        <v>8618</v>
      </c>
      <c s="6" r="N1182">
        <v>0</v>
      </c>
      <c s="6" r="O1182">
        <v>0</v>
      </c>
      <c t="s" s="6" r="P1182">
        <v>8619</v>
      </c>
      <c t="s" s="6" r="Q1182">
        <v>188</v>
      </c>
      <c t="s" s="6" r="R1182">
        <v>8620</v>
      </c>
      <c t="s" s="6" r="S1182">
        <v>8621</v>
      </c>
      <c t="s" s="6" r="T1182">
        <v>8622</v>
      </c>
      <c t="s" s="6" r="U1182">
        <v>8623</v>
      </c>
      <c s="6" r="V1182">
        <v>1</v>
      </c>
      <c s="6" r="W1182">
        <v>1</v>
      </c>
      <c s="6" r="X1182">
        <v>0</v>
      </c>
      <c s="6" r="Y1182">
        <v>0</v>
      </c>
      <c s="6" r="Z1182">
        <v>0</v>
      </c>
      <c s="6" r="AA1182">
        <v>2</v>
      </c>
      <c s="6" r="AB1182">
        <v>2</v>
      </c>
      <c s="6" r="AC1182">
        <v>2</v>
      </c>
      <c t="s" s="6" r="AD1182">
        <v>92</v>
      </c>
      <c t="s" s="6" r="AE1182">
        <v>92</v>
      </c>
      <c t="s" s="6" r="AF1182">
        <v>92</v>
      </c>
      <c t="s" s="6" r="AG1182">
        <v>92</v>
      </c>
      <c t="s" s="6" r="AH1182">
        <v>92</v>
      </c>
      <c t="s" s="6" r="AI1182">
        <v>92</v>
      </c>
      <c s="6" r="AJ1182">
        <v>2</v>
      </c>
      <c t="s" s="6" r="AK1182">
        <v>92</v>
      </c>
      <c s="6" r="AL1182">
        <v>2</v>
      </c>
      <c t="s" s="6" r="AM1182">
        <v>92</v>
      </c>
      <c t="s" s="6" r="AN1182">
        <v>92</v>
      </c>
      <c s="6" r="AP1182">
        <v>2</v>
      </c>
      <c s="6" r="AS1182">
        <v>0</v>
      </c>
      <c s="6" r="AT1182">
        <v>0</v>
      </c>
      <c s="6" r="AU1182">
        <v>0</v>
      </c>
      <c s="6" r="AV1182">
        <v>0</v>
      </c>
      <c s="6" r="AW1182">
        <v>0</v>
      </c>
      <c s="6" r="AX1182">
        <v>0</v>
      </c>
      <c s="6" r="AY1182">
        <v>0</v>
      </c>
      <c s="6" r="AZ1182">
        <v>0</v>
      </c>
      <c s="6" r="BA1182">
        <v>0</v>
      </c>
      <c s="6" r="BB1182">
        <v>0</v>
      </c>
      <c s="6" r="BC1182">
        <v>0</v>
      </c>
      <c s="6" r="BD1182">
        <v>0</v>
      </c>
      <c s="6" r="BE1182">
        <v>0</v>
      </c>
      <c s="6" r="BF1182">
        <v>0</v>
      </c>
      <c s="6" r="BG1182">
        <v>0</v>
      </c>
      <c s="6" r="BH1182">
        <v>0</v>
      </c>
      <c s="6" r="BI1182">
        <v>0</v>
      </c>
      <c s="6" r="BJ1182">
        <v>0</v>
      </c>
      <c s="6" r="BK1182">
        <v>0</v>
      </c>
      <c s="6" r="BL1182">
        <v>0</v>
      </c>
      <c s="6" r="BM1182">
        <v>0</v>
      </c>
      <c s="6" r="BN1182">
        <v>0</v>
      </c>
      <c s="6" r="BO1182">
        <v>0</v>
      </c>
      <c s="6" r="BP1182">
        <v>0</v>
      </c>
      <c s="6" r="BQ1182">
        <v>0</v>
      </c>
      <c t="s" s="6" r="BR1182">
        <v>92</v>
      </c>
      <c s="6" r="BS1182">
        <v>1204</v>
      </c>
      <c t="s" s="6" r="BT1182">
        <v>92</v>
      </c>
      <c s="6" r="BY1182">
        <v>0</v>
      </c>
    </row>
    <row customHeight="1" r="1183" ht="14.25">
      <c t="s" s="6" r="A1183">
        <v>8624</v>
      </c>
      <c t="s" s="6" r="B1183">
        <v>131</v>
      </c>
      <c t="s" s="6" r="E1183">
        <v>5204</v>
      </c>
      <c t="s" s="6" r="F1183">
        <v>81</v>
      </c>
      <c t="s" s="6" r="G1183">
        <v>8625</v>
      </c>
      <c s="6" r="H1183">
        <v>0</v>
      </c>
      <c t="s" s="6" r="I1183">
        <v>120</v>
      </c>
      <c t="s" s="6" r="L1183">
        <v>420</v>
      </c>
      <c t="s" s="6" r="M1183">
        <v>5005</v>
      </c>
      <c s="6" r="N1183">
        <v>0</v>
      </c>
      <c s="6" r="O1183">
        <v>0</v>
      </c>
      <c t="s" s="6" r="P1183">
        <v>421</v>
      </c>
      <c t="s" s="6" r="Q1183">
        <v>87</v>
      </c>
      <c t="s" s="6" r="R1183">
        <v>8626</v>
      </c>
      <c t="s" s="6" r="S1183">
        <v>8627</v>
      </c>
      <c t="s" s="6" r="T1183">
        <v>8622</v>
      </c>
      <c t="s" s="6" r="U1183">
        <v>8628</v>
      </c>
      <c s="6" r="V1183">
        <v>1</v>
      </c>
      <c s="6" r="W1183">
        <v>1</v>
      </c>
      <c s="6" r="X1183">
        <v>1</v>
      </c>
      <c s="6" r="Y1183">
        <v>0</v>
      </c>
      <c s="6" r="Z1183">
        <v>0</v>
      </c>
      <c s="6" r="AA1183">
        <v>2</v>
      </c>
      <c s="6" r="AB1183">
        <v>2</v>
      </c>
      <c t="s" s="6" r="AC1183">
        <v>92</v>
      </c>
      <c s="6" r="AD1183">
        <v>2</v>
      </c>
      <c s="6" r="AE1183">
        <v>2</v>
      </c>
      <c t="s" s="6" r="AF1183">
        <v>92</v>
      </c>
      <c t="s" s="6" r="AG1183">
        <v>92</v>
      </c>
      <c t="s" s="6" r="AH1183">
        <v>92</v>
      </c>
      <c t="s" s="6" r="AI1183">
        <v>92</v>
      </c>
      <c t="s" s="6" r="AJ1183">
        <v>92</v>
      </c>
      <c t="s" s="6" r="AK1183">
        <v>92</v>
      </c>
      <c t="s" s="6" r="AL1183">
        <v>92</v>
      </c>
      <c t="s" s="6" r="AM1183">
        <v>92</v>
      </c>
      <c t="s" s="6" r="AN1183">
        <v>92</v>
      </c>
      <c s="6" r="AP1183">
        <v>2</v>
      </c>
      <c s="6" r="AS1183">
        <v>0</v>
      </c>
      <c s="6" r="AT1183">
        <v>0</v>
      </c>
      <c s="6" r="AU1183">
        <v>0</v>
      </c>
      <c s="6" r="AV1183">
        <v>0</v>
      </c>
      <c s="6" r="AW1183">
        <v>0</v>
      </c>
      <c s="6" r="AX1183">
        <v>0</v>
      </c>
      <c s="6" r="AY1183">
        <v>0</v>
      </c>
      <c s="6" r="AZ1183">
        <v>0</v>
      </c>
      <c s="6" r="BA1183">
        <v>0</v>
      </c>
      <c s="6" r="BB1183">
        <v>0</v>
      </c>
      <c s="6" r="BC1183">
        <v>0</v>
      </c>
      <c s="6" r="BD1183">
        <v>0</v>
      </c>
      <c s="6" r="BE1183">
        <v>0</v>
      </c>
      <c s="6" r="BF1183">
        <v>0</v>
      </c>
      <c s="6" r="BG1183">
        <v>0</v>
      </c>
      <c s="6" r="BH1183">
        <v>0</v>
      </c>
      <c s="6" r="BI1183">
        <v>0</v>
      </c>
      <c s="6" r="BJ1183">
        <v>0</v>
      </c>
      <c s="6" r="BK1183">
        <v>0</v>
      </c>
      <c s="6" r="BL1183">
        <v>0</v>
      </c>
      <c s="6" r="BM1183">
        <v>0</v>
      </c>
      <c s="6" r="BN1183">
        <v>0</v>
      </c>
      <c s="6" r="BO1183">
        <v>0</v>
      </c>
      <c s="6" r="BP1183">
        <v>0</v>
      </c>
      <c s="6" r="BQ1183">
        <v>0</v>
      </c>
      <c t="s" s="6" r="BR1183">
        <v>92</v>
      </c>
      <c s="6" r="BS1183">
        <v>1205</v>
      </c>
      <c t="s" s="6" r="BT1183">
        <v>92</v>
      </c>
      <c s="6" r="BY1183">
        <v>0</v>
      </c>
    </row>
    <row customHeight="1" r="1184" ht="14.25">
      <c t="s" s="6" r="A1184">
        <v>8629</v>
      </c>
      <c t="s" s="6" r="B1184">
        <v>493</v>
      </c>
      <c t="s" s="6" r="D1184">
        <v>53</v>
      </c>
      <c t="s" s="6" r="E1184">
        <v>5164</v>
      </c>
      <c t="s" s="6" r="F1184">
        <v>81</v>
      </c>
      <c t="s" s="6" r="G1184">
        <v>106</v>
      </c>
      <c s="6" r="H1184">
        <v>0</v>
      </c>
      <c t="s" s="6" r="I1184">
        <v>97</v>
      </c>
      <c t="s" s="6" r="L1184">
        <v>482</v>
      </c>
      <c t="s" s="6" r="M1184">
        <v>109</v>
      </c>
      <c s="6" r="N1184">
        <v>0</v>
      </c>
      <c s="6" r="O1184">
        <v>0</v>
      </c>
      <c t="s" s="6" r="P1184">
        <v>1254</v>
      </c>
      <c t="s" s="6" r="Q1184">
        <v>188</v>
      </c>
      <c t="s" s="6" r="R1184">
        <v>8630</v>
      </c>
      <c t="s" s="6" r="S1184">
        <v>8631</v>
      </c>
      <c t="s" s="6" r="T1184">
        <v>8622</v>
      </c>
      <c t="s" s="6" r="U1184">
        <v>8632</v>
      </c>
      <c s="6" r="V1184">
        <v>1</v>
      </c>
      <c s="6" r="W1184">
        <v>1</v>
      </c>
      <c s="6" r="X1184">
        <v>0</v>
      </c>
      <c s="6" r="Y1184">
        <v>0</v>
      </c>
      <c s="6" r="Z1184">
        <v>0</v>
      </c>
      <c s="6" r="AA1184">
        <v>3</v>
      </c>
      <c s="6" r="AB1184">
        <v>3</v>
      </c>
      <c t="s" s="6" r="AC1184">
        <v>92</v>
      </c>
      <c s="6" r="AD1184">
        <v>3</v>
      </c>
      <c t="s" s="6" r="AE1184">
        <v>92</v>
      </c>
      <c t="s" s="6" r="AF1184">
        <v>92</v>
      </c>
      <c t="s" s="6" r="AG1184">
        <v>92</v>
      </c>
      <c t="s" s="6" r="AH1184">
        <v>92</v>
      </c>
      <c t="s" s="6" r="AI1184">
        <v>92</v>
      </c>
      <c t="s" s="6" r="AJ1184">
        <v>92</v>
      </c>
      <c t="s" s="6" r="AK1184">
        <v>92</v>
      </c>
      <c t="s" s="6" r="AL1184">
        <v>92</v>
      </c>
      <c t="s" s="6" r="AM1184">
        <v>92</v>
      </c>
      <c t="s" s="6" r="AN1184">
        <v>92</v>
      </c>
      <c s="6" r="AP1184">
        <v>3</v>
      </c>
      <c s="6" r="AS1184">
        <v>0</v>
      </c>
      <c s="6" r="AT1184">
        <v>0</v>
      </c>
      <c s="6" r="AU1184">
        <v>0</v>
      </c>
      <c s="6" r="AV1184">
        <v>0</v>
      </c>
      <c s="6" r="AW1184">
        <v>0</v>
      </c>
      <c s="6" r="AX1184">
        <v>0</v>
      </c>
      <c s="6" r="AY1184">
        <v>0</v>
      </c>
      <c s="6" r="AZ1184">
        <v>0</v>
      </c>
      <c s="6" r="BA1184">
        <v>0</v>
      </c>
      <c s="6" r="BB1184">
        <v>1</v>
      </c>
      <c s="6" r="BC1184">
        <v>0</v>
      </c>
      <c s="6" r="BD1184">
        <v>0</v>
      </c>
      <c s="6" r="BE1184">
        <v>0</v>
      </c>
      <c s="6" r="BF1184">
        <v>0</v>
      </c>
      <c s="6" r="BG1184">
        <v>0</v>
      </c>
      <c s="6" r="BH1184">
        <v>0</v>
      </c>
      <c s="6" r="BI1184">
        <v>0</v>
      </c>
      <c s="6" r="BJ1184">
        <v>0</v>
      </c>
      <c s="6" r="BK1184">
        <v>0</v>
      </c>
      <c s="6" r="BL1184">
        <v>0</v>
      </c>
      <c s="6" r="BM1184">
        <v>0</v>
      </c>
      <c s="6" r="BN1184">
        <v>0</v>
      </c>
      <c s="6" r="BO1184">
        <v>0</v>
      </c>
      <c s="6" r="BP1184">
        <v>0</v>
      </c>
      <c s="6" r="BQ1184">
        <v>0</v>
      </c>
      <c t="s" s="6" r="BR1184">
        <v>92</v>
      </c>
      <c s="6" r="BS1184">
        <v>1206</v>
      </c>
      <c t="s" s="6" r="BT1184">
        <v>92</v>
      </c>
      <c s="6" r="BY1184">
        <v>0</v>
      </c>
    </row>
    <row customHeight="1" r="1185" ht="14.25">
      <c t="s" s="6" r="A1185">
        <v>8633</v>
      </c>
      <c t="s" s="6" r="B1185">
        <v>493</v>
      </c>
      <c t="s" s="6" r="D1185">
        <v>45</v>
      </c>
      <c t="s" s="6" r="E1185">
        <v>8634</v>
      </c>
      <c t="s" s="6" r="F1185">
        <v>81</v>
      </c>
      <c t="s" s="6" r="G1185">
        <v>8635</v>
      </c>
      <c s="6" r="H1185">
        <v>0</v>
      </c>
      <c t="s" s="6" r="I1185">
        <v>107</v>
      </c>
      <c t="s" s="6" r="L1185">
        <v>1380</v>
      </c>
      <c t="s" s="6" r="M1185">
        <v>8636</v>
      </c>
      <c s="6" r="N1185">
        <v>1</v>
      </c>
      <c s="6" r="O1185">
        <v>0</v>
      </c>
      <c t="s" s="6" r="P1185">
        <v>421</v>
      </c>
      <c t="s" s="6" r="Q1185">
        <v>188</v>
      </c>
      <c t="s" s="6" r="R1185">
        <v>8637</v>
      </c>
      <c t="s" s="6" r="S1185">
        <v>8638</v>
      </c>
      <c t="s" s="6" r="T1185">
        <v>8639</v>
      </c>
      <c t="s" s="6" r="U1185">
        <v>8640</v>
      </c>
      <c s="6" r="V1185">
        <v>1</v>
      </c>
      <c s="6" r="W1185">
        <v>1</v>
      </c>
      <c s="6" r="X1185">
        <v>1</v>
      </c>
      <c s="6" r="Y1185">
        <v>0</v>
      </c>
      <c s="6" r="Z1185">
        <v>0</v>
      </c>
      <c s="6" r="AA1185">
        <v>0</v>
      </c>
      <c s="6" r="AB1185">
        <v>0</v>
      </c>
      <c t="s" s="6" r="AC1185">
        <v>92</v>
      </c>
      <c t="s" s="6" r="AD1185">
        <v>92</v>
      </c>
      <c t="s" s="6" r="AE1185">
        <v>92</v>
      </c>
      <c t="s" s="6" r="AF1185">
        <v>92</v>
      </c>
      <c t="s" s="6" r="AG1185">
        <v>92</v>
      </c>
      <c t="s" s="6" r="AH1185">
        <v>92</v>
      </c>
      <c t="s" s="6" r="AI1185">
        <v>92</v>
      </c>
      <c t="s" s="6" r="AJ1185">
        <v>92</v>
      </c>
      <c t="s" s="6" r="AK1185">
        <v>92</v>
      </c>
      <c t="s" s="6" r="AL1185">
        <v>92</v>
      </c>
      <c t="s" s="6" r="AM1185">
        <v>92</v>
      </c>
      <c t="s" s="6" r="AN1185">
        <v>92</v>
      </c>
      <c s="6" r="AP1185">
        <v>0</v>
      </c>
      <c s="6" r="AS1185">
        <v>0</v>
      </c>
      <c s="6" r="AT1185">
        <v>1</v>
      </c>
      <c s="6" r="AU1185">
        <v>0</v>
      </c>
      <c s="6" r="AV1185">
        <v>0</v>
      </c>
      <c s="6" r="AW1185">
        <v>0</v>
      </c>
      <c s="6" r="AX1185">
        <v>0</v>
      </c>
      <c s="6" r="AY1185">
        <v>0</v>
      </c>
      <c s="6" r="AZ1185">
        <v>0</v>
      </c>
      <c s="6" r="BA1185">
        <v>0</v>
      </c>
      <c s="6" r="BB1185">
        <v>0</v>
      </c>
      <c s="6" r="BC1185">
        <v>0</v>
      </c>
      <c s="6" r="BD1185">
        <v>0</v>
      </c>
      <c s="6" r="BE1185">
        <v>0</v>
      </c>
      <c s="6" r="BF1185">
        <v>0</v>
      </c>
      <c s="6" r="BG1185">
        <v>0</v>
      </c>
      <c s="6" r="BH1185">
        <v>0</v>
      </c>
      <c s="6" r="BI1185">
        <v>0</v>
      </c>
      <c s="6" r="BJ1185">
        <v>0</v>
      </c>
      <c s="6" r="BK1185">
        <v>0</v>
      </c>
      <c s="6" r="BL1185">
        <v>0</v>
      </c>
      <c s="6" r="BM1185">
        <v>0</v>
      </c>
      <c s="6" r="BN1185">
        <v>0</v>
      </c>
      <c s="6" r="BO1185">
        <v>0</v>
      </c>
      <c s="6" r="BP1185">
        <v>0</v>
      </c>
      <c s="6" r="BQ1185">
        <v>0</v>
      </c>
      <c t="s" s="6" r="BR1185">
        <v>92</v>
      </c>
      <c s="6" r="BS1185">
        <v>1207</v>
      </c>
      <c t="s" s="6" r="BT1185">
        <v>92</v>
      </c>
      <c s="6" r="BY1185">
        <v>0</v>
      </c>
    </row>
    <row customHeight="1" r="1186" ht="14.25">
      <c t="s" s="6" r="A1186">
        <v>8641</v>
      </c>
      <c t="s" s="6" r="B1186">
        <v>78</v>
      </c>
      <c t="s" s="6" r="C1186">
        <v>79</v>
      </c>
      <c t="s" s="6" r="D1186">
        <v>68</v>
      </c>
      <c t="s" s="6" r="E1186">
        <v>8634</v>
      </c>
      <c t="s" s="6" r="F1186">
        <v>81</v>
      </c>
      <c t="s" s="6" r="G1186">
        <v>106</v>
      </c>
      <c s="6" r="H1186">
        <v>0</v>
      </c>
      <c t="s" s="6" r="I1186">
        <v>107</v>
      </c>
      <c t="s" s="6" r="L1186">
        <v>8642</v>
      </c>
      <c t="s" s="6" r="M1186">
        <v>272</v>
      </c>
      <c s="6" r="N1186">
        <v>0</v>
      </c>
      <c s="6" r="O1186">
        <v>0</v>
      </c>
      <c t="s" s="6" r="P1186">
        <v>4436</v>
      </c>
      <c t="s" s="6" r="Q1186">
        <v>536</v>
      </c>
      <c t="s" s="6" r="R1186">
        <v>8643</v>
      </c>
      <c t="s" s="6" r="S1186">
        <v>8644</v>
      </c>
      <c t="s" s="6" r="T1186">
        <v>8639</v>
      </c>
      <c t="s" s="6" r="U1186">
        <v>8645</v>
      </c>
      <c s="6" r="V1186">
        <v>1</v>
      </c>
      <c s="6" r="W1186">
        <v>1</v>
      </c>
      <c s="6" r="X1186">
        <v>0</v>
      </c>
      <c s="6" r="Y1186">
        <v>0</v>
      </c>
      <c s="6" r="Z1186">
        <v>0</v>
      </c>
      <c s="6" r="AA1186">
        <v>0</v>
      </c>
      <c s="6" r="AB1186">
        <v>0</v>
      </c>
      <c t="s" s="6" r="AC1186">
        <v>92</v>
      </c>
      <c t="s" s="6" r="AD1186">
        <v>92</v>
      </c>
      <c t="s" s="6" r="AE1186">
        <v>92</v>
      </c>
      <c t="s" s="6" r="AF1186">
        <v>92</v>
      </c>
      <c t="s" s="6" r="AG1186">
        <v>92</v>
      </c>
      <c t="s" s="6" r="AH1186">
        <v>92</v>
      </c>
      <c t="s" s="6" r="AI1186">
        <v>92</v>
      </c>
      <c t="s" s="6" r="AJ1186">
        <v>92</v>
      </c>
      <c t="s" s="6" r="AK1186">
        <v>92</v>
      </c>
      <c t="s" s="6" r="AL1186">
        <v>92</v>
      </c>
      <c t="s" s="6" r="AM1186">
        <v>92</v>
      </c>
      <c t="s" s="6" r="AN1186">
        <v>92</v>
      </c>
      <c s="6" r="AP1186">
        <v>0</v>
      </c>
      <c s="6" r="AS1186">
        <v>0</v>
      </c>
      <c s="6" r="AT1186">
        <v>0</v>
      </c>
      <c s="6" r="AU1186">
        <v>0</v>
      </c>
      <c s="6" r="AV1186">
        <v>0</v>
      </c>
      <c s="6" r="AW1186">
        <v>0</v>
      </c>
      <c s="6" r="AX1186">
        <v>0</v>
      </c>
      <c s="6" r="AY1186">
        <v>0</v>
      </c>
      <c s="6" r="AZ1186">
        <v>0</v>
      </c>
      <c s="6" r="BA1186">
        <v>0</v>
      </c>
      <c s="6" r="BB1186">
        <v>0</v>
      </c>
      <c s="6" r="BC1186">
        <v>0</v>
      </c>
      <c s="6" r="BD1186">
        <v>0</v>
      </c>
      <c s="6" r="BE1186">
        <v>0</v>
      </c>
      <c s="6" r="BF1186">
        <v>0</v>
      </c>
      <c s="6" r="BG1186">
        <v>0</v>
      </c>
      <c s="6" r="BH1186">
        <v>0</v>
      </c>
      <c s="6" r="BI1186">
        <v>0</v>
      </c>
      <c s="6" r="BJ1186">
        <v>0</v>
      </c>
      <c s="6" r="BK1186">
        <v>0</v>
      </c>
      <c s="6" r="BL1186">
        <v>0</v>
      </c>
      <c s="6" r="BM1186">
        <v>0</v>
      </c>
      <c s="6" r="BN1186">
        <v>0</v>
      </c>
      <c s="6" r="BO1186">
        <v>0</v>
      </c>
      <c s="6" r="BP1186">
        <v>0</v>
      </c>
      <c s="6" r="BQ1186">
        <v>1</v>
      </c>
      <c t="s" s="6" r="BR1186">
        <v>92</v>
      </c>
      <c s="6" r="BS1186">
        <v>1208</v>
      </c>
      <c t="s" s="6" r="BT1186">
        <v>92</v>
      </c>
      <c s="6" r="BY1186">
        <v>0</v>
      </c>
    </row>
    <row customHeight="1" r="1187" ht="14.25">
      <c t="s" s="6" r="A1187">
        <v>8646</v>
      </c>
      <c t="s" s="6" r="B1187">
        <v>131</v>
      </c>
      <c t="s" s="6" r="D1187">
        <v>53</v>
      </c>
      <c t="s" s="6" r="E1187">
        <v>8634</v>
      </c>
      <c t="s" s="6" r="F1187">
        <v>81</v>
      </c>
      <c t="s" s="6" r="G1187">
        <v>106</v>
      </c>
      <c s="6" r="H1187">
        <v>0</v>
      </c>
      <c t="s" s="6" r="I1187">
        <v>107</v>
      </c>
      <c t="s" s="6" r="K1187">
        <v>8647</v>
      </c>
      <c t="s" s="6" r="M1187">
        <v>109</v>
      </c>
      <c s="6" r="N1187">
        <v>0</v>
      </c>
      <c s="6" r="O1187">
        <v>0</v>
      </c>
      <c t="s" s="6" r="P1187">
        <v>86</v>
      </c>
      <c t="s" s="6" r="Q1187">
        <v>4889</v>
      </c>
      <c t="s" s="6" r="R1187">
        <v>8648</v>
      </c>
      <c t="s" s="6" r="S1187">
        <v>8649</v>
      </c>
      <c t="s" s="6" r="T1187">
        <v>8639</v>
      </c>
      <c t="s" s="6" r="U1187">
        <v>8650</v>
      </c>
      <c s="6" r="V1187">
        <v>1</v>
      </c>
      <c s="6" r="W1187">
        <v>1</v>
      </c>
      <c s="6" r="X1187">
        <v>0</v>
      </c>
      <c s="6" r="Y1187">
        <v>0</v>
      </c>
      <c s="6" r="Z1187">
        <v>0</v>
      </c>
      <c s="6" r="AA1187">
        <v>0</v>
      </c>
      <c s="6" r="AB1187">
        <v>0</v>
      </c>
      <c t="s" s="6" r="AC1187">
        <v>92</v>
      </c>
      <c t="s" s="6" r="AD1187">
        <v>92</v>
      </c>
      <c t="s" s="6" r="AE1187">
        <v>92</v>
      </c>
      <c t="s" s="6" r="AF1187">
        <v>92</v>
      </c>
      <c t="s" s="6" r="AG1187">
        <v>92</v>
      </c>
      <c t="s" s="6" r="AH1187">
        <v>92</v>
      </c>
      <c t="s" s="6" r="AI1187">
        <v>92</v>
      </c>
      <c t="s" s="6" r="AJ1187">
        <v>92</v>
      </c>
      <c t="s" s="6" r="AK1187">
        <v>92</v>
      </c>
      <c t="s" s="6" r="AL1187">
        <v>92</v>
      </c>
      <c t="s" s="6" r="AM1187">
        <v>92</v>
      </c>
      <c t="s" s="6" r="AN1187">
        <v>92</v>
      </c>
      <c s="6" r="AP1187">
        <v>0</v>
      </c>
      <c s="6" r="AS1187">
        <v>0</v>
      </c>
      <c s="6" r="AT1187">
        <v>0</v>
      </c>
      <c s="6" r="AU1187">
        <v>0</v>
      </c>
      <c s="6" r="AV1187">
        <v>0</v>
      </c>
      <c s="6" r="AW1187">
        <v>0</v>
      </c>
      <c s="6" r="AX1187">
        <v>0</v>
      </c>
      <c s="6" r="AY1187">
        <v>0</v>
      </c>
      <c s="6" r="AZ1187">
        <v>0</v>
      </c>
      <c s="6" r="BA1187">
        <v>0</v>
      </c>
      <c s="6" r="BB1187">
        <v>1</v>
      </c>
      <c s="6" r="BC1187">
        <v>0</v>
      </c>
      <c s="6" r="BD1187">
        <v>0</v>
      </c>
      <c s="6" r="BE1187">
        <v>0</v>
      </c>
      <c s="6" r="BF1187">
        <v>0</v>
      </c>
      <c s="6" r="BG1187">
        <v>0</v>
      </c>
      <c s="6" r="BH1187">
        <v>0</v>
      </c>
      <c s="6" r="BI1187">
        <v>0</v>
      </c>
      <c s="6" r="BJ1187">
        <v>0</v>
      </c>
      <c s="6" r="BK1187">
        <v>0</v>
      </c>
      <c s="6" r="BL1187">
        <v>0</v>
      </c>
      <c s="6" r="BM1187">
        <v>0</v>
      </c>
      <c s="6" r="BN1187">
        <v>0</v>
      </c>
      <c s="6" r="BO1187">
        <v>0</v>
      </c>
      <c s="6" r="BP1187">
        <v>0</v>
      </c>
      <c s="6" r="BQ1187">
        <v>0</v>
      </c>
      <c t="s" s="6" r="BR1187">
        <v>92</v>
      </c>
      <c s="6" r="BS1187">
        <v>1209</v>
      </c>
      <c t="s" s="6" r="BT1187">
        <v>92</v>
      </c>
      <c s="6" r="BY1187">
        <v>0</v>
      </c>
    </row>
    <row customHeight="1" r="1188" ht="14.25">
      <c t="s" s="6" r="A1188">
        <v>8651</v>
      </c>
      <c t="s" s="6" r="B1188">
        <v>493</v>
      </c>
      <c t="s" s="6" r="D1188">
        <v>49</v>
      </c>
      <c t="s" s="6" r="E1188">
        <v>8634</v>
      </c>
      <c t="s" s="6" r="F1188">
        <v>81</v>
      </c>
      <c t="s" s="6" r="G1188">
        <v>8652</v>
      </c>
      <c s="6" r="H1188">
        <v>0</v>
      </c>
      <c t="s" s="6" r="I1188">
        <v>120</v>
      </c>
      <c t="s" s="6" r="L1188">
        <v>3064</v>
      </c>
      <c t="s" s="6" r="M1188">
        <v>5954</v>
      </c>
      <c s="6" r="N1188">
        <v>1</v>
      </c>
      <c s="6" r="O1188">
        <v>0</v>
      </c>
      <c t="s" s="6" r="P1188">
        <v>421</v>
      </c>
      <c t="s" s="6" r="Q1188">
        <v>188</v>
      </c>
      <c t="s" s="6" r="R1188">
        <v>8653</v>
      </c>
      <c t="s" s="6" r="S1188">
        <v>8654</v>
      </c>
      <c t="s" s="6" r="T1188">
        <v>8639</v>
      </c>
      <c t="s" s="6" r="U1188">
        <v>8655</v>
      </c>
      <c s="6" r="V1188">
        <v>1</v>
      </c>
      <c s="6" r="W1188">
        <v>1</v>
      </c>
      <c s="6" r="X1188">
        <v>1</v>
      </c>
      <c s="6" r="Y1188">
        <v>0</v>
      </c>
      <c s="6" r="Z1188">
        <v>0</v>
      </c>
      <c s="6" r="AA1188">
        <v>0</v>
      </c>
      <c s="6" r="AB1188">
        <v>0</v>
      </c>
      <c t="s" s="6" r="AC1188">
        <v>92</v>
      </c>
      <c t="s" s="6" r="AD1188">
        <v>92</v>
      </c>
      <c t="s" s="6" r="AE1188">
        <v>92</v>
      </c>
      <c t="s" s="6" r="AF1188">
        <v>92</v>
      </c>
      <c t="s" s="6" r="AG1188">
        <v>92</v>
      </c>
      <c t="s" s="6" r="AH1188">
        <v>92</v>
      </c>
      <c t="s" s="6" r="AI1188">
        <v>92</v>
      </c>
      <c t="s" s="6" r="AJ1188">
        <v>92</v>
      </c>
      <c t="s" s="6" r="AK1188">
        <v>92</v>
      </c>
      <c t="s" s="6" r="AL1188">
        <v>92</v>
      </c>
      <c t="s" s="6" r="AM1188">
        <v>92</v>
      </c>
      <c t="s" s="6" r="AN1188">
        <v>92</v>
      </c>
      <c s="6" r="AP1188">
        <v>0</v>
      </c>
      <c s="6" r="AS1188">
        <v>0</v>
      </c>
      <c s="6" r="AT1188">
        <v>0</v>
      </c>
      <c s="6" r="AU1188">
        <v>0</v>
      </c>
      <c s="6" r="AV1188">
        <v>0</v>
      </c>
      <c s="6" r="AW1188">
        <v>0</v>
      </c>
      <c s="6" r="AX1188">
        <v>1</v>
      </c>
      <c s="6" r="AY1188">
        <v>0</v>
      </c>
      <c s="6" r="AZ1188">
        <v>0</v>
      </c>
      <c s="6" r="BA1188">
        <v>0</v>
      </c>
      <c s="6" r="BB1188">
        <v>0</v>
      </c>
      <c s="6" r="BC1188">
        <v>0</v>
      </c>
      <c s="6" r="BD1188">
        <v>0</v>
      </c>
      <c s="6" r="BE1188">
        <v>0</v>
      </c>
      <c s="6" r="BF1188">
        <v>0</v>
      </c>
      <c s="6" r="BG1188">
        <v>0</v>
      </c>
      <c s="6" r="BH1188">
        <v>0</v>
      </c>
      <c s="6" r="BI1188">
        <v>0</v>
      </c>
      <c s="6" r="BJ1188">
        <v>0</v>
      </c>
      <c s="6" r="BK1188">
        <v>0</v>
      </c>
      <c s="6" r="BL1188">
        <v>0</v>
      </c>
      <c s="6" r="BM1188">
        <v>0</v>
      </c>
      <c s="6" r="BN1188">
        <v>0</v>
      </c>
      <c s="6" r="BO1188">
        <v>0</v>
      </c>
      <c s="6" r="BP1188">
        <v>0</v>
      </c>
      <c s="6" r="BQ1188">
        <v>0</v>
      </c>
      <c t="s" s="6" r="BR1188">
        <v>92</v>
      </c>
      <c s="6" r="BS1188">
        <v>1210</v>
      </c>
      <c t="s" s="6" r="BT1188">
        <v>92</v>
      </c>
      <c s="6" r="BY1188">
        <v>0</v>
      </c>
    </row>
    <row customHeight="1" r="1189" ht="14.25">
      <c t="s" s="6" r="A1189">
        <v>8656</v>
      </c>
      <c t="s" s="6" r="B1189">
        <v>131</v>
      </c>
      <c t="s" s="6" r="D1189">
        <v>52</v>
      </c>
      <c t="s" s="6" r="E1189">
        <v>8634</v>
      </c>
      <c t="s" s="6" r="F1189">
        <v>81</v>
      </c>
      <c t="s" s="6" r="G1189">
        <v>2688</v>
      </c>
      <c s="6" r="H1189">
        <v>0</v>
      </c>
      <c t="s" s="6" r="I1189">
        <v>120</v>
      </c>
      <c t="s" s="6" r="L1189">
        <v>420</v>
      </c>
      <c t="s" s="6" r="M1189">
        <v>8657</v>
      </c>
      <c s="6" r="N1189">
        <v>1</v>
      </c>
      <c s="6" r="O1189">
        <v>0</v>
      </c>
      <c t="s" s="6" r="P1189">
        <v>421</v>
      </c>
      <c t="s" s="6" r="Q1189">
        <v>188</v>
      </c>
      <c t="s" s="6" r="R1189">
        <v>8658</v>
      </c>
      <c t="s" s="6" r="S1189">
        <v>8659</v>
      </c>
      <c t="s" s="6" r="T1189">
        <v>8639</v>
      </c>
      <c t="s" s="6" r="U1189">
        <v>8660</v>
      </c>
      <c s="6" r="V1189">
        <v>1</v>
      </c>
      <c s="6" r="W1189">
        <v>1</v>
      </c>
      <c s="6" r="X1189">
        <v>1</v>
      </c>
      <c s="6" r="Y1189">
        <v>0</v>
      </c>
      <c s="6" r="Z1189">
        <v>0</v>
      </c>
      <c s="6" r="AA1189">
        <v>0</v>
      </c>
      <c s="6" r="AB1189">
        <v>0</v>
      </c>
      <c t="s" s="6" r="AC1189">
        <v>92</v>
      </c>
      <c t="s" s="6" r="AD1189">
        <v>92</v>
      </c>
      <c t="s" s="6" r="AE1189">
        <v>92</v>
      </c>
      <c t="s" s="6" r="AF1189">
        <v>92</v>
      </c>
      <c t="s" s="6" r="AG1189">
        <v>92</v>
      </c>
      <c t="s" s="6" r="AH1189">
        <v>92</v>
      </c>
      <c t="s" s="6" r="AI1189">
        <v>92</v>
      </c>
      <c t="s" s="6" r="AJ1189">
        <v>92</v>
      </c>
      <c t="s" s="6" r="AK1189">
        <v>92</v>
      </c>
      <c t="s" s="6" r="AL1189">
        <v>92</v>
      </c>
      <c t="s" s="6" r="AM1189">
        <v>92</v>
      </c>
      <c t="s" s="6" r="AN1189">
        <v>92</v>
      </c>
      <c s="6" r="AP1189">
        <v>0</v>
      </c>
      <c s="6" r="AS1189">
        <v>0</v>
      </c>
      <c s="6" r="AT1189">
        <v>0</v>
      </c>
      <c s="6" r="AU1189">
        <v>0</v>
      </c>
      <c s="6" r="AV1189">
        <v>0</v>
      </c>
      <c s="6" r="AW1189">
        <v>0</v>
      </c>
      <c s="6" r="AX1189">
        <v>0</v>
      </c>
      <c s="6" r="AY1189">
        <v>0</v>
      </c>
      <c s="6" r="AZ1189">
        <v>0</v>
      </c>
      <c s="6" r="BA1189">
        <v>1</v>
      </c>
      <c s="6" r="BB1189">
        <v>0</v>
      </c>
      <c s="6" r="BC1189">
        <v>0</v>
      </c>
      <c s="6" r="BD1189">
        <v>0</v>
      </c>
      <c s="6" r="BE1189">
        <v>0</v>
      </c>
      <c s="6" r="BF1189">
        <v>0</v>
      </c>
      <c s="6" r="BG1189">
        <v>0</v>
      </c>
      <c s="6" r="BH1189">
        <v>0</v>
      </c>
      <c s="6" r="BI1189">
        <v>0</v>
      </c>
      <c s="6" r="BJ1189">
        <v>0</v>
      </c>
      <c s="6" r="BK1189">
        <v>0</v>
      </c>
      <c s="6" r="BL1189">
        <v>0</v>
      </c>
      <c s="6" r="BM1189">
        <v>0</v>
      </c>
      <c s="6" r="BN1189">
        <v>0</v>
      </c>
      <c s="6" r="BO1189">
        <v>0</v>
      </c>
      <c s="6" r="BP1189">
        <v>0</v>
      </c>
      <c s="6" r="BQ1189">
        <v>0</v>
      </c>
      <c t="s" s="6" r="BR1189">
        <v>92</v>
      </c>
      <c s="6" r="BS1189">
        <v>1211</v>
      </c>
      <c t="s" s="6" r="BT1189">
        <v>92</v>
      </c>
      <c s="6" r="BY1189">
        <v>0</v>
      </c>
    </row>
    <row customHeight="1" r="1190" ht="14.25">
      <c t="s" s="6" r="A1190">
        <v>8661</v>
      </c>
      <c t="s" s="6" r="B1190">
        <v>493</v>
      </c>
      <c t="s" s="6" r="D1190">
        <v>58</v>
      </c>
      <c t="s" s="6" r="E1190">
        <v>8634</v>
      </c>
      <c t="s" s="6" r="F1190">
        <v>81</v>
      </c>
      <c t="s" s="6" r="G1190">
        <v>106</v>
      </c>
      <c s="6" r="H1190">
        <v>0</v>
      </c>
      <c t="s" s="6" r="I1190">
        <v>107</v>
      </c>
      <c t="s" s="6" r="K1190">
        <v>8662</v>
      </c>
      <c s="6" r="N1190">
        <v>0</v>
      </c>
      <c s="6" r="O1190">
        <v>0</v>
      </c>
      <c t="s" s="6" r="P1190">
        <v>86</v>
      </c>
      <c t="s" s="6" r="Q1190">
        <v>188</v>
      </c>
      <c t="s" s="6" r="R1190">
        <v>8663</v>
      </c>
      <c t="s" s="6" r="S1190">
        <v>8664</v>
      </c>
      <c t="s" s="6" r="T1190">
        <v>8639</v>
      </c>
      <c t="s" s="6" r="U1190">
        <v>8665</v>
      </c>
      <c s="6" r="V1190">
        <v>1</v>
      </c>
      <c s="6" r="W1190">
        <v>1</v>
      </c>
      <c s="6" r="X1190">
        <v>0</v>
      </c>
      <c s="6" r="Y1190">
        <v>0</v>
      </c>
      <c s="6" r="Z1190">
        <v>0</v>
      </c>
      <c s="6" r="AA1190">
        <v>0</v>
      </c>
      <c s="6" r="AB1190">
        <v>0</v>
      </c>
      <c t="s" s="6" r="AC1190">
        <v>92</v>
      </c>
      <c t="s" s="6" r="AD1190">
        <v>92</v>
      </c>
      <c t="s" s="6" r="AE1190">
        <v>92</v>
      </c>
      <c t="s" s="6" r="AF1190">
        <v>92</v>
      </c>
      <c t="s" s="6" r="AG1190">
        <v>92</v>
      </c>
      <c t="s" s="6" r="AH1190">
        <v>92</v>
      </c>
      <c t="s" s="6" r="AI1190">
        <v>92</v>
      </c>
      <c t="s" s="6" r="AJ1190">
        <v>92</v>
      </c>
      <c t="s" s="6" r="AK1190">
        <v>92</v>
      </c>
      <c t="s" s="6" r="AL1190">
        <v>92</v>
      </c>
      <c t="s" s="6" r="AM1190">
        <v>92</v>
      </c>
      <c t="s" s="6" r="AN1190">
        <v>92</v>
      </c>
      <c s="6" r="AP1190">
        <v>0</v>
      </c>
      <c s="6" r="AS1190">
        <v>0</v>
      </c>
      <c s="6" r="AT1190">
        <v>0</v>
      </c>
      <c s="6" r="AU1190">
        <v>0</v>
      </c>
      <c s="6" r="AV1190">
        <v>0</v>
      </c>
      <c s="6" r="AW1190">
        <v>0</v>
      </c>
      <c s="6" r="AX1190">
        <v>0</v>
      </c>
      <c s="6" r="AY1190">
        <v>0</v>
      </c>
      <c s="6" r="AZ1190">
        <v>0</v>
      </c>
      <c s="6" r="BA1190">
        <v>0</v>
      </c>
      <c s="6" r="BB1190">
        <v>0</v>
      </c>
      <c s="6" r="BC1190">
        <v>0</v>
      </c>
      <c s="6" r="BD1190">
        <v>0</v>
      </c>
      <c s="6" r="BE1190">
        <v>0</v>
      </c>
      <c s="6" r="BF1190">
        <v>0</v>
      </c>
      <c s="6" r="BG1190">
        <v>1</v>
      </c>
      <c s="6" r="BH1190">
        <v>0</v>
      </c>
      <c s="6" r="BI1190">
        <v>0</v>
      </c>
      <c s="6" r="BJ1190">
        <v>0</v>
      </c>
      <c s="6" r="BK1190">
        <v>0</v>
      </c>
      <c s="6" r="BL1190">
        <v>0</v>
      </c>
      <c s="6" r="BM1190">
        <v>0</v>
      </c>
      <c s="6" r="BN1190">
        <v>0</v>
      </c>
      <c s="6" r="BO1190">
        <v>0</v>
      </c>
      <c s="6" r="BP1190">
        <v>0</v>
      </c>
      <c s="6" r="BQ1190">
        <v>0</v>
      </c>
      <c t="s" s="6" r="BR1190">
        <v>92</v>
      </c>
      <c s="6" r="BS1190">
        <v>1212</v>
      </c>
      <c t="s" s="6" r="BT1190">
        <v>92</v>
      </c>
      <c s="6" r="BY1190">
        <v>0</v>
      </c>
    </row>
    <row customHeight="1" r="1191" ht="14.25">
      <c t="s" s="6" r="A1191">
        <v>8666</v>
      </c>
      <c t="s" s="6" r="B1191">
        <v>579</v>
      </c>
      <c t="s" s="6" r="C1191">
        <v>831</v>
      </c>
      <c t="s" s="6" r="E1191">
        <v>262</v>
      </c>
      <c t="s" s="6" r="F1191">
        <v>5881</v>
      </c>
      <c t="s" s="6" r="G1191">
        <v>106</v>
      </c>
      <c s="6" r="H1191">
        <v>0</v>
      </c>
      <c t="s" s="6" r="I1191">
        <v>120</v>
      </c>
      <c t="s" s="6" r="L1191">
        <v>8667</v>
      </c>
      <c t="s" s="6" r="M1191">
        <v>2718</v>
      </c>
      <c s="6" r="N1191">
        <v>0</v>
      </c>
      <c s="6" r="O1191">
        <v>0</v>
      </c>
      <c t="s" s="6" r="P1191">
        <v>2206</v>
      </c>
      <c t="s" s="6" r="Q1191">
        <v>145</v>
      </c>
      <c t="s" s="6" r="R1191">
        <v>8668</v>
      </c>
      <c t="s" s="6" r="S1191">
        <v>8669</v>
      </c>
      <c t="s" s="6" r="T1191">
        <v>8622</v>
      </c>
      <c t="s" s="6" r="U1191">
        <v>8670</v>
      </c>
      <c s="6" r="V1191">
        <v>1</v>
      </c>
      <c s="6" r="W1191">
        <v>1</v>
      </c>
      <c s="6" r="X1191">
        <v>0</v>
      </c>
      <c s="6" r="Y1191">
        <v>0</v>
      </c>
      <c s="6" r="Z1191">
        <v>0</v>
      </c>
      <c s="6" r="AA1191">
        <v>1</v>
      </c>
      <c s="6" r="AB1191">
        <v>1</v>
      </c>
      <c t="s" s="6" r="AC1191">
        <v>92</v>
      </c>
      <c t="s" s="6" r="AD1191">
        <v>92</v>
      </c>
      <c t="s" s="6" r="AE1191">
        <v>92</v>
      </c>
      <c s="6" r="AF1191">
        <v>1</v>
      </c>
      <c t="s" s="6" r="AG1191">
        <v>92</v>
      </c>
      <c t="s" s="6" r="AH1191">
        <v>92</v>
      </c>
      <c t="s" s="6" r="AI1191">
        <v>92</v>
      </c>
      <c t="s" s="6" r="AJ1191">
        <v>92</v>
      </c>
      <c t="s" s="6" r="AK1191">
        <v>92</v>
      </c>
      <c t="s" s="6" r="AL1191">
        <v>92</v>
      </c>
      <c t="s" s="6" r="AM1191">
        <v>92</v>
      </c>
      <c t="s" s="6" r="AN1191">
        <v>92</v>
      </c>
      <c s="6" r="AP1191">
        <v>1</v>
      </c>
      <c s="6" r="AS1191">
        <v>0</v>
      </c>
      <c s="6" r="AT1191">
        <v>0</v>
      </c>
      <c s="6" r="AU1191">
        <v>0</v>
      </c>
      <c s="6" r="AV1191">
        <v>0</v>
      </c>
      <c s="6" r="AW1191">
        <v>0</v>
      </c>
      <c s="6" r="AX1191">
        <v>0</v>
      </c>
      <c s="6" r="AY1191">
        <v>0</v>
      </c>
      <c s="6" r="AZ1191">
        <v>0</v>
      </c>
      <c s="6" r="BA1191">
        <v>0</v>
      </c>
      <c s="6" r="BB1191">
        <v>0</v>
      </c>
      <c s="6" r="BC1191">
        <v>0</v>
      </c>
      <c s="6" r="BD1191">
        <v>0</v>
      </c>
      <c s="6" r="BE1191">
        <v>0</v>
      </c>
      <c s="6" r="BF1191">
        <v>0</v>
      </c>
      <c s="6" r="BG1191">
        <v>0</v>
      </c>
      <c s="6" r="BH1191">
        <v>0</v>
      </c>
      <c s="6" r="BI1191">
        <v>0</v>
      </c>
      <c s="6" r="BJ1191">
        <v>0</v>
      </c>
      <c s="6" r="BK1191">
        <v>0</v>
      </c>
      <c s="6" r="BL1191">
        <v>0</v>
      </c>
      <c s="6" r="BM1191">
        <v>0</v>
      </c>
      <c s="6" r="BN1191">
        <v>0</v>
      </c>
      <c s="6" r="BO1191">
        <v>0</v>
      </c>
      <c s="6" r="BP1191">
        <v>0</v>
      </c>
      <c s="6" r="BQ1191">
        <v>0</v>
      </c>
      <c t="s" s="6" r="BR1191">
        <v>92</v>
      </c>
      <c s="6" r="BS1191">
        <v>1213</v>
      </c>
      <c t="s" s="6" r="BT1191">
        <v>92</v>
      </c>
      <c s="6" r="BY1191">
        <v>0</v>
      </c>
    </row>
    <row customHeight="1" r="1192" ht="14.25">
      <c t="s" s="6" r="A1192">
        <v>8671</v>
      </c>
      <c t="s" s="6" r="B1192">
        <v>579</v>
      </c>
      <c t="s" s="6" r="C1192">
        <v>831</v>
      </c>
      <c t="s" s="6" r="E1192">
        <v>1691</v>
      </c>
      <c t="s" s="6" r="F1192">
        <v>5881</v>
      </c>
      <c t="s" s="6" r="G1192">
        <v>106</v>
      </c>
      <c s="6" r="H1192">
        <v>0</v>
      </c>
      <c t="s" s="6" r="I1192">
        <v>107</v>
      </c>
      <c t="s" s="6" r="L1192">
        <v>8672</v>
      </c>
      <c t="s" s="6" r="M1192">
        <v>2718</v>
      </c>
      <c s="6" r="N1192">
        <v>0</v>
      </c>
      <c s="6" r="O1192">
        <v>0</v>
      </c>
      <c t="s" s="6" r="P1192">
        <v>2206</v>
      </c>
      <c t="s" s="6" r="Q1192">
        <v>145</v>
      </c>
      <c t="s" s="6" r="R1192">
        <v>8673</v>
      </c>
      <c t="s" s="6" r="S1192">
        <v>8674</v>
      </c>
      <c t="s" s="6" r="T1192">
        <v>8622</v>
      </c>
      <c t="s" s="6" r="U1192">
        <v>8675</v>
      </c>
      <c s="6" r="V1192">
        <v>1</v>
      </c>
      <c s="6" r="W1192">
        <v>1</v>
      </c>
      <c s="6" r="X1192">
        <v>0</v>
      </c>
      <c s="6" r="Y1192">
        <v>0</v>
      </c>
      <c s="6" r="Z1192">
        <v>0</v>
      </c>
      <c s="6" r="AA1192">
        <v>3</v>
      </c>
      <c s="6" r="AB1192">
        <v>3</v>
      </c>
      <c t="s" s="6" r="AC1192">
        <v>92</v>
      </c>
      <c t="s" s="6" r="AD1192">
        <v>92</v>
      </c>
      <c t="s" s="6" r="AE1192">
        <v>92</v>
      </c>
      <c t="s" s="6" r="AF1192">
        <v>92</v>
      </c>
      <c t="s" s="6" r="AG1192">
        <v>92</v>
      </c>
      <c t="s" s="6" r="AH1192">
        <v>92</v>
      </c>
      <c t="s" s="6" r="AI1192">
        <v>92</v>
      </c>
      <c t="s" s="6" r="AJ1192">
        <v>92</v>
      </c>
      <c t="s" s="6" r="AK1192">
        <v>92</v>
      </c>
      <c t="s" s="6" r="AL1192">
        <v>92</v>
      </c>
      <c t="s" s="6" r="AM1192">
        <v>92</v>
      </c>
      <c t="s" s="6" r="AN1192">
        <v>92</v>
      </c>
      <c s="6" r="AP1192">
        <v>3</v>
      </c>
      <c s="6" r="AS1192">
        <v>0</v>
      </c>
      <c s="6" r="AT1192">
        <v>0</v>
      </c>
      <c s="6" r="AU1192">
        <v>0</v>
      </c>
      <c s="6" r="AV1192">
        <v>0</v>
      </c>
      <c s="6" r="AW1192">
        <v>0</v>
      </c>
      <c s="6" r="AX1192">
        <v>0</v>
      </c>
      <c s="6" r="AY1192">
        <v>0</v>
      </c>
      <c s="6" r="AZ1192">
        <v>0</v>
      </c>
      <c s="6" r="BA1192">
        <v>0</v>
      </c>
      <c s="6" r="BB1192">
        <v>0</v>
      </c>
      <c s="6" r="BC1192">
        <v>0</v>
      </c>
      <c s="6" r="BD1192">
        <v>0</v>
      </c>
      <c s="6" r="BE1192">
        <v>0</v>
      </c>
      <c s="6" r="BF1192">
        <v>0</v>
      </c>
      <c s="6" r="BG1192">
        <v>0</v>
      </c>
      <c s="6" r="BH1192">
        <v>0</v>
      </c>
      <c s="6" r="BI1192">
        <v>0</v>
      </c>
      <c s="6" r="BJ1192">
        <v>0</v>
      </c>
      <c s="6" r="BK1192">
        <v>0</v>
      </c>
      <c s="6" r="BL1192">
        <v>0</v>
      </c>
      <c s="6" r="BM1192">
        <v>0</v>
      </c>
      <c s="6" r="BN1192">
        <v>0</v>
      </c>
      <c s="6" r="BO1192">
        <v>0</v>
      </c>
      <c s="6" r="BP1192">
        <v>0</v>
      </c>
      <c s="6" r="BQ1192">
        <v>0</v>
      </c>
      <c t="s" s="6" r="BR1192">
        <v>92</v>
      </c>
      <c s="6" r="BS1192">
        <v>1214</v>
      </c>
      <c t="s" s="6" r="BT1192">
        <v>92</v>
      </c>
      <c s="6" r="BY1192">
        <v>0</v>
      </c>
    </row>
    <row customHeight="1" r="1193" ht="14.25">
      <c t="s" s="6" r="A1193">
        <v>8676</v>
      </c>
      <c t="s" s="6" r="B1193">
        <v>78</v>
      </c>
      <c t="s" s="6" r="C1193">
        <v>1042</v>
      </c>
      <c t="s" s="6" r="D1193">
        <v>8677</v>
      </c>
      <c t="s" s="6" r="E1193">
        <v>8678</v>
      </c>
      <c t="s" s="6" r="F1193">
        <v>272</v>
      </c>
      <c t="s" s="6" r="G1193">
        <v>8679</v>
      </c>
      <c s="6" r="H1193">
        <v>0</v>
      </c>
      <c t="s" s="6" r="I1193">
        <v>107</v>
      </c>
      <c t="s" s="6" r="K1193">
        <v>8680</v>
      </c>
      <c t="s" s="6" r="M1193">
        <v>5005</v>
      </c>
      <c s="6" r="N1193">
        <v>0</v>
      </c>
      <c s="6" r="O1193">
        <v>0</v>
      </c>
      <c t="s" s="6" r="P1193">
        <v>86</v>
      </c>
      <c t="s" s="6" r="Q1193">
        <v>87</v>
      </c>
      <c t="s" s="6" r="R1193">
        <v>8681</v>
      </c>
      <c t="s" s="6" r="S1193">
        <v>8682</v>
      </c>
      <c t="s" s="6" r="T1193">
        <v>8622</v>
      </c>
      <c t="s" s="6" r="U1193">
        <v>8683</v>
      </c>
      <c s="6" r="V1193">
        <v>1</v>
      </c>
      <c s="6" r="W1193">
        <v>1</v>
      </c>
      <c s="6" r="X1193">
        <v>0</v>
      </c>
      <c s="6" r="Y1193">
        <v>0</v>
      </c>
      <c s="6" r="Z1193">
        <v>1</v>
      </c>
      <c s="6" r="AA1193">
        <v>4</v>
      </c>
      <c s="6" r="AB1193">
        <v>4</v>
      </c>
      <c s="6" r="AC1193">
        <v>4</v>
      </c>
      <c t="s" s="6" r="AD1193">
        <v>92</v>
      </c>
      <c t="s" s="6" r="AE1193">
        <v>92</v>
      </c>
      <c s="6" r="AF1193">
        <v>4</v>
      </c>
      <c t="s" s="6" r="AG1193">
        <v>92</v>
      </c>
      <c t="s" s="6" r="AH1193">
        <v>92</v>
      </c>
      <c s="6" r="AI1193">
        <v>4</v>
      </c>
      <c s="6" r="AJ1193">
        <v>4</v>
      </c>
      <c t="s" s="6" r="AK1193">
        <v>92</v>
      </c>
      <c s="6" r="AL1193">
        <v>4</v>
      </c>
      <c t="s" s="6" r="AM1193">
        <v>92</v>
      </c>
      <c t="s" s="6" r="AN1193">
        <v>92</v>
      </c>
      <c s="6" r="AP1193">
        <v>4</v>
      </c>
      <c s="6" r="AS1193">
        <v>0</v>
      </c>
      <c s="6" r="AT1193">
        <v>0</v>
      </c>
      <c s="6" r="AU1193">
        <v>0</v>
      </c>
      <c s="6" r="AV1193">
        <v>0</v>
      </c>
      <c s="6" r="AW1193">
        <v>0</v>
      </c>
      <c s="6" r="AX1193">
        <v>0</v>
      </c>
      <c s="6" r="AY1193">
        <v>0</v>
      </c>
      <c s="6" r="AZ1193">
        <v>0</v>
      </c>
      <c s="6" r="BA1193">
        <v>0</v>
      </c>
      <c s="6" r="BB1193">
        <v>0</v>
      </c>
      <c s="6" r="BC1193">
        <v>0</v>
      </c>
      <c s="6" r="BD1193">
        <v>1</v>
      </c>
      <c s="6" r="BE1193">
        <v>0</v>
      </c>
      <c s="6" r="BF1193">
        <v>0</v>
      </c>
      <c s="6" r="BG1193">
        <v>0</v>
      </c>
      <c s="6" r="BH1193">
        <v>0</v>
      </c>
      <c s="6" r="BI1193">
        <v>0</v>
      </c>
      <c s="6" r="BJ1193">
        <v>1</v>
      </c>
      <c s="6" r="BK1193">
        <v>0</v>
      </c>
      <c s="6" r="BL1193">
        <v>0</v>
      </c>
      <c s="6" r="BM1193">
        <v>0</v>
      </c>
      <c s="6" r="BN1193">
        <v>0</v>
      </c>
      <c s="6" r="BO1193">
        <v>0</v>
      </c>
      <c s="6" r="BP1193">
        <v>0</v>
      </c>
      <c s="6" r="BQ1193">
        <v>0</v>
      </c>
      <c t="s" s="6" r="BR1193">
        <v>92</v>
      </c>
      <c s="6" r="BS1193">
        <v>1215</v>
      </c>
      <c t="s" s="6" r="BT1193">
        <v>92</v>
      </c>
      <c s="6" r="BY1193">
        <v>0</v>
      </c>
    </row>
    <row customHeight="1" r="1194" ht="14.25">
      <c t="s" s="6" r="A1194">
        <v>8684</v>
      </c>
      <c t="s" s="6" r="B1194">
        <v>78</v>
      </c>
      <c t="s" s="6" r="C1194">
        <v>1042</v>
      </c>
      <c t="s" s="6" r="D1194">
        <v>8677</v>
      </c>
      <c t="s" s="6" r="E1194">
        <v>8685</v>
      </c>
      <c t="s" s="6" r="F1194">
        <v>272</v>
      </c>
      <c t="s" s="6" r="G1194">
        <v>8686</v>
      </c>
      <c s="6" r="H1194">
        <v>0</v>
      </c>
      <c t="s" s="6" r="I1194">
        <v>107</v>
      </c>
      <c t="s" s="6" r="K1194">
        <v>8687</v>
      </c>
      <c t="s" s="6" r="M1194">
        <v>99</v>
      </c>
      <c s="6" r="N1194">
        <v>0</v>
      </c>
      <c s="6" r="O1194">
        <v>0</v>
      </c>
      <c t="s" s="6" r="P1194">
        <v>86</v>
      </c>
      <c t="s" s="6" r="Q1194">
        <v>87</v>
      </c>
      <c t="s" s="6" r="R1194">
        <v>8688</v>
      </c>
      <c t="s" s="6" r="S1194">
        <v>8689</v>
      </c>
      <c t="s" s="6" r="T1194">
        <v>8622</v>
      </c>
      <c t="s" s="6" r="U1194">
        <v>8690</v>
      </c>
      <c s="6" r="V1194">
        <v>1</v>
      </c>
      <c s="6" r="W1194">
        <v>1</v>
      </c>
      <c s="6" r="X1194">
        <v>0</v>
      </c>
      <c s="6" r="Y1194">
        <v>0</v>
      </c>
      <c s="6" r="Z1194">
        <v>1</v>
      </c>
      <c s="6" r="AA1194">
        <v>5</v>
      </c>
      <c s="6" r="AB1194">
        <v>5</v>
      </c>
      <c s="6" r="AC1194">
        <v>5</v>
      </c>
      <c t="s" s="6" r="AD1194">
        <v>92</v>
      </c>
      <c t="s" s="6" r="AE1194">
        <v>92</v>
      </c>
      <c s="6" r="AF1194">
        <v>5</v>
      </c>
      <c t="s" s="6" r="AG1194">
        <v>92</v>
      </c>
      <c t="s" s="6" r="AH1194">
        <v>92</v>
      </c>
      <c s="6" r="AI1194">
        <v>5</v>
      </c>
      <c s="6" r="AJ1194">
        <v>5</v>
      </c>
      <c t="s" s="6" r="AK1194">
        <v>92</v>
      </c>
      <c s="6" r="AL1194">
        <v>5</v>
      </c>
      <c t="s" s="6" r="AM1194">
        <v>92</v>
      </c>
      <c t="s" s="6" r="AN1194">
        <v>92</v>
      </c>
      <c s="6" r="AP1194">
        <v>5</v>
      </c>
      <c s="6" r="AS1194">
        <v>0</v>
      </c>
      <c s="6" r="AT1194">
        <v>0</v>
      </c>
      <c s="6" r="AU1194">
        <v>0</v>
      </c>
      <c s="6" r="AV1194">
        <v>0</v>
      </c>
      <c s="6" r="AW1194">
        <v>0</v>
      </c>
      <c s="6" r="AX1194">
        <v>0</v>
      </c>
      <c s="6" r="AY1194">
        <v>0</v>
      </c>
      <c s="6" r="AZ1194">
        <v>0</v>
      </c>
      <c s="6" r="BA1194">
        <v>0</v>
      </c>
      <c s="6" r="BB1194">
        <v>0</v>
      </c>
      <c s="6" r="BC1194">
        <v>0</v>
      </c>
      <c s="6" r="BD1194">
        <v>1</v>
      </c>
      <c s="6" r="BE1194">
        <v>0</v>
      </c>
      <c s="6" r="BF1194">
        <v>0</v>
      </c>
      <c s="6" r="BG1194">
        <v>0</v>
      </c>
      <c s="6" r="BH1194">
        <v>0</v>
      </c>
      <c s="6" r="BI1194">
        <v>0</v>
      </c>
      <c s="6" r="BJ1194">
        <v>1</v>
      </c>
      <c s="6" r="BK1194">
        <v>0</v>
      </c>
      <c s="6" r="BL1194">
        <v>0</v>
      </c>
      <c s="6" r="BM1194">
        <v>0</v>
      </c>
      <c s="6" r="BN1194">
        <v>0</v>
      </c>
      <c s="6" r="BO1194">
        <v>0</v>
      </c>
      <c s="6" r="BP1194">
        <v>0</v>
      </c>
      <c s="6" r="BQ1194">
        <v>0</v>
      </c>
      <c t="s" s="6" r="BR1194">
        <v>92</v>
      </c>
      <c s="6" r="BS1194">
        <v>1216</v>
      </c>
      <c t="s" s="6" r="BT1194">
        <v>92</v>
      </c>
      <c s="6" r="BY1194">
        <v>0</v>
      </c>
    </row>
    <row customHeight="1" r="1195" ht="14.25">
      <c t="s" s="6" r="A1195">
        <v>8691</v>
      </c>
      <c t="s" s="6" r="B1195">
        <v>162</v>
      </c>
      <c t="s" s="6" r="D1195">
        <v>58</v>
      </c>
      <c t="s" s="6" r="E1195">
        <v>1058</v>
      </c>
      <c t="s" s="6" r="F1195">
        <v>81</v>
      </c>
      <c t="s" s="6" r="G1195">
        <v>8692</v>
      </c>
      <c s="6" r="H1195">
        <v>1</v>
      </c>
      <c t="s" s="6" r="I1195">
        <v>120</v>
      </c>
      <c t="s" s="6" r="J1195">
        <v>5235</v>
      </c>
      <c t="s" s="6" r="M1195">
        <v>483</v>
      </c>
      <c s="6" r="N1195">
        <v>1</v>
      </c>
      <c s="6" r="O1195">
        <v>0</v>
      </c>
      <c t="s" s="6" r="P1195">
        <v>86</v>
      </c>
      <c t="s" s="6" r="Q1195">
        <v>141</v>
      </c>
      <c t="s" s="6" r="R1195">
        <v>8693</v>
      </c>
      <c t="s" s="6" r="S1195">
        <v>8694</v>
      </c>
      <c t="s" s="6" r="T1195">
        <v>8622</v>
      </c>
      <c t="s" s="6" r="U1195">
        <v>8695</v>
      </c>
      <c s="6" r="V1195">
        <v>1</v>
      </c>
      <c s="6" r="W1195">
        <v>1</v>
      </c>
      <c s="6" r="X1195">
        <v>1</v>
      </c>
      <c s="6" r="Y1195">
        <v>0</v>
      </c>
      <c s="6" r="Z1195">
        <v>0</v>
      </c>
      <c s="6" r="AA1195">
        <v>9</v>
      </c>
      <c s="6" r="AB1195">
        <v>9</v>
      </c>
      <c t="s" s="6" r="AC1195">
        <v>92</v>
      </c>
      <c t="s" s="6" r="AD1195">
        <v>92</v>
      </c>
      <c t="s" s="6" r="AE1195">
        <v>92</v>
      </c>
      <c t="s" s="6" r="AF1195">
        <v>92</v>
      </c>
      <c t="s" s="6" r="AG1195">
        <v>92</v>
      </c>
      <c t="s" s="6" r="AH1195">
        <v>92</v>
      </c>
      <c t="s" s="6" r="AI1195">
        <v>92</v>
      </c>
      <c t="s" s="6" r="AJ1195">
        <v>92</v>
      </c>
      <c t="s" s="6" r="AK1195">
        <v>92</v>
      </c>
      <c t="s" s="6" r="AL1195">
        <v>92</v>
      </c>
      <c t="s" s="6" r="AM1195">
        <v>92</v>
      </c>
      <c t="s" s="6" r="AN1195">
        <v>92</v>
      </c>
      <c s="6" r="AP1195">
        <v>9</v>
      </c>
      <c s="6" r="AS1195">
        <v>0</v>
      </c>
      <c s="6" r="AT1195">
        <v>0</v>
      </c>
      <c s="6" r="AU1195">
        <v>0</v>
      </c>
      <c s="6" r="AV1195">
        <v>0</v>
      </c>
      <c s="6" r="AW1195">
        <v>0</v>
      </c>
      <c s="6" r="AX1195">
        <v>0</v>
      </c>
      <c s="6" r="AY1195">
        <v>0</v>
      </c>
      <c s="6" r="AZ1195">
        <v>0</v>
      </c>
      <c s="6" r="BA1195">
        <v>0</v>
      </c>
      <c s="6" r="BB1195">
        <v>0</v>
      </c>
      <c s="6" r="BC1195">
        <v>0</v>
      </c>
      <c s="6" r="BD1195">
        <v>0</v>
      </c>
      <c s="6" r="BE1195">
        <v>0</v>
      </c>
      <c s="6" r="BF1195">
        <v>0</v>
      </c>
      <c s="6" r="BG1195">
        <v>0</v>
      </c>
      <c s="6" r="BH1195">
        <v>0</v>
      </c>
      <c s="6" r="BI1195">
        <v>0</v>
      </c>
      <c s="6" r="BJ1195">
        <v>0</v>
      </c>
      <c s="6" r="BK1195">
        <v>0</v>
      </c>
      <c s="6" r="BL1195">
        <v>0</v>
      </c>
      <c s="6" r="BM1195">
        <v>0</v>
      </c>
      <c s="6" r="BN1195">
        <v>0</v>
      </c>
      <c s="6" r="BO1195">
        <v>0</v>
      </c>
      <c s="6" r="BP1195">
        <v>0</v>
      </c>
      <c s="6" r="BQ1195">
        <v>0</v>
      </c>
      <c t="s" s="6" r="BR1195">
        <v>92</v>
      </c>
      <c s="6" r="BS1195">
        <v>1217</v>
      </c>
      <c s="6" r="BT1195">
        <v>100</v>
      </c>
      <c s="6" r="BY1195">
        <v>0</v>
      </c>
    </row>
    <row customHeight="1" r="1196" ht="14.25">
      <c t="s" s="6" r="A1196">
        <v>8696</v>
      </c>
      <c t="s" s="6" r="B1196">
        <v>162</v>
      </c>
      <c t="s" s="6" r="E1196">
        <v>1691</v>
      </c>
      <c t="s" s="6" r="F1196">
        <v>81</v>
      </c>
      <c t="s" s="6" r="G1196">
        <v>8697</v>
      </c>
      <c s="6" r="H1196">
        <v>1</v>
      </c>
      <c t="s" s="6" r="I1196">
        <v>155</v>
      </c>
      <c t="s" s="6" r="L1196">
        <v>156</v>
      </c>
      <c t="s" s="6" r="M1196">
        <v>8698</v>
      </c>
      <c s="6" r="N1196">
        <v>1</v>
      </c>
      <c s="6" r="O1196">
        <v>0</v>
      </c>
      <c t="s" s="6" r="R1196">
        <v>8699</v>
      </c>
      <c t="s" s="6" r="S1196">
        <v>8700</v>
      </c>
      <c t="s" s="6" r="T1196">
        <v>8701</v>
      </c>
      <c t="s" s="6" r="U1196">
        <v>8702</v>
      </c>
      <c s="6" r="V1196">
        <v>1</v>
      </c>
      <c s="6" r="W1196">
        <v>1</v>
      </c>
      <c s="6" r="X1196">
        <v>1</v>
      </c>
      <c s="6" r="Y1196">
        <v>0</v>
      </c>
      <c s="6" r="Z1196">
        <v>0</v>
      </c>
      <c s="6" r="AA1196">
        <v>3</v>
      </c>
      <c s="6" r="AB1196">
        <v>3</v>
      </c>
      <c t="s" s="6" r="AC1196">
        <v>92</v>
      </c>
      <c t="s" s="6" r="AD1196">
        <v>92</v>
      </c>
      <c t="s" s="6" r="AE1196">
        <v>92</v>
      </c>
      <c t="s" s="6" r="AF1196">
        <v>92</v>
      </c>
      <c t="s" s="6" r="AG1196">
        <v>92</v>
      </c>
      <c t="s" s="6" r="AH1196">
        <v>92</v>
      </c>
      <c t="s" s="6" r="AI1196">
        <v>92</v>
      </c>
      <c t="s" s="6" r="AJ1196">
        <v>92</v>
      </c>
      <c t="s" s="6" r="AK1196">
        <v>92</v>
      </c>
      <c t="s" s="6" r="AL1196">
        <v>92</v>
      </c>
      <c t="s" s="6" r="AM1196">
        <v>92</v>
      </c>
      <c t="s" s="6" r="AN1196">
        <v>92</v>
      </c>
      <c t="s" s="6" r="AO1196">
        <v>8703</v>
      </c>
      <c s="6" r="AP1196">
        <v>3</v>
      </c>
      <c s="6" r="AS1196">
        <v>0</v>
      </c>
      <c s="6" r="AT1196">
        <v>0</v>
      </c>
      <c s="6" r="AU1196">
        <v>0</v>
      </c>
      <c s="6" r="AV1196">
        <v>0</v>
      </c>
      <c s="6" r="AW1196">
        <v>0</v>
      </c>
      <c s="6" r="AX1196">
        <v>0</v>
      </c>
      <c s="6" r="AY1196">
        <v>0</v>
      </c>
      <c s="6" r="AZ1196">
        <v>0</v>
      </c>
      <c s="6" r="BA1196">
        <v>0</v>
      </c>
      <c s="6" r="BB1196">
        <v>0</v>
      </c>
      <c s="6" r="BC1196">
        <v>0</v>
      </c>
      <c s="6" r="BD1196">
        <v>0</v>
      </c>
      <c s="6" r="BE1196">
        <v>0</v>
      </c>
      <c s="6" r="BF1196">
        <v>0</v>
      </c>
      <c s="6" r="BG1196">
        <v>0</v>
      </c>
      <c s="6" r="BH1196">
        <v>0</v>
      </c>
      <c s="6" r="BI1196">
        <v>0</v>
      </c>
      <c s="6" r="BJ1196">
        <v>0</v>
      </c>
      <c s="6" r="BK1196">
        <v>0</v>
      </c>
      <c s="6" r="BL1196">
        <v>0</v>
      </c>
      <c s="6" r="BM1196">
        <v>0</v>
      </c>
      <c s="6" r="BN1196">
        <v>0</v>
      </c>
      <c s="6" r="BO1196">
        <v>0</v>
      </c>
      <c s="6" r="BP1196">
        <v>0</v>
      </c>
      <c s="6" r="BQ1196">
        <v>0</v>
      </c>
      <c t="s" s="6" r="BR1196">
        <v>92</v>
      </c>
      <c s="6" r="BS1196">
        <v>1218</v>
      </c>
      <c s="6" r="BT1196">
        <v>10</v>
      </c>
      <c s="6" r="BY1196">
        <v>0</v>
      </c>
    </row>
    <row customHeight="1" r="1197" ht="14.25">
      <c t="s" s="6" r="A1197">
        <v>8704</v>
      </c>
      <c t="s" s="6" r="B1197">
        <v>493</v>
      </c>
      <c t="s" s="6" r="D1197">
        <v>57</v>
      </c>
      <c t="s" s="6" r="E1197">
        <v>320</v>
      </c>
      <c t="s" s="6" r="F1197">
        <v>81</v>
      </c>
      <c t="s" s="6" r="G1197">
        <v>106</v>
      </c>
      <c s="6" r="H1197">
        <v>0</v>
      </c>
      <c t="s" s="6" r="I1197">
        <v>107</v>
      </c>
      <c t="s" s="6" r="L1197">
        <v>8705</v>
      </c>
      <c t="s" s="6" r="M1197">
        <v>109</v>
      </c>
      <c s="6" r="N1197">
        <v>0</v>
      </c>
      <c s="6" r="O1197">
        <v>0</v>
      </c>
      <c t="s" s="6" r="P1197">
        <v>631</v>
      </c>
      <c t="s" s="6" r="Q1197">
        <v>188</v>
      </c>
      <c t="s" s="6" r="R1197">
        <v>8706</v>
      </c>
      <c t="s" s="6" r="S1197">
        <v>8707</v>
      </c>
      <c t="s" s="6" r="T1197">
        <v>8701</v>
      </c>
      <c t="s" s="6" r="U1197">
        <v>8708</v>
      </c>
      <c s="6" r="V1197">
        <v>1</v>
      </c>
      <c s="6" r="W1197">
        <v>1</v>
      </c>
      <c s="6" r="X1197">
        <v>0</v>
      </c>
      <c s="6" r="Y1197">
        <v>0</v>
      </c>
      <c s="6" r="Z1197">
        <v>0</v>
      </c>
      <c s="6" r="AA1197">
        <v>2</v>
      </c>
      <c s="6" r="AB1197">
        <v>2</v>
      </c>
      <c t="s" s="6" r="AC1197">
        <v>92</v>
      </c>
      <c t="s" s="6" r="AD1197">
        <v>92</v>
      </c>
      <c t="s" s="6" r="AE1197">
        <v>92</v>
      </c>
      <c t="s" s="6" r="AF1197">
        <v>92</v>
      </c>
      <c t="s" s="6" r="AG1197">
        <v>92</v>
      </c>
      <c t="s" s="6" r="AH1197">
        <v>92</v>
      </c>
      <c t="s" s="6" r="AI1197">
        <v>92</v>
      </c>
      <c t="s" s="6" r="AJ1197">
        <v>92</v>
      </c>
      <c t="s" s="6" r="AK1197">
        <v>92</v>
      </c>
      <c t="s" s="6" r="AL1197">
        <v>92</v>
      </c>
      <c t="s" s="6" r="AM1197">
        <v>92</v>
      </c>
      <c t="s" s="6" r="AN1197">
        <v>92</v>
      </c>
      <c t="s" s="6" r="AO1197">
        <v>8709</v>
      </c>
      <c s="6" r="AP1197">
        <v>2</v>
      </c>
      <c s="6" r="AS1197">
        <v>0</v>
      </c>
      <c s="6" r="AT1197">
        <v>0</v>
      </c>
      <c s="6" r="AU1197">
        <v>0</v>
      </c>
      <c s="6" r="AV1197">
        <v>0</v>
      </c>
      <c s="6" r="AW1197">
        <v>0</v>
      </c>
      <c s="6" r="AX1197">
        <v>0</v>
      </c>
      <c s="6" r="AY1197">
        <v>0</v>
      </c>
      <c s="6" r="AZ1197">
        <v>0</v>
      </c>
      <c s="6" r="BA1197">
        <v>0</v>
      </c>
      <c s="6" r="BB1197">
        <v>0</v>
      </c>
      <c s="6" r="BC1197">
        <v>0</v>
      </c>
      <c s="6" r="BD1197">
        <v>0</v>
      </c>
      <c s="6" r="BE1197">
        <v>0</v>
      </c>
      <c s="6" r="BF1197">
        <v>1</v>
      </c>
      <c s="6" r="BG1197">
        <v>0</v>
      </c>
      <c s="6" r="BH1197">
        <v>0</v>
      </c>
      <c s="6" r="BI1197">
        <v>0</v>
      </c>
      <c s="6" r="BJ1197">
        <v>0</v>
      </c>
      <c s="6" r="BK1197">
        <v>0</v>
      </c>
      <c s="6" r="BL1197">
        <v>0</v>
      </c>
      <c s="6" r="BM1197">
        <v>0</v>
      </c>
      <c s="6" r="BN1197">
        <v>0</v>
      </c>
      <c s="6" r="BO1197">
        <v>0</v>
      </c>
      <c s="6" r="BP1197">
        <v>0</v>
      </c>
      <c s="6" r="BQ1197">
        <v>0</v>
      </c>
      <c t="s" s="6" r="BR1197">
        <v>92</v>
      </c>
      <c s="6" r="BS1197">
        <v>1219</v>
      </c>
      <c t="s" s="6" r="BT1197">
        <v>92</v>
      </c>
      <c s="6" r="BY1197">
        <v>0</v>
      </c>
    </row>
    <row customHeight="1" r="1198" ht="14.25">
      <c t="s" s="6" r="A1198">
        <v>8710</v>
      </c>
      <c t="s" s="6" r="B1198">
        <v>174</v>
      </c>
      <c t="s" s="6" r="E1198">
        <v>8711</v>
      </c>
      <c t="s" s="6" r="F1198">
        <v>81</v>
      </c>
      <c t="s" s="6" r="G1198">
        <v>8712</v>
      </c>
      <c s="6" r="H1198">
        <v>0</v>
      </c>
      <c t="s" s="6" r="I1198">
        <v>155</v>
      </c>
      <c t="s" s="6" r="L1198">
        <v>156</v>
      </c>
      <c t="s" s="6" r="M1198">
        <v>8713</v>
      </c>
      <c s="6" r="N1198">
        <v>0</v>
      </c>
      <c s="6" r="O1198">
        <v>0</v>
      </c>
      <c t="s" s="6" r="R1198">
        <v>8714</v>
      </c>
      <c t="s" s="6" r="S1198">
        <v>8715</v>
      </c>
      <c t="s" s="6" r="T1198">
        <v>8701</v>
      </c>
      <c t="s" s="6" r="U1198">
        <v>8716</v>
      </c>
      <c s="6" r="V1198">
        <v>1</v>
      </c>
      <c s="6" r="W1198">
        <v>1</v>
      </c>
      <c s="6" r="X1198">
        <v>1</v>
      </c>
      <c s="6" r="Y1198">
        <v>0</v>
      </c>
      <c s="6" r="Z1198">
        <v>1</v>
      </c>
      <c s="6" r="AA1198">
        <v>1</v>
      </c>
      <c s="6" r="AB1198">
        <v>1</v>
      </c>
      <c s="6" r="AC1198">
        <v>1</v>
      </c>
      <c t="s" s="6" r="AD1198">
        <v>92</v>
      </c>
      <c t="s" s="6" r="AE1198">
        <v>92</v>
      </c>
      <c s="6" r="AF1198">
        <v>1</v>
      </c>
      <c t="s" s="6" r="AG1198">
        <v>92</v>
      </c>
      <c t="s" s="6" r="AH1198">
        <v>92</v>
      </c>
      <c t="s" s="6" r="AI1198">
        <v>92</v>
      </c>
      <c t="s" s="6" r="AJ1198">
        <v>92</v>
      </c>
      <c t="s" s="6" r="AK1198">
        <v>92</v>
      </c>
      <c s="6" r="AL1198">
        <v>1</v>
      </c>
      <c t="s" s="6" r="AM1198">
        <v>92</v>
      </c>
      <c t="s" s="6" r="AN1198">
        <v>92</v>
      </c>
      <c t="s" s="6" r="AO1198">
        <v>8717</v>
      </c>
      <c s="6" r="AP1198">
        <v>1</v>
      </c>
      <c s="6" r="AS1198">
        <v>0</v>
      </c>
      <c s="6" r="AT1198">
        <v>0</v>
      </c>
      <c s="6" r="AU1198">
        <v>0</v>
      </c>
      <c s="6" r="AV1198">
        <v>0</v>
      </c>
      <c s="6" r="AW1198">
        <v>0</v>
      </c>
      <c s="6" r="AX1198">
        <v>0</v>
      </c>
      <c s="6" r="AY1198">
        <v>0</v>
      </c>
      <c s="6" r="AZ1198">
        <v>0</v>
      </c>
      <c s="6" r="BA1198">
        <v>0</v>
      </c>
      <c s="6" r="BB1198">
        <v>0</v>
      </c>
      <c s="6" r="BC1198">
        <v>0</v>
      </c>
      <c s="6" r="BD1198">
        <v>0</v>
      </c>
      <c s="6" r="BE1198">
        <v>0</v>
      </c>
      <c s="6" r="BF1198">
        <v>0</v>
      </c>
      <c s="6" r="BG1198">
        <v>0</v>
      </c>
      <c s="6" r="BH1198">
        <v>0</v>
      </c>
      <c s="6" r="BI1198">
        <v>0</v>
      </c>
      <c s="6" r="BJ1198">
        <v>0</v>
      </c>
      <c s="6" r="BK1198">
        <v>0</v>
      </c>
      <c s="6" r="BL1198">
        <v>0</v>
      </c>
      <c s="6" r="BM1198">
        <v>0</v>
      </c>
      <c s="6" r="BN1198">
        <v>0</v>
      </c>
      <c s="6" r="BO1198">
        <v>0</v>
      </c>
      <c s="6" r="BP1198">
        <v>0</v>
      </c>
      <c s="6" r="BQ1198">
        <v>0</v>
      </c>
      <c t="s" s="6" r="BR1198">
        <v>92</v>
      </c>
      <c s="6" r="BS1198">
        <v>1220</v>
      </c>
      <c t="s" s="6" r="BT1198">
        <v>92</v>
      </c>
      <c s="6" r="BY1198">
        <v>0</v>
      </c>
    </row>
    <row customHeight="1" r="1199" ht="14.25">
      <c t="s" s="6" r="A1199">
        <v>8718</v>
      </c>
      <c t="s" s="6" r="B1199">
        <v>131</v>
      </c>
      <c t="s" s="6" r="D1199">
        <v>68</v>
      </c>
      <c t="s" s="6" r="E1199">
        <v>8719</v>
      </c>
      <c t="s" s="6" r="F1199">
        <v>81</v>
      </c>
      <c t="s" s="6" r="G1199">
        <v>8720</v>
      </c>
      <c s="6" r="H1199">
        <v>0</v>
      </c>
      <c t="s" s="6" r="I1199">
        <v>120</v>
      </c>
      <c t="s" s="6" r="L1199">
        <v>8721</v>
      </c>
      <c t="s" s="6" r="M1199">
        <v>109</v>
      </c>
      <c s="6" r="N1199">
        <v>0</v>
      </c>
      <c s="6" r="O1199">
        <v>0</v>
      </c>
      <c t="s" s="6" r="P1199">
        <v>86</v>
      </c>
      <c t="s" s="6" r="Q1199">
        <v>87</v>
      </c>
      <c t="s" s="6" r="R1199">
        <v>8722</v>
      </c>
      <c t="s" s="6" r="S1199">
        <v>8723</v>
      </c>
      <c t="s" s="6" r="T1199">
        <v>8701</v>
      </c>
      <c t="s" s="6" r="U1199">
        <v>8724</v>
      </c>
      <c s="6" r="V1199">
        <v>1</v>
      </c>
      <c s="6" r="W1199">
        <v>1</v>
      </c>
      <c s="6" r="X1199">
        <v>1</v>
      </c>
      <c s="6" r="Y1199">
        <v>0</v>
      </c>
      <c s="6" r="Z1199">
        <v>1</v>
      </c>
      <c s="6" r="AA1199">
        <v>2</v>
      </c>
      <c s="6" r="AB1199">
        <v>2</v>
      </c>
      <c s="6" r="AC1199">
        <v>2</v>
      </c>
      <c s="6" r="AD1199">
        <v>1</v>
      </c>
      <c t="s" s="6" r="AE1199">
        <v>92</v>
      </c>
      <c t="s" s="6" r="AF1199">
        <v>92</v>
      </c>
      <c t="s" s="6" r="AG1199">
        <v>92</v>
      </c>
      <c t="s" s="6" r="AH1199">
        <v>92</v>
      </c>
      <c t="s" s="6" r="AI1199">
        <v>92</v>
      </c>
      <c t="s" s="6" r="AJ1199">
        <v>92</v>
      </c>
      <c t="s" s="6" r="AK1199">
        <v>92</v>
      </c>
      <c s="6" r="AL1199">
        <v>2</v>
      </c>
      <c t="s" s="6" r="AM1199">
        <v>92</v>
      </c>
      <c t="s" s="6" r="AN1199">
        <v>92</v>
      </c>
      <c t="s" s="6" r="AO1199">
        <v>8725</v>
      </c>
      <c s="6" r="AP1199">
        <v>2</v>
      </c>
      <c s="6" r="AS1199">
        <v>0</v>
      </c>
      <c s="6" r="AT1199">
        <v>0</v>
      </c>
      <c s="6" r="AU1199">
        <v>0</v>
      </c>
      <c s="6" r="AV1199">
        <v>0</v>
      </c>
      <c s="6" r="AW1199">
        <v>0</v>
      </c>
      <c s="6" r="AX1199">
        <v>0</v>
      </c>
      <c s="6" r="AY1199">
        <v>0</v>
      </c>
      <c s="6" r="AZ1199">
        <v>0</v>
      </c>
      <c s="6" r="BA1199">
        <v>0</v>
      </c>
      <c s="6" r="BB1199">
        <v>0</v>
      </c>
      <c s="6" r="BC1199">
        <v>0</v>
      </c>
      <c s="6" r="BD1199">
        <v>0</v>
      </c>
      <c s="6" r="BE1199">
        <v>0</v>
      </c>
      <c s="6" r="BF1199">
        <v>0</v>
      </c>
      <c s="6" r="BG1199">
        <v>0</v>
      </c>
      <c s="6" r="BH1199">
        <v>0</v>
      </c>
      <c s="6" r="BI1199">
        <v>0</v>
      </c>
      <c s="6" r="BJ1199">
        <v>0</v>
      </c>
      <c s="6" r="BK1199">
        <v>0</v>
      </c>
      <c s="6" r="BL1199">
        <v>0</v>
      </c>
      <c s="6" r="BM1199">
        <v>0</v>
      </c>
      <c s="6" r="BN1199">
        <v>0</v>
      </c>
      <c s="6" r="BO1199">
        <v>0</v>
      </c>
      <c s="6" r="BP1199">
        <v>0</v>
      </c>
      <c s="6" r="BQ1199">
        <v>1</v>
      </c>
      <c t="s" s="6" r="BR1199">
        <v>92</v>
      </c>
      <c s="6" r="BS1199">
        <v>1221</v>
      </c>
      <c t="s" s="6" r="BT1199">
        <v>92</v>
      </c>
      <c s="6" r="BY1199">
        <v>0</v>
      </c>
    </row>
    <row customHeight="1" r="1200" ht="14.25">
      <c t="s" s="6" r="A1200">
        <v>8726</v>
      </c>
      <c t="s" s="6" r="B1200">
        <v>78</v>
      </c>
      <c t="s" s="6" r="C1200">
        <v>1042</v>
      </c>
      <c t="s" s="6" r="E1200">
        <v>8727</v>
      </c>
      <c t="s" s="6" r="F1200">
        <v>311</v>
      </c>
      <c t="s" s="6" r="G1200">
        <v>8728</v>
      </c>
      <c s="6" r="H1200">
        <v>0</v>
      </c>
      <c t="s" s="6" r="I1200">
        <v>107</v>
      </c>
      <c t="s" s="6" r="K1200">
        <v>4244</v>
      </c>
      <c t="s" s="6" r="M1200">
        <v>8636</v>
      </c>
      <c s="6" r="N1200">
        <v>1</v>
      </c>
      <c s="6" r="O1200">
        <v>0</v>
      </c>
      <c t="s" s="6" r="P1200">
        <v>86</v>
      </c>
      <c t="s" s="6" r="Q1200">
        <v>87</v>
      </c>
      <c t="s" s="6" r="R1200">
        <v>8729</v>
      </c>
      <c t="s" s="6" r="S1200">
        <v>8730</v>
      </c>
      <c t="s" s="6" r="T1200">
        <v>8701</v>
      </c>
      <c t="s" s="6" r="U1200">
        <v>8731</v>
      </c>
      <c s="6" r="V1200">
        <v>1</v>
      </c>
      <c s="6" r="W1200">
        <v>1</v>
      </c>
      <c s="6" r="X1200">
        <v>1</v>
      </c>
      <c s="6" r="Y1200">
        <v>0</v>
      </c>
      <c s="6" r="Z1200">
        <v>1</v>
      </c>
      <c s="6" r="AA1200">
        <v>3</v>
      </c>
      <c s="6" r="AB1200">
        <v>3</v>
      </c>
      <c s="6" r="AC1200">
        <v>3</v>
      </c>
      <c s="6" r="AD1200">
        <v>3</v>
      </c>
      <c s="6" r="AE1200">
        <v>3</v>
      </c>
      <c t="s" s="6" r="AF1200">
        <v>92</v>
      </c>
      <c t="s" s="6" r="AG1200">
        <v>92</v>
      </c>
      <c t="s" s="6" r="AH1200">
        <v>92</v>
      </c>
      <c s="6" r="AI1200">
        <v>3</v>
      </c>
      <c t="s" s="6" r="AJ1200">
        <v>92</v>
      </c>
      <c t="s" s="6" r="AK1200">
        <v>92</v>
      </c>
      <c s="6" r="AL1200">
        <v>3</v>
      </c>
      <c t="s" s="6" r="AM1200">
        <v>92</v>
      </c>
      <c t="s" s="6" r="AN1200">
        <v>92</v>
      </c>
      <c t="s" s="6" r="AO1200">
        <v>8732</v>
      </c>
      <c s="6" r="AP1200">
        <v>3</v>
      </c>
      <c s="6" r="AS1200">
        <v>0</v>
      </c>
      <c s="6" r="AT1200">
        <v>0</v>
      </c>
      <c s="6" r="AU1200">
        <v>0</v>
      </c>
      <c s="6" r="AV1200">
        <v>0</v>
      </c>
      <c s="6" r="AW1200">
        <v>0</v>
      </c>
      <c s="6" r="AX1200">
        <v>0</v>
      </c>
      <c s="6" r="AY1200">
        <v>0</v>
      </c>
      <c s="6" r="AZ1200">
        <v>0</v>
      </c>
      <c s="6" r="BA1200">
        <v>0</v>
      </c>
      <c s="6" r="BB1200">
        <v>0</v>
      </c>
      <c s="6" r="BC1200">
        <v>0</v>
      </c>
      <c s="6" r="BD1200">
        <v>0</v>
      </c>
      <c s="6" r="BE1200">
        <v>0</v>
      </c>
      <c s="6" r="BF1200">
        <v>0</v>
      </c>
      <c s="6" r="BG1200">
        <v>0</v>
      </c>
      <c s="6" r="BH1200">
        <v>0</v>
      </c>
      <c s="6" r="BI1200">
        <v>0</v>
      </c>
      <c s="6" r="BJ1200">
        <v>0</v>
      </c>
      <c s="6" r="BK1200">
        <v>0</v>
      </c>
      <c s="6" r="BL1200">
        <v>0</v>
      </c>
      <c s="6" r="BM1200">
        <v>0</v>
      </c>
      <c s="6" r="BN1200">
        <v>0</v>
      </c>
      <c s="6" r="BO1200">
        <v>0</v>
      </c>
      <c s="6" r="BP1200">
        <v>0</v>
      </c>
      <c s="6" r="BQ1200">
        <v>0</v>
      </c>
      <c t="s" s="6" r="BR1200">
        <v>92</v>
      </c>
      <c s="6" r="BS1200">
        <v>1222</v>
      </c>
      <c t="s" s="6" r="BT1200">
        <v>92</v>
      </c>
      <c s="6" r="BY1200">
        <v>0</v>
      </c>
    </row>
    <row customHeight="1" r="1201" ht="14.25">
      <c t="s" s="6" r="A1201">
        <v>8733</v>
      </c>
      <c t="s" s="6" r="B1201">
        <v>493</v>
      </c>
      <c t="s" s="6" r="D1201">
        <v>58</v>
      </c>
      <c t="s" s="6" r="E1201">
        <v>1691</v>
      </c>
      <c t="s" s="6" r="F1201">
        <v>81</v>
      </c>
      <c t="s" s="6" r="G1201">
        <v>106</v>
      </c>
      <c s="6" r="H1201">
        <v>0</v>
      </c>
      <c t="s" s="6" r="I1201">
        <v>107</v>
      </c>
      <c t="s" s="6" r="L1201">
        <v>8734</v>
      </c>
      <c t="s" s="6" r="M1201">
        <v>109</v>
      </c>
      <c s="6" r="N1201">
        <v>0</v>
      </c>
      <c s="6" r="O1201">
        <v>0</v>
      </c>
      <c t="s" s="6" r="P1201">
        <v>7119</v>
      </c>
      <c t="s" s="6" r="Q1201">
        <v>188</v>
      </c>
      <c t="s" s="6" r="R1201">
        <v>8735</v>
      </c>
      <c t="s" s="6" r="S1201">
        <v>8736</v>
      </c>
      <c t="s" s="6" r="T1201">
        <v>8737</v>
      </c>
      <c t="s" s="6" r="U1201">
        <v>8738</v>
      </c>
      <c s="6" r="V1201">
        <v>1</v>
      </c>
      <c s="6" r="W1201">
        <v>1</v>
      </c>
      <c s="6" r="X1201">
        <v>0</v>
      </c>
      <c s="6" r="Y1201">
        <v>0</v>
      </c>
      <c s="6" r="Z1201">
        <v>0</v>
      </c>
      <c s="6" r="AA1201">
        <v>3</v>
      </c>
      <c s="6" r="AB1201">
        <v>3</v>
      </c>
      <c t="s" s="6" r="AC1201">
        <v>92</v>
      </c>
      <c t="s" s="6" r="AD1201">
        <v>92</v>
      </c>
      <c t="s" s="6" r="AE1201">
        <v>92</v>
      </c>
      <c t="s" s="6" r="AF1201">
        <v>92</v>
      </c>
      <c t="s" s="6" r="AG1201">
        <v>92</v>
      </c>
      <c t="s" s="6" r="AH1201">
        <v>92</v>
      </c>
      <c t="s" s="6" r="AI1201">
        <v>92</v>
      </c>
      <c t="s" s="6" r="AJ1201">
        <v>92</v>
      </c>
      <c t="s" s="6" r="AK1201">
        <v>92</v>
      </c>
      <c t="s" s="6" r="AL1201">
        <v>92</v>
      </c>
      <c t="s" s="6" r="AM1201">
        <v>92</v>
      </c>
      <c t="s" s="6" r="AN1201">
        <v>92</v>
      </c>
      <c s="6" r="AP1201">
        <v>3</v>
      </c>
      <c s="6" r="AS1201">
        <v>0</v>
      </c>
      <c s="6" r="AT1201">
        <v>0</v>
      </c>
      <c s="6" r="AU1201">
        <v>0</v>
      </c>
      <c s="6" r="AV1201">
        <v>0</v>
      </c>
      <c s="6" r="AW1201">
        <v>0</v>
      </c>
      <c s="6" r="AX1201">
        <v>0</v>
      </c>
      <c s="6" r="AY1201">
        <v>0</v>
      </c>
      <c s="6" r="AZ1201">
        <v>0</v>
      </c>
      <c s="6" r="BA1201">
        <v>0</v>
      </c>
      <c s="6" r="BB1201">
        <v>0</v>
      </c>
      <c s="6" r="BC1201">
        <v>0</v>
      </c>
      <c s="6" r="BD1201">
        <v>0</v>
      </c>
      <c s="6" r="BE1201">
        <v>0</v>
      </c>
      <c s="6" r="BF1201">
        <v>0</v>
      </c>
      <c s="6" r="BG1201">
        <v>1</v>
      </c>
      <c s="6" r="BH1201">
        <v>0</v>
      </c>
      <c s="6" r="BI1201">
        <v>0</v>
      </c>
      <c s="6" r="BJ1201">
        <v>0</v>
      </c>
      <c s="6" r="BK1201">
        <v>0</v>
      </c>
      <c s="6" r="BL1201">
        <v>0</v>
      </c>
      <c s="6" r="BM1201">
        <v>0</v>
      </c>
      <c s="6" r="BN1201">
        <v>0</v>
      </c>
      <c s="6" r="BO1201">
        <v>0</v>
      </c>
      <c s="6" r="BP1201">
        <v>0</v>
      </c>
      <c s="6" r="BQ1201">
        <v>0</v>
      </c>
      <c t="s" s="6" r="BR1201">
        <v>92</v>
      </c>
      <c s="6" r="BS1201">
        <v>1223</v>
      </c>
      <c t="s" s="6" r="BT1201">
        <v>92</v>
      </c>
      <c s="6" r="BY1201">
        <v>0</v>
      </c>
    </row>
    <row customHeight="1" r="1202" ht="14.25">
      <c t="s" s="6" r="A1202">
        <v>8739</v>
      </c>
      <c t="s" s="6" r="B1202">
        <v>162</v>
      </c>
      <c t="s" s="6" r="E1202">
        <v>8740</v>
      </c>
      <c t="s" s="6" r="F1202">
        <v>81</v>
      </c>
      <c t="s" s="6" r="G1202">
        <v>8741</v>
      </c>
      <c s="6" r="H1202">
        <v>0</v>
      </c>
      <c t="s" s="6" r="I1202">
        <v>273</v>
      </c>
      <c t="s" s="6" r="J1202">
        <v>274</v>
      </c>
      <c t="s" s="6" r="M1202">
        <v>5513</v>
      </c>
      <c s="6" r="N1202">
        <v>1</v>
      </c>
      <c s="6" r="O1202">
        <v>0</v>
      </c>
      <c t="s" s="6" r="P1202">
        <v>8742</v>
      </c>
      <c t="s" s="6" r="Q1202">
        <v>188</v>
      </c>
      <c t="s" s="6" r="R1202">
        <v>8743</v>
      </c>
      <c t="s" s="6" r="S1202">
        <v>8744</v>
      </c>
      <c t="s" s="6" r="T1202">
        <v>8737</v>
      </c>
      <c t="s" s="6" r="U1202">
        <v>8745</v>
      </c>
      <c s="6" r="V1202">
        <v>1</v>
      </c>
      <c s="6" r="W1202">
        <v>1</v>
      </c>
      <c s="6" r="X1202">
        <v>1</v>
      </c>
      <c s="6" r="Y1202">
        <v>0</v>
      </c>
      <c s="6" r="Z1202">
        <v>1</v>
      </c>
      <c s="6" r="AA1202">
        <v>6</v>
      </c>
      <c s="6" r="AB1202">
        <v>6</v>
      </c>
      <c s="6" r="AC1202">
        <v>5</v>
      </c>
      <c t="s" s="6" r="AD1202">
        <v>92</v>
      </c>
      <c t="s" s="6" r="AE1202">
        <v>92</v>
      </c>
      <c t="s" s="6" r="AF1202">
        <v>92</v>
      </c>
      <c t="s" s="6" r="AG1202">
        <v>92</v>
      </c>
      <c t="s" s="6" r="AH1202">
        <v>92</v>
      </c>
      <c t="s" s="6" r="AI1202">
        <v>92</v>
      </c>
      <c s="6" r="AJ1202">
        <v>6</v>
      </c>
      <c s="6" r="AK1202">
        <v>4</v>
      </c>
      <c s="6" r="AL1202">
        <v>5</v>
      </c>
      <c t="s" s="6" r="AM1202">
        <v>92</v>
      </c>
      <c t="s" s="6" r="AN1202">
        <v>92</v>
      </c>
      <c s="6" r="AP1202">
        <v>6</v>
      </c>
      <c s="6" r="AS1202">
        <v>0</v>
      </c>
      <c s="6" r="AT1202">
        <v>0</v>
      </c>
      <c s="6" r="AU1202">
        <v>0</v>
      </c>
      <c s="6" r="AV1202">
        <v>0</v>
      </c>
      <c s="6" r="AW1202">
        <v>0</v>
      </c>
      <c s="6" r="AX1202">
        <v>0</v>
      </c>
      <c s="6" r="AY1202">
        <v>0</v>
      </c>
      <c s="6" r="AZ1202">
        <v>0</v>
      </c>
      <c s="6" r="BA1202">
        <v>0</v>
      </c>
      <c s="6" r="BB1202">
        <v>0</v>
      </c>
      <c s="6" r="BC1202">
        <v>0</v>
      </c>
      <c s="6" r="BD1202">
        <v>0</v>
      </c>
      <c s="6" r="BE1202">
        <v>0</v>
      </c>
      <c s="6" r="BF1202">
        <v>0</v>
      </c>
      <c s="6" r="BG1202">
        <v>0</v>
      </c>
      <c s="6" r="BH1202">
        <v>0</v>
      </c>
      <c s="6" r="BI1202">
        <v>0</v>
      </c>
      <c s="6" r="BJ1202">
        <v>0</v>
      </c>
      <c s="6" r="BK1202">
        <v>0</v>
      </c>
      <c s="6" r="BL1202">
        <v>0</v>
      </c>
      <c s="6" r="BM1202">
        <v>0</v>
      </c>
      <c s="6" r="BN1202">
        <v>0</v>
      </c>
      <c s="6" r="BO1202">
        <v>0</v>
      </c>
      <c s="6" r="BP1202">
        <v>0</v>
      </c>
      <c s="6" r="BQ1202">
        <v>0</v>
      </c>
      <c t="s" s="6" r="BR1202">
        <v>92</v>
      </c>
      <c s="6" r="BS1202">
        <v>1224</v>
      </c>
      <c t="s" s="6" r="BT1202">
        <v>92</v>
      </c>
      <c s="6" r="BY1202">
        <v>0</v>
      </c>
    </row>
    <row customHeight="1" r="1203" ht="14.25">
      <c t="s" s="6" r="A1203">
        <v>8746</v>
      </c>
      <c t="s" s="6" r="B1203">
        <v>115</v>
      </c>
      <c t="s" s="6" r="C1203">
        <v>116</v>
      </c>
      <c t="s" s="6" r="D1203">
        <v>117</v>
      </c>
      <c t="s" s="6" r="E1203">
        <v>8747</v>
      </c>
      <c t="s" s="6" r="F1203">
        <v>8748</v>
      </c>
      <c t="s" s="6" r="G1203">
        <v>119</v>
      </c>
      <c s="6" r="H1203">
        <v>0</v>
      </c>
      <c t="s" s="6" r="I1203">
        <v>107</v>
      </c>
      <c t="s" s="6" r="L1203">
        <v>8749</v>
      </c>
      <c t="s" s="6" r="M1203">
        <v>2718</v>
      </c>
      <c s="6" r="N1203">
        <v>0</v>
      </c>
      <c s="6" r="O1203">
        <v>0</v>
      </c>
      <c t="s" s="6" r="P1203">
        <v>221</v>
      </c>
      <c t="s" s="6" r="Q1203">
        <v>188</v>
      </c>
      <c t="s" s="6" r="R1203">
        <v>8750</v>
      </c>
      <c t="s" s="6" r="S1203">
        <v>8751</v>
      </c>
      <c t="s" s="6" r="T1203">
        <v>8752</v>
      </c>
      <c t="s" s="6" r="U1203">
        <v>8753</v>
      </c>
      <c s="6" r="V1203">
        <v>1</v>
      </c>
      <c s="6" r="W1203">
        <v>1</v>
      </c>
      <c s="6" r="X1203">
        <v>0</v>
      </c>
      <c s="6" r="Y1203">
        <v>0</v>
      </c>
      <c s="6" r="Z1203">
        <v>1</v>
      </c>
      <c t="s" s="6" r="AA1203">
        <v>92</v>
      </c>
      <c t="s" s="6" r="AB1203">
        <v>92</v>
      </c>
      <c s="6" r="AC1203">
        <v>1</v>
      </c>
      <c t="s" s="6" r="AD1203">
        <v>92</v>
      </c>
      <c t="s" s="6" r="AE1203">
        <v>92</v>
      </c>
      <c t="s" s="6" r="AF1203">
        <v>92</v>
      </c>
      <c s="6" r="AG1203">
        <v>2</v>
      </c>
      <c t="s" s="6" r="AH1203">
        <v>92</v>
      </c>
      <c t="s" s="6" r="AI1203">
        <v>92</v>
      </c>
      <c t="s" s="6" r="AJ1203">
        <v>92</v>
      </c>
      <c s="6" r="AK1203">
        <v>2</v>
      </c>
      <c s="6" r="AL1203">
        <v>1</v>
      </c>
      <c t="s" s="6" r="AM1203">
        <v>92</v>
      </c>
      <c t="s" s="6" r="AN1203">
        <v>92</v>
      </c>
      <c s="6" r="AP1203">
        <v>1</v>
      </c>
      <c s="6" r="AS1203">
        <v>0</v>
      </c>
      <c s="6" r="AT1203">
        <v>0</v>
      </c>
      <c s="6" r="AU1203">
        <v>0</v>
      </c>
      <c s="6" r="AV1203">
        <v>0</v>
      </c>
      <c s="6" r="AW1203">
        <v>0</v>
      </c>
      <c s="6" r="AX1203">
        <v>0</v>
      </c>
      <c s="6" r="AY1203">
        <v>0</v>
      </c>
      <c s="6" r="AZ1203">
        <v>0</v>
      </c>
      <c s="6" r="BA1203">
        <v>0</v>
      </c>
      <c s="6" r="BB1203">
        <v>0</v>
      </c>
      <c s="6" r="BC1203">
        <v>0</v>
      </c>
      <c s="6" r="BD1203">
        <v>0</v>
      </c>
      <c s="6" r="BE1203">
        <v>0</v>
      </c>
      <c s="6" r="BF1203">
        <v>0</v>
      </c>
      <c s="6" r="BG1203">
        <v>0</v>
      </c>
      <c s="6" r="BH1203">
        <v>0</v>
      </c>
      <c s="6" r="BI1203">
        <v>0</v>
      </c>
      <c s="6" r="BJ1203">
        <v>0</v>
      </c>
      <c s="6" r="BK1203">
        <v>0</v>
      </c>
      <c s="6" r="BL1203">
        <v>1</v>
      </c>
      <c s="6" r="BM1203">
        <v>0</v>
      </c>
      <c s="6" r="BN1203">
        <v>0</v>
      </c>
      <c s="6" r="BO1203">
        <v>0</v>
      </c>
      <c s="6" r="BP1203">
        <v>0</v>
      </c>
      <c s="6" r="BQ1203">
        <v>0</v>
      </c>
      <c t="s" s="6" r="BR1203">
        <v>92</v>
      </c>
      <c s="6" r="BS1203">
        <v>1225</v>
      </c>
      <c t="s" s="6" r="BT1203">
        <v>92</v>
      </c>
      <c s="6" r="BY1203">
        <v>0</v>
      </c>
    </row>
    <row customHeight="1" r="1204" ht="14.25">
      <c t="s" s="6" r="A1204">
        <v>8754</v>
      </c>
      <c t="s" s="6" r="B1204">
        <v>115</v>
      </c>
      <c t="s" s="6" r="C1204">
        <v>729</v>
      </c>
      <c t="s" s="6" r="D1204">
        <v>117</v>
      </c>
      <c t="s" s="6" r="E1204">
        <v>2392</v>
      </c>
      <c t="s" s="6" r="F1204">
        <v>81</v>
      </c>
      <c t="s" s="6" r="G1204">
        <v>119</v>
      </c>
      <c s="6" r="H1204">
        <v>0</v>
      </c>
      <c t="s" s="6" r="I1204">
        <v>155</v>
      </c>
      <c t="s" s="6" r="L1204">
        <v>156</v>
      </c>
      <c t="s" s="6" r="M1204">
        <v>5954</v>
      </c>
      <c s="6" r="N1204">
        <v>1</v>
      </c>
      <c s="6" r="O1204">
        <v>0</v>
      </c>
      <c t="s" s="6" r="R1204">
        <v>8755</v>
      </c>
      <c t="s" s="6" r="S1204">
        <v>8756</v>
      </c>
      <c t="s" s="6" r="T1204">
        <v>8752</v>
      </c>
      <c t="s" s="6" r="U1204">
        <v>8757</v>
      </c>
      <c s="6" r="V1204">
        <v>1</v>
      </c>
      <c s="6" r="W1204">
        <v>1</v>
      </c>
      <c s="6" r="X1204">
        <v>0</v>
      </c>
      <c s="6" r="Y1204">
        <v>0</v>
      </c>
      <c s="6" r="Z1204">
        <v>1</v>
      </c>
      <c s="6" r="AA1204">
        <v>2</v>
      </c>
      <c s="6" r="AB1204">
        <v>2</v>
      </c>
      <c t="s" s="6" r="AC1204">
        <v>92</v>
      </c>
      <c t="s" s="6" r="AD1204">
        <v>92</v>
      </c>
      <c t="s" s="6" r="AE1204">
        <v>92</v>
      </c>
      <c s="6" r="AF1204">
        <v>2</v>
      </c>
      <c t="s" s="6" r="AG1204">
        <v>92</v>
      </c>
      <c t="s" s="6" r="AH1204">
        <v>92</v>
      </c>
      <c t="s" s="6" r="AI1204">
        <v>92</v>
      </c>
      <c t="s" s="6" r="AJ1204">
        <v>92</v>
      </c>
      <c t="s" s="6" r="AK1204">
        <v>92</v>
      </c>
      <c t="s" s="6" r="AL1204">
        <v>92</v>
      </c>
      <c t="s" s="6" r="AM1204">
        <v>92</v>
      </c>
      <c t="s" s="6" r="AN1204">
        <v>92</v>
      </c>
      <c s="6" r="AP1204">
        <v>2</v>
      </c>
      <c s="6" r="AS1204">
        <v>0</v>
      </c>
      <c s="6" r="AT1204">
        <v>0</v>
      </c>
      <c s="6" r="AU1204">
        <v>0</v>
      </c>
      <c s="6" r="AV1204">
        <v>0</v>
      </c>
      <c s="6" r="AW1204">
        <v>0</v>
      </c>
      <c s="6" r="AX1204">
        <v>0</v>
      </c>
      <c s="6" r="AY1204">
        <v>0</v>
      </c>
      <c s="6" r="AZ1204">
        <v>0</v>
      </c>
      <c s="6" r="BA1204">
        <v>0</v>
      </c>
      <c s="6" r="BB1204">
        <v>0</v>
      </c>
      <c s="6" r="BC1204">
        <v>0</v>
      </c>
      <c s="6" r="BD1204">
        <v>0</v>
      </c>
      <c s="6" r="BE1204">
        <v>0</v>
      </c>
      <c s="6" r="BF1204">
        <v>0</v>
      </c>
      <c s="6" r="BG1204">
        <v>0</v>
      </c>
      <c s="6" r="BH1204">
        <v>0</v>
      </c>
      <c s="6" r="BI1204">
        <v>0</v>
      </c>
      <c s="6" r="BJ1204">
        <v>0</v>
      </c>
      <c s="6" r="BK1204">
        <v>0</v>
      </c>
      <c s="6" r="BL1204">
        <v>1</v>
      </c>
      <c s="6" r="BM1204">
        <v>0</v>
      </c>
      <c s="6" r="BN1204">
        <v>0</v>
      </c>
      <c s="6" r="BO1204">
        <v>0</v>
      </c>
      <c s="6" r="BP1204">
        <v>0</v>
      </c>
      <c s="6" r="BQ1204">
        <v>0</v>
      </c>
      <c t="s" s="6" r="BR1204">
        <v>92</v>
      </c>
      <c s="6" r="BS1204">
        <v>1226</v>
      </c>
      <c t="s" s="6" r="BT1204">
        <v>92</v>
      </c>
      <c s="6" r="BY1204">
        <v>0</v>
      </c>
    </row>
    <row customHeight="1" r="1205" ht="14.25">
      <c t="s" s="6" r="A1205">
        <v>8758</v>
      </c>
      <c t="s" s="6" r="B1205">
        <v>131</v>
      </c>
      <c t="s" s="6" r="E1205">
        <v>8759</v>
      </c>
      <c t="s" s="6" r="F1205">
        <v>81</v>
      </c>
      <c t="s" s="6" r="G1205">
        <v>8760</v>
      </c>
      <c s="6" r="H1205">
        <v>0</v>
      </c>
      <c t="s" s="6" r="I1205">
        <v>107</v>
      </c>
      <c t="s" s="6" r="L1205">
        <v>8761</v>
      </c>
      <c t="s" s="6" r="M1205">
        <v>2718</v>
      </c>
      <c s="6" r="N1205">
        <v>0</v>
      </c>
      <c s="6" r="O1205">
        <v>0</v>
      </c>
      <c t="s" s="6" r="P1205">
        <v>535</v>
      </c>
      <c t="s" s="6" r="Q1205">
        <v>8762</v>
      </c>
      <c t="s" s="6" r="R1205">
        <v>8763</v>
      </c>
      <c t="s" s="6" r="S1205">
        <v>8764</v>
      </c>
      <c t="s" s="6" r="T1205">
        <v>8752</v>
      </c>
      <c t="s" s="6" r="U1205">
        <v>8765</v>
      </c>
      <c s="6" r="V1205">
        <v>1</v>
      </c>
      <c s="6" r="W1205">
        <v>0</v>
      </c>
      <c s="6" r="X1205">
        <v>1</v>
      </c>
      <c s="6" r="Y1205">
        <v>0</v>
      </c>
      <c s="6" r="Z1205">
        <v>0</v>
      </c>
      <c s="6" r="AA1205">
        <v>1</v>
      </c>
      <c s="6" r="AB1205">
        <v>1</v>
      </c>
      <c s="6" r="AC1205">
        <v>1</v>
      </c>
      <c t="s" s="6" r="AD1205">
        <v>92</v>
      </c>
      <c t="s" s="6" r="AE1205">
        <v>92</v>
      </c>
      <c s="6" r="AF1205">
        <v>1</v>
      </c>
      <c t="s" s="6" r="AG1205">
        <v>92</v>
      </c>
      <c t="s" s="6" r="AH1205">
        <v>92</v>
      </c>
      <c s="6" r="AI1205">
        <v>1</v>
      </c>
      <c t="s" s="6" r="AJ1205">
        <v>92</v>
      </c>
      <c t="s" s="6" r="AK1205">
        <v>92</v>
      </c>
      <c s="6" r="AL1205">
        <v>1</v>
      </c>
      <c t="s" s="6" r="AM1205">
        <v>92</v>
      </c>
      <c t="s" s="6" r="AN1205">
        <v>92</v>
      </c>
      <c t="s" s="6" r="AO1205">
        <v>8766</v>
      </c>
      <c s="6" r="AP1205">
        <v>1</v>
      </c>
      <c s="6" r="AS1205">
        <v>0</v>
      </c>
      <c s="6" r="AT1205">
        <v>0</v>
      </c>
      <c s="6" r="AU1205">
        <v>0</v>
      </c>
      <c s="6" r="AV1205">
        <v>0</v>
      </c>
      <c s="6" r="AW1205">
        <v>0</v>
      </c>
      <c s="6" r="AX1205">
        <v>0</v>
      </c>
      <c s="6" r="AY1205">
        <v>0</v>
      </c>
      <c s="6" r="AZ1205">
        <v>0</v>
      </c>
      <c s="6" r="BA1205">
        <v>0</v>
      </c>
      <c s="6" r="BB1205">
        <v>0</v>
      </c>
      <c s="6" r="BC1205">
        <v>0</v>
      </c>
      <c s="6" r="BD1205">
        <v>0</v>
      </c>
      <c s="6" r="BE1205">
        <v>0</v>
      </c>
      <c s="6" r="BF1205">
        <v>0</v>
      </c>
      <c s="6" r="BG1205">
        <v>0</v>
      </c>
      <c s="6" r="BH1205">
        <v>0</v>
      </c>
      <c s="6" r="BI1205">
        <v>0</v>
      </c>
      <c s="6" r="BJ1205">
        <v>0</v>
      </c>
      <c s="6" r="BK1205">
        <v>0</v>
      </c>
      <c s="6" r="BL1205">
        <v>0</v>
      </c>
      <c s="6" r="BM1205">
        <v>0</v>
      </c>
      <c s="6" r="BN1205">
        <v>0</v>
      </c>
      <c s="6" r="BO1205">
        <v>0</v>
      </c>
      <c s="6" r="BP1205">
        <v>0</v>
      </c>
      <c s="6" r="BQ1205">
        <v>0</v>
      </c>
      <c t="s" s="6" r="BR1205">
        <v>92</v>
      </c>
      <c s="6" r="BS1205">
        <v>1227</v>
      </c>
      <c t="s" s="6" r="BT1205">
        <v>92</v>
      </c>
      <c s="6" r="BY1205">
        <v>0</v>
      </c>
    </row>
    <row customHeight="1" r="1206" ht="14.25">
      <c t="s" s="6" r="A1206">
        <v>8767</v>
      </c>
      <c t="s" s="6" r="B1206">
        <v>131</v>
      </c>
      <c t="s" s="6" r="E1206">
        <v>8768</v>
      </c>
      <c t="s" s="6" r="F1206">
        <v>81</v>
      </c>
      <c t="s" s="6" r="G1206">
        <v>8760</v>
      </c>
      <c s="6" r="H1206">
        <v>0</v>
      </c>
      <c t="s" s="6" r="I1206">
        <v>107</v>
      </c>
      <c t="s" s="6" r="L1206">
        <v>8769</v>
      </c>
      <c t="s" s="6" r="M1206">
        <v>5005</v>
      </c>
      <c s="6" r="N1206">
        <v>0</v>
      </c>
      <c s="6" r="O1206">
        <v>0</v>
      </c>
      <c t="s" s="6" r="P1206">
        <v>535</v>
      </c>
      <c t="s" s="6" r="Q1206">
        <v>8762</v>
      </c>
      <c t="s" s="6" r="R1206">
        <v>8770</v>
      </c>
      <c t="s" s="6" r="S1206">
        <v>8771</v>
      </c>
      <c t="s" s="6" r="T1206">
        <v>8752</v>
      </c>
      <c t="s" s="6" r="U1206">
        <v>8772</v>
      </c>
      <c s="6" r="V1206">
        <v>1</v>
      </c>
      <c s="6" r="W1206">
        <v>0</v>
      </c>
      <c s="6" r="X1206">
        <v>1</v>
      </c>
      <c s="6" r="Y1206">
        <v>0</v>
      </c>
      <c s="6" r="Z1206">
        <v>0</v>
      </c>
      <c s="6" r="AA1206">
        <v>5</v>
      </c>
      <c s="6" r="AB1206">
        <v>5</v>
      </c>
      <c s="6" r="AC1206">
        <v>5</v>
      </c>
      <c t="s" s="6" r="AD1206">
        <v>92</v>
      </c>
      <c t="s" s="6" r="AE1206">
        <v>92</v>
      </c>
      <c t="s" s="6" r="AF1206">
        <v>92</v>
      </c>
      <c t="s" s="6" r="AG1206">
        <v>92</v>
      </c>
      <c t="s" s="6" r="AH1206">
        <v>92</v>
      </c>
      <c s="6" r="AI1206">
        <v>5</v>
      </c>
      <c t="s" s="6" r="AJ1206">
        <v>92</v>
      </c>
      <c t="s" s="6" r="AK1206">
        <v>92</v>
      </c>
      <c s="6" r="AL1206">
        <v>5</v>
      </c>
      <c t="s" s="6" r="AM1206">
        <v>92</v>
      </c>
      <c t="s" s="6" r="AN1206">
        <v>92</v>
      </c>
      <c t="s" s="6" r="AO1206">
        <v>8766</v>
      </c>
      <c s="6" r="AP1206">
        <v>5</v>
      </c>
      <c s="6" r="AS1206">
        <v>0</v>
      </c>
      <c s="6" r="AT1206">
        <v>0</v>
      </c>
      <c s="6" r="AU1206">
        <v>0</v>
      </c>
      <c s="6" r="AV1206">
        <v>0</v>
      </c>
      <c s="6" r="AW1206">
        <v>0</v>
      </c>
      <c s="6" r="AX1206">
        <v>0</v>
      </c>
      <c s="6" r="AY1206">
        <v>0</v>
      </c>
      <c s="6" r="AZ1206">
        <v>0</v>
      </c>
      <c s="6" r="BA1206">
        <v>0</v>
      </c>
      <c s="6" r="BB1206">
        <v>0</v>
      </c>
      <c s="6" r="BC1206">
        <v>0</v>
      </c>
      <c s="6" r="BD1206">
        <v>0</v>
      </c>
      <c s="6" r="BE1206">
        <v>0</v>
      </c>
      <c s="6" r="BF1206">
        <v>0</v>
      </c>
      <c s="6" r="BG1206">
        <v>0</v>
      </c>
      <c s="6" r="BH1206">
        <v>0</v>
      </c>
      <c s="6" r="BI1206">
        <v>0</v>
      </c>
      <c s="6" r="BJ1206">
        <v>0</v>
      </c>
      <c s="6" r="BK1206">
        <v>0</v>
      </c>
      <c s="6" r="BL1206">
        <v>0</v>
      </c>
      <c s="6" r="BM1206">
        <v>0</v>
      </c>
      <c s="6" r="BN1206">
        <v>0</v>
      </c>
      <c s="6" r="BO1206">
        <v>0</v>
      </c>
      <c s="6" r="BP1206">
        <v>0</v>
      </c>
      <c s="6" r="BQ1206">
        <v>0</v>
      </c>
      <c t="s" s="6" r="BR1206">
        <v>92</v>
      </c>
      <c s="6" r="BS1206">
        <v>1228</v>
      </c>
      <c t="s" s="6" r="BT1206">
        <v>92</v>
      </c>
      <c s="6" r="BY1206">
        <v>0</v>
      </c>
    </row>
    <row customHeight="1" r="1207" ht="14.25">
      <c t="s" s="6" r="A1207">
        <v>8773</v>
      </c>
      <c t="s" s="6" r="B1207">
        <v>174</v>
      </c>
      <c t="s" s="6" r="E1207">
        <v>8774</v>
      </c>
      <c t="s" s="6" r="F1207">
        <v>197</v>
      </c>
      <c t="s" s="6" r="G1207">
        <v>8775</v>
      </c>
      <c s="6" r="H1207">
        <v>1</v>
      </c>
      <c t="s" s="6" r="I1207">
        <v>155</v>
      </c>
      <c t="s" s="6" r="L1207">
        <v>156</v>
      </c>
      <c t="s" s="6" r="M1207">
        <v>109</v>
      </c>
      <c s="6" r="N1207">
        <v>0</v>
      </c>
      <c s="6" r="O1207">
        <v>0</v>
      </c>
      <c t="s" s="6" r="R1207">
        <v>8776</v>
      </c>
      <c t="s" s="6" r="S1207">
        <v>8777</v>
      </c>
      <c t="s" s="6" r="T1207">
        <v>8752</v>
      </c>
      <c t="s" s="6" r="U1207">
        <v>8778</v>
      </c>
      <c s="6" r="V1207">
        <v>1</v>
      </c>
      <c s="6" r="W1207">
        <v>1</v>
      </c>
      <c s="6" r="X1207">
        <v>0</v>
      </c>
      <c s="6" r="Y1207">
        <v>0</v>
      </c>
      <c s="6" r="Z1207">
        <v>0</v>
      </c>
      <c t="s" s="6" r="AA1207">
        <v>92</v>
      </c>
      <c t="s" s="6" r="AB1207">
        <v>92</v>
      </c>
      <c s="6" r="AC1207">
        <v>1</v>
      </c>
      <c s="6" r="AD1207">
        <v>1</v>
      </c>
      <c s="6" r="AE1207">
        <v>1</v>
      </c>
      <c s="6" r="AF1207">
        <v>1</v>
      </c>
      <c t="s" s="6" r="AG1207">
        <v>92</v>
      </c>
      <c t="s" s="6" r="AH1207">
        <v>92</v>
      </c>
      <c t="s" s="6" r="AI1207">
        <v>92</v>
      </c>
      <c t="s" s="6" r="AJ1207">
        <v>92</v>
      </c>
      <c t="s" s="6" r="AK1207">
        <v>92</v>
      </c>
      <c s="6" r="AL1207">
        <v>1</v>
      </c>
      <c t="s" s="6" r="AM1207">
        <v>92</v>
      </c>
      <c t="s" s="6" r="AN1207">
        <v>92</v>
      </c>
      <c t="s" s="6" r="AO1207">
        <v>6942</v>
      </c>
      <c s="6" r="AP1207">
        <v>1</v>
      </c>
      <c s="6" r="AS1207">
        <v>0</v>
      </c>
      <c s="6" r="AT1207">
        <v>0</v>
      </c>
      <c s="6" r="AU1207">
        <v>0</v>
      </c>
      <c s="6" r="AV1207">
        <v>0</v>
      </c>
      <c s="6" r="AW1207">
        <v>0</v>
      </c>
      <c s="6" r="AX1207">
        <v>0</v>
      </c>
      <c s="6" r="AY1207">
        <v>0</v>
      </c>
      <c s="6" r="AZ1207">
        <v>0</v>
      </c>
      <c s="6" r="BA1207">
        <v>0</v>
      </c>
      <c s="6" r="BB1207">
        <v>0</v>
      </c>
      <c s="6" r="BC1207">
        <v>0</v>
      </c>
      <c s="6" r="BD1207">
        <v>0</v>
      </c>
      <c s="6" r="BE1207">
        <v>0</v>
      </c>
      <c s="6" r="BF1207">
        <v>0</v>
      </c>
      <c s="6" r="BG1207">
        <v>0</v>
      </c>
      <c s="6" r="BH1207">
        <v>0</v>
      </c>
      <c s="6" r="BI1207">
        <v>0</v>
      </c>
      <c s="6" r="BJ1207">
        <v>0</v>
      </c>
      <c s="6" r="BK1207">
        <v>0</v>
      </c>
      <c s="6" r="BL1207">
        <v>0</v>
      </c>
      <c s="6" r="BM1207">
        <v>0</v>
      </c>
      <c s="6" r="BN1207">
        <v>0</v>
      </c>
      <c s="6" r="BO1207">
        <v>0</v>
      </c>
      <c s="6" r="BP1207">
        <v>0</v>
      </c>
      <c s="6" r="BQ1207">
        <v>0</v>
      </c>
      <c t="s" s="6" r="BR1207">
        <v>92</v>
      </c>
      <c s="6" r="BS1207">
        <v>1229</v>
      </c>
      <c s="6" r="BT1207">
        <v>25</v>
      </c>
      <c s="6" r="BY1207">
        <v>0</v>
      </c>
    </row>
    <row customHeight="1" r="1208" ht="14.25">
      <c t="s" s="6" r="A1208">
        <v>8779</v>
      </c>
      <c t="s" s="6" r="B1208">
        <v>131</v>
      </c>
      <c t="s" s="6" r="D1208">
        <v>45</v>
      </c>
      <c t="s" s="6" r="E1208">
        <v>2909</v>
      </c>
      <c t="s" s="6" r="F1208">
        <v>81</v>
      </c>
      <c t="s" s="6" r="G1208">
        <v>119</v>
      </c>
      <c s="6" r="H1208">
        <v>0</v>
      </c>
      <c t="s" s="6" r="I1208">
        <v>120</v>
      </c>
      <c t="s" s="6" r="L1208">
        <v>8780</v>
      </c>
      <c t="s" s="6" r="M1208">
        <v>2718</v>
      </c>
      <c s="6" r="N1208">
        <v>0</v>
      </c>
      <c s="6" r="O1208">
        <v>0</v>
      </c>
      <c t="s" s="6" r="P1208">
        <v>86</v>
      </c>
      <c t="s" s="6" r="Q1208">
        <v>123</v>
      </c>
      <c t="s" s="6" r="R1208">
        <v>8781</v>
      </c>
      <c t="s" s="6" r="S1208">
        <v>8782</v>
      </c>
      <c t="s" s="6" r="T1208">
        <v>8752</v>
      </c>
      <c t="s" s="6" r="U1208">
        <v>8783</v>
      </c>
      <c s="6" r="V1208">
        <v>1</v>
      </c>
      <c s="6" r="W1208">
        <v>1</v>
      </c>
      <c s="6" r="X1208">
        <v>0</v>
      </c>
      <c s="6" r="Y1208">
        <v>0</v>
      </c>
      <c s="6" r="Z1208">
        <v>1</v>
      </c>
      <c t="s" s="6" r="AA1208">
        <v>92</v>
      </c>
      <c t="s" s="6" r="AB1208">
        <v>92</v>
      </c>
      <c s="6" r="AC1208">
        <v>3</v>
      </c>
      <c s="6" r="AD1208">
        <v>3</v>
      </c>
      <c t="s" s="6" r="AE1208">
        <v>92</v>
      </c>
      <c t="s" s="6" r="AF1208">
        <v>92</v>
      </c>
      <c t="s" s="6" r="AG1208">
        <v>92</v>
      </c>
      <c t="s" s="6" r="AH1208">
        <v>92</v>
      </c>
      <c t="s" s="6" r="AI1208">
        <v>92</v>
      </c>
      <c t="s" s="6" r="AJ1208">
        <v>92</v>
      </c>
      <c t="s" s="6" r="AK1208">
        <v>92</v>
      </c>
      <c s="6" r="AL1208">
        <v>3</v>
      </c>
      <c t="s" s="6" r="AM1208">
        <v>92</v>
      </c>
      <c t="s" s="6" r="AN1208">
        <v>92</v>
      </c>
      <c t="s" s="6" r="AO1208">
        <v>6942</v>
      </c>
      <c s="6" r="AP1208">
        <v>3</v>
      </c>
      <c s="6" r="AS1208">
        <v>0</v>
      </c>
      <c s="6" r="AT1208">
        <v>1</v>
      </c>
      <c s="6" r="AU1208">
        <v>0</v>
      </c>
      <c s="6" r="AV1208">
        <v>0</v>
      </c>
      <c s="6" r="AW1208">
        <v>0</v>
      </c>
      <c s="6" r="AX1208">
        <v>0</v>
      </c>
      <c s="6" r="AY1208">
        <v>0</v>
      </c>
      <c s="6" r="AZ1208">
        <v>0</v>
      </c>
      <c s="6" r="BA1208">
        <v>0</v>
      </c>
      <c s="6" r="BB1208">
        <v>0</v>
      </c>
      <c s="6" r="BC1208">
        <v>0</v>
      </c>
      <c s="6" r="BD1208">
        <v>0</v>
      </c>
      <c s="6" r="BE1208">
        <v>0</v>
      </c>
      <c s="6" r="BF1208">
        <v>0</v>
      </c>
      <c s="6" r="BG1208">
        <v>0</v>
      </c>
      <c s="6" r="BH1208">
        <v>0</v>
      </c>
      <c s="6" r="BI1208">
        <v>0</v>
      </c>
      <c s="6" r="BJ1208">
        <v>0</v>
      </c>
      <c s="6" r="BK1208">
        <v>0</v>
      </c>
      <c s="6" r="BL1208">
        <v>0</v>
      </c>
      <c s="6" r="BM1208">
        <v>0</v>
      </c>
      <c s="6" r="BN1208">
        <v>0</v>
      </c>
      <c s="6" r="BO1208">
        <v>0</v>
      </c>
      <c s="6" r="BP1208">
        <v>0</v>
      </c>
      <c s="6" r="BQ1208">
        <v>0</v>
      </c>
      <c t="s" s="6" r="BR1208">
        <v>92</v>
      </c>
      <c s="6" r="BS1208">
        <v>1230</v>
      </c>
      <c t="s" s="6" r="BT1208">
        <v>92</v>
      </c>
      <c s="6" r="BY1208">
        <v>0</v>
      </c>
    </row>
    <row customHeight="1" r="1209" ht="14.25">
      <c t="s" s="6" r="A1209">
        <v>8784</v>
      </c>
      <c t="s" s="6" r="B1209">
        <v>131</v>
      </c>
      <c t="s" s="6" r="E1209">
        <v>8785</v>
      </c>
      <c t="s" s="6" r="F1209">
        <v>81</v>
      </c>
      <c t="s" s="6" r="G1209">
        <v>8786</v>
      </c>
      <c s="6" r="H1209">
        <v>0</v>
      </c>
      <c t="s" s="6" r="I1209">
        <v>120</v>
      </c>
      <c t="s" s="6" r="L1209">
        <v>8787</v>
      </c>
      <c t="s" s="6" r="M1209">
        <v>293</v>
      </c>
      <c s="6" r="N1209">
        <v>0</v>
      </c>
      <c s="6" r="O1209">
        <v>0</v>
      </c>
      <c t="s" s="6" r="P1209">
        <v>86</v>
      </c>
      <c t="s" s="6" r="Q1209">
        <v>188</v>
      </c>
      <c t="s" s="6" r="R1209">
        <v>8788</v>
      </c>
      <c t="s" s="6" r="S1209">
        <v>8789</v>
      </c>
      <c t="s" s="6" r="T1209">
        <v>8752</v>
      </c>
      <c t="s" s="6" r="U1209">
        <v>8790</v>
      </c>
      <c s="6" r="V1209">
        <v>1</v>
      </c>
      <c s="6" r="W1209">
        <v>0</v>
      </c>
      <c s="6" r="X1209">
        <v>1</v>
      </c>
      <c s="6" r="Y1209">
        <v>0</v>
      </c>
      <c s="6" r="Z1209">
        <v>0</v>
      </c>
      <c t="s" s="6" r="AA1209">
        <v>92</v>
      </c>
      <c t="s" s="6" r="AB1209">
        <v>92</v>
      </c>
      <c s="6" r="AC1209">
        <v>1</v>
      </c>
      <c s="6" r="AD1209">
        <v>1</v>
      </c>
      <c t="s" s="6" r="AE1209">
        <v>92</v>
      </c>
      <c s="6" r="AF1209">
        <v>1</v>
      </c>
      <c t="s" s="6" r="AG1209">
        <v>92</v>
      </c>
      <c t="s" s="6" r="AH1209">
        <v>92</v>
      </c>
      <c t="s" s="6" r="AI1209">
        <v>92</v>
      </c>
      <c t="s" s="6" r="AJ1209">
        <v>92</v>
      </c>
      <c t="s" s="6" r="AK1209">
        <v>92</v>
      </c>
      <c s="6" r="AL1209">
        <v>1</v>
      </c>
      <c t="s" s="6" r="AM1209">
        <v>92</v>
      </c>
      <c t="s" s="6" r="AN1209">
        <v>92</v>
      </c>
      <c t="s" s="6" r="AO1209">
        <v>8791</v>
      </c>
      <c s="6" r="AP1209">
        <v>1</v>
      </c>
      <c s="6" r="AS1209">
        <v>0</v>
      </c>
      <c s="6" r="AT1209">
        <v>0</v>
      </c>
      <c s="6" r="AU1209">
        <v>0</v>
      </c>
      <c s="6" r="AV1209">
        <v>0</v>
      </c>
      <c s="6" r="AW1209">
        <v>0</v>
      </c>
      <c s="6" r="AX1209">
        <v>0</v>
      </c>
      <c s="6" r="AY1209">
        <v>0</v>
      </c>
      <c s="6" r="AZ1209">
        <v>0</v>
      </c>
      <c s="6" r="BA1209">
        <v>0</v>
      </c>
      <c s="6" r="BB1209">
        <v>0</v>
      </c>
      <c s="6" r="BC1209">
        <v>0</v>
      </c>
      <c s="6" r="BD1209">
        <v>0</v>
      </c>
      <c s="6" r="BE1209">
        <v>0</v>
      </c>
      <c s="6" r="BF1209">
        <v>0</v>
      </c>
      <c s="6" r="BG1209">
        <v>0</v>
      </c>
      <c s="6" r="BH1209">
        <v>0</v>
      </c>
      <c s="6" r="BI1209">
        <v>0</v>
      </c>
      <c s="6" r="BJ1209">
        <v>0</v>
      </c>
      <c s="6" r="BK1209">
        <v>0</v>
      </c>
      <c s="6" r="BL1209">
        <v>0</v>
      </c>
      <c s="6" r="BM1209">
        <v>0</v>
      </c>
      <c s="6" r="BN1209">
        <v>0</v>
      </c>
      <c s="6" r="BO1209">
        <v>0</v>
      </c>
      <c s="6" r="BP1209">
        <v>0</v>
      </c>
      <c s="6" r="BQ1209">
        <v>0</v>
      </c>
      <c t="s" s="6" r="BR1209">
        <v>92</v>
      </c>
      <c s="6" r="BS1209">
        <v>1231</v>
      </c>
      <c t="s" s="6" r="BT1209">
        <v>92</v>
      </c>
      <c s="6" r="BY1209">
        <v>0</v>
      </c>
    </row>
    <row customHeight="1" r="1210" ht="14.25">
      <c t="s" s="6" r="A1210">
        <v>8792</v>
      </c>
      <c t="s" s="6" r="B1210">
        <v>174</v>
      </c>
      <c t="s" s="6" r="D1210">
        <v>117</v>
      </c>
      <c t="s" s="6" r="E1210">
        <v>8793</v>
      </c>
      <c t="s" s="6" r="F1210">
        <v>81</v>
      </c>
      <c t="s" s="6" r="G1210">
        <v>8794</v>
      </c>
      <c s="6" r="H1210">
        <v>0</v>
      </c>
      <c t="s" s="6" r="I1210">
        <v>5115</v>
      </c>
      <c t="s" s="6" r="L1210">
        <v>1235</v>
      </c>
      <c t="s" s="6" r="M1210">
        <v>109</v>
      </c>
      <c s="6" r="N1210">
        <v>0</v>
      </c>
      <c s="6" r="O1210">
        <v>0</v>
      </c>
      <c t="s" s="6" r="P1210">
        <v>188</v>
      </c>
      <c t="s" s="6" r="Q1210">
        <v>188</v>
      </c>
      <c t="s" s="6" r="R1210">
        <v>8795</v>
      </c>
      <c t="s" s="6" r="S1210">
        <v>8796</v>
      </c>
      <c t="s" s="6" r="T1210">
        <v>8752</v>
      </c>
      <c t="s" s="6" r="U1210">
        <v>8797</v>
      </c>
      <c s="6" r="V1210">
        <v>1</v>
      </c>
      <c s="6" r="W1210">
        <v>1</v>
      </c>
      <c s="6" r="X1210">
        <v>0</v>
      </c>
      <c s="6" r="Y1210">
        <v>0</v>
      </c>
      <c s="6" r="Z1210">
        <v>0</v>
      </c>
      <c s="6" r="AA1210">
        <v>2</v>
      </c>
      <c s="6" r="AB1210">
        <v>2</v>
      </c>
      <c s="6" r="AC1210">
        <v>2</v>
      </c>
      <c t="s" s="6" r="AD1210">
        <v>92</v>
      </c>
      <c t="s" s="6" r="AE1210">
        <v>92</v>
      </c>
      <c s="6" r="AF1210">
        <v>2</v>
      </c>
      <c t="s" s="6" r="AG1210">
        <v>92</v>
      </c>
      <c t="s" s="6" r="AH1210">
        <v>92</v>
      </c>
      <c t="s" s="6" r="AI1210">
        <v>92</v>
      </c>
      <c t="s" s="6" r="AJ1210">
        <v>92</v>
      </c>
      <c s="6" r="AK1210">
        <v>2</v>
      </c>
      <c s="6" r="AL1210">
        <v>2</v>
      </c>
      <c t="s" s="6" r="AM1210">
        <v>92</v>
      </c>
      <c t="s" s="6" r="AN1210">
        <v>92</v>
      </c>
      <c t="s" s="6" r="AO1210">
        <v>6988</v>
      </c>
      <c s="6" r="AP1210">
        <v>2</v>
      </c>
      <c s="6" r="AS1210">
        <v>0</v>
      </c>
      <c s="6" r="AT1210">
        <v>0</v>
      </c>
      <c s="6" r="AU1210">
        <v>0</v>
      </c>
      <c s="6" r="AV1210">
        <v>0</v>
      </c>
      <c s="6" r="AW1210">
        <v>0</v>
      </c>
      <c s="6" r="AX1210">
        <v>0</v>
      </c>
      <c s="6" r="AY1210">
        <v>0</v>
      </c>
      <c s="6" r="AZ1210">
        <v>0</v>
      </c>
      <c s="6" r="BA1210">
        <v>0</v>
      </c>
      <c s="6" r="BB1210">
        <v>0</v>
      </c>
      <c s="6" r="BC1210">
        <v>0</v>
      </c>
      <c s="6" r="BD1210">
        <v>0</v>
      </c>
      <c s="6" r="BE1210">
        <v>0</v>
      </c>
      <c s="6" r="BF1210">
        <v>0</v>
      </c>
      <c s="6" r="BG1210">
        <v>0</v>
      </c>
      <c s="6" r="BH1210">
        <v>0</v>
      </c>
      <c s="6" r="BI1210">
        <v>0</v>
      </c>
      <c s="6" r="BJ1210">
        <v>0</v>
      </c>
      <c s="6" r="BK1210">
        <v>0</v>
      </c>
      <c s="6" r="BL1210">
        <v>1</v>
      </c>
      <c s="6" r="BM1210">
        <v>0</v>
      </c>
      <c s="6" r="BN1210">
        <v>0</v>
      </c>
      <c s="6" r="BO1210">
        <v>0</v>
      </c>
      <c s="6" r="BP1210">
        <v>0</v>
      </c>
      <c s="6" r="BQ1210">
        <v>0</v>
      </c>
      <c t="s" s="6" r="BR1210">
        <v>92</v>
      </c>
      <c s="6" r="BS1210">
        <v>1232</v>
      </c>
      <c t="s" s="6" r="BT1210">
        <v>92</v>
      </c>
      <c s="6" r="BY1210">
        <v>0</v>
      </c>
    </row>
    <row customHeight="1" r="1211" ht="14.25">
      <c t="s" s="6" r="A1211">
        <v>8798</v>
      </c>
      <c t="s" s="6" r="B1211">
        <v>174</v>
      </c>
      <c t="s" s="6" r="E1211">
        <v>142</v>
      </c>
      <c t="s" s="6" r="F1211">
        <v>81</v>
      </c>
      <c t="s" s="6" r="G1211">
        <v>119</v>
      </c>
      <c s="6" r="H1211">
        <v>0</v>
      </c>
      <c t="s" s="6" r="I1211">
        <v>5115</v>
      </c>
      <c t="s" s="6" r="L1211">
        <v>731</v>
      </c>
      <c t="s" s="6" r="M1211">
        <v>272</v>
      </c>
      <c s="6" r="N1211">
        <v>0</v>
      </c>
      <c s="6" r="O1211">
        <v>0</v>
      </c>
      <c t="s" s="6" r="P1211">
        <v>221</v>
      </c>
      <c t="s" s="6" r="Q1211">
        <v>188</v>
      </c>
      <c t="s" s="6" r="R1211">
        <v>8799</v>
      </c>
      <c t="s" s="6" r="S1211">
        <v>8800</v>
      </c>
      <c t="s" s="6" r="T1211">
        <v>8752</v>
      </c>
      <c t="s" s="6" r="U1211">
        <v>8801</v>
      </c>
      <c s="6" r="V1211">
        <v>1</v>
      </c>
      <c s="6" r="W1211">
        <v>1</v>
      </c>
      <c s="6" r="X1211">
        <v>0</v>
      </c>
      <c s="6" r="Y1211">
        <v>0</v>
      </c>
      <c s="6" r="Z1211">
        <v>1</v>
      </c>
      <c t="s" s="6" r="AA1211">
        <v>92</v>
      </c>
      <c t="s" s="6" r="AB1211">
        <v>92</v>
      </c>
      <c s="6" r="AC1211">
        <v>2</v>
      </c>
      <c t="s" s="6" r="AD1211">
        <v>92</v>
      </c>
      <c t="s" s="6" r="AE1211">
        <v>92</v>
      </c>
      <c t="s" s="6" r="AF1211">
        <v>92</v>
      </c>
      <c t="s" s="6" r="AG1211">
        <v>92</v>
      </c>
      <c t="s" s="6" r="AH1211">
        <v>92</v>
      </c>
      <c t="s" s="6" r="AI1211">
        <v>92</v>
      </c>
      <c t="s" s="6" r="AJ1211">
        <v>92</v>
      </c>
      <c s="6" r="AK1211">
        <v>2</v>
      </c>
      <c s="6" r="AL1211">
        <v>2</v>
      </c>
      <c t="s" s="6" r="AM1211">
        <v>92</v>
      </c>
      <c t="s" s="6" r="AN1211">
        <v>92</v>
      </c>
      <c t="s" s="6" r="AO1211">
        <v>7075</v>
      </c>
      <c s="6" r="AP1211">
        <v>2</v>
      </c>
      <c s="6" r="AS1211">
        <v>0</v>
      </c>
      <c s="6" r="AT1211">
        <v>0</v>
      </c>
      <c s="6" r="AU1211">
        <v>0</v>
      </c>
      <c s="6" r="AV1211">
        <v>0</v>
      </c>
      <c s="6" r="AW1211">
        <v>0</v>
      </c>
      <c s="6" r="AX1211">
        <v>0</v>
      </c>
      <c s="6" r="AY1211">
        <v>0</v>
      </c>
      <c s="6" r="AZ1211">
        <v>0</v>
      </c>
      <c s="6" r="BA1211">
        <v>0</v>
      </c>
      <c s="6" r="BB1211">
        <v>0</v>
      </c>
      <c s="6" r="BC1211">
        <v>0</v>
      </c>
      <c s="6" r="BD1211">
        <v>0</v>
      </c>
      <c s="6" r="BE1211">
        <v>0</v>
      </c>
      <c s="6" r="BF1211">
        <v>0</v>
      </c>
      <c s="6" r="BG1211">
        <v>0</v>
      </c>
      <c s="6" r="BH1211">
        <v>0</v>
      </c>
      <c s="6" r="BI1211">
        <v>0</v>
      </c>
      <c s="6" r="BJ1211">
        <v>0</v>
      </c>
      <c s="6" r="BK1211">
        <v>0</v>
      </c>
      <c s="6" r="BL1211">
        <v>0</v>
      </c>
      <c s="6" r="BM1211">
        <v>0</v>
      </c>
      <c s="6" r="BN1211">
        <v>0</v>
      </c>
      <c s="6" r="BO1211">
        <v>0</v>
      </c>
      <c s="6" r="BP1211">
        <v>0</v>
      </c>
      <c s="6" r="BQ1211">
        <v>0</v>
      </c>
      <c t="s" s="6" r="BR1211">
        <v>92</v>
      </c>
      <c s="6" r="BS1211">
        <v>1233</v>
      </c>
      <c t="s" s="6" r="BT1211">
        <v>92</v>
      </c>
      <c s="6" r="BY1211">
        <v>0</v>
      </c>
    </row>
    <row customHeight="1" r="1212" ht="14.25">
      <c t="s" s="6" r="A1212">
        <v>8802</v>
      </c>
      <c t="s" s="6" r="B1212">
        <v>131</v>
      </c>
      <c t="s" s="6" r="E1212">
        <v>7740</v>
      </c>
      <c t="s" s="6" r="F1212">
        <v>81</v>
      </c>
      <c t="s" s="6" r="G1212">
        <v>106</v>
      </c>
      <c s="6" r="H1212">
        <v>0</v>
      </c>
      <c t="s" s="6" r="I1212">
        <v>120</v>
      </c>
      <c t="s" s="6" r="L1212">
        <v>8803</v>
      </c>
      <c t="s" s="6" r="M1212">
        <v>99</v>
      </c>
      <c s="6" r="N1212">
        <v>0</v>
      </c>
      <c s="6" r="O1212">
        <v>0</v>
      </c>
      <c t="s" s="6" r="P1212">
        <v>86</v>
      </c>
      <c t="s" s="6" r="Q1212">
        <v>87</v>
      </c>
      <c t="s" s="6" r="R1212">
        <v>8804</v>
      </c>
      <c t="s" s="6" r="S1212">
        <v>8805</v>
      </c>
      <c t="s" s="6" r="T1212">
        <v>7122</v>
      </c>
      <c t="s" s="6" r="U1212">
        <v>8806</v>
      </c>
      <c s="6" r="V1212">
        <v>1</v>
      </c>
      <c s="6" r="W1212">
        <v>1</v>
      </c>
      <c s="6" r="X1212">
        <v>0</v>
      </c>
      <c s="6" r="Y1212">
        <v>0</v>
      </c>
      <c s="6" r="Z1212">
        <v>0</v>
      </c>
      <c s="6" r="AA1212">
        <v>2</v>
      </c>
      <c s="6" r="AB1212">
        <v>2</v>
      </c>
      <c t="s" s="6" r="AC1212">
        <v>92</v>
      </c>
      <c t="s" s="6" r="AD1212">
        <v>92</v>
      </c>
      <c t="s" s="6" r="AE1212">
        <v>92</v>
      </c>
      <c s="6" r="AF1212">
        <v>2</v>
      </c>
      <c t="s" s="6" r="AG1212">
        <v>92</v>
      </c>
      <c t="s" s="6" r="AH1212">
        <v>92</v>
      </c>
      <c t="s" s="6" r="AI1212">
        <v>92</v>
      </c>
      <c s="6" r="AJ1212">
        <v>2</v>
      </c>
      <c t="s" s="6" r="AK1212">
        <v>92</v>
      </c>
      <c t="s" s="6" r="AL1212">
        <v>92</v>
      </c>
      <c t="s" s="6" r="AM1212">
        <v>92</v>
      </c>
      <c t="s" s="6" r="AN1212">
        <v>92</v>
      </c>
      <c s="6" r="AP1212">
        <v>2</v>
      </c>
      <c t="s" s="6" r="AR1212">
        <v>8807</v>
      </c>
      <c s="6" r="AS1212">
        <v>0</v>
      </c>
      <c s="6" r="AT1212">
        <v>0</v>
      </c>
      <c s="6" r="AU1212">
        <v>0</v>
      </c>
      <c s="6" r="AV1212">
        <v>0</v>
      </c>
      <c s="6" r="AW1212">
        <v>0</v>
      </c>
      <c s="6" r="AX1212">
        <v>0</v>
      </c>
      <c s="6" r="AY1212">
        <v>0</v>
      </c>
      <c s="6" r="AZ1212">
        <v>0</v>
      </c>
      <c s="6" r="BA1212">
        <v>0</v>
      </c>
      <c s="6" r="BB1212">
        <v>0</v>
      </c>
      <c s="6" r="BC1212">
        <v>0</v>
      </c>
      <c s="6" r="BD1212">
        <v>0</v>
      </c>
      <c s="6" r="BE1212">
        <v>0</v>
      </c>
      <c s="6" r="BF1212">
        <v>0</v>
      </c>
      <c s="6" r="BG1212">
        <v>0</v>
      </c>
      <c s="6" r="BH1212">
        <v>0</v>
      </c>
      <c s="6" r="BI1212">
        <v>0</v>
      </c>
      <c s="6" r="BJ1212">
        <v>0</v>
      </c>
      <c s="6" r="BK1212">
        <v>0</v>
      </c>
      <c s="6" r="BL1212">
        <v>0</v>
      </c>
      <c s="6" r="BM1212">
        <v>0</v>
      </c>
      <c s="6" r="BN1212">
        <v>0</v>
      </c>
      <c s="6" r="BO1212">
        <v>0</v>
      </c>
      <c s="6" r="BP1212">
        <v>0</v>
      </c>
      <c s="6" r="BQ1212">
        <v>0</v>
      </c>
      <c t="s" s="6" r="BR1212">
        <v>92</v>
      </c>
      <c s="6" r="BS1212">
        <v>1234</v>
      </c>
      <c t="s" s="6" r="BT1212">
        <v>92</v>
      </c>
      <c s="6" r="BY1212">
        <v>0</v>
      </c>
    </row>
    <row customHeight="1" r="1213" ht="14.25">
      <c t="s" s="6" r="A1213">
        <v>8808</v>
      </c>
      <c t="s" s="6" r="B1213">
        <v>174</v>
      </c>
      <c t="s" s="6" r="E1213">
        <v>8809</v>
      </c>
      <c t="s" s="6" r="F1213">
        <v>81</v>
      </c>
      <c t="s" s="6" r="G1213">
        <v>8810</v>
      </c>
      <c s="6" r="H1213">
        <v>1</v>
      </c>
      <c t="s" s="6" r="I1213">
        <v>155</v>
      </c>
      <c t="s" s="6" r="L1213">
        <v>156</v>
      </c>
      <c t="s" s="6" r="M1213">
        <v>5513</v>
      </c>
      <c s="6" r="N1213">
        <v>1</v>
      </c>
      <c s="6" r="O1213">
        <v>0</v>
      </c>
      <c t="s" s="6" r="R1213">
        <v>8811</v>
      </c>
      <c t="s" s="6" r="S1213">
        <v>8812</v>
      </c>
      <c t="s" s="6" r="T1213">
        <v>8813</v>
      </c>
      <c t="s" s="6" r="U1213">
        <v>8814</v>
      </c>
      <c s="6" r="V1213">
        <v>1</v>
      </c>
      <c s="6" r="W1213">
        <v>1</v>
      </c>
      <c s="6" r="X1213">
        <v>0</v>
      </c>
      <c s="6" r="Y1213">
        <v>0</v>
      </c>
      <c s="6" r="Z1213">
        <v>0</v>
      </c>
      <c s="6" r="AA1213">
        <v>2</v>
      </c>
      <c s="6" r="AB1213">
        <v>2</v>
      </c>
      <c t="s" s="6" r="AC1213">
        <v>92</v>
      </c>
      <c t="s" s="6" r="AD1213">
        <v>92</v>
      </c>
      <c t="s" s="6" r="AE1213">
        <v>92</v>
      </c>
      <c s="6" r="AF1213">
        <v>2</v>
      </c>
      <c t="s" s="6" r="AG1213">
        <v>92</v>
      </c>
      <c s="6" r="AH1213">
        <v>2</v>
      </c>
      <c t="s" s="6" r="AI1213">
        <v>92</v>
      </c>
      <c t="s" s="6" r="AJ1213">
        <v>92</v>
      </c>
      <c t="s" s="6" r="AK1213">
        <v>92</v>
      </c>
      <c t="s" s="6" r="AL1213">
        <v>92</v>
      </c>
      <c t="s" s="6" r="AM1213">
        <v>92</v>
      </c>
      <c t="s" s="6" r="AN1213">
        <v>92</v>
      </c>
      <c s="6" r="AP1213">
        <v>2</v>
      </c>
      <c s="6" r="AS1213">
        <v>0</v>
      </c>
      <c s="6" r="AT1213">
        <v>0</v>
      </c>
      <c s="6" r="AU1213">
        <v>0</v>
      </c>
      <c s="6" r="AV1213">
        <v>0</v>
      </c>
      <c s="6" r="AW1213">
        <v>0</v>
      </c>
      <c s="6" r="AX1213">
        <v>0</v>
      </c>
      <c s="6" r="AY1213">
        <v>0</v>
      </c>
      <c s="6" r="AZ1213">
        <v>0</v>
      </c>
      <c s="6" r="BA1213">
        <v>0</v>
      </c>
      <c s="6" r="BB1213">
        <v>0</v>
      </c>
      <c s="6" r="BC1213">
        <v>0</v>
      </c>
      <c s="6" r="BD1213">
        <v>0</v>
      </c>
      <c s="6" r="BE1213">
        <v>0</v>
      </c>
      <c s="6" r="BF1213">
        <v>0</v>
      </c>
      <c s="6" r="BG1213">
        <v>0</v>
      </c>
      <c s="6" r="BH1213">
        <v>0</v>
      </c>
      <c s="6" r="BI1213">
        <v>0</v>
      </c>
      <c s="6" r="BJ1213">
        <v>0</v>
      </c>
      <c s="6" r="BK1213">
        <v>0</v>
      </c>
      <c s="6" r="BL1213">
        <v>0</v>
      </c>
      <c s="6" r="BM1213">
        <v>0</v>
      </c>
      <c s="6" r="BN1213">
        <v>0</v>
      </c>
      <c s="6" r="BO1213">
        <v>0</v>
      </c>
      <c s="6" r="BP1213">
        <v>0</v>
      </c>
      <c s="6" r="BQ1213">
        <v>0</v>
      </c>
      <c t="s" s="6" r="BR1213">
        <v>92</v>
      </c>
      <c s="6" r="BS1213">
        <v>1235</v>
      </c>
      <c s="6" r="BT1213">
        <v>100</v>
      </c>
      <c s="6" r="BY1213">
        <v>0</v>
      </c>
    </row>
    <row customHeight="1" r="1214" ht="14.25">
      <c t="s" s="6" r="A1214">
        <v>8815</v>
      </c>
      <c t="s" s="6" r="B1214">
        <v>162</v>
      </c>
      <c t="s" s="6" r="E1214">
        <v>2102</v>
      </c>
      <c t="s" s="6" r="F1214">
        <v>81</v>
      </c>
      <c t="s" s="6" r="G1214">
        <v>8816</v>
      </c>
      <c s="6" r="H1214">
        <v>1</v>
      </c>
      <c t="s" s="6" r="I1214">
        <v>155</v>
      </c>
      <c t="s" s="6" r="L1214">
        <v>156</v>
      </c>
      <c t="s" s="6" r="M1214">
        <v>8817</v>
      </c>
      <c s="6" r="N1214">
        <v>0</v>
      </c>
      <c s="6" r="O1214">
        <v>0</v>
      </c>
      <c t="s" s="6" r="R1214">
        <v>8818</v>
      </c>
      <c t="s" s="6" r="S1214">
        <v>8819</v>
      </c>
      <c t="s" s="6" r="T1214">
        <v>8813</v>
      </c>
      <c t="s" s="6" r="U1214">
        <v>8820</v>
      </c>
      <c s="6" r="V1214">
        <v>1</v>
      </c>
      <c s="6" r="W1214">
        <v>1</v>
      </c>
      <c s="6" r="X1214">
        <v>1</v>
      </c>
      <c s="6" r="Y1214">
        <v>0</v>
      </c>
      <c s="6" r="Z1214">
        <v>0</v>
      </c>
      <c s="6" r="AA1214">
        <v>4</v>
      </c>
      <c s="6" r="AB1214">
        <v>4</v>
      </c>
      <c t="s" s="6" r="AC1214">
        <v>92</v>
      </c>
      <c t="s" s="6" r="AD1214">
        <v>92</v>
      </c>
      <c t="s" s="6" r="AE1214">
        <v>92</v>
      </c>
      <c t="s" s="6" r="AF1214">
        <v>92</v>
      </c>
      <c t="s" s="6" r="AG1214">
        <v>92</v>
      </c>
      <c t="s" s="6" r="AH1214">
        <v>92</v>
      </c>
      <c t="s" s="6" r="AI1214">
        <v>92</v>
      </c>
      <c t="s" s="6" r="AJ1214">
        <v>92</v>
      </c>
      <c t="s" s="6" r="AK1214">
        <v>92</v>
      </c>
      <c t="s" s="6" r="AL1214">
        <v>92</v>
      </c>
      <c t="s" s="6" r="AM1214">
        <v>92</v>
      </c>
      <c t="s" s="6" r="AN1214">
        <v>92</v>
      </c>
      <c s="6" r="AP1214">
        <v>4</v>
      </c>
      <c s="6" r="AS1214">
        <v>0</v>
      </c>
      <c s="6" r="AT1214">
        <v>0</v>
      </c>
      <c s="6" r="AU1214">
        <v>0</v>
      </c>
      <c s="6" r="AV1214">
        <v>0</v>
      </c>
      <c s="6" r="AW1214">
        <v>0</v>
      </c>
      <c s="6" r="AX1214">
        <v>0</v>
      </c>
      <c s="6" r="AY1214">
        <v>0</v>
      </c>
      <c s="6" r="AZ1214">
        <v>0</v>
      </c>
      <c s="6" r="BA1214">
        <v>0</v>
      </c>
      <c s="6" r="BB1214">
        <v>0</v>
      </c>
      <c s="6" r="BC1214">
        <v>0</v>
      </c>
      <c s="6" r="BD1214">
        <v>0</v>
      </c>
      <c s="6" r="BE1214">
        <v>0</v>
      </c>
      <c s="6" r="BF1214">
        <v>0</v>
      </c>
      <c s="6" r="BG1214">
        <v>0</v>
      </c>
      <c s="6" r="BH1214">
        <v>0</v>
      </c>
      <c s="6" r="BI1214">
        <v>0</v>
      </c>
      <c s="6" r="BJ1214">
        <v>0</v>
      </c>
      <c s="6" r="BK1214">
        <v>0</v>
      </c>
      <c s="6" r="BL1214">
        <v>0</v>
      </c>
      <c s="6" r="BM1214">
        <v>0</v>
      </c>
      <c s="6" r="BN1214">
        <v>0</v>
      </c>
      <c s="6" r="BO1214">
        <v>0</v>
      </c>
      <c s="6" r="BP1214">
        <v>0</v>
      </c>
      <c s="6" r="BQ1214">
        <v>0</v>
      </c>
      <c t="s" s="6" r="BR1214">
        <v>92</v>
      </c>
      <c s="6" r="BS1214">
        <v>1236</v>
      </c>
      <c s="6" r="BT1214">
        <v>100</v>
      </c>
      <c s="6" r="BY1214">
        <v>0</v>
      </c>
    </row>
    <row customHeight="1" r="1215" ht="14.25">
      <c t="s" s="6" r="A1215">
        <v>8821</v>
      </c>
      <c t="s" s="6" r="B1215">
        <v>115</v>
      </c>
      <c t="s" s="6" r="C1215">
        <v>116</v>
      </c>
      <c t="s" s="6" r="E1215">
        <v>8822</v>
      </c>
      <c t="s" s="6" r="F1215">
        <v>81</v>
      </c>
      <c t="s" s="6" r="G1215">
        <v>119</v>
      </c>
      <c s="6" r="H1215">
        <v>0</v>
      </c>
      <c t="s" s="6" r="I1215">
        <v>107</v>
      </c>
      <c t="s" s="6" r="L1215">
        <v>8823</v>
      </c>
      <c t="s" s="6" r="M1215">
        <v>483</v>
      </c>
      <c s="6" r="N1215">
        <v>1</v>
      </c>
      <c s="6" r="O1215">
        <v>0</v>
      </c>
      <c t="s" s="6" r="P1215">
        <v>221</v>
      </c>
      <c t="s" s="6" r="Q1215">
        <v>188</v>
      </c>
      <c t="s" s="6" r="R1215">
        <v>8824</v>
      </c>
      <c t="s" s="6" r="S1215">
        <v>8825</v>
      </c>
      <c t="s" s="6" r="T1215">
        <v>8813</v>
      </c>
      <c t="s" s="6" r="U1215">
        <v>8826</v>
      </c>
      <c s="6" r="V1215">
        <v>1</v>
      </c>
      <c s="6" r="W1215">
        <v>1</v>
      </c>
      <c s="6" r="X1215">
        <v>0</v>
      </c>
      <c s="6" r="Y1215">
        <v>0</v>
      </c>
      <c s="6" r="Z1215">
        <v>1</v>
      </c>
      <c s="6" r="AA1215">
        <v>4</v>
      </c>
      <c s="6" r="AB1215">
        <v>4</v>
      </c>
      <c t="s" s="6" r="AC1215">
        <v>92</v>
      </c>
      <c s="6" r="AD1215">
        <v>3</v>
      </c>
      <c t="s" s="6" r="AE1215">
        <v>92</v>
      </c>
      <c t="s" s="6" r="AF1215">
        <v>92</v>
      </c>
      <c t="s" s="6" r="AG1215">
        <v>92</v>
      </c>
      <c t="s" s="6" r="AH1215">
        <v>92</v>
      </c>
      <c s="6" r="AI1215">
        <v>3</v>
      </c>
      <c s="6" r="AJ1215">
        <v>4</v>
      </c>
      <c s="6" r="AK1215">
        <v>3</v>
      </c>
      <c t="s" s="6" r="AL1215">
        <v>92</v>
      </c>
      <c t="s" s="6" r="AM1215">
        <v>92</v>
      </c>
      <c t="s" s="6" r="AN1215">
        <v>92</v>
      </c>
      <c s="6" r="AP1215">
        <v>4</v>
      </c>
      <c s="6" r="AS1215">
        <v>0</v>
      </c>
      <c s="6" r="AT1215">
        <v>0</v>
      </c>
      <c s="6" r="AU1215">
        <v>0</v>
      </c>
      <c s="6" r="AV1215">
        <v>0</v>
      </c>
      <c s="6" r="AW1215">
        <v>0</v>
      </c>
      <c s="6" r="AX1215">
        <v>0</v>
      </c>
      <c s="6" r="AY1215">
        <v>0</v>
      </c>
      <c s="6" r="AZ1215">
        <v>0</v>
      </c>
      <c s="6" r="BA1215">
        <v>0</v>
      </c>
      <c s="6" r="BB1215">
        <v>0</v>
      </c>
      <c s="6" r="BC1215">
        <v>0</v>
      </c>
      <c s="6" r="BD1215">
        <v>0</v>
      </c>
      <c s="6" r="BE1215">
        <v>0</v>
      </c>
      <c s="6" r="BF1215">
        <v>0</v>
      </c>
      <c s="6" r="BG1215">
        <v>0</v>
      </c>
      <c s="6" r="BH1215">
        <v>0</v>
      </c>
      <c s="6" r="BI1215">
        <v>0</v>
      </c>
      <c s="6" r="BJ1215">
        <v>0</v>
      </c>
      <c s="6" r="BK1215">
        <v>0</v>
      </c>
      <c s="6" r="BL1215">
        <v>0</v>
      </c>
      <c s="6" r="BM1215">
        <v>0</v>
      </c>
      <c s="6" r="BN1215">
        <v>0</v>
      </c>
      <c s="6" r="BO1215">
        <v>0</v>
      </c>
      <c s="6" r="BP1215">
        <v>0</v>
      </c>
      <c s="6" r="BQ1215">
        <v>0</v>
      </c>
      <c t="s" s="6" r="BR1215">
        <v>92</v>
      </c>
      <c s="6" r="BS1215">
        <v>1237</v>
      </c>
      <c t="s" s="6" r="BT1215">
        <v>92</v>
      </c>
      <c s="6" r="BY1215">
        <v>0</v>
      </c>
    </row>
    <row customHeight="1" r="1216" ht="14.25">
      <c t="s" s="6" r="A1216">
        <v>8827</v>
      </c>
      <c t="s" s="6" r="B1216">
        <v>115</v>
      </c>
      <c t="s" s="6" r="C1216">
        <v>116</v>
      </c>
      <c t="s" s="6" r="E1216">
        <v>8828</v>
      </c>
      <c t="s" s="6" r="F1216">
        <v>81</v>
      </c>
      <c t="s" s="6" r="G1216">
        <v>119</v>
      </c>
      <c s="6" r="H1216">
        <v>0</v>
      </c>
      <c t="s" s="6" r="I1216">
        <v>97</v>
      </c>
      <c t="s" s="6" r="L1216">
        <v>8829</v>
      </c>
      <c t="s" s="6" r="M1216">
        <v>483</v>
      </c>
      <c s="6" r="N1216">
        <v>1</v>
      </c>
      <c s="6" r="O1216">
        <v>0</v>
      </c>
      <c t="s" s="6" r="P1216">
        <v>221</v>
      </c>
      <c t="s" s="6" r="Q1216">
        <v>188</v>
      </c>
      <c t="s" s="6" r="R1216">
        <v>8830</v>
      </c>
      <c t="s" s="6" r="S1216">
        <v>8831</v>
      </c>
      <c t="s" s="6" r="T1216">
        <v>8813</v>
      </c>
      <c t="s" s="6" r="U1216">
        <v>8832</v>
      </c>
      <c s="6" r="V1216">
        <v>1</v>
      </c>
      <c s="6" r="W1216">
        <v>1</v>
      </c>
      <c s="6" r="X1216">
        <v>0</v>
      </c>
      <c s="6" r="Y1216">
        <v>0</v>
      </c>
      <c s="6" r="Z1216">
        <v>1</v>
      </c>
      <c s="6" r="AA1216">
        <v>7</v>
      </c>
      <c s="6" r="AB1216">
        <v>7</v>
      </c>
      <c t="s" s="6" r="AC1216">
        <v>92</v>
      </c>
      <c s="6" r="AD1216">
        <v>6</v>
      </c>
      <c t="s" s="6" r="AE1216">
        <v>92</v>
      </c>
      <c t="s" s="6" r="AF1216">
        <v>92</v>
      </c>
      <c t="s" s="6" r="AG1216">
        <v>92</v>
      </c>
      <c t="s" s="6" r="AH1216">
        <v>92</v>
      </c>
      <c s="6" r="AI1216">
        <v>6</v>
      </c>
      <c s="6" r="AJ1216">
        <v>7</v>
      </c>
      <c s="6" r="AK1216">
        <v>6</v>
      </c>
      <c t="s" s="6" r="AL1216">
        <v>92</v>
      </c>
      <c t="s" s="6" r="AM1216">
        <v>92</v>
      </c>
      <c t="s" s="6" r="AN1216">
        <v>92</v>
      </c>
      <c s="6" r="AP1216">
        <v>7</v>
      </c>
      <c s="6" r="AS1216">
        <v>0</v>
      </c>
      <c s="6" r="AT1216">
        <v>0</v>
      </c>
      <c s="6" r="AU1216">
        <v>0</v>
      </c>
      <c s="6" r="AV1216">
        <v>0</v>
      </c>
      <c s="6" r="AW1216">
        <v>0</v>
      </c>
      <c s="6" r="AX1216">
        <v>0</v>
      </c>
      <c s="6" r="AY1216">
        <v>0</v>
      </c>
      <c s="6" r="AZ1216">
        <v>0</v>
      </c>
      <c s="6" r="BA1216">
        <v>0</v>
      </c>
      <c s="6" r="BB1216">
        <v>0</v>
      </c>
      <c s="6" r="BC1216">
        <v>0</v>
      </c>
      <c s="6" r="BD1216">
        <v>0</v>
      </c>
      <c s="6" r="BE1216">
        <v>0</v>
      </c>
      <c s="6" r="BF1216">
        <v>0</v>
      </c>
      <c s="6" r="BG1216">
        <v>0</v>
      </c>
      <c s="6" r="BH1216">
        <v>0</v>
      </c>
      <c s="6" r="BI1216">
        <v>0</v>
      </c>
      <c s="6" r="BJ1216">
        <v>0</v>
      </c>
      <c s="6" r="BK1216">
        <v>0</v>
      </c>
      <c s="6" r="BL1216">
        <v>0</v>
      </c>
      <c s="6" r="BM1216">
        <v>0</v>
      </c>
      <c s="6" r="BN1216">
        <v>0</v>
      </c>
      <c s="6" r="BO1216">
        <v>0</v>
      </c>
      <c s="6" r="BP1216">
        <v>0</v>
      </c>
      <c s="6" r="BQ1216">
        <v>0</v>
      </c>
      <c t="s" s="6" r="BR1216">
        <v>92</v>
      </c>
      <c s="6" r="BS1216">
        <v>1238</v>
      </c>
      <c t="s" s="6" r="BT1216">
        <v>92</v>
      </c>
      <c s="6" r="BY1216">
        <v>0</v>
      </c>
    </row>
    <row customHeight="1" r="1217" ht="14.25">
      <c t="s" s="6" r="A1217">
        <v>8833</v>
      </c>
      <c t="s" s="6" r="B1217">
        <v>227</v>
      </c>
      <c t="s" s="6" r="D1217">
        <v>62</v>
      </c>
      <c t="s" s="6" r="E1217">
        <v>4080</v>
      </c>
      <c t="s" s="6" r="F1217">
        <v>81</v>
      </c>
      <c t="s" s="6" r="G1217">
        <v>106</v>
      </c>
      <c s="6" r="H1217">
        <v>0</v>
      </c>
      <c t="s" s="6" r="I1217">
        <v>97</v>
      </c>
      <c t="s" s="6" r="K1217">
        <v>8834</v>
      </c>
      <c t="s" s="6" r="M1217">
        <v>5513</v>
      </c>
      <c s="6" r="N1217">
        <v>1</v>
      </c>
      <c s="6" r="O1217">
        <v>0</v>
      </c>
      <c t="s" s="6" r="P1217">
        <v>86</v>
      </c>
      <c t="s" s="6" r="Q1217">
        <v>87</v>
      </c>
      <c t="s" s="6" r="R1217">
        <v>8835</v>
      </c>
      <c t="s" s="6" r="S1217">
        <v>8836</v>
      </c>
      <c t="s" s="6" r="T1217">
        <v>8813</v>
      </c>
      <c t="s" s="6" r="U1217">
        <v>8837</v>
      </c>
      <c s="6" r="V1217">
        <v>1</v>
      </c>
      <c s="6" r="W1217">
        <v>1</v>
      </c>
      <c s="6" r="X1217">
        <v>0</v>
      </c>
      <c s="6" r="Y1217">
        <v>0</v>
      </c>
      <c s="6" r="Z1217">
        <v>0</v>
      </c>
      <c s="6" r="AA1217">
        <v>2</v>
      </c>
      <c s="6" r="AB1217">
        <v>2</v>
      </c>
      <c t="s" s="6" r="AC1217">
        <v>92</v>
      </c>
      <c t="s" s="6" r="AD1217">
        <v>92</v>
      </c>
      <c t="s" s="6" r="AE1217">
        <v>92</v>
      </c>
      <c t="s" s="6" r="AF1217">
        <v>92</v>
      </c>
      <c t="s" s="6" r="AG1217">
        <v>92</v>
      </c>
      <c t="s" s="6" r="AH1217">
        <v>92</v>
      </c>
      <c t="s" s="6" r="AI1217">
        <v>92</v>
      </c>
      <c s="6" r="AJ1217">
        <v>2</v>
      </c>
      <c t="s" s="6" r="AK1217">
        <v>92</v>
      </c>
      <c t="s" s="6" r="AL1217">
        <v>92</v>
      </c>
      <c t="s" s="6" r="AM1217">
        <v>92</v>
      </c>
      <c t="s" s="6" r="AN1217">
        <v>92</v>
      </c>
      <c s="6" r="AP1217">
        <v>2</v>
      </c>
      <c s="6" r="AS1217">
        <v>0</v>
      </c>
      <c s="6" r="AT1217">
        <v>0</v>
      </c>
      <c s="6" r="AU1217">
        <v>0</v>
      </c>
      <c s="6" r="AV1217">
        <v>0</v>
      </c>
      <c s="6" r="AW1217">
        <v>0</v>
      </c>
      <c s="6" r="AX1217">
        <v>0</v>
      </c>
      <c s="6" r="AY1217">
        <v>0</v>
      </c>
      <c s="6" r="AZ1217">
        <v>0</v>
      </c>
      <c s="6" r="BA1217">
        <v>0</v>
      </c>
      <c s="6" r="BB1217">
        <v>0</v>
      </c>
      <c s="6" r="BC1217">
        <v>0</v>
      </c>
      <c s="6" r="BD1217">
        <v>0</v>
      </c>
      <c s="6" r="BE1217">
        <v>0</v>
      </c>
      <c s="6" r="BF1217">
        <v>0</v>
      </c>
      <c s="6" r="BG1217">
        <v>0</v>
      </c>
      <c s="6" r="BH1217">
        <v>0</v>
      </c>
      <c s="6" r="BI1217">
        <v>0</v>
      </c>
      <c s="6" r="BJ1217">
        <v>0</v>
      </c>
      <c s="6" r="BK1217">
        <v>1</v>
      </c>
      <c s="6" r="BL1217">
        <v>0</v>
      </c>
      <c s="6" r="BM1217">
        <v>0</v>
      </c>
      <c s="6" r="BN1217">
        <v>0</v>
      </c>
      <c s="6" r="BO1217">
        <v>0</v>
      </c>
      <c s="6" r="BP1217">
        <v>0</v>
      </c>
      <c s="6" r="BQ1217">
        <v>0</v>
      </c>
      <c t="s" s="6" r="BR1217">
        <v>92</v>
      </c>
      <c s="6" r="BS1217">
        <v>1239</v>
      </c>
      <c t="s" s="6" r="BT1217">
        <v>92</v>
      </c>
      <c s="6" r="BY1217">
        <v>0</v>
      </c>
    </row>
    <row customHeight="1" r="1218" ht="14.25">
      <c t="s" s="6" r="A1218">
        <v>8838</v>
      </c>
      <c t="s" s="6" r="B1218">
        <v>174</v>
      </c>
      <c t="s" s="6" r="E1218">
        <v>8839</v>
      </c>
      <c t="s" s="6" r="F1218">
        <v>272</v>
      </c>
      <c t="s" s="6" r="G1218">
        <v>8840</v>
      </c>
      <c s="6" r="H1218">
        <v>1</v>
      </c>
      <c t="s" s="6" r="I1218">
        <v>120</v>
      </c>
      <c t="s" s="6" r="L1218">
        <v>8841</v>
      </c>
      <c t="s" s="6" r="M1218">
        <v>5196</v>
      </c>
      <c s="6" r="N1218">
        <v>1</v>
      </c>
      <c s="6" r="O1218">
        <v>0</v>
      </c>
      <c t="s" s="6" r="P1218">
        <v>535</v>
      </c>
      <c t="s" s="6" r="Q1218">
        <v>536</v>
      </c>
      <c t="s" s="6" r="R1218">
        <v>8842</v>
      </c>
      <c t="s" s="6" r="S1218">
        <v>8843</v>
      </c>
      <c t="s" s="6" r="T1218">
        <v>8813</v>
      </c>
      <c t="s" s="6" r="U1218">
        <v>8844</v>
      </c>
      <c s="6" r="V1218">
        <v>1</v>
      </c>
      <c s="6" r="W1218">
        <v>1</v>
      </c>
      <c s="6" r="X1218">
        <v>1</v>
      </c>
      <c s="6" r="Y1218">
        <v>0</v>
      </c>
      <c s="6" r="Z1218">
        <v>0</v>
      </c>
      <c s="6" r="AA1218">
        <v>3</v>
      </c>
      <c s="6" r="AB1218">
        <v>3</v>
      </c>
      <c s="6" r="AC1218">
        <v>4</v>
      </c>
      <c t="s" s="6" r="AD1218">
        <v>92</v>
      </c>
      <c t="s" s="6" r="AE1218">
        <v>92</v>
      </c>
      <c t="s" s="6" r="AF1218">
        <v>92</v>
      </c>
      <c t="s" s="6" r="AG1218">
        <v>92</v>
      </c>
      <c t="s" s="6" r="AH1218">
        <v>92</v>
      </c>
      <c t="s" s="6" r="AI1218">
        <v>92</v>
      </c>
      <c t="s" s="6" r="AJ1218">
        <v>92</v>
      </c>
      <c t="s" s="6" r="AK1218">
        <v>92</v>
      </c>
      <c s="6" r="AL1218">
        <v>4</v>
      </c>
      <c t="s" s="6" r="AM1218">
        <v>92</v>
      </c>
      <c t="s" s="6" r="AN1218">
        <v>92</v>
      </c>
      <c s="6" r="AP1218">
        <v>3</v>
      </c>
      <c s="6" r="AS1218">
        <v>0</v>
      </c>
      <c s="6" r="AT1218">
        <v>0</v>
      </c>
      <c s="6" r="AU1218">
        <v>0</v>
      </c>
      <c s="6" r="AV1218">
        <v>0</v>
      </c>
      <c s="6" r="AW1218">
        <v>0</v>
      </c>
      <c s="6" r="AX1218">
        <v>0</v>
      </c>
      <c s="6" r="AY1218">
        <v>0</v>
      </c>
      <c s="6" r="AZ1218">
        <v>0</v>
      </c>
      <c s="6" r="BA1218">
        <v>0</v>
      </c>
      <c s="6" r="BB1218">
        <v>0</v>
      </c>
      <c s="6" r="BC1218">
        <v>0</v>
      </c>
      <c s="6" r="BD1218">
        <v>0</v>
      </c>
      <c s="6" r="BE1218">
        <v>0</v>
      </c>
      <c s="6" r="BF1218">
        <v>0</v>
      </c>
      <c s="6" r="BG1218">
        <v>0</v>
      </c>
      <c s="6" r="BH1218">
        <v>0</v>
      </c>
      <c s="6" r="BI1218">
        <v>0</v>
      </c>
      <c s="6" r="BJ1218">
        <v>0</v>
      </c>
      <c s="6" r="BK1218">
        <v>0</v>
      </c>
      <c s="6" r="BL1218">
        <v>0</v>
      </c>
      <c s="6" r="BM1218">
        <v>0</v>
      </c>
      <c s="6" r="BN1218">
        <v>0</v>
      </c>
      <c s="6" r="BO1218">
        <v>0</v>
      </c>
      <c s="6" r="BP1218">
        <v>0</v>
      </c>
      <c s="6" r="BQ1218">
        <v>0</v>
      </c>
      <c t="s" s="6" r="BR1218">
        <v>92</v>
      </c>
      <c s="6" r="BS1218">
        <v>1240</v>
      </c>
      <c s="6" r="BT1218">
        <v>100</v>
      </c>
      <c s="6" r="BY1218">
        <v>0</v>
      </c>
    </row>
    <row customHeight="1" r="1219" ht="14.25">
      <c t="s" s="6" r="A1219">
        <v>8845</v>
      </c>
      <c t="s" s="6" r="B1219">
        <v>227</v>
      </c>
      <c t="s" s="6" r="E1219">
        <v>4080</v>
      </c>
      <c t="s" s="6" r="F1219">
        <v>81</v>
      </c>
      <c t="s" s="6" r="G1219">
        <v>8846</v>
      </c>
      <c s="6" r="H1219">
        <v>0</v>
      </c>
      <c t="s" s="6" r="I1219">
        <v>107</v>
      </c>
      <c t="s" s="6" r="L1219">
        <v>1235</v>
      </c>
      <c t="s" s="6" r="M1219">
        <v>109</v>
      </c>
      <c s="6" r="N1219">
        <v>0</v>
      </c>
      <c s="6" r="O1219">
        <v>0</v>
      </c>
      <c t="s" s="6" r="P1219">
        <v>187</v>
      </c>
      <c t="s" s="6" r="Q1219">
        <v>188</v>
      </c>
      <c t="s" s="6" r="R1219">
        <v>8847</v>
      </c>
      <c t="s" s="6" r="S1219">
        <v>8848</v>
      </c>
      <c t="s" s="6" r="T1219">
        <v>8813</v>
      </c>
      <c t="s" s="6" r="U1219">
        <v>8849</v>
      </c>
      <c s="6" r="V1219">
        <v>0</v>
      </c>
      <c s="6" r="W1219">
        <v>1</v>
      </c>
      <c s="6" r="X1219">
        <v>1</v>
      </c>
      <c s="6" r="Y1219">
        <v>0</v>
      </c>
      <c s="6" r="Z1219">
        <v>0</v>
      </c>
      <c s="6" r="AA1219">
        <v>2</v>
      </c>
      <c s="6" r="AB1219">
        <v>2</v>
      </c>
      <c t="s" s="6" r="AC1219">
        <v>92</v>
      </c>
      <c t="s" s="6" r="AD1219">
        <v>92</v>
      </c>
      <c t="s" s="6" r="AE1219">
        <v>92</v>
      </c>
      <c t="s" s="6" r="AF1219">
        <v>92</v>
      </c>
      <c t="s" s="6" r="AG1219">
        <v>92</v>
      </c>
      <c t="s" s="6" r="AH1219">
        <v>92</v>
      </c>
      <c t="s" s="6" r="AI1219">
        <v>92</v>
      </c>
      <c s="6" r="AJ1219">
        <v>2</v>
      </c>
      <c t="s" s="6" r="AK1219">
        <v>92</v>
      </c>
      <c t="s" s="6" r="AL1219">
        <v>92</v>
      </c>
      <c t="s" s="6" r="AM1219">
        <v>92</v>
      </c>
      <c t="s" s="6" r="AN1219">
        <v>92</v>
      </c>
      <c s="6" r="AP1219">
        <v>2</v>
      </c>
      <c s="6" r="AS1219">
        <v>0</v>
      </c>
      <c s="6" r="AT1219">
        <v>0</v>
      </c>
      <c s="6" r="AU1219">
        <v>0</v>
      </c>
      <c s="6" r="AV1219">
        <v>0</v>
      </c>
      <c s="6" r="AW1219">
        <v>0</v>
      </c>
      <c s="6" r="AX1219">
        <v>0</v>
      </c>
      <c s="6" r="AY1219">
        <v>0</v>
      </c>
      <c s="6" r="AZ1219">
        <v>0</v>
      </c>
      <c s="6" r="BA1219">
        <v>0</v>
      </c>
      <c s="6" r="BB1219">
        <v>0</v>
      </c>
      <c s="6" r="BC1219">
        <v>0</v>
      </c>
      <c s="6" r="BD1219">
        <v>0</v>
      </c>
      <c s="6" r="BE1219">
        <v>0</v>
      </c>
      <c s="6" r="BF1219">
        <v>0</v>
      </c>
      <c s="6" r="BG1219">
        <v>0</v>
      </c>
      <c s="6" r="BH1219">
        <v>0</v>
      </c>
      <c s="6" r="BI1219">
        <v>0</v>
      </c>
      <c s="6" r="BJ1219">
        <v>0</v>
      </c>
      <c s="6" r="BK1219">
        <v>0</v>
      </c>
      <c s="6" r="BL1219">
        <v>0</v>
      </c>
      <c s="6" r="BM1219">
        <v>0</v>
      </c>
      <c s="6" r="BN1219">
        <v>0</v>
      </c>
      <c s="6" r="BO1219">
        <v>0</v>
      </c>
      <c s="6" r="BP1219">
        <v>0</v>
      </c>
      <c s="6" r="BQ1219">
        <v>0</v>
      </c>
      <c t="s" s="6" r="BR1219">
        <v>92</v>
      </c>
      <c s="6" r="BS1219">
        <v>1241</v>
      </c>
      <c t="s" s="6" r="BT1219">
        <v>92</v>
      </c>
      <c s="6" r="BY1219">
        <v>0</v>
      </c>
    </row>
    <row customHeight="1" r="1220" ht="14.25">
      <c t="s" s="6" r="A1220">
        <v>8850</v>
      </c>
      <c t="s" s="6" r="B1220">
        <v>174</v>
      </c>
      <c t="s" s="6" r="E1220">
        <v>8851</v>
      </c>
      <c t="s" s="6" r="F1220">
        <v>81</v>
      </c>
      <c t="s" s="6" r="G1220">
        <v>8852</v>
      </c>
      <c s="6" r="H1220">
        <v>0</v>
      </c>
      <c t="s" s="6" r="I1220">
        <v>120</v>
      </c>
      <c t="s" s="6" r="L1220">
        <v>420</v>
      </c>
      <c t="s" s="6" r="M1220">
        <v>109</v>
      </c>
      <c s="6" r="N1220">
        <v>0</v>
      </c>
      <c s="6" r="O1220">
        <v>0</v>
      </c>
      <c t="s" s="6" r="P1220">
        <v>86</v>
      </c>
      <c t="s" s="6" r="Q1220">
        <v>123</v>
      </c>
      <c t="s" s="6" r="R1220">
        <v>8853</v>
      </c>
      <c t="s" s="6" r="S1220">
        <v>8854</v>
      </c>
      <c t="s" s="6" r="T1220">
        <v>8813</v>
      </c>
      <c t="s" s="6" r="U1220">
        <v>8855</v>
      </c>
      <c s="6" r="V1220">
        <v>1</v>
      </c>
      <c s="6" r="W1220">
        <v>1</v>
      </c>
      <c s="6" r="X1220">
        <v>1</v>
      </c>
      <c s="6" r="Y1220">
        <v>0</v>
      </c>
      <c s="6" r="Z1220">
        <v>0</v>
      </c>
      <c s="6" r="AA1220">
        <v>1</v>
      </c>
      <c s="6" r="AB1220">
        <v>1</v>
      </c>
      <c t="s" s="6" r="AC1220">
        <v>92</v>
      </c>
      <c t="s" s="6" r="AD1220">
        <v>92</v>
      </c>
      <c t="s" s="6" r="AE1220">
        <v>92</v>
      </c>
      <c t="s" s="6" r="AF1220">
        <v>92</v>
      </c>
      <c t="s" s="6" r="AG1220">
        <v>92</v>
      </c>
      <c s="6" r="AH1220">
        <v>1</v>
      </c>
      <c t="s" s="6" r="AI1220">
        <v>92</v>
      </c>
      <c t="s" s="6" r="AJ1220">
        <v>92</v>
      </c>
      <c s="6" r="AK1220">
        <v>1</v>
      </c>
      <c t="s" s="6" r="AL1220">
        <v>92</v>
      </c>
      <c t="s" s="6" r="AM1220">
        <v>92</v>
      </c>
      <c t="s" s="6" r="AN1220">
        <v>92</v>
      </c>
      <c s="6" r="AP1220">
        <v>1</v>
      </c>
      <c s="6" r="AS1220">
        <v>0</v>
      </c>
      <c s="6" r="AT1220">
        <v>0</v>
      </c>
      <c s="6" r="AU1220">
        <v>0</v>
      </c>
      <c s="6" r="AV1220">
        <v>0</v>
      </c>
      <c s="6" r="AW1220">
        <v>0</v>
      </c>
      <c s="6" r="AX1220">
        <v>0</v>
      </c>
      <c s="6" r="AY1220">
        <v>0</v>
      </c>
      <c s="6" r="AZ1220">
        <v>0</v>
      </c>
      <c s="6" r="BA1220">
        <v>0</v>
      </c>
      <c s="6" r="BB1220">
        <v>0</v>
      </c>
      <c s="6" r="BC1220">
        <v>0</v>
      </c>
      <c s="6" r="BD1220">
        <v>0</v>
      </c>
      <c s="6" r="BE1220">
        <v>0</v>
      </c>
      <c s="6" r="BF1220">
        <v>0</v>
      </c>
      <c s="6" r="BG1220">
        <v>0</v>
      </c>
      <c s="6" r="BH1220">
        <v>0</v>
      </c>
      <c s="6" r="BI1220">
        <v>0</v>
      </c>
      <c s="6" r="BJ1220">
        <v>0</v>
      </c>
      <c s="6" r="BK1220">
        <v>0</v>
      </c>
      <c s="6" r="BL1220">
        <v>0</v>
      </c>
      <c s="6" r="BM1220">
        <v>0</v>
      </c>
      <c s="6" r="BN1220">
        <v>0</v>
      </c>
      <c s="6" r="BO1220">
        <v>0</v>
      </c>
      <c s="6" r="BP1220">
        <v>0</v>
      </c>
      <c s="6" r="BQ1220">
        <v>0</v>
      </c>
      <c t="s" s="6" r="BR1220">
        <v>92</v>
      </c>
      <c s="6" r="BS1220">
        <v>1242</v>
      </c>
      <c t="s" s="6" r="BT1220">
        <v>92</v>
      </c>
      <c s="6" r="BY1220">
        <v>0</v>
      </c>
    </row>
    <row customHeight="1" r="1221" ht="14.25">
      <c t="s" s="6" r="A1221">
        <v>8856</v>
      </c>
      <c t="s" s="6" r="B1221">
        <v>115</v>
      </c>
      <c t="s" s="6" r="C1221">
        <v>116</v>
      </c>
      <c t="s" s="6" r="D1221">
        <v>117</v>
      </c>
      <c t="s" s="6" r="E1221">
        <v>8857</v>
      </c>
      <c t="s" s="6" r="F1221">
        <v>311</v>
      </c>
      <c t="s" s="6" r="G1221">
        <v>8858</v>
      </c>
      <c s="6" r="H1221">
        <v>1</v>
      </c>
      <c t="s" s="6" r="I1221">
        <v>155</v>
      </c>
      <c t="s" s="6" r="L1221">
        <v>7941</v>
      </c>
      <c t="s" s="6" r="M1221">
        <v>8859</v>
      </c>
      <c s="6" r="N1221">
        <v>0</v>
      </c>
      <c s="6" r="O1221">
        <v>0</v>
      </c>
      <c t="s" s="6" r="R1221">
        <v>8860</v>
      </c>
      <c t="s" s="6" r="S1221">
        <v>8861</v>
      </c>
      <c t="s" s="6" r="T1221">
        <v>8813</v>
      </c>
      <c t="s" s="6" r="U1221">
        <v>8862</v>
      </c>
      <c s="6" r="V1221">
        <v>1</v>
      </c>
      <c s="6" r="W1221">
        <v>1</v>
      </c>
      <c s="6" r="X1221">
        <v>1</v>
      </c>
      <c s="6" r="Y1221">
        <v>0</v>
      </c>
      <c s="6" r="Z1221">
        <v>0</v>
      </c>
      <c s="6" r="AA1221">
        <v>5</v>
      </c>
      <c s="6" r="AB1221">
        <v>5</v>
      </c>
      <c t="s" s="6" r="AC1221">
        <v>92</v>
      </c>
      <c t="s" s="6" r="AD1221">
        <v>92</v>
      </c>
      <c t="s" s="6" r="AE1221">
        <v>92</v>
      </c>
      <c s="6" r="AF1221">
        <v>3</v>
      </c>
      <c t="s" s="6" r="AG1221">
        <v>92</v>
      </c>
      <c t="s" s="6" r="AH1221">
        <v>92</v>
      </c>
      <c t="s" s="6" r="AI1221">
        <v>92</v>
      </c>
      <c t="s" s="6" r="AJ1221">
        <v>92</v>
      </c>
      <c t="s" s="6" r="AK1221">
        <v>92</v>
      </c>
      <c t="s" s="6" r="AL1221">
        <v>92</v>
      </c>
      <c t="s" s="6" r="AM1221">
        <v>92</v>
      </c>
      <c t="s" s="6" r="AN1221">
        <v>92</v>
      </c>
      <c s="6" r="AP1221">
        <v>5</v>
      </c>
      <c s="6" r="AS1221">
        <v>0</v>
      </c>
      <c s="6" r="AT1221">
        <v>0</v>
      </c>
      <c s="6" r="AU1221">
        <v>0</v>
      </c>
      <c s="6" r="AV1221">
        <v>0</v>
      </c>
      <c s="6" r="AW1221">
        <v>0</v>
      </c>
      <c s="6" r="AX1221">
        <v>0</v>
      </c>
      <c s="6" r="AY1221">
        <v>0</v>
      </c>
      <c s="6" r="AZ1221">
        <v>0</v>
      </c>
      <c s="6" r="BA1221">
        <v>0</v>
      </c>
      <c s="6" r="BB1221">
        <v>0</v>
      </c>
      <c s="6" r="BC1221">
        <v>0</v>
      </c>
      <c s="6" r="BD1221">
        <v>0</v>
      </c>
      <c s="6" r="BE1221">
        <v>0</v>
      </c>
      <c s="6" r="BF1221">
        <v>0</v>
      </c>
      <c s="6" r="BG1221">
        <v>0</v>
      </c>
      <c s="6" r="BH1221">
        <v>0</v>
      </c>
      <c s="6" r="BI1221">
        <v>0</v>
      </c>
      <c s="6" r="BJ1221">
        <v>0</v>
      </c>
      <c s="6" r="BK1221">
        <v>0</v>
      </c>
      <c s="6" r="BL1221">
        <v>1</v>
      </c>
      <c s="6" r="BM1221">
        <v>0</v>
      </c>
      <c s="6" r="BN1221">
        <v>0</v>
      </c>
      <c s="6" r="BO1221">
        <v>0</v>
      </c>
      <c s="6" r="BP1221">
        <v>0</v>
      </c>
      <c s="6" r="BQ1221">
        <v>0</v>
      </c>
      <c t="s" s="6" r="BR1221">
        <v>92</v>
      </c>
      <c s="6" r="BS1221">
        <v>1243</v>
      </c>
      <c s="6" r="BT1221">
        <v>500</v>
      </c>
      <c s="6" r="BY1221">
        <v>0</v>
      </c>
    </row>
    <row customHeight="1" r="1222" ht="14.25">
      <c t="s" s="6" r="A1222">
        <v>8863</v>
      </c>
      <c t="s" s="6" r="B1222">
        <v>227</v>
      </c>
      <c t="s" s="6" r="E1222">
        <v>8864</v>
      </c>
      <c t="s" s="6" r="F1222">
        <v>81</v>
      </c>
      <c t="s" s="6" r="G1222">
        <v>8865</v>
      </c>
      <c s="6" r="H1222">
        <v>0</v>
      </c>
      <c t="s" s="6" r="I1222">
        <v>120</v>
      </c>
      <c t="s" s="6" r="L1222">
        <v>8866</v>
      </c>
      <c t="s" s="6" r="M1222">
        <v>2718</v>
      </c>
      <c s="6" r="N1222">
        <v>0</v>
      </c>
      <c s="6" r="O1222">
        <v>0</v>
      </c>
      <c t="s" s="6" r="P1222">
        <v>421</v>
      </c>
      <c t="s" s="6" r="Q1222">
        <v>188</v>
      </c>
      <c t="s" s="6" r="R1222">
        <v>8867</v>
      </c>
      <c t="s" s="6" r="S1222">
        <v>8868</v>
      </c>
      <c t="s" s="6" r="T1222">
        <v>8813</v>
      </c>
      <c t="s" s="6" r="U1222">
        <v>8869</v>
      </c>
      <c s="6" r="V1222">
        <v>1</v>
      </c>
      <c s="6" r="W1222">
        <v>1</v>
      </c>
      <c s="6" r="X1222">
        <v>1</v>
      </c>
      <c s="6" r="Y1222">
        <v>0</v>
      </c>
      <c s="6" r="Z1222">
        <v>0</v>
      </c>
      <c t="s" s="6" r="AA1222">
        <v>92</v>
      </c>
      <c t="s" s="6" r="AB1222">
        <v>92</v>
      </c>
      <c s="6" r="AC1222">
        <v>3</v>
      </c>
      <c t="s" s="6" r="AD1222">
        <v>92</v>
      </c>
      <c t="s" s="6" r="AE1222">
        <v>92</v>
      </c>
      <c t="s" s="6" r="AF1222">
        <v>92</v>
      </c>
      <c t="s" s="6" r="AG1222">
        <v>92</v>
      </c>
      <c t="s" s="6" r="AH1222">
        <v>92</v>
      </c>
      <c t="s" s="6" r="AI1222">
        <v>92</v>
      </c>
      <c s="6" r="AJ1222">
        <v>3</v>
      </c>
      <c t="s" s="6" r="AK1222">
        <v>92</v>
      </c>
      <c s="6" r="AL1222">
        <v>3</v>
      </c>
      <c t="s" s="6" r="AM1222">
        <v>92</v>
      </c>
      <c t="s" s="6" r="AN1222">
        <v>92</v>
      </c>
      <c s="6" r="AP1222">
        <v>3</v>
      </c>
      <c s="6" r="AS1222">
        <v>0</v>
      </c>
      <c s="6" r="AT1222">
        <v>0</v>
      </c>
      <c s="6" r="AU1222">
        <v>0</v>
      </c>
      <c s="6" r="AV1222">
        <v>0</v>
      </c>
      <c s="6" r="AW1222">
        <v>0</v>
      </c>
      <c s="6" r="AX1222">
        <v>0</v>
      </c>
      <c s="6" r="AY1222">
        <v>0</v>
      </c>
      <c s="6" r="AZ1222">
        <v>0</v>
      </c>
      <c s="6" r="BA1222">
        <v>0</v>
      </c>
      <c s="6" r="BB1222">
        <v>0</v>
      </c>
      <c s="6" r="BC1222">
        <v>0</v>
      </c>
      <c s="6" r="BD1222">
        <v>0</v>
      </c>
      <c s="6" r="BE1222">
        <v>0</v>
      </c>
      <c s="6" r="BF1222">
        <v>0</v>
      </c>
      <c s="6" r="BG1222">
        <v>0</v>
      </c>
      <c s="6" r="BH1222">
        <v>0</v>
      </c>
      <c s="6" r="BI1222">
        <v>0</v>
      </c>
      <c s="6" r="BJ1222">
        <v>0</v>
      </c>
      <c s="6" r="BK1222">
        <v>0</v>
      </c>
      <c s="6" r="BL1222">
        <v>0</v>
      </c>
      <c s="6" r="BM1222">
        <v>0</v>
      </c>
      <c s="6" r="BN1222">
        <v>0</v>
      </c>
      <c s="6" r="BO1222">
        <v>0</v>
      </c>
      <c s="6" r="BP1222">
        <v>0</v>
      </c>
      <c s="6" r="BQ1222">
        <v>0</v>
      </c>
      <c t="s" s="6" r="BR1222">
        <v>92</v>
      </c>
      <c s="6" r="BS1222">
        <v>1244</v>
      </c>
      <c t="s" s="6" r="BT1222">
        <v>92</v>
      </c>
      <c s="6" r="BY1222">
        <v>0</v>
      </c>
    </row>
    <row customHeight="1" r="1223" ht="14.25">
      <c t="s" s="6" r="A1223">
        <v>8870</v>
      </c>
      <c t="s" s="6" r="B1223">
        <v>115</v>
      </c>
      <c t="s" s="6" r="C1223">
        <v>116</v>
      </c>
      <c t="s" s="6" r="D1223">
        <v>117</v>
      </c>
      <c t="s" s="6" r="E1223">
        <v>8871</v>
      </c>
      <c t="s" s="6" r="F1223">
        <v>81</v>
      </c>
      <c t="s" s="6" r="G1223">
        <v>119</v>
      </c>
      <c s="6" r="H1223">
        <v>0</v>
      </c>
      <c t="s" s="6" r="I1223">
        <v>120</v>
      </c>
      <c t="s" s="6" r="L1223">
        <v>420</v>
      </c>
      <c t="s" s="6" r="M1223">
        <v>99</v>
      </c>
      <c s="6" r="N1223">
        <v>0</v>
      </c>
      <c s="6" r="O1223">
        <v>0</v>
      </c>
      <c t="s" s="6" r="P1223">
        <v>421</v>
      </c>
      <c t="s" s="6" r="Q1223">
        <v>188</v>
      </c>
      <c t="s" s="6" r="R1223">
        <v>8872</v>
      </c>
      <c t="s" s="6" r="S1223">
        <v>8873</v>
      </c>
      <c t="s" s="6" r="T1223">
        <v>8813</v>
      </c>
      <c t="s" s="6" r="U1223">
        <v>8874</v>
      </c>
      <c s="6" r="V1223">
        <v>1</v>
      </c>
      <c s="6" r="W1223">
        <v>1</v>
      </c>
      <c s="6" r="X1223">
        <v>0</v>
      </c>
      <c s="6" r="Y1223">
        <v>0</v>
      </c>
      <c s="6" r="Z1223">
        <v>1</v>
      </c>
      <c t="s" s="6" r="AA1223">
        <v>92</v>
      </c>
      <c t="s" s="6" r="AB1223">
        <v>92</v>
      </c>
      <c s="6" r="AC1223">
        <v>2</v>
      </c>
      <c t="s" s="6" r="AD1223">
        <v>92</v>
      </c>
      <c t="s" s="6" r="AE1223">
        <v>92</v>
      </c>
      <c t="s" s="6" r="AF1223">
        <v>92</v>
      </c>
      <c s="6" r="AG1223">
        <v>1</v>
      </c>
      <c s="6" r="AH1223">
        <v>2</v>
      </c>
      <c t="s" s="6" r="AI1223">
        <v>92</v>
      </c>
      <c s="6" r="AJ1223">
        <v>2</v>
      </c>
      <c s="6" r="AK1223">
        <v>1</v>
      </c>
      <c s="6" r="AL1223">
        <v>2</v>
      </c>
      <c t="s" s="6" r="AM1223">
        <v>92</v>
      </c>
      <c t="s" s="6" r="AN1223">
        <v>92</v>
      </c>
      <c s="6" r="AP1223">
        <v>2</v>
      </c>
      <c s="6" r="AS1223">
        <v>0</v>
      </c>
      <c s="6" r="AT1223">
        <v>0</v>
      </c>
      <c s="6" r="AU1223">
        <v>0</v>
      </c>
      <c s="6" r="AV1223">
        <v>0</v>
      </c>
      <c s="6" r="AW1223">
        <v>0</v>
      </c>
      <c s="6" r="AX1223">
        <v>0</v>
      </c>
      <c s="6" r="AY1223">
        <v>0</v>
      </c>
      <c s="6" r="AZ1223">
        <v>0</v>
      </c>
      <c s="6" r="BA1223">
        <v>0</v>
      </c>
      <c s="6" r="BB1223">
        <v>0</v>
      </c>
      <c s="6" r="BC1223">
        <v>0</v>
      </c>
      <c s="6" r="BD1223">
        <v>0</v>
      </c>
      <c s="6" r="BE1223">
        <v>0</v>
      </c>
      <c s="6" r="BF1223">
        <v>0</v>
      </c>
      <c s="6" r="BG1223">
        <v>0</v>
      </c>
      <c s="6" r="BH1223">
        <v>0</v>
      </c>
      <c s="6" r="BI1223">
        <v>0</v>
      </c>
      <c s="6" r="BJ1223">
        <v>0</v>
      </c>
      <c s="6" r="BK1223">
        <v>0</v>
      </c>
      <c s="6" r="BL1223">
        <v>1</v>
      </c>
      <c s="6" r="BM1223">
        <v>0</v>
      </c>
      <c s="6" r="BN1223">
        <v>0</v>
      </c>
      <c s="6" r="BO1223">
        <v>0</v>
      </c>
      <c s="6" r="BP1223">
        <v>0</v>
      </c>
      <c s="6" r="BQ1223">
        <v>0</v>
      </c>
      <c t="s" s="6" r="BR1223">
        <v>92</v>
      </c>
      <c s="6" r="BS1223">
        <v>1245</v>
      </c>
      <c t="s" s="6" r="BT1223">
        <v>92</v>
      </c>
      <c s="6" r="BY1223">
        <v>0</v>
      </c>
    </row>
    <row customHeight="1" r="1224" ht="14.25">
      <c t="s" s="6" r="A1224">
        <v>8875</v>
      </c>
      <c t="s" s="6" r="B1224">
        <v>579</v>
      </c>
      <c t="s" s="6" r="C1224">
        <v>2047</v>
      </c>
      <c t="s" s="6" r="E1224">
        <v>2426</v>
      </c>
      <c t="s" s="6" r="F1224">
        <v>4865</v>
      </c>
      <c t="s" s="6" r="G1224">
        <v>8876</v>
      </c>
      <c s="6" r="H1224">
        <v>1</v>
      </c>
      <c t="s" s="6" r="I1224">
        <v>120</v>
      </c>
      <c t="s" s="6" r="L1224">
        <v>8877</v>
      </c>
      <c t="s" s="6" r="M1224">
        <v>8878</v>
      </c>
      <c s="6" r="N1224">
        <v>0</v>
      </c>
      <c s="6" r="O1224">
        <v>0</v>
      </c>
      <c t="s" s="6" r="P1224">
        <v>535</v>
      </c>
      <c t="s" s="6" r="Q1224">
        <v>536</v>
      </c>
      <c t="s" s="6" r="R1224">
        <v>8879</v>
      </c>
      <c t="s" s="6" r="S1224">
        <v>8880</v>
      </c>
      <c t="s" s="6" r="T1224">
        <v>8813</v>
      </c>
      <c t="s" s="6" r="U1224">
        <v>8881</v>
      </c>
      <c s="6" r="V1224">
        <v>1</v>
      </c>
      <c s="6" r="W1224">
        <v>1</v>
      </c>
      <c s="6" r="X1224">
        <v>0</v>
      </c>
      <c s="6" r="Y1224">
        <v>0</v>
      </c>
      <c s="6" r="Z1224">
        <v>0</v>
      </c>
      <c s="6" r="AA1224">
        <v>3</v>
      </c>
      <c s="6" r="AB1224">
        <v>3</v>
      </c>
      <c t="s" s="6" r="AC1224">
        <v>92</v>
      </c>
      <c t="s" s="6" r="AD1224">
        <v>92</v>
      </c>
      <c t="s" s="6" r="AE1224">
        <v>92</v>
      </c>
      <c s="6" r="AF1224">
        <v>3</v>
      </c>
      <c t="s" s="6" r="AG1224">
        <v>92</v>
      </c>
      <c t="s" s="6" r="AH1224">
        <v>92</v>
      </c>
      <c t="s" s="6" r="AI1224">
        <v>92</v>
      </c>
      <c t="s" s="6" r="AJ1224">
        <v>92</v>
      </c>
      <c t="s" s="6" r="AK1224">
        <v>92</v>
      </c>
      <c t="s" s="6" r="AL1224">
        <v>92</v>
      </c>
      <c t="s" s="6" r="AM1224">
        <v>92</v>
      </c>
      <c t="s" s="6" r="AN1224">
        <v>92</v>
      </c>
      <c s="6" r="AP1224">
        <v>3</v>
      </c>
      <c s="6" r="AS1224">
        <v>0</v>
      </c>
      <c s="6" r="AT1224">
        <v>0</v>
      </c>
      <c s="6" r="AU1224">
        <v>0</v>
      </c>
      <c s="6" r="AV1224">
        <v>0</v>
      </c>
      <c s="6" r="AW1224">
        <v>0</v>
      </c>
      <c s="6" r="AX1224">
        <v>0</v>
      </c>
      <c s="6" r="AY1224">
        <v>0</v>
      </c>
      <c s="6" r="AZ1224">
        <v>0</v>
      </c>
      <c s="6" r="BA1224">
        <v>0</v>
      </c>
      <c s="6" r="BB1224">
        <v>0</v>
      </c>
      <c s="6" r="BC1224">
        <v>0</v>
      </c>
      <c s="6" r="BD1224">
        <v>0</v>
      </c>
      <c s="6" r="BE1224">
        <v>0</v>
      </c>
      <c s="6" r="BF1224">
        <v>0</v>
      </c>
      <c s="6" r="BG1224">
        <v>0</v>
      </c>
      <c s="6" r="BH1224">
        <v>0</v>
      </c>
      <c s="6" r="BI1224">
        <v>0</v>
      </c>
      <c s="6" r="BJ1224">
        <v>0</v>
      </c>
      <c s="6" r="BK1224">
        <v>0</v>
      </c>
      <c s="6" r="BL1224">
        <v>0</v>
      </c>
      <c s="6" r="BM1224">
        <v>0</v>
      </c>
      <c s="6" r="BN1224">
        <v>0</v>
      </c>
      <c s="6" r="BO1224">
        <v>0</v>
      </c>
      <c s="6" r="BP1224">
        <v>0</v>
      </c>
      <c s="6" r="BQ1224">
        <v>0</v>
      </c>
      <c t="s" s="6" r="BR1224">
        <v>92</v>
      </c>
      <c s="6" r="BS1224">
        <v>1246</v>
      </c>
      <c s="6" r="BT1224">
        <v>500</v>
      </c>
      <c s="6" r="BY1224">
        <v>0</v>
      </c>
    </row>
    <row customHeight="1" r="1225" ht="14.25">
      <c t="s" s="6" r="A1225">
        <v>8882</v>
      </c>
      <c t="s" s="6" r="B1225">
        <v>131</v>
      </c>
      <c t="s" s="6" r="E1225">
        <v>8883</v>
      </c>
      <c t="s" s="6" r="F1225">
        <v>81</v>
      </c>
      <c t="s" s="6" r="G1225">
        <v>8884</v>
      </c>
      <c s="6" r="H1225">
        <v>0</v>
      </c>
      <c t="s" s="6" r="I1225">
        <v>155</v>
      </c>
      <c t="s" s="6" r="L1225">
        <v>156</v>
      </c>
      <c t="s" s="6" r="M1225">
        <v>2718</v>
      </c>
      <c s="6" r="N1225">
        <v>0</v>
      </c>
      <c s="6" r="O1225">
        <v>0</v>
      </c>
      <c t="s" s="6" r="R1225">
        <v>8885</v>
      </c>
      <c t="s" s="6" r="S1225">
        <v>8886</v>
      </c>
      <c t="s" s="6" r="T1225">
        <v>8813</v>
      </c>
      <c t="s" s="6" r="U1225">
        <v>8887</v>
      </c>
      <c s="6" r="V1225">
        <v>1</v>
      </c>
      <c s="6" r="W1225">
        <v>1</v>
      </c>
      <c s="6" r="X1225">
        <v>1</v>
      </c>
      <c s="6" r="Y1225">
        <v>0</v>
      </c>
      <c s="6" r="Z1225">
        <v>0</v>
      </c>
      <c s="6" r="AA1225">
        <v>3</v>
      </c>
      <c s="6" r="AB1225">
        <v>3</v>
      </c>
      <c t="s" s="6" r="AC1225">
        <v>92</v>
      </c>
      <c t="s" s="6" r="AD1225">
        <v>92</v>
      </c>
      <c t="s" s="6" r="AE1225">
        <v>92</v>
      </c>
      <c t="s" s="6" r="AF1225">
        <v>92</v>
      </c>
      <c t="s" s="6" r="AG1225">
        <v>92</v>
      </c>
      <c s="6" r="AH1225">
        <v>2</v>
      </c>
      <c t="s" s="6" r="AI1225">
        <v>92</v>
      </c>
      <c s="6" r="AJ1225">
        <v>3</v>
      </c>
      <c t="s" s="6" r="AK1225">
        <v>92</v>
      </c>
      <c t="s" s="6" r="AL1225">
        <v>92</v>
      </c>
      <c t="s" s="6" r="AM1225">
        <v>92</v>
      </c>
      <c s="6" r="AN1225">
        <v>3</v>
      </c>
      <c s="6" r="AP1225">
        <v>3</v>
      </c>
      <c s="6" r="AS1225">
        <v>0</v>
      </c>
      <c s="6" r="AT1225">
        <v>0</v>
      </c>
      <c s="6" r="AU1225">
        <v>0</v>
      </c>
      <c s="6" r="AV1225">
        <v>0</v>
      </c>
      <c s="6" r="AW1225">
        <v>0</v>
      </c>
      <c s="6" r="AX1225">
        <v>0</v>
      </c>
      <c s="6" r="AY1225">
        <v>0</v>
      </c>
      <c s="6" r="AZ1225">
        <v>0</v>
      </c>
      <c s="6" r="BA1225">
        <v>0</v>
      </c>
      <c s="6" r="BB1225">
        <v>0</v>
      </c>
      <c s="6" r="BC1225">
        <v>0</v>
      </c>
      <c s="6" r="BD1225">
        <v>0</v>
      </c>
      <c s="6" r="BE1225">
        <v>0</v>
      </c>
      <c s="6" r="BF1225">
        <v>0</v>
      </c>
      <c s="6" r="BG1225">
        <v>0</v>
      </c>
      <c s="6" r="BH1225">
        <v>0</v>
      </c>
      <c s="6" r="BI1225">
        <v>0</v>
      </c>
      <c s="6" r="BJ1225">
        <v>0</v>
      </c>
      <c s="6" r="BK1225">
        <v>0</v>
      </c>
      <c s="6" r="BL1225">
        <v>0</v>
      </c>
      <c s="6" r="BM1225">
        <v>0</v>
      </c>
      <c s="6" r="BN1225">
        <v>0</v>
      </c>
      <c s="6" r="BO1225">
        <v>0</v>
      </c>
      <c s="6" r="BP1225">
        <v>0</v>
      </c>
      <c s="6" r="BQ1225">
        <v>0</v>
      </c>
      <c t="s" s="6" r="BR1225">
        <v>92</v>
      </c>
      <c s="6" r="BS1225">
        <v>1247</v>
      </c>
      <c t="s" s="6" r="BT1225">
        <v>92</v>
      </c>
      <c s="6" r="BY1225">
        <v>0</v>
      </c>
    </row>
    <row customHeight="1" r="1226" ht="14.25">
      <c t="s" s="6" r="A1226">
        <v>8888</v>
      </c>
      <c t="s" s="6" r="B1226">
        <v>131</v>
      </c>
      <c t="s" s="6" r="E1226">
        <v>6983</v>
      </c>
      <c t="s" s="6" r="F1226">
        <v>81</v>
      </c>
      <c t="s" s="6" r="G1226">
        <v>8889</v>
      </c>
      <c s="6" r="H1226">
        <v>0</v>
      </c>
      <c t="s" s="6" r="I1226">
        <v>5835</v>
      </c>
      <c t="s" s="6" r="J1226">
        <v>8890</v>
      </c>
      <c t="s" s="6" r="M1226">
        <v>379</v>
      </c>
      <c s="6" r="N1226">
        <v>0</v>
      </c>
      <c s="6" r="O1226">
        <v>0</v>
      </c>
      <c t="s" s="6" r="P1226">
        <v>535</v>
      </c>
      <c t="s" s="6" r="Q1226">
        <v>536</v>
      </c>
      <c t="s" s="6" r="R1226">
        <v>8891</v>
      </c>
      <c t="s" s="6" r="S1226">
        <v>8892</v>
      </c>
      <c t="s" s="6" r="T1226">
        <v>8893</v>
      </c>
      <c t="s" s="6" r="U1226">
        <v>8894</v>
      </c>
      <c s="6" r="V1226">
        <v>1</v>
      </c>
      <c s="6" r="W1226">
        <v>1</v>
      </c>
      <c s="6" r="X1226">
        <v>1</v>
      </c>
      <c s="6" r="Y1226">
        <v>0</v>
      </c>
      <c s="6" r="Z1226">
        <v>0</v>
      </c>
      <c s="6" r="AA1226">
        <v>3</v>
      </c>
      <c s="6" r="AB1226">
        <v>3</v>
      </c>
      <c s="6" r="AC1226">
        <v>3</v>
      </c>
      <c t="s" s="6" r="AD1226">
        <v>92</v>
      </c>
      <c t="s" s="6" r="AE1226">
        <v>92</v>
      </c>
      <c s="6" r="AF1226">
        <v>3</v>
      </c>
      <c t="s" s="6" r="AG1226">
        <v>92</v>
      </c>
      <c t="s" s="6" r="AH1226">
        <v>92</v>
      </c>
      <c t="s" s="6" r="AI1226">
        <v>92</v>
      </c>
      <c t="s" s="6" r="AJ1226">
        <v>92</v>
      </c>
      <c t="s" s="6" r="AK1226">
        <v>92</v>
      </c>
      <c s="6" r="AL1226">
        <v>3</v>
      </c>
      <c t="s" s="6" r="AM1226">
        <v>92</v>
      </c>
      <c t="s" s="6" r="AN1226">
        <v>92</v>
      </c>
      <c s="6" r="AP1226">
        <v>3</v>
      </c>
      <c s="6" r="AS1226">
        <v>0</v>
      </c>
      <c s="6" r="AT1226">
        <v>0</v>
      </c>
      <c s="6" r="AU1226">
        <v>0</v>
      </c>
      <c s="6" r="AV1226">
        <v>0</v>
      </c>
      <c s="6" r="AW1226">
        <v>0</v>
      </c>
      <c s="6" r="AX1226">
        <v>0</v>
      </c>
      <c s="6" r="AY1226">
        <v>0</v>
      </c>
      <c s="6" r="AZ1226">
        <v>0</v>
      </c>
      <c s="6" r="BA1226">
        <v>0</v>
      </c>
      <c s="6" r="BB1226">
        <v>0</v>
      </c>
      <c s="6" r="BC1226">
        <v>0</v>
      </c>
      <c s="6" r="BD1226">
        <v>0</v>
      </c>
      <c s="6" r="BE1226">
        <v>0</v>
      </c>
      <c s="6" r="BF1226">
        <v>0</v>
      </c>
      <c s="6" r="BG1226">
        <v>0</v>
      </c>
      <c s="6" r="BH1226">
        <v>0</v>
      </c>
      <c s="6" r="BI1226">
        <v>0</v>
      </c>
      <c s="6" r="BJ1226">
        <v>0</v>
      </c>
      <c s="6" r="BK1226">
        <v>0</v>
      </c>
      <c s="6" r="BL1226">
        <v>0</v>
      </c>
      <c s="6" r="BM1226">
        <v>0</v>
      </c>
      <c s="6" r="BN1226">
        <v>0</v>
      </c>
      <c s="6" r="BO1226">
        <v>0</v>
      </c>
      <c s="6" r="BP1226">
        <v>0</v>
      </c>
      <c s="6" r="BQ1226">
        <v>0</v>
      </c>
      <c t="s" s="6" r="BR1226">
        <v>92</v>
      </c>
      <c s="6" r="BS1226">
        <v>1248</v>
      </c>
      <c t="s" s="6" r="BT1226">
        <v>92</v>
      </c>
      <c s="6" r="BY1226">
        <v>0</v>
      </c>
    </row>
    <row customHeight="1" r="1227" ht="14.25">
      <c t="s" s="6" r="A1227">
        <v>8895</v>
      </c>
      <c t="s" s="6" r="B1227">
        <v>493</v>
      </c>
      <c t="s" s="6" r="D1227">
        <v>6563</v>
      </c>
      <c t="s" s="6" r="E1227">
        <v>8896</v>
      </c>
      <c t="s" s="6" r="F1227">
        <v>81</v>
      </c>
      <c t="s" s="6" r="G1227">
        <v>8897</v>
      </c>
      <c s="6" r="H1227">
        <v>0</v>
      </c>
      <c t="s" s="6" r="I1227">
        <v>155</v>
      </c>
      <c t="s" s="6" r="L1227">
        <v>156</v>
      </c>
      <c t="s" s="6" r="M1227">
        <v>8898</v>
      </c>
      <c s="6" r="N1227">
        <v>0</v>
      </c>
      <c s="6" r="O1227">
        <v>0</v>
      </c>
      <c t="s" s="6" r="P1227">
        <v>631</v>
      </c>
      <c t="s" s="6" r="Q1227">
        <v>188</v>
      </c>
      <c t="s" s="6" r="R1227">
        <v>8899</v>
      </c>
      <c t="s" s="6" r="S1227">
        <v>8900</v>
      </c>
      <c t="s" s="6" r="T1227">
        <v>8893</v>
      </c>
      <c t="s" s="6" r="U1227">
        <v>8901</v>
      </c>
      <c s="6" r="V1227">
        <v>1</v>
      </c>
      <c s="6" r="W1227">
        <v>1</v>
      </c>
      <c s="6" r="X1227">
        <v>1</v>
      </c>
      <c s="6" r="Y1227">
        <v>0</v>
      </c>
      <c s="6" r="Z1227">
        <v>0</v>
      </c>
      <c s="6" r="AA1227">
        <v>2</v>
      </c>
      <c s="6" r="AB1227">
        <v>2</v>
      </c>
      <c t="s" s="6" r="AC1227">
        <v>92</v>
      </c>
      <c s="6" r="AD1227">
        <v>2</v>
      </c>
      <c t="s" s="6" r="AE1227">
        <v>92</v>
      </c>
      <c t="s" s="6" r="AF1227">
        <v>92</v>
      </c>
      <c t="s" s="6" r="AG1227">
        <v>92</v>
      </c>
      <c s="6" r="AH1227">
        <v>2</v>
      </c>
      <c t="s" s="6" r="AI1227">
        <v>92</v>
      </c>
      <c t="s" s="6" r="AJ1227">
        <v>92</v>
      </c>
      <c t="s" s="6" r="AK1227">
        <v>92</v>
      </c>
      <c t="s" s="6" r="AL1227">
        <v>92</v>
      </c>
      <c t="s" s="6" r="AM1227">
        <v>92</v>
      </c>
      <c t="s" s="6" r="AN1227">
        <v>92</v>
      </c>
      <c s="6" r="AP1227">
        <v>2</v>
      </c>
      <c s="6" r="AS1227">
        <v>0</v>
      </c>
      <c s="6" r="AT1227">
        <v>1</v>
      </c>
      <c s="6" r="AU1227">
        <v>0</v>
      </c>
      <c s="6" r="AV1227">
        <v>0</v>
      </c>
      <c s="6" r="AW1227">
        <v>0</v>
      </c>
      <c s="6" r="AX1227">
        <v>0</v>
      </c>
      <c s="6" r="AY1227">
        <v>0</v>
      </c>
      <c s="6" r="AZ1227">
        <v>0</v>
      </c>
      <c s="6" r="BA1227">
        <v>0</v>
      </c>
      <c s="6" r="BB1227">
        <v>0</v>
      </c>
      <c s="6" r="BC1227">
        <v>0</v>
      </c>
      <c s="6" r="BD1227">
        <v>0</v>
      </c>
      <c s="6" r="BE1227">
        <v>0</v>
      </c>
      <c s="6" r="BF1227">
        <v>1</v>
      </c>
      <c s="6" r="BG1227">
        <v>0</v>
      </c>
      <c s="6" r="BH1227">
        <v>0</v>
      </c>
      <c s="6" r="BI1227">
        <v>0</v>
      </c>
      <c s="6" r="BJ1227">
        <v>0</v>
      </c>
      <c s="6" r="BK1227">
        <v>0</v>
      </c>
      <c s="6" r="BL1227">
        <v>0</v>
      </c>
      <c s="6" r="BM1227">
        <v>0</v>
      </c>
      <c s="6" r="BN1227">
        <v>0</v>
      </c>
      <c s="6" r="BO1227">
        <v>0</v>
      </c>
      <c s="6" r="BP1227">
        <v>0</v>
      </c>
      <c s="6" r="BQ1227">
        <v>0</v>
      </c>
      <c t="s" s="6" r="BR1227">
        <v>92</v>
      </c>
      <c s="6" r="BS1227">
        <v>1249</v>
      </c>
      <c t="s" s="6" r="BT1227">
        <v>92</v>
      </c>
      <c s="6" r="BY1227">
        <v>0</v>
      </c>
    </row>
    <row customHeight="1" r="1228" ht="14.25">
      <c t="s" s="6" r="A1228">
        <v>8902</v>
      </c>
      <c t="s" s="6" r="B1228">
        <v>227</v>
      </c>
      <c t="s" s="6" r="E1228">
        <v>4080</v>
      </c>
      <c t="s" s="6" r="F1228">
        <v>81</v>
      </c>
      <c t="s" s="6" r="G1228">
        <v>8903</v>
      </c>
      <c s="6" r="H1228">
        <v>0</v>
      </c>
      <c t="s" s="6" r="I1228">
        <v>804</v>
      </c>
      <c t="s" s="6" r="L1228">
        <v>7051</v>
      </c>
      <c t="s" s="6" r="M1228">
        <v>8904</v>
      </c>
      <c s="6" r="N1228">
        <v>0</v>
      </c>
      <c s="6" r="O1228">
        <v>0</v>
      </c>
      <c t="s" s="6" r="P1228">
        <v>86</v>
      </c>
      <c t="s" s="6" r="Q1228">
        <v>188</v>
      </c>
      <c t="s" s="6" r="R1228">
        <v>8905</v>
      </c>
      <c t="s" s="6" r="S1228">
        <v>8906</v>
      </c>
      <c t="s" s="6" r="T1228">
        <v>8893</v>
      </c>
      <c t="s" s="6" r="U1228">
        <v>8907</v>
      </c>
      <c s="6" r="V1228">
        <v>1</v>
      </c>
      <c s="6" r="W1228">
        <v>1</v>
      </c>
      <c s="6" r="X1228">
        <v>1</v>
      </c>
      <c s="6" r="Y1228">
        <v>0</v>
      </c>
      <c s="6" r="Z1228">
        <v>0</v>
      </c>
      <c s="6" r="AA1228">
        <v>2</v>
      </c>
      <c s="6" r="AB1228">
        <v>2</v>
      </c>
      <c t="s" s="6" r="AC1228">
        <v>92</v>
      </c>
      <c t="s" s="6" r="AD1228">
        <v>92</v>
      </c>
      <c t="s" s="6" r="AE1228">
        <v>92</v>
      </c>
      <c t="s" s="6" r="AF1228">
        <v>92</v>
      </c>
      <c t="s" s="6" r="AG1228">
        <v>92</v>
      </c>
      <c t="s" s="6" r="AH1228">
        <v>92</v>
      </c>
      <c t="s" s="6" r="AI1228">
        <v>92</v>
      </c>
      <c s="6" r="AJ1228">
        <v>2</v>
      </c>
      <c t="s" s="6" r="AK1228">
        <v>92</v>
      </c>
      <c t="s" s="6" r="AL1228">
        <v>92</v>
      </c>
      <c t="s" s="6" r="AM1228">
        <v>92</v>
      </c>
      <c t="s" s="6" r="AN1228">
        <v>92</v>
      </c>
      <c s="6" r="AP1228">
        <v>2</v>
      </c>
      <c s="6" r="AS1228">
        <v>0</v>
      </c>
      <c s="6" r="AT1228">
        <v>0</v>
      </c>
      <c s="6" r="AU1228">
        <v>0</v>
      </c>
      <c s="6" r="AV1228">
        <v>0</v>
      </c>
      <c s="6" r="AW1228">
        <v>0</v>
      </c>
      <c s="6" r="AX1228">
        <v>0</v>
      </c>
      <c s="6" r="AY1228">
        <v>0</v>
      </c>
      <c s="6" r="AZ1228">
        <v>0</v>
      </c>
      <c s="6" r="BA1228">
        <v>0</v>
      </c>
      <c s="6" r="BB1228">
        <v>0</v>
      </c>
      <c s="6" r="BC1228">
        <v>0</v>
      </c>
      <c s="6" r="BD1228">
        <v>0</v>
      </c>
      <c s="6" r="BE1228">
        <v>0</v>
      </c>
      <c s="6" r="BF1228">
        <v>0</v>
      </c>
      <c s="6" r="BG1228">
        <v>0</v>
      </c>
      <c s="6" r="BH1228">
        <v>0</v>
      </c>
      <c s="6" r="BI1228">
        <v>0</v>
      </c>
      <c s="6" r="BJ1228">
        <v>0</v>
      </c>
      <c s="6" r="BK1228">
        <v>0</v>
      </c>
      <c s="6" r="BL1228">
        <v>0</v>
      </c>
      <c s="6" r="BM1228">
        <v>0</v>
      </c>
      <c s="6" r="BN1228">
        <v>0</v>
      </c>
      <c s="6" r="BO1228">
        <v>0</v>
      </c>
      <c s="6" r="BP1228">
        <v>0</v>
      </c>
      <c s="6" r="BQ1228">
        <v>0</v>
      </c>
      <c t="s" s="6" r="BR1228">
        <v>92</v>
      </c>
      <c s="6" r="BS1228">
        <v>1250</v>
      </c>
      <c t="s" s="6" r="BT1228">
        <v>92</v>
      </c>
      <c s="6" r="BY1228">
        <v>0</v>
      </c>
    </row>
    <row customHeight="1" r="1229" ht="14.25">
      <c t="s" s="6" r="A1229">
        <v>8908</v>
      </c>
      <c t="s" s="6" r="B1229">
        <v>162</v>
      </c>
      <c t="s" s="6" r="E1229">
        <v>1058</v>
      </c>
      <c t="s" s="6" r="F1229">
        <v>81</v>
      </c>
      <c t="s" s="6" r="G1229">
        <v>8909</v>
      </c>
      <c s="6" r="H1229">
        <v>1</v>
      </c>
      <c t="s" s="6" r="I1229">
        <v>273</v>
      </c>
      <c t="s" s="6" r="J1229">
        <v>274</v>
      </c>
      <c t="s" s="6" r="M1229">
        <v>711</v>
      </c>
      <c s="6" r="N1229">
        <v>1</v>
      </c>
      <c s="6" r="O1229">
        <v>0</v>
      </c>
      <c t="s" s="6" r="P1229">
        <v>86</v>
      </c>
      <c t="s" s="6" r="Q1229">
        <v>141</v>
      </c>
      <c t="s" s="6" r="R1229">
        <v>8910</v>
      </c>
      <c t="s" s="6" r="S1229">
        <v>8911</v>
      </c>
      <c t="s" s="6" r="T1229">
        <v>8912</v>
      </c>
      <c t="s" s="6" r="U1229">
        <v>8913</v>
      </c>
      <c s="6" r="V1229">
        <v>1</v>
      </c>
      <c s="6" r="W1229">
        <v>1</v>
      </c>
      <c s="6" r="X1229">
        <v>0</v>
      </c>
      <c s="6" r="Y1229">
        <v>0</v>
      </c>
      <c s="6" r="Z1229">
        <v>0</v>
      </c>
      <c s="6" r="AA1229">
        <v>9</v>
      </c>
      <c s="6" r="AB1229">
        <v>9</v>
      </c>
      <c t="s" s="6" r="AC1229">
        <v>92</v>
      </c>
      <c t="s" s="6" r="AD1229">
        <v>92</v>
      </c>
      <c t="s" s="6" r="AE1229">
        <v>92</v>
      </c>
      <c t="s" s="6" r="AF1229">
        <v>92</v>
      </c>
      <c t="s" s="6" r="AG1229">
        <v>92</v>
      </c>
      <c t="s" s="6" r="AH1229">
        <v>92</v>
      </c>
      <c t="s" s="6" r="AI1229">
        <v>92</v>
      </c>
      <c t="s" s="6" r="AJ1229">
        <v>92</v>
      </c>
      <c t="s" s="6" r="AK1229">
        <v>92</v>
      </c>
      <c t="s" s="6" r="AL1229">
        <v>92</v>
      </c>
      <c t="s" s="6" r="AM1229">
        <v>92</v>
      </c>
      <c t="s" s="6" r="AN1229">
        <v>92</v>
      </c>
      <c s="6" r="AP1229">
        <v>9</v>
      </c>
      <c s="6" r="AS1229">
        <v>0</v>
      </c>
      <c s="6" r="AT1229">
        <v>0</v>
      </c>
      <c s="6" r="AU1229">
        <v>0</v>
      </c>
      <c s="6" r="AV1229">
        <v>0</v>
      </c>
      <c s="6" r="AW1229">
        <v>0</v>
      </c>
      <c s="6" r="AX1229">
        <v>0</v>
      </c>
      <c s="6" r="AY1229">
        <v>0</v>
      </c>
      <c s="6" r="AZ1229">
        <v>0</v>
      </c>
      <c s="6" r="BA1229">
        <v>0</v>
      </c>
      <c s="6" r="BB1229">
        <v>0</v>
      </c>
      <c s="6" r="BC1229">
        <v>0</v>
      </c>
      <c s="6" r="BD1229">
        <v>0</v>
      </c>
      <c s="6" r="BE1229">
        <v>0</v>
      </c>
      <c s="6" r="BF1229">
        <v>0</v>
      </c>
      <c s="6" r="BG1229">
        <v>0</v>
      </c>
      <c s="6" r="BH1229">
        <v>0</v>
      </c>
      <c s="6" r="BI1229">
        <v>0</v>
      </c>
      <c s="6" r="BJ1229">
        <v>0</v>
      </c>
      <c s="6" r="BK1229">
        <v>0</v>
      </c>
      <c s="6" r="BL1229">
        <v>0</v>
      </c>
      <c s="6" r="BM1229">
        <v>0</v>
      </c>
      <c s="6" r="BN1229">
        <v>0</v>
      </c>
      <c s="6" r="BO1229">
        <v>0</v>
      </c>
      <c s="6" r="BP1229">
        <v>0</v>
      </c>
      <c s="6" r="BQ1229">
        <v>0</v>
      </c>
      <c t="s" s="6" r="BR1229">
        <v>92</v>
      </c>
      <c s="6" r="BS1229">
        <v>1251</v>
      </c>
      <c s="6" r="BT1229">
        <v>1000</v>
      </c>
      <c t="s" s="6" r="BW1229">
        <v>8914</v>
      </c>
      <c s="6" r="BY1229">
        <v>1</v>
      </c>
    </row>
    <row customHeight="1" r="1230" ht="14.25">
      <c t="s" s="6" r="A1230">
        <v>8915</v>
      </c>
      <c t="s" s="6" r="B1230">
        <v>131</v>
      </c>
      <c t="s" s="6" r="E1230">
        <v>8916</v>
      </c>
      <c t="s" s="6" r="F1230">
        <v>81</v>
      </c>
      <c t="s" s="6" r="G1230">
        <v>251</v>
      </c>
      <c s="6" r="H1230">
        <v>0</v>
      </c>
      <c t="s" s="6" r="I1230">
        <v>155</v>
      </c>
      <c t="s" s="6" r="L1230">
        <v>156</v>
      </c>
      <c t="s" s="6" r="M1230">
        <v>109</v>
      </c>
      <c s="6" r="N1230">
        <v>0</v>
      </c>
      <c s="6" r="O1230">
        <v>0</v>
      </c>
      <c t="s" s="6" r="R1230">
        <v>8917</v>
      </c>
      <c t="s" s="6" r="S1230">
        <v>8918</v>
      </c>
      <c t="s" s="6" r="T1230">
        <v>8912</v>
      </c>
      <c t="s" s="6" r="U1230">
        <v>8919</v>
      </c>
      <c s="6" r="V1230">
        <v>1</v>
      </c>
      <c s="6" r="W1230">
        <v>0</v>
      </c>
      <c s="6" r="X1230">
        <v>0</v>
      </c>
      <c s="6" r="Y1230">
        <v>0</v>
      </c>
      <c s="6" r="Z1230">
        <v>0</v>
      </c>
      <c t="s" s="6" r="AA1230">
        <v>92</v>
      </c>
      <c t="s" s="6" r="AB1230">
        <v>92</v>
      </c>
      <c t="s" s="6" r="AC1230">
        <v>92</v>
      </c>
      <c t="s" s="6" r="AD1230">
        <v>92</v>
      </c>
      <c t="s" s="6" r="AE1230">
        <v>92</v>
      </c>
      <c s="6" r="AF1230">
        <v>2</v>
      </c>
      <c t="s" s="6" r="AG1230">
        <v>92</v>
      </c>
      <c t="s" s="6" r="AH1230">
        <v>92</v>
      </c>
      <c t="s" s="6" r="AI1230">
        <v>92</v>
      </c>
      <c t="s" s="6" r="AJ1230">
        <v>92</v>
      </c>
      <c t="s" s="6" r="AK1230">
        <v>92</v>
      </c>
      <c t="s" s="6" r="AL1230">
        <v>92</v>
      </c>
      <c t="s" s="6" r="AM1230">
        <v>92</v>
      </c>
      <c s="6" r="AN1230">
        <v>2</v>
      </c>
      <c s="6" r="AP1230">
        <v>2</v>
      </c>
      <c s="6" r="AS1230">
        <v>0</v>
      </c>
      <c s="6" r="AT1230">
        <v>0</v>
      </c>
      <c s="6" r="AU1230">
        <v>0</v>
      </c>
      <c s="6" r="AV1230">
        <v>0</v>
      </c>
      <c s="6" r="AW1230">
        <v>0</v>
      </c>
      <c s="6" r="AX1230">
        <v>0</v>
      </c>
      <c s="6" r="AY1230">
        <v>0</v>
      </c>
      <c s="6" r="AZ1230">
        <v>0</v>
      </c>
      <c s="6" r="BA1230">
        <v>0</v>
      </c>
      <c s="6" r="BB1230">
        <v>0</v>
      </c>
      <c s="6" r="BC1230">
        <v>0</v>
      </c>
      <c s="6" r="BD1230">
        <v>0</v>
      </c>
      <c s="6" r="BE1230">
        <v>0</v>
      </c>
      <c s="6" r="BF1230">
        <v>0</v>
      </c>
      <c s="6" r="BG1230">
        <v>0</v>
      </c>
      <c s="6" r="BH1230">
        <v>0</v>
      </c>
      <c s="6" r="BI1230">
        <v>0</v>
      </c>
      <c s="6" r="BJ1230">
        <v>0</v>
      </c>
      <c s="6" r="BK1230">
        <v>0</v>
      </c>
      <c s="6" r="BL1230">
        <v>0</v>
      </c>
      <c s="6" r="BM1230">
        <v>0</v>
      </c>
      <c s="6" r="BN1230">
        <v>0</v>
      </c>
      <c s="6" r="BO1230">
        <v>0</v>
      </c>
      <c s="6" r="BP1230">
        <v>0</v>
      </c>
      <c s="6" r="BQ1230">
        <v>0</v>
      </c>
      <c t="s" s="6" r="BR1230">
        <v>92</v>
      </c>
      <c s="6" r="BS1230">
        <v>1252</v>
      </c>
      <c t="s" s="6" r="BT1230">
        <v>92</v>
      </c>
      <c s="6" r="BY1230">
        <v>0</v>
      </c>
    </row>
    <row customHeight="1" r="1231" ht="14.25">
      <c t="s" s="6" r="A1231">
        <v>8920</v>
      </c>
      <c t="s" s="6" r="B1231">
        <v>131</v>
      </c>
      <c t="s" s="6" r="E1231">
        <v>8921</v>
      </c>
      <c t="s" s="6" r="F1231">
        <v>81</v>
      </c>
      <c t="s" s="6" r="G1231">
        <v>251</v>
      </c>
      <c s="6" r="H1231">
        <v>0</v>
      </c>
      <c t="s" s="6" r="I1231">
        <v>155</v>
      </c>
      <c t="s" s="6" r="L1231">
        <v>156</v>
      </c>
      <c t="s" s="6" r="M1231">
        <v>109</v>
      </c>
      <c s="6" r="N1231">
        <v>0</v>
      </c>
      <c s="6" r="O1231">
        <v>0</v>
      </c>
      <c t="s" s="6" r="R1231">
        <v>8922</v>
      </c>
      <c t="s" s="6" r="S1231">
        <v>8923</v>
      </c>
      <c t="s" s="6" r="T1231">
        <v>8912</v>
      </c>
      <c t="s" s="6" r="U1231">
        <v>8924</v>
      </c>
      <c s="6" r="V1231">
        <v>1</v>
      </c>
      <c s="6" r="W1231">
        <v>0</v>
      </c>
      <c s="6" r="X1231">
        <v>0</v>
      </c>
      <c s="6" r="Y1231">
        <v>0</v>
      </c>
      <c s="6" r="Z1231">
        <v>0</v>
      </c>
      <c t="s" s="6" r="AA1231">
        <v>92</v>
      </c>
      <c t="s" s="6" r="AB1231">
        <v>92</v>
      </c>
      <c t="s" s="6" r="AC1231">
        <v>92</v>
      </c>
      <c t="s" s="6" r="AD1231">
        <v>92</v>
      </c>
      <c t="s" s="6" r="AE1231">
        <v>92</v>
      </c>
      <c s="6" r="AF1231">
        <v>5</v>
      </c>
      <c t="s" s="6" r="AG1231">
        <v>92</v>
      </c>
      <c t="s" s="6" r="AH1231">
        <v>92</v>
      </c>
      <c t="s" s="6" r="AI1231">
        <v>92</v>
      </c>
      <c t="s" s="6" r="AJ1231">
        <v>92</v>
      </c>
      <c t="s" s="6" r="AK1231">
        <v>92</v>
      </c>
      <c t="s" s="6" r="AL1231">
        <v>92</v>
      </c>
      <c t="s" s="6" r="AM1231">
        <v>92</v>
      </c>
      <c s="6" r="AN1231">
        <v>5</v>
      </c>
      <c s="6" r="AP1231">
        <v>5</v>
      </c>
      <c s="6" r="AS1231">
        <v>0</v>
      </c>
      <c s="6" r="AT1231">
        <v>0</v>
      </c>
      <c s="6" r="AU1231">
        <v>0</v>
      </c>
      <c s="6" r="AV1231">
        <v>0</v>
      </c>
      <c s="6" r="AW1231">
        <v>0</v>
      </c>
      <c s="6" r="AX1231">
        <v>0</v>
      </c>
      <c s="6" r="AY1231">
        <v>0</v>
      </c>
      <c s="6" r="AZ1231">
        <v>0</v>
      </c>
      <c s="6" r="BA1231">
        <v>0</v>
      </c>
      <c s="6" r="BB1231">
        <v>0</v>
      </c>
      <c s="6" r="BC1231">
        <v>0</v>
      </c>
      <c s="6" r="BD1231">
        <v>0</v>
      </c>
      <c s="6" r="BE1231">
        <v>0</v>
      </c>
      <c s="6" r="BF1231">
        <v>0</v>
      </c>
      <c s="6" r="BG1231">
        <v>0</v>
      </c>
      <c s="6" r="BH1231">
        <v>0</v>
      </c>
      <c s="6" r="BI1231">
        <v>0</v>
      </c>
      <c s="6" r="BJ1231">
        <v>0</v>
      </c>
      <c s="6" r="BK1231">
        <v>0</v>
      </c>
      <c s="6" r="BL1231">
        <v>0</v>
      </c>
      <c s="6" r="BM1231">
        <v>0</v>
      </c>
      <c s="6" r="BN1231">
        <v>0</v>
      </c>
      <c s="6" r="BO1231">
        <v>0</v>
      </c>
      <c s="6" r="BP1231">
        <v>0</v>
      </c>
      <c s="6" r="BQ1231">
        <v>0</v>
      </c>
      <c t="s" s="6" r="BR1231">
        <v>92</v>
      </c>
      <c s="6" r="BS1231">
        <v>1253</v>
      </c>
      <c t="s" s="6" r="BT1231">
        <v>92</v>
      </c>
      <c s="6" r="BY1231">
        <v>0</v>
      </c>
    </row>
    <row customHeight="1" r="1232" ht="14.25">
      <c t="s" s="6" r="A1232">
        <v>8925</v>
      </c>
      <c t="s" s="6" r="B1232">
        <v>131</v>
      </c>
      <c t="s" s="6" r="D1232">
        <v>67</v>
      </c>
      <c t="s" s="6" r="E1232">
        <v>8926</v>
      </c>
      <c t="s" s="6" r="F1232">
        <v>81</v>
      </c>
      <c t="s" s="6" r="G1232">
        <v>8927</v>
      </c>
      <c s="6" r="H1232">
        <v>0</v>
      </c>
      <c t="s" s="6" r="I1232">
        <v>8928</v>
      </c>
      <c t="s" s="6" r="K1232">
        <v>8929</v>
      </c>
      <c t="s" s="6" r="M1232">
        <v>8930</v>
      </c>
      <c s="6" r="N1232">
        <v>0</v>
      </c>
      <c s="6" r="O1232">
        <v>0</v>
      </c>
      <c t="s" s="6" r="P1232">
        <v>8931</v>
      </c>
      <c t="s" s="6" r="Q1232">
        <v>8932</v>
      </c>
      <c t="s" s="6" r="R1232">
        <v>8933</v>
      </c>
      <c t="s" s="6" r="S1232">
        <v>8934</v>
      </c>
      <c t="s" s="6" r="T1232">
        <v>8912</v>
      </c>
      <c t="s" s="6" r="U1232">
        <v>8935</v>
      </c>
      <c s="6" r="V1232">
        <v>1</v>
      </c>
      <c s="6" r="W1232">
        <v>1</v>
      </c>
      <c s="6" r="X1232">
        <v>1</v>
      </c>
      <c s="6" r="Y1232">
        <v>0</v>
      </c>
      <c s="6" r="Z1232">
        <v>0</v>
      </c>
      <c s="6" r="AA1232">
        <v>3</v>
      </c>
      <c s="6" r="AB1232">
        <v>3</v>
      </c>
      <c t="s" s="6" r="AC1232">
        <v>92</v>
      </c>
      <c s="6" r="AD1232">
        <v>4</v>
      </c>
      <c s="6" r="AE1232">
        <v>3</v>
      </c>
      <c t="s" s="6" r="AF1232">
        <v>92</v>
      </c>
      <c t="s" s="6" r="AG1232">
        <v>92</v>
      </c>
      <c t="s" s="6" r="AH1232">
        <v>92</v>
      </c>
      <c t="s" s="6" r="AI1232">
        <v>92</v>
      </c>
      <c s="6" r="AJ1232">
        <v>4</v>
      </c>
      <c t="s" s="6" r="AK1232">
        <v>92</v>
      </c>
      <c t="s" s="6" r="AL1232">
        <v>92</v>
      </c>
      <c t="s" s="6" r="AM1232">
        <v>92</v>
      </c>
      <c t="s" s="6" r="AN1232">
        <v>92</v>
      </c>
      <c s="6" r="AP1232">
        <v>3</v>
      </c>
      <c s="6" r="AS1232">
        <v>0</v>
      </c>
      <c s="6" r="AT1232">
        <v>0</v>
      </c>
      <c s="6" r="AU1232">
        <v>0</v>
      </c>
      <c s="6" r="AV1232">
        <v>0</v>
      </c>
      <c s="6" r="AW1232">
        <v>0</v>
      </c>
      <c s="6" r="AX1232">
        <v>0</v>
      </c>
      <c s="6" r="AY1232">
        <v>0</v>
      </c>
      <c s="6" r="AZ1232">
        <v>0</v>
      </c>
      <c s="6" r="BA1232">
        <v>0</v>
      </c>
      <c s="6" r="BB1232">
        <v>0</v>
      </c>
      <c s="6" r="BC1232">
        <v>0</v>
      </c>
      <c s="6" r="BD1232">
        <v>0</v>
      </c>
      <c s="6" r="BE1232">
        <v>0</v>
      </c>
      <c s="6" r="BF1232">
        <v>0</v>
      </c>
      <c s="6" r="BG1232">
        <v>0</v>
      </c>
      <c s="6" r="BH1232">
        <v>0</v>
      </c>
      <c s="6" r="BI1232">
        <v>0</v>
      </c>
      <c s="6" r="BJ1232">
        <v>0</v>
      </c>
      <c s="6" r="BK1232">
        <v>0</v>
      </c>
      <c s="6" r="BL1232">
        <v>0</v>
      </c>
      <c s="6" r="BM1232">
        <v>0</v>
      </c>
      <c s="6" r="BN1232">
        <v>0</v>
      </c>
      <c s="6" r="BO1232">
        <v>0</v>
      </c>
      <c s="6" r="BP1232">
        <v>1</v>
      </c>
      <c s="6" r="BQ1232">
        <v>0</v>
      </c>
      <c t="s" s="6" r="BR1232">
        <v>92</v>
      </c>
      <c s="6" r="BS1232">
        <v>1254</v>
      </c>
      <c t="s" s="6" r="BT1232">
        <v>92</v>
      </c>
      <c s="6" r="BY1232">
        <v>0</v>
      </c>
    </row>
    <row customHeight="1" r="1233" ht="14.25">
      <c t="s" s="6" r="A1233">
        <v>8936</v>
      </c>
      <c t="s" s="6" r="B1233">
        <v>131</v>
      </c>
      <c t="s" s="6" r="E1233">
        <v>8937</v>
      </c>
      <c t="s" s="6" r="F1233">
        <v>5881</v>
      </c>
      <c t="s" s="6" r="G1233">
        <v>106</v>
      </c>
      <c s="6" r="H1233">
        <v>0</v>
      </c>
      <c t="s" s="6" r="I1233">
        <v>8938</v>
      </c>
      <c t="s" s="6" r="L1233">
        <v>8939</v>
      </c>
      <c t="s" s="6" r="M1233">
        <v>109</v>
      </c>
      <c s="6" r="N1233">
        <v>0</v>
      </c>
      <c s="6" r="O1233">
        <v>0</v>
      </c>
      <c t="s" s="6" r="R1233">
        <v>8940</v>
      </c>
      <c t="s" s="6" r="S1233">
        <v>8941</v>
      </c>
      <c t="s" s="6" r="T1233">
        <v>8912</v>
      </c>
      <c t="s" s="6" r="U1233">
        <v>8942</v>
      </c>
      <c s="6" r="V1233">
        <v>1</v>
      </c>
      <c s="6" r="W1233">
        <v>1</v>
      </c>
      <c s="6" r="X1233">
        <v>0</v>
      </c>
      <c s="6" r="Y1233">
        <v>0</v>
      </c>
      <c s="6" r="Z1233">
        <v>0</v>
      </c>
      <c t="s" s="6" r="AA1233">
        <v>92</v>
      </c>
      <c t="s" s="6" r="AB1233">
        <v>92</v>
      </c>
      <c t="s" s="6" r="AC1233">
        <v>92</v>
      </c>
      <c t="s" s="6" r="AD1233">
        <v>92</v>
      </c>
      <c s="6" r="AE1233">
        <v>1</v>
      </c>
      <c s="6" r="AF1233">
        <v>1</v>
      </c>
      <c t="s" s="6" r="AG1233">
        <v>92</v>
      </c>
      <c t="s" s="6" r="AH1233">
        <v>92</v>
      </c>
      <c t="s" s="6" r="AI1233">
        <v>92</v>
      </c>
      <c t="s" s="6" r="AJ1233">
        <v>92</v>
      </c>
      <c t="s" s="6" r="AK1233">
        <v>92</v>
      </c>
      <c t="s" s="6" r="AL1233">
        <v>92</v>
      </c>
      <c t="s" s="6" r="AM1233">
        <v>92</v>
      </c>
      <c s="6" r="AN1233">
        <v>1</v>
      </c>
      <c s="6" r="AP1233">
        <v>1</v>
      </c>
      <c s="6" r="AS1233">
        <v>0</v>
      </c>
      <c s="6" r="AT1233">
        <v>0</v>
      </c>
      <c s="6" r="AU1233">
        <v>0</v>
      </c>
      <c s="6" r="AV1233">
        <v>0</v>
      </c>
      <c s="6" r="AW1233">
        <v>0</v>
      </c>
      <c s="6" r="AX1233">
        <v>0</v>
      </c>
      <c s="6" r="AY1233">
        <v>0</v>
      </c>
      <c s="6" r="AZ1233">
        <v>0</v>
      </c>
      <c s="6" r="BA1233">
        <v>0</v>
      </c>
      <c s="6" r="BB1233">
        <v>0</v>
      </c>
      <c s="6" r="BC1233">
        <v>0</v>
      </c>
      <c s="6" r="BD1233">
        <v>0</v>
      </c>
      <c s="6" r="BE1233">
        <v>0</v>
      </c>
      <c s="6" r="BF1233">
        <v>0</v>
      </c>
      <c s="6" r="BG1233">
        <v>0</v>
      </c>
      <c s="6" r="BH1233">
        <v>0</v>
      </c>
      <c s="6" r="BI1233">
        <v>0</v>
      </c>
      <c s="6" r="BJ1233">
        <v>0</v>
      </c>
      <c s="6" r="BK1233">
        <v>0</v>
      </c>
      <c s="6" r="BL1233">
        <v>0</v>
      </c>
      <c s="6" r="BM1233">
        <v>0</v>
      </c>
      <c s="6" r="BN1233">
        <v>0</v>
      </c>
      <c s="6" r="BO1233">
        <v>0</v>
      </c>
      <c s="6" r="BP1233">
        <v>0</v>
      </c>
      <c s="6" r="BQ1233">
        <v>0</v>
      </c>
      <c t="s" s="6" r="BR1233">
        <v>92</v>
      </c>
      <c s="6" r="BS1233">
        <v>1255</v>
      </c>
      <c t="s" s="6" r="BT1233">
        <v>92</v>
      </c>
      <c s="6" r="BY1233">
        <v>0</v>
      </c>
    </row>
    <row customHeight="1" r="1234" ht="14.25">
      <c t="s" s="6" r="A1234">
        <v>8943</v>
      </c>
      <c t="s" s="6" r="B1234">
        <v>131</v>
      </c>
      <c t="s" s="6" r="D1234">
        <v>59</v>
      </c>
      <c t="s" s="6" r="E1234">
        <v>8944</v>
      </c>
      <c t="s" s="6" r="F1234">
        <v>81</v>
      </c>
      <c t="s" s="6" r="G1234">
        <v>8945</v>
      </c>
      <c s="6" r="H1234">
        <v>0</v>
      </c>
      <c t="s" s="6" r="I1234">
        <v>120</v>
      </c>
      <c t="s" s="6" r="L1234">
        <v>2368</v>
      </c>
      <c t="s" s="6" r="M1234">
        <v>2718</v>
      </c>
      <c s="6" r="N1234">
        <v>0</v>
      </c>
      <c s="6" r="O1234">
        <v>0</v>
      </c>
      <c t="s" s="6" r="P1234">
        <v>187</v>
      </c>
      <c t="s" s="6" r="Q1234">
        <v>87</v>
      </c>
      <c t="s" s="6" r="R1234">
        <v>8946</v>
      </c>
      <c t="s" s="6" r="S1234">
        <v>8947</v>
      </c>
      <c t="s" s="6" r="T1234">
        <v>8912</v>
      </c>
      <c t="s" s="6" r="U1234">
        <v>8948</v>
      </c>
      <c s="6" r="V1234">
        <v>1</v>
      </c>
      <c s="6" r="W1234">
        <v>1</v>
      </c>
      <c s="6" r="X1234">
        <v>1</v>
      </c>
      <c s="6" r="Y1234">
        <v>0</v>
      </c>
      <c s="6" r="Z1234">
        <v>0</v>
      </c>
      <c t="s" s="6" r="AA1234">
        <v>92</v>
      </c>
      <c t="s" s="6" r="AB1234">
        <v>92</v>
      </c>
      <c s="6" r="AC1234">
        <v>4</v>
      </c>
      <c t="s" s="6" r="AD1234">
        <v>92</v>
      </c>
      <c t="s" s="6" r="AE1234">
        <v>92</v>
      </c>
      <c t="s" s="6" r="AF1234">
        <v>92</v>
      </c>
      <c s="6" r="AG1234">
        <v>4</v>
      </c>
      <c t="s" s="6" r="AH1234">
        <v>92</v>
      </c>
      <c t="s" s="6" r="AI1234">
        <v>92</v>
      </c>
      <c t="s" s="6" r="AJ1234">
        <v>92</v>
      </c>
      <c s="6" r="AK1234">
        <v>4</v>
      </c>
      <c s="6" r="AL1234">
        <v>4</v>
      </c>
      <c t="s" s="6" r="AM1234">
        <v>92</v>
      </c>
      <c t="s" s="6" r="AN1234">
        <v>92</v>
      </c>
      <c s="6" r="AP1234">
        <v>4</v>
      </c>
      <c s="6" r="AS1234">
        <v>0</v>
      </c>
      <c s="6" r="AT1234">
        <v>0</v>
      </c>
      <c s="6" r="AU1234">
        <v>0</v>
      </c>
      <c s="6" r="AV1234">
        <v>0</v>
      </c>
      <c s="6" r="AW1234">
        <v>0</v>
      </c>
      <c s="6" r="AX1234">
        <v>0</v>
      </c>
      <c s="6" r="AY1234">
        <v>0</v>
      </c>
      <c s="6" r="AZ1234">
        <v>0</v>
      </c>
      <c s="6" r="BA1234">
        <v>0</v>
      </c>
      <c s="6" r="BB1234">
        <v>0</v>
      </c>
      <c s="6" r="BC1234">
        <v>0</v>
      </c>
      <c s="6" r="BD1234">
        <v>0</v>
      </c>
      <c s="6" r="BE1234">
        <v>0</v>
      </c>
      <c s="6" r="BF1234">
        <v>0</v>
      </c>
      <c s="6" r="BG1234">
        <v>0</v>
      </c>
      <c s="6" r="BH1234">
        <v>1</v>
      </c>
      <c s="6" r="BI1234">
        <v>0</v>
      </c>
      <c s="6" r="BJ1234">
        <v>0</v>
      </c>
      <c s="6" r="BK1234">
        <v>0</v>
      </c>
      <c s="6" r="BL1234">
        <v>0</v>
      </c>
      <c s="6" r="BM1234">
        <v>0</v>
      </c>
      <c s="6" r="BN1234">
        <v>0</v>
      </c>
      <c s="6" r="BO1234">
        <v>0</v>
      </c>
      <c s="6" r="BP1234">
        <v>0</v>
      </c>
      <c s="6" r="BQ1234">
        <v>0</v>
      </c>
      <c t="s" s="6" r="BR1234">
        <v>92</v>
      </c>
      <c s="6" r="BS1234">
        <v>1256</v>
      </c>
      <c t="s" s="6" r="BT1234">
        <v>92</v>
      </c>
      <c t="s" s="6" r="BW1234">
        <v>8949</v>
      </c>
      <c t="s" s="6" r="BX1234">
        <v>8950</v>
      </c>
      <c s="6" r="BY1234">
        <v>1</v>
      </c>
    </row>
    <row customHeight="1" r="1235" ht="14.25">
      <c t="s" s="6" r="A1235">
        <v>8951</v>
      </c>
      <c t="s" s="6" r="B1235">
        <v>78</v>
      </c>
      <c t="s" s="6" r="C1235">
        <v>1042</v>
      </c>
      <c t="s" s="6" r="D1235">
        <v>59</v>
      </c>
      <c t="s" s="6" r="E1235">
        <v>8952</v>
      </c>
      <c t="s" s="6" r="F1235">
        <v>81</v>
      </c>
      <c t="s" s="6" r="G1235">
        <v>8953</v>
      </c>
      <c s="6" r="H1235">
        <v>0</v>
      </c>
      <c t="s" s="6" r="I1235">
        <v>155</v>
      </c>
      <c t="s" s="6" r="L1235">
        <v>156</v>
      </c>
      <c t="s" s="6" r="M1235">
        <v>8954</v>
      </c>
      <c s="6" r="N1235">
        <v>0</v>
      </c>
      <c s="6" r="O1235">
        <v>0</v>
      </c>
      <c t="s" s="6" r="R1235">
        <v>8955</v>
      </c>
      <c t="s" s="6" r="S1235">
        <v>8956</v>
      </c>
      <c t="s" s="6" r="T1235">
        <v>8912</v>
      </c>
      <c t="s" s="6" r="U1235">
        <v>8957</v>
      </c>
      <c s="6" r="V1235">
        <v>1</v>
      </c>
      <c s="6" r="W1235">
        <v>1</v>
      </c>
      <c s="6" r="X1235">
        <v>1</v>
      </c>
      <c s="6" r="Y1235">
        <v>0</v>
      </c>
      <c s="6" r="Z1235">
        <v>0</v>
      </c>
      <c t="s" s="6" r="AA1235">
        <v>92</v>
      </c>
      <c t="s" s="6" r="AB1235">
        <v>92</v>
      </c>
      <c s="6" r="AC1235">
        <v>6</v>
      </c>
      <c t="s" s="6" r="AD1235">
        <v>92</v>
      </c>
      <c t="s" s="6" r="AE1235">
        <v>92</v>
      </c>
      <c t="s" s="6" r="AF1235">
        <v>92</v>
      </c>
      <c s="6" r="AG1235">
        <v>4</v>
      </c>
      <c t="s" s="6" r="AH1235">
        <v>92</v>
      </c>
      <c s="6" r="AI1235">
        <v>5</v>
      </c>
      <c t="s" s="6" r="AJ1235">
        <v>92</v>
      </c>
      <c t="s" s="6" r="AK1235">
        <v>92</v>
      </c>
      <c s="6" r="AL1235">
        <v>6</v>
      </c>
      <c t="s" s="6" r="AM1235">
        <v>92</v>
      </c>
      <c t="s" s="6" r="AN1235">
        <v>92</v>
      </c>
      <c s="6" r="AP1235">
        <v>6</v>
      </c>
      <c s="6" r="AS1235">
        <v>0</v>
      </c>
      <c s="6" r="AT1235">
        <v>0</v>
      </c>
      <c s="6" r="AU1235">
        <v>0</v>
      </c>
      <c s="6" r="AV1235">
        <v>0</v>
      </c>
      <c s="6" r="AW1235">
        <v>0</v>
      </c>
      <c s="6" r="AX1235">
        <v>0</v>
      </c>
      <c s="6" r="AY1235">
        <v>0</v>
      </c>
      <c s="6" r="AZ1235">
        <v>0</v>
      </c>
      <c s="6" r="BA1235">
        <v>0</v>
      </c>
      <c s="6" r="BB1235">
        <v>0</v>
      </c>
      <c s="6" r="BC1235">
        <v>0</v>
      </c>
      <c s="6" r="BD1235">
        <v>0</v>
      </c>
      <c s="6" r="BE1235">
        <v>0</v>
      </c>
      <c s="6" r="BF1235">
        <v>0</v>
      </c>
      <c s="6" r="BG1235">
        <v>0</v>
      </c>
      <c s="6" r="BH1235">
        <v>1</v>
      </c>
      <c s="6" r="BI1235">
        <v>0</v>
      </c>
      <c s="6" r="BJ1235">
        <v>0</v>
      </c>
      <c s="6" r="BK1235">
        <v>0</v>
      </c>
      <c s="6" r="BL1235">
        <v>0</v>
      </c>
      <c s="6" r="BM1235">
        <v>0</v>
      </c>
      <c s="6" r="BN1235">
        <v>0</v>
      </c>
      <c s="6" r="BO1235">
        <v>0</v>
      </c>
      <c s="6" r="BP1235">
        <v>0</v>
      </c>
      <c s="6" r="BQ1235">
        <v>0</v>
      </c>
      <c t="s" s="6" r="BR1235">
        <v>92</v>
      </c>
      <c s="6" r="BS1235">
        <v>1257</v>
      </c>
      <c t="s" s="6" r="BT1235">
        <v>92</v>
      </c>
      <c s="6" r="BY1235">
        <v>0</v>
      </c>
    </row>
    <row customHeight="1" r="1236" ht="14.25">
      <c t="s" s="6" r="A1236">
        <v>8958</v>
      </c>
      <c t="s" s="6" r="B1236">
        <v>131</v>
      </c>
      <c t="s" s="6" r="E1236">
        <v>4080</v>
      </c>
      <c t="s" s="6" r="F1236">
        <v>81</v>
      </c>
      <c t="s" s="6" r="G1236">
        <v>8959</v>
      </c>
      <c s="6" r="H1236">
        <v>0</v>
      </c>
      <c t="s" s="6" r="I1236">
        <v>107</v>
      </c>
      <c t="s" s="6" r="L1236">
        <v>1235</v>
      </c>
      <c t="s" s="6" r="M1236">
        <v>99</v>
      </c>
      <c s="6" r="N1236">
        <v>0</v>
      </c>
      <c s="6" r="O1236">
        <v>0</v>
      </c>
      <c t="s" s="6" r="P1236">
        <v>221</v>
      </c>
      <c t="s" s="6" r="Q1236">
        <v>188</v>
      </c>
      <c t="s" s="6" r="R1236">
        <v>8960</v>
      </c>
      <c t="s" s="6" r="S1236">
        <v>8961</v>
      </c>
      <c t="s" s="6" r="T1236">
        <v>8912</v>
      </c>
      <c t="s" s="6" r="U1236">
        <v>8962</v>
      </c>
      <c s="6" r="V1236">
        <v>1</v>
      </c>
      <c s="6" r="W1236">
        <v>1</v>
      </c>
      <c s="6" r="X1236">
        <v>1</v>
      </c>
      <c s="6" r="Y1236">
        <v>0</v>
      </c>
      <c s="6" r="Z1236">
        <v>0</v>
      </c>
      <c s="6" r="AA1236">
        <v>2</v>
      </c>
      <c s="6" r="AB1236">
        <v>2</v>
      </c>
      <c t="s" s="6" r="AC1236">
        <v>92</v>
      </c>
      <c t="s" s="6" r="AD1236">
        <v>92</v>
      </c>
      <c t="s" s="6" r="AE1236">
        <v>92</v>
      </c>
      <c t="s" s="6" r="AF1236">
        <v>92</v>
      </c>
      <c t="s" s="6" r="AG1236">
        <v>92</v>
      </c>
      <c t="s" s="6" r="AH1236">
        <v>92</v>
      </c>
      <c t="s" s="6" r="AI1236">
        <v>92</v>
      </c>
      <c s="6" r="AJ1236">
        <v>2</v>
      </c>
      <c t="s" s="6" r="AK1236">
        <v>92</v>
      </c>
      <c t="s" s="6" r="AL1236">
        <v>92</v>
      </c>
      <c t="s" s="6" r="AM1236">
        <v>92</v>
      </c>
      <c t="s" s="6" r="AN1236">
        <v>92</v>
      </c>
      <c s="6" r="AP1236">
        <v>2</v>
      </c>
      <c s="6" r="AS1236">
        <v>0</v>
      </c>
      <c s="6" r="AT1236">
        <v>0</v>
      </c>
      <c s="6" r="AU1236">
        <v>0</v>
      </c>
      <c s="6" r="AV1236">
        <v>0</v>
      </c>
      <c s="6" r="AW1236">
        <v>0</v>
      </c>
      <c s="6" r="AX1236">
        <v>0</v>
      </c>
      <c s="6" r="AY1236">
        <v>0</v>
      </c>
      <c s="6" r="AZ1236">
        <v>0</v>
      </c>
      <c s="6" r="BA1236">
        <v>0</v>
      </c>
      <c s="6" r="BB1236">
        <v>0</v>
      </c>
      <c s="6" r="BC1236">
        <v>0</v>
      </c>
      <c s="6" r="BD1236">
        <v>0</v>
      </c>
      <c s="6" r="BE1236">
        <v>0</v>
      </c>
      <c s="6" r="BF1236">
        <v>0</v>
      </c>
      <c s="6" r="BG1236">
        <v>0</v>
      </c>
      <c s="6" r="BH1236">
        <v>0</v>
      </c>
      <c s="6" r="BI1236">
        <v>0</v>
      </c>
      <c s="6" r="BJ1236">
        <v>0</v>
      </c>
      <c s="6" r="BK1236">
        <v>0</v>
      </c>
      <c s="6" r="BL1236">
        <v>0</v>
      </c>
      <c s="6" r="BM1236">
        <v>0</v>
      </c>
      <c s="6" r="BN1236">
        <v>0</v>
      </c>
      <c s="6" r="BO1236">
        <v>0</v>
      </c>
      <c s="6" r="BP1236">
        <v>0</v>
      </c>
      <c s="6" r="BQ1236">
        <v>0</v>
      </c>
      <c t="s" s="6" r="BR1236">
        <v>92</v>
      </c>
      <c s="6" r="BS1236">
        <v>1258</v>
      </c>
      <c t="s" s="6" r="BT1236">
        <v>92</v>
      </c>
      <c s="6" r="BY1236">
        <v>0</v>
      </c>
    </row>
    <row customHeight="1" r="1237" ht="14.25">
      <c t="s" s="6" r="A1237">
        <v>8963</v>
      </c>
      <c t="s" s="6" r="B1237">
        <v>131</v>
      </c>
      <c t="s" s="6" r="E1237">
        <v>2161</v>
      </c>
      <c t="s" s="6" r="F1237">
        <v>81</v>
      </c>
      <c t="s" s="6" r="G1237">
        <v>8959</v>
      </c>
      <c s="6" r="H1237">
        <v>0</v>
      </c>
      <c t="s" s="6" r="I1237">
        <v>97</v>
      </c>
      <c t="s" s="6" r="J1237">
        <v>620</v>
      </c>
      <c t="s" s="6" r="M1237">
        <v>2718</v>
      </c>
      <c s="6" r="N1237">
        <v>0</v>
      </c>
      <c s="6" r="O1237">
        <v>0</v>
      </c>
      <c t="s" s="6" r="P1237">
        <v>221</v>
      </c>
      <c t="s" s="6" r="Q1237">
        <v>188</v>
      </c>
      <c t="s" s="6" r="R1237">
        <v>8964</v>
      </c>
      <c t="s" s="6" r="S1237">
        <v>8965</v>
      </c>
      <c t="s" s="6" r="T1237">
        <v>8912</v>
      </c>
      <c t="s" s="6" r="U1237">
        <v>8966</v>
      </c>
      <c s="6" r="V1237">
        <v>1</v>
      </c>
      <c s="6" r="W1237">
        <v>1</v>
      </c>
      <c s="6" r="X1237">
        <v>1</v>
      </c>
      <c s="6" r="Y1237">
        <v>0</v>
      </c>
      <c s="6" r="Z1237">
        <v>0</v>
      </c>
      <c s="6" r="AA1237">
        <v>6</v>
      </c>
      <c s="6" r="AB1237">
        <v>6</v>
      </c>
      <c t="s" s="6" r="AC1237">
        <v>92</v>
      </c>
      <c t="s" s="6" r="AD1237">
        <v>92</v>
      </c>
      <c t="s" s="6" r="AE1237">
        <v>92</v>
      </c>
      <c t="s" s="6" r="AF1237">
        <v>92</v>
      </c>
      <c t="s" s="6" r="AG1237">
        <v>92</v>
      </c>
      <c t="s" s="6" r="AH1237">
        <v>92</v>
      </c>
      <c t="s" s="6" r="AI1237">
        <v>92</v>
      </c>
      <c s="6" r="AJ1237">
        <v>6</v>
      </c>
      <c t="s" s="6" r="AK1237">
        <v>92</v>
      </c>
      <c t="s" s="6" r="AL1237">
        <v>92</v>
      </c>
      <c t="s" s="6" r="AM1237">
        <v>92</v>
      </c>
      <c t="s" s="6" r="AN1237">
        <v>92</v>
      </c>
      <c s="6" r="AP1237">
        <v>6</v>
      </c>
      <c s="6" r="AS1237">
        <v>0</v>
      </c>
      <c s="6" r="AT1237">
        <v>0</v>
      </c>
      <c s="6" r="AU1237">
        <v>0</v>
      </c>
      <c s="6" r="AV1237">
        <v>0</v>
      </c>
      <c s="6" r="AW1237">
        <v>0</v>
      </c>
      <c s="6" r="AX1237">
        <v>0</v>
      </c>
      <c s="6" r="AY1237">
        <v>0</v>
      </c>
      <c s="6" r="AZ1237">
        <v>0</v>
      </c>
      <c s="6" r="BA1237">
        <v>0</v>
      </c>
      <c s="6" r="BB1237">
        <v>0</v>
      </c>
      <c s="6" r="BC1237">
        <v>0</v>
      </c>
      <c s="6" r="BD1237">
        <v>0</v>
      </c>
      <c s="6" r="BE1237">
        <v>0</v>
      </c>
      <c s="6" r="BF1237">
        <v>0</v>
      </c>
      <c s="6" r="BG1237">
        <v>0</v>
      </c>
      <c s="6" r="BH1237">
        <v>0</v>
      </c>
      <c s="6" r="BI1237">
        <v>0</v>
      </c>
      <c s="6" r="BJ1237">
        <v>0</v>
      </c>
      <c s="6" r="BK1237">
        <v>0</v>
      </c>
      <c s="6" r="BL1237">
        <v>0</v>
      </c>
      <c s="6" r="BM1237">
        <v>0</v>
      </c>
      <c s="6" r="BN1237">
        <v>0</v>
      </c>
      <c s="6" r="BO1237">
        <v>0</v>
      </c>
      <c s="6" r="BP1237">
        <v>0</v>
      </c>
      <c s="6" r="BQ1237">
        <v>0</v>
      </c>
      <c t="s" s="6" r="BR1237">
        <v>92</v>
      </c>
      <c s="6" r="BS1237">
        <v>1259</v>
      </c>
      <c t="s" s="6" r="BT1237">
        <v>92</v>
      </c>
      <c s="6" r="BY1237">
        <v>0</v>
      </c>
    </row>
    <row customHeight="1" r="1238" ht="14.25">
      <c t="s" s="6" r="A1238">
        <v>8967</v>
      </c>
      <c t="s" s="6" r="B1238">
        <v>131</v>
      </c>
      <c t="s" s="6" r="C1238">
        <v>152</v>
      </c>
      <c t="s" s="6" r="E1238">
        <v>320</v>
      </c>
      <c t="s" s="6" r="F1238">
        <v>81</v>
      </c>
      <c t="s" s="6" r="G1238">
        <v>8968</v>
      </c>
      <c s="6" r="H1238">
        <v>0</v>
      </c>
      <c t="s" s="6" r="I1238">
        <v>107</v>
      </c>
      <c t="s" s="6" r="L1238">
        <v>8969</v>
      </c>
      <c t="s" s="6" r="M1238">
        <v>99</v>
      </c>
      <c s="6" r="N1238">
        <v>0</v>
      </c>
      <c s="6" r="O1238">
        <v>0</v>
      </c>
      <c t="s" s="6" r="P1238">
        <v>187</v>
      </c>
      <c t="s" s="6" r="Q1238">
        <v>188</v>
      </c>
      <c t="s" s="6" r="R1238">
        <v>8970</v>
      </c>
      <c t="s" s="6" r="S1238">
        <v>8971</v>
      </c>
      <c t="s" s="6" r="T1238">
        <v>8912</v>
      </c>
      <c t="s" s="6" r="U1238">
        <v>8972</v>
      </c>
      <c s="6" r="V1238">
        <v>1</v>
      </c>
      <c s="6" r="W1238">
        <v>1</v>
      </c>
      <c s="6" r="X1238">
        <v>1</v>
      </c>
      <c s="6" r="Y1238">
        <v>0</v>
      </c>
      <c s="6" r="Z1238">
        <v>0</v>
      </c>
      <c s="6" r="AA1238">
        <v>2</v>
      </c>
      <c s="6" r="AB1238">
        <v>2</v>
      </c>
      <c t="s" s="6" r="AC1238">
        <v>92</v>
      </c>
      <c t="s" s="6" r="AD1238">
        <v>92</v>
      </c>
      <c t="s" s="6" r="AE1238">
        <v>92</v>
      </c>
      <c t="s" s="6" r="AF1238">
        <v>92</v>
      </c>
      <c t="s" s="6" r="AG1238">
        <v>92</v>
      </c>
      <c t="s" s="6" r="AH1238">
        <v>92</v>
      </c>
      <c t="s" s="6" r="AI1238">
        <v>92</v>
      </c>
      <c t="s" s="6" r="AJ1238">
        <v>92</v>
      </c>
      <c t="s" s="6" r="AK1238">
        <v>92</v>
      </c>
      <c t="s" s="6" r="AL1238">
        <v>92</v>
      </c>
      <c t="s" s="6" r="AM1238">
        <v>92</v>
      </c>
      <c t="s" s="6" r="AN1238">
        <v>92</v>
      </c>
      <c s="6" r="AP1238">
        <v>2</v>
      </c>
      <c s="6" r="AS1238">
        <v>0</v>
      </c>
      <c s="6" r="AT1238">
        <v>0</v>
      </c>
      <c s="6" r="AU1238">
        <v>0</v>
      </c>
      <c s="6" r="AV1238">
        <v>0</v>
      </c>
      <c s="6" r="AW1238">
        <v>0</v>
      </c>
      <c s="6" r="AX1238">
        <v>0</v>
      </c>
      <c s="6" r="AY1238">
        <v>0</v>
      </c>
      <c s="6" r="AZ1238">
        <v>0</v>
      </c>
      <c s="6" r="BA1238">
        <v>0</v>
      </c>
      <c s="6" r="BB1238">
        <v>0</v>
      </c>
      <c s="6" r="BC1238">
        <v>0</v>
      </c>
      <c s="6" r="BD1238">
        <v>0</v>
      </c>
      <c s="6" r="BE1238">
        <v>0</v>
      </c>
      <c s="6" r="BF1238">
        <v>0</v>
      </c>
      <c s="6" r="BG1238">
        <v>0</v>
      </c>
      <c s="6" r="BH1238">
        <v>0</v>
      </c>
      <c s="6" r="BI1238">
        <v>0</v>
      </c>
      <c s="6" r="BJ1238">
        <v>0</v>
      </c>
      <c s="6" r="BK1238">
        <v>0</v>
      </c>
      <c s="6" r="BL1238">
        <v>0</v>
      </c>
      <c s="6" r="BM1238">
        <v>0</v>
      </c>
      <c s="6" r="BN1238">
        <v>0</v>
      </c>
      <c s="6" r="BO1238">
        <v>0</v>
      </c>
      <c s="6" r="BP1238">
        <v>0</v>
      </c>
      <c s="6" r="BQ1238">
        <v>0</v>
      </c>
      <c t="s" s="6" r="BR1238">
        <v>92</v>
      </c>
      <c s="6" r="BS1238">
        <v>1260</v>
      </c>
      <c t="s" s="6" r="BT1238">
        <v>92</v>
      </c>
      <c t="s" s="6" r="BW1238">
        <v>8973</v>
      </c>
      <c t="s" s="6" r="BX1238">
        <v>8974</v>
      </c>
      <c s="6" r="BY1238">
        <v>1</v>
      </c>
    </row>
    <row customHeight="1" r="1239" ht="14.25">
      <c t="s" s="6" r="A1239">
        <v>8975</v>
      </c>
      <c t="s" s="6" r="B1239">
        <v>493</v>
      </c>
      <c t="s" s="6" r="D1239">
        <v>58</v>
      </c>
      <c t="s" s="6" r="E1239">
        <v>8976</v>
      </c>
      <c t="s" s="6" r="F1239">
        <v>5881</v>
      </c>
      <c t="s" s="6" r="G1239">
        <v>106</v>
      </c>
      <c s="6" r="H1239">
        <v>0</v>
      </c>
      <c t="s" s="6" r="I1239">
        <v>8977</v>
      </c>
      <c t="s" s="6" r="L1239">
        <v>7051</v>
      </c>
      <c t="s" s="6" r="M1239">
        <v>109</v>
      </c>
      <c s="6" r="N1239">
        <v>0</v>
      </c>
      <c s="6" r="O1239">
        <v>0</v>
      </c>
      <c t="s" s="6" r="P1239">
        <v>1254</v>
      </c>
      <c t="s" s="6" r="Q1239">
        <v>188</v>
      </c>
      <c t="s" s="6" r="R1239">
        <v>8978</v>
      </c>
      <c t="s" s="6" r="S1239">
        <v>8979</v>
      </c>
      <c t="s" s="6" r="T1239">
        <v>8912</v>
      </c>
      <c t="s" s="6" r="U1239">
        <v>8980</v>
      </c>
      <c s="6" r="V1239">
        <v>1</v>
      </c>
      <c s="6" r="W1239">
        <v>1</v>
      </c>
      <c s="6" r="X1239">
        <v>0</v>
      </c>
      <c s="6" r="Y1239">
        <v>0</v>
      </c>
      <c s="6" r="Z1239">
        <v>0</v>
      </c>
      <c t="s" s="6" r="AA1239">
        <v>92</v>
      </c>
      <c t="s" s="6" r="AB1239">
        <v>92</v>
      </c>
      <c s="6" r="AC1239">
        <v>4</v>
      </c>
      <c t="s" s="6" r="AD1239">
        <v>92</v>
      </c>
      <c t="s" s="6" r="AE1239">
        <v>92</v>
      </c>
      <c t="s" s="6" r="AF1239">
        <v>92</v>
      </c>
      <c s="6" r="AG1239">
        <v>4</v>
      </c>
      <c t="s" s="6" r="AH1239">
        <v>92</v>
      </c>
      <c t="s" s="6" r="AI1239">
        <v>92</v>
      </c>
      <c t="s" s="6" r="AJ1239">
        <v>92</v>
      </c>
      <c s="6" r="AK1239">
        <v>4</v>
      </c>
      <c s="6" r="AL1239">
        <v>4</v>
      </c>
      <c t="s" s="6" r="AM1239">
        <v>92</v>
      </c>
      <c s="6" r="AN1239">
        <v>4</v>
      </c>
      <c s="6" r="AP1239">
        <v>4</v>
      </c>
      <c s="6" r="AS1239">
        <v>0</v>
      </c>
      <c s="6" r="AT1239">
        <v>0</v>
      </c>
      <c s="6" r="AU1239">
        <v>0</v>
      </c>
      <c s="6" r="AV1239">
        <v>0</v>
      </c>
      <c s="6" r="AW1239">
        <v>0</v>
      </c>
      <c s="6" r="AX1239">
        <v>0</v>
      </c>
      <c s="6" r="AY1239">
        <v>0</v>
      </c>
      <c s="6" r="AZ1239">
        <v>0</v>
      </c>
      <c s="6" r="BA1239">
        <v>0</v>
      </c>
      <c s="6" r="BB1239">
        <v>0</v>
      </c>
      <c s="6" r="BC1239">
        <v>0</v>
      </c>
      <c s="6" r="BD1239">
        <v>0</v>
      </c>
      <c s="6" r="BE1239">
        <v>0</v>
      </c>
      <c s="6" r="BF1239">
        <v>0</v>
      </c>
      <c s="6" r="BG1239">
        <v>1</v>
      </c>
      <c s="6" r="BH1239">
        <v>0</v>
      </c>
      <c s="6" r="BI1239">
        <v>0</v>
      </c>
      <c s="6" r="BJ1239">
        <v>0</v>
      </c>
      <c s="6" r="BK1239">
        <v>0</v>
      </c>
      <c s="6" r="BL1239">
        <v>0</v>
      </c>
      <c s="6" r="BM1239">
        <v>0</v>
      </c>
      <c s="6" r="BN1239">
        <v>0</v>
      </c>
      <c s="6" r="BO1239">
        <v>0</v>
      </c>
      <c s="6" r="BP1239">
        <v>0</v>
      </c>
      <c s="6" r="BQ1239">
        <v>0</v>
      </c>
      <c t="s" s="6" r="BR1239">
        <v>92</v>
      </c>
      <c s="6" r="BS1239">
        <v>1261</v>
      </c>
      <c t="s" s="6" r="BT1239">
        <v>92</v>
      </c>
      <c s="6" r="BY1239">
        <v>0</v>
      </c>
    </row>
    <row customHeight="1" r="1240" ht="14.25">
      <c t="s" s="6" r="A1240">
        <v>8981</v>
      </c>
      <c t="s" s="6" r="B1240">
        <v>227</v>
      </c>
      <c t="s" s="6" r="E1240">
        <v>1609</v>
      </c>
      <c t="s" s="6" r="F1240">
        <v>81</v>
      </c>
      <c t="s" s="6" r="G1240">
        <v>8982</v>
      </c>
      <c s="6" r="H1240">
        <v>0</v>
      </c>
      <c t="s" s="6" r="I1240">
        <v>107</v>
      </c>
      <c t="s" s="6" r="K1240">
        <v>8983</v>
      </c>
      <c t="s" s="6" r="M1240">
        <v>99</v>
      </c>
      <c s="6" r="N1240">
        <v>0</v>
      </c>
      <c s="6" r="O1240">
        <v>0</v>
      </c>
      <c t="s" s="6" r="P1240">
        <v>86</v>
      </c>
      <c t="s" s="6" r="Q1240">
        <v>188</v>
      </c>
      <c t="s" s="6" r="R1240">
        <v>8984</v>
      </c>
      <c t="s" s="6" r="S1240">
        <v>8985</v>
      </c>
      <c t="s" s="6" r="T1240">
        <v>8912</v>
      </c>
      <c t="s" s="6" r="U1240">
        <v>8986</v>
      </c>
      <c s="6" r="V1240">
        <v>1</v>
      </c>
      <c s="6" r="W1240">
        <v>1</v>
      </c>
      <c s="6" r="X1240">
        <v>1</v>
      </c>
      <c s="6" r="Y1240">
        <v>0</v>
      </c>
      <c s="6" r="Z1240">
        <v>0</v>
      </c>
      <c s="6" r="AA1240">
        <v>4</v>
      </c>
      <c s="6" r="AB1240">
        <v>4</v>
      </c>
      <c t="s" s="6" r="AC1240">
        <v>92</v>
      </c>
      <c t="s" s="6" r="AD1240">
        <v>92</v>
      </c>
      <c t="s" s="6" r="AE1240">
        <v>92</v>
      </c>
      <c t="s" s="6" r="AF1240">
        <v>92</v>
      </c>
      <c t="s" s="6" r="AG1240">
        <v>92</v>
      </c>
      <c t="s" s="6" r="AH1240">
        <v>92</v>
      </c>
      <c t="s" s="6" r="AI1240">
        <v>92</v>
      </c>
      <c s="6" r="AJ1240">
        <v>4</v>
      </c>
      <c t="s" s="6" r="AK1240">
        <v>92</v>
      </c>
      <c t="s" s="6" r="AL1240">
        <v>92</v>
      </c>
      <c t="s" s="6" r="AM1240">
        <v>92</v>
      </c>
      <c t="s" s="6" r="AN1240">
        <v>92</v>
      </c>
      <c s="6" r="AP1240">
        <v>4</v>
      </c>
      <c s="6" r="AS1240">
        <v>0</v>
      </c>
      <c s="6" r="AT1240">
        <v>0</v>
      </c>
      <c s="6" r="AU1240">
        <v>0</v>
      </c>
      <c s="6" r="AV1240">
        <v>0</v>
      </c>
      <c s="6" r="AW1240">
        <v>0</v>
      </c>
      <c s="6" r="AX1240">
        <v>0</v>
      </c>
      <c s="6" r="AY1240">
        <v>0</v>
      </c>
      <c s="6" r="AZ1240">
        <v>0</v>
      </c>
      <c s="6" r="BA1240">
        <v>0</v>
      </c>
      <c s="6" r="BB1240">
        <v>0</v>
      </c>
      <c s="6" r="BC1240">
        <v>0</v>
      </c>
      <c s="6" r="BD1240">
        <v>0</v>
      </c>
      <c s="6" r="BE1240">
        <v>0</v>
      </c>
      <c s="6" r="BF1240">
        <v>0</v>
      </c>
      <c s="6" r="BG1240">
        <v>0</v>
      </c>
      <c s="6" r="BH1240">
        <v>0</v>
      </c>
      <c s="6" r="BI1240">
        <v>0</v>
      </c>
      <c s="6" r="BJ1240">
        <v>0</v>
      </c>
      <c s="6" r="BK1240">
        <v>0</v>
      </c>
      <c s="6" r="BL1240">
        <v>0</v>
      </c>
      <c s="6" r="BM1240">
        <v>0</v>
      </c>
      <c s="6" r="BN1240">
        <v>0</v>
      </c>
      <c s="6" r="BO1240">
        <v>0</v>
      </c>
      <c s="6" r="BP1240">
        <v>0</v>
      </c>
      <c s="6" r="BQ1240">
        <v>0</v>
      </c>
      <c t="s" s="6" r="BR1240">
        <v>92</v>
      </c>
      <c s="6" r="BS1240">
        <v>1262</v>
      </c>
      <c t="s" s="6" r="BT1240">
        <v>92</v>
      </c>
      <c s="6" r="BY1240">
        <v>0</v>
      </c>
    </row>
    <row customHeight="1" r="1241" ht="14.25">
      <c t="s" s="6" r="A1241">
        <v>8987</v>
      </c>
      <c t="s" s="6" r="B1241">
        <v>131</v>
      </c>
      <c t="s" s="6" r="C1241">
        <v>152</v>
      </c>
      <c t="s" s="6" r="E1241">
        <v>8988</v>
      </c>
      <c t="s" s="6" r="F1241">
        <v>81</v>
      </c>
      <c t="s" s="6" r="G1241">
        <v>8989</v>
      </c>
      <c s="6" r="H1241">
        <v>0</v>
      </c>
      <c t="s" s="6" r="I1241">
        <v>155</v>
      </c>
      <c t="s" s="6" r="L1241">
        <v>156</v>
      </c>
      <c t="s" s="6" r="M1241">
        <v>99</v>
      </c>
      <c s="6" r="N1241">
        <v>0</v>
      </c>
      <c s="6" r="O1241">
        <v>0</v>
      </c>
      <c t="s" s="6" r="R1241">
        <v>8990</v>
      </c>
      <c t="s" s="6" r="S1241">
        <v>8991</v>
      </c>
      <c t="s" s="6" r="T1241">
        <v>8912</v>
      </c>
      <c t="s" s="6" r="U1241">
        <v>8992</v>
      </c>
      <c s="6" r="V1241">
        <v>1</v>
      </c>
      <c s="6" r="W1241">
        <v>1</v>
      </c>
      <c s="6" r="X1241">
        <v>1</v>
      </c>
      <c s="6" r="Y1241">
        <v>0</v>
      </c>
      <c s="6" r="Z1241">
        <v>0</v>
      </c>
      <c s="6" r="AA1241">
        <v>5</v>
      </c>
      <c s="6" r="AB1241">
        <v>5</v>
      </c>
      <c s="6" r="AC1241">
        <v>5</v>
      </c>
      <c s="6" r="AD1241">
        <v>5</v>
      </c>
      <c t="s" s="6" r="AE1241">
        <v>92</v>
      </c>
      <c t="s" s="6" r="AF1241">
        <v>92</v>
      </c>
      <c t="s" s="6" r="AG1241">
        <v>92</v>
      </c>
      <c t="s" s="6" r="AH1241">
        <v>92</v>
      </c>
      <c s="6" r="AI1241">
        <v>5</v>
      </c>
      <c t="s" s="6" r="AJ1241">
        <v>92</v>
      </c>
      <c t="s" s="6" r="AK1241">
        <v>92</v>
      </c>
      <c s="6" r="AL1241">
        <v>5</v>
      </c>
      <c t="s" s="6" r="AM1241">
        <v>92</v>
      </c>
      <c t="s" s="6" r="AN1241">
        <v>92</v>
      </c>
      <c s="6" r="AP1241">
        <v>5</v>
      </c>
      <c s="6" r="AS1241">
        <v>0</v>
      </c>
      <c s="6" r="AT1241">
        <v>0</v>
      </c>
      <c s="6" r="AU1241">
        <v>0</v>
      </c>
      <c s="6" r="AV1241">
        <v>0</v>
      </c>
      <c s="6" r="AW1241">
        <v>0</v>
      </c>
      <c s="6" r="AX1241">
        <v>0</v>
      </c>
      <c s="6" r="AY1241">
        <v>0</v>
      </c>
      <c s="6" r="AZ1241">
        <v>0</v>
      </c>
      <c s="6" r="BA1241">
        <v>0</v>
      </c>
      <c s="6" r="BB1241">
        <v>0</v>
      </c>
      <c s="6" r="BC1241">
        <v>0</v>
      </c>
      <c s="6" r="BD1241">
        <v>0</v>
      </c>
      <c s="6" r="BE1241">
        <v>0</v>
      </c>
      <c s="6" r="BF1241">
        <v>0</v>
      </c>
      <c s="6" r="BG1241">
        <v>0</v>
      </c>
      <c s="6" r="BH1241">
        <v>0</v>
      </c>
      <c s="6" r="BI1241">
        <v>0</v>
      </c>
      <c s="6" r="BJ1241">
        <v>0</v>
      </c>
      <c s="6" r="BK1241">
        <v>0</v>
      </c>
      <c s="6" r="BL1241">
        <v>0</v>
      </c>
      <c s="6" r="BM1241">
        <v>0</v>
      </c>
      <c s="6" r="BN1241">
        <v>0</v>
      </c>
      <c s="6" r="BO1241">
        <v>0</v>
      </c>
      <c s="6" r="BP1241">
        <v>0</v>
      </c>
      <c s="6" r="BQ1241">
        <v>0</v>
      </c>
      <c t="s" s="6" r="BR1241">
        <v>92</v>
      </c>
      <c s="6" r="BS1241">
        <v>1263</v>
      </c>
      <c t="s" s="6" r="BT1241">
        <v>92</v>
      </c>
      <c s="6" r="BY1241">
        <v>0</v>
      </c>
    </row>
    <row customHeight="1" r="1242" ht="14.25">
      <c t="s" s="6" r="A1242">
        <v>8993</v>
      </c>
      <c t="s" s="6" r="B1242">
        <v>493</v>
      </c>
      <c t="s" s="6" r="D1242">
        <v>8994</v>
      </c>
      <c t="s" s="6" r="E1242">
        <v>973</v>
      </c>
      <c t="s" s="6" r="F1242">
        <v>81</v>
      </c>
      <c t="s" s="6" r="G1242">
        <v>8995</v>
      </c>
      <c s="6" r="H1242">
        <v>0</v>
      </c>
      <c t="s" s="6" r="I1242">
        <v>107</v>
      </c>
      <c t="s" s="6" r="J1242">
        <v>8996</v>
      </c>
      <c t="s" s="6" r="M1242">
        <v>483</v>
      </c>
      <c s="6" r="N1242">
        <v>1</v>
      </c>
      <c s="6" r="O1242">
        <v>0</v>
      </c>
      <c t="s" s="6" r="P1242">
        <v>86</v>
      </c>
      <c t="s" s="6" r="Q1242">
        <v>7890</v>
      </c>
      <c t="s" s="6" r="R1242">
        <v>8997</v>
      </c>
      <c t="s" s="6" r="S1242">
        <v>8998</v>
      </c>
      <c t="s" s="6" r="T1242">
        <v>8912</v>
      </c>
      <c t="s" s="6" r="U1242">
        <v>8999</v>
      </c>
      <c s="6" r="V1242">
        <v>1</v>
      </c>
      <c s="6" r="W1242">
        <v>1</v>
      </c>
      <c s="6" r="X1242">
        <v>1</v>
      </c>
      <c s="6" r="Y1242">
        <v>0</v>
      </c>
      <c s="6" r="Z1242">
        <v>0</v>
      </c>
      <c s="6" r="AA1242">
        <v>7</v>
      </c>
      <c s="6" r="AB1242">
        <v>7</v>
      </c>
      <c t="s" s="6" r="AC1242">
        <v>92</v>
      </c>
      <c t="s" s="6" r="AD1242">
        <v>92</v>
      </c>
      <c t="s" s="6" r="AE1242">
        <v>92</v>
      </c>
      <c t="s" s="6" r="AF1242">
        <v>92</v>
      </c>
      <c t="s" s="6" r="AG1242">
        <v>92</v>
      </c>
      <c t="s" s="6" r="AH1242">
        <v>92</v>
      </c>
      <c t="s" s="6" r="AI1242">
        <v>92</v>
      </c>
      <c t="s" s="6" r="AJ1242">
        <v>92</v>
      </c>
      <c t="s" s="6" r="AK1242">
        <v>92</v>
      </c>
      <c t="s" s="6" r="AL1242">
        <v>92</v>
      </c>
      <c t="s" s="6" r="AM1242">
        <v>92</v>
      </c>
      <c t="s" s="6" r="AN1242">
        <v>92</v>
      </c>
      <c s="6" r="AP1242">
        <v>7</v>
      </c>
      <c s="6" r="AS1242">
        <v>0</v>
      </c>
      <c s="6" r="AT1242">
        <v>0</v>
      </c>
      <c s="6" r="AU1242">
        <v>0</v>
      </c>
      <c s="6" r="AV1242">
        <v>0</v>
      </c>
      <c s="6" r="AW1242">
        <v>0</v>
      </c>
      <c s="6" r="AX1242">
        <v>1</v>
      </c>
      <c s="6" r="AY1242">
        <v>0</v>
      </c>
      <c s="6" r="AZ1242">
        <v>0</v>
      </c>
      <c s="6" r="BA1242">
        <v>0</v>
      </c>
      <c s="6" r="BB1242">
        <v>0</v>
      </c>
      <c s="6" r="BC1242">
        <v>0</v>
      </c>
      <c s="6" r="BD1242">
        <v>0</v>
      </c>
      <c s="6" r="BE1242">
        <v>0</v>
      </c>
      <c s="6" r="BF1242">
        <v>0</v>
      </c>
      <c s="6" r="BG1242">
        <v>1</v>
      </c>
      <c s="6" r="BH1242">
        <v>0</v>
      </c>
      <c s="6" r="BI1242">
        <v>0</v>
      </c>
      <c s="6" r="BJ1242">
        <v>0</v>
      </c>
      <c s="6" r="BK1242">
        <v>0</v>
      </c>
      <c s="6" r="BL1242">
        <v>0</v>
      </c>
      <c s="6" r="BM1242">
        <v>0</v>
      </c>
      <c s="6" r="BN1242">
        <v>0</v>
      </c>
      <c s="6" r="BO1242">
        <v>0</v>
      </c>
      <c s="6" r="BP1242">
        <v>0</v>
      </c>
      <c s="6" r="BQ1242">
        <v>0</v>
      </c>
      <c t="s" s="6" r="BR1242">
        <v>92</v>
      </c>
      <c s="6" r="BS1242">
        <v>1264</v>
      </c>
      <c t="s" s="6" r="BT1242">
        <v>92</v>
      </c>
      <c s="6" r="BY1242">
        <v>0</v>
      </c>
    </row>
    <row customHeight="1" r="1243" ht="14.25">
      <c t="s" s="6" r="A1243">
        <v>9000</v>
      </c>
      <c t="s" s="6" r="B1243">
        <v>174</v>
      </c>
      <c t="s" s="6" r="E1243">
        <v>9001</v>
      </c>
      <c t="s" s="6" r="F1243">
        <v>81</v>
      </c>
      <c t="s" s="6" r="G1243">
        <v>9002</v>
      </c>
      <c s="6" r="H1243">
        <v>0</v>
      </c>
      <c t="s" s="6" r="I1243">
        <v>155</v>
      </c>
      <c t="s" s="6" r="L1243">
        <v>156</v>
      </c>
      <c t="s" s="6" r="M1243">
        <v>2718</v>
      </c>
      <c s="6" r="N1243">
        <v>0</v>
      </c>
      <c s="6" r="O1243">
        <v>0</v>
      </c>
      <c t="s" s="6" r="R1243">
        <v>9003</v>
      </c>
      <c t="s" s="6" r="S1243">
        <v>9004</v>
      </c>
      <c t="s" s="6" r="T1243">
        <v>8912</v>
      </c>
      <c t="s" s="6" r="U1243">
        <v>9005</v>
      </c>
      <c s="6" r="V1243">
        <v>1</v>
      </c>
      <c s="6" r="W1243">
        <v>1</v>
      </c>
      <c s="6" r="X1243">
        <v>1</v>
      </c>
      <c s="6" r="Y1243">
        <v>0</v>
      </c>
      <c s="6" r="Z1243">
        <v>0</v>
      </c>
      <c t="s" s="6" r="AA1243">
        <v>92</v>
      </c>
      <c t="s" s="6" r="AB1243">
        <v>92</v>
      </c>
      <c t="s" s="6" r="AC1243">
        <v>92</v>
      </c>
      <c t="s" s="6" r="AD1243">
        <v>92</v>
      </c>
      <c s="6" r="AE1243">
        <v>2</v>
      </c>
      <c t="s" s="6" r="AF1243">
        <v>92</v>
      </c>
      <c t="s" s="6" r="AG1243">
        <v>92</v>
      </c>
      <c t="s" s="6" r="AH1243">
        <v>92</v>
      </c>
      <c t="s" s="6" r="AI1243">
        <v>92</v>
      </c>
      <c t="s" s="6" r="AJ1243">
        <v>92</v>
      </c>
      <c s="6" r="AK1243">
        <v>2</v>
      </c>
      <c t="s" s="6" r="AL1243">
        <v>92</v>
      </c>
      <c t="s" s="6" r="AM1243">
        <v>92</v>
      </c>
      <c t="s" s="6" r="AN1243">
        <v>92</v>
      </c>
      <c s="6" r="AP1243">
        <v>2</v>
      </c>
      <c s="6" r="AS1243">
        <v>0</v>
      </c>
      <c s="6" r="AT1243">
        <v>0</v>
      </c>
      <c s="6" r="AU1243">
        <v>0</v>
      </c>
      <c s="6" r="AV1243">
        <v>0</v>
      </c>
      <c s="6" r="AW1243">
        <v>0</v>
      </c>
      <c s="6" r="AX1243">
        <v>0</v>
      </c>
      <c s="6" r="AY1243">
        <v>0</v>
      </c>
      <c s="6" r="AZ1243">
        <v>0</v>
      </c>
      <c s="6" r="BA1243">
        <v>0</v>
      </c>
      <c s="6" r="BB1243">
        <v>0</v>
      </c>
      <c s="6" r="BC1243">
        <v>0</v>
      </c>
      <c s="6" r="BD1243">
        <v>0</v>
      </c>
      <c s="6" r="BE1243">
        <v>0</v>
      </c>
      <c s="6" r="BF1243">
        <v>0</v>
      </c>
      <c s="6" r="BG1243">
        <v>0</v>
      </c>
      <c s="6" r="BH1243">
        <v>0</v>
      </c>
      <c s="6" r="BI1243">
        <v>0</v>
      </c>
      <c s="6" r="BJ1243">
        <v>0</v>
      </c>
      <c s="6" r="BK1243">
        <v>0</v>
      </c>
      <c s="6" r="BL1243">
        <v>0</v>
      </c>
      <c s="6" r="BM1243">
        <v>0</v>
      </c>
      <c s="6" r="BN1243">
        <v>0</v>
      </c>
      <c s="6" r="BO1243">
        <v>0</v>
      </c>
      <c s="6" r="BP1243">
        <v>0</v>
      </c>
      <c s="6" r="BQ1243">
        <v>0</v>
      </c>
      <c t="s" s="6" r="BR1243">
        <v>92</v>
      </c>
      <c s="6" r="BS1243">
        <v>1265</v>
      </c>
      <c t="s" s="6" r="BT1243">
        <v>92</v>
      </c>
      <c s="6" r="BY1243">
        <v>0</v>
      </c>
    </row>
    <row customHeight="1" r="1244" ht="14.25">
      <c t="s" s="6" r="A1244">
        <v>9006</v>
      </c>
      <c t="s" s="6" r="B1244">
        <v>131</v>
      </c>
      <c t="s" s="6" r="E1244">
        <v>9007</v>
      </c>
      <c t="s" s="6" r="F1244">
        <v>3135</v>
      </c>
      <c t="s" s="6" r="G1244">
        <v>9008</v>
      </c>
      <c s="6" r="H1244">
        <v>1</v>
      </c>
      <c t="s" s="6" r="I1244">
        <v>120</v>
      </c>
      <c t="s" s="6" r="L1244">
        <v>9009</v>
      </c>
      <c t="s" s="6" r="M1244">
        <v>209</v>
      </c>
      <c s="6" r="N1244">
        <v>0</v>
      </c>
      <c s="6" r="O1244">
        <v>0</v>
      </c>
      <c t="s" s="6" r="P1244">
        <v>86</v>
      </c>
      <c t="s" s="6" r="Q1244">
        <v>87</v>
      </c>
      <c t="s" s="6" r="R1244">
        <v>9010</v>
      </c>
      <c t="s" s="6" r="S1244">
        <v>9011</v>
      </c>
      <c t="s" s="6" r="T1244">
        <v>8912</v>
      </c>
      <c t="s" s="6" r="U1244">
        <v>9012</v>
      </c>
      <c s="6" r="V1244">
        <v>1</v>
      </c>
      <c s="6" r="W1244">
        <v>1</v>
      </c>
      <c s="6" r="X1244">
        <v>1</v>
      </c>
      <c s="6" r="Y1244">
        <v>0</v>
      </c>
      <c s="6" r="Z1244">
        <v>0</v>
      </c>
      <c s="6" r="AA1244">
        <v>6</v>
      </c>
      <c s="6" r="AB1244">
        <v>6</v>
      </c>
      <c s="6" r="AC1244">
        <v>6</v>
      </c>
      <c t="s" s="6" r="AD1244">
        <v>92</v>
      </c>
      <c t="s" s="6" r="AE1244">
        <v>92</v>
      </c>
      <c t="s" s="6" r="AF1244">
        <v>92</v>
      </c>
      <c t="s" s="6" r="AG1244">
        <v>92</v>
      </c>
      <c t="s" s="6" r="AH1244">
        <v>92</v>
      </c>
      <c t="s" s="6" r="AI1244">
        <v>92</v>
      </c>
      <c t="s" s="6" r="AJ1244">
        <v>92</v>
      </c>
      <c t="s" s="6" r="AK1244">
        <v>92</v>
      </c>
      <c s="6" r="AL1244">
        <v>6</v>
      </c>
      <c t="s" s="6" r="AM1244">
        <v>92</v>
      </c>
      <c s="6" r="AN1244">
        <v>5</v>
      </c>
      <c s="6" r="AP1244">
        <v>6</v>
      </c>
      <c s="6" r="AS1244">
        <v>0</v>
      </c>
      <c s="6" r="AT1244">
        <v>0</v>
      </c>
      <c s="6" r="AU1244">
        <v>0</v>
      </c>
      <c s="6" r="AV1244">
        <v>0</v>
      </c>
      <c s="6" r="AW1244">
        <v>0</v>
      </c>
      <c s="6" r="AX1244">
        <v>0</v>
      </c>
      <c s="6" r="AY1244">
        <v>0</v>
      </c>
      <c s="6" r="AZ1244">
        <v>0</v>
      </c>
      <c s="6" r="BA1244">
        <v>0</v>
      </c>
      <c s="6" r="BB1244">
        <v>0</v>
      </c>
      <c s="6" r="BC1244">
        <v>0</v>
      </c>
      <c s="6" r="BD1244">
        <v>0</v>
      </c>
      <c s="6" r="BE1244">
        <v>0</v>
      </c>
      <c s="6" r="BF1244">
        <v>0</v>
      </c>
      <c s="6" r="BG1244">
        <v>0</v>
      </c>
      <c s="6" r="BH1244">
        <v>0</v>
      </c>
      <c s="6" r="BI1244">
        <v>0</v>
      </c>
      <c s="6" r="BJ1244">
        <v>0</v>
      </c>
      <c s="6" r="BK1244">
        <v>0</v>
      </c>
      <c s="6" r="BL1244">
        <v>0</v>
      </c>
      <c s="6" r="BM1244">
        <v>0</v>
      </c>
      <c s="6" r="BN1244">
        <v>0</v>
      </c>
      <c s="6" r="BO1244">
        <v>0</v>
      </c>
      <c s="6" r="BP1244">
        <v>0</v>
      </c>
      <c s="6" r="BQ1244">
        <v>0</v>
      </c>
      <c t="s" s="6" r="BR1244">
        <v>92</v>
      </c>
      <c s="6" r="BS1244">
        <v>1267</v>
      </c>
      <c s="6" r="BT1244">
        <v>1000</v>
      </c>
      <c s="6" r="BY1244">
        <v>0</v>
      </c>
    </row>
    <row customHeight="1" r="1245" ht="14.25">
      <c t="s" s="6" r="A1245">
        <v>9013</v>
      </c>
      <c t="s" s="6" r="B1245">
        <v>227</v>
      </c>
      <c t="s" s="6" r="D1245">
        <v>55</v>
      </c>
      <c t="s" s="6" r="E1245">
        <v>4382</v>
      </c>
      <c t="s" s="6" r="F1245">
        <v>81</v>
      </c>
      <c t="s" s="6" r="G1245">
        <v>9014</v>
      </c>
      <c s="6" r="H1245">
        <v>0</v>
      </c>
      <c t="s" s="6" r="I1245">
        <v>9015</v>
      </c>
      <c t="s" s="6" r="K1245">
        <v>9016</v>
      </c>
      <c t="s" s="6" r="M1245">
        <v>99</v>
      </c>
      <c s="6" r="N1245">
        <v>0</v>
      </c>
      <c s="6" r="O1245">
        <v>0</v>
      </c>
      <c t="s" s="6" r="P1245">
        <v>9017</v>
      </c>
      <c t="s" s="6" r="Q1245">
        <v>87</v>
      </c>
      <c t="s" s="6" r="R1245">
        <v>9018</v>
      </c>
      <c t="s" s="6" r="S1245">
        <v>9019</v>
      </c>
      <c t="s" s="6" r="T1245">
        <v>8912</v>
      </c>
      <c t="s" s="6" r="U1245">
        <v>9020</v>
      </c>
      <c s="6" r="V1245">
        <v>1</v>
      </c>
      <c s="6" r="W1245">
        <v>1</v>
      </c>
      <c s="6" r="X1245">
        <v>1</v>
      </c>
      <c s="6" r="Y1245">
        <v>0</v>
      </c>
      <c s="6" r="Z1245">
        <v>1</v>
      </c>
      <c s="6" r="AA1245">
        <v>5</v>
      </c>
      <c s="6" r="AB1245">
        <v>5</v>
      </c>
      <c s="6" r="AC1245">
        <v>5</v>
      </c>
      <c t="s" s="6" r="AD1245">
        <v>92</v>
      </c>
      <c t="s" s="6" r="AE1245">
        <v>92</v>
      </c>
      <c t="s" s="6" r="AF1245">
        <v>92</v>
      </c>
      <c t="s" s="6" r="AG1245">
        <v>92</v>
      </c>
      <c t="s" s="6" r="AH1245">
        <v>92</v>
      </c>
      <c t="s" s="6" r="AI1245">
        <v>92</v>
      </c>
      <c s="6" r="AJ1245">
        <v>5</v>
      </c>
      <c t="s" s="6" r="AK1245">
        <v>92</v>
      </c>
      <c s="6" r="AL1245">
        <v>5</v>
      </c>
      <c t="s" s="6" r="AM1245">
        <v>92</v>
      </c>
      <c t="s" s="6" r="AN1245">
        <v>92</v>
      </c>
      <c s="6" r="AP1245">
        <v>5</v>
      </c>
      <c s="6" r="AS1245">
        <v>0</v>
      </c>
      <c s="6" r="AT1245">
        <v>0</v>
      </c>
      <c s="6" r="AU1245">
        <v>0</v>
      </c>
      <c s="6" r="AV1245">
        <v>0</v>
      </c>
      <c s="6" r="AW1245">
        <v>0</v>
      </c>
      <c s="6" r="AX1245">
        <v>0</v>
      </c>
      <c s="6" r="AY1245">
        <v>0</v>
      </c>
      <c s="6" r="AZ1245">
        <v>0</v>
      </c>
      <c s="6" r="BA1245">
        <v>0</v>
      </c>
      <c s="6" r="BB1245">
        <v>0</v>
      </c>
      <c s="6" r="BC1245">
        <v>0</v>
      </c>
      <c s="6" r="BD1245">
        <v>1</v>
      </c>
      <c s="6" r="BE1245">
        <v>0</v>
      </c>
      <c s="6" r="BF1245">
        <v>0</v>
      </c>
      <c s="6" r="BG1245">
        <v>0</v>
      </c>
      <c s="6" r="BH1245">
        <v>0</v>
      </c>
      <c s="6" r="BI1245">
        <v>0</v>
      </c>
      <c s="6" r="BJ1245">
        <v>0</v>
      </c>
      <c s="6" r="BK1245">
        <v>0</v>
      </c>
      <c s="6" r="BL1245">
        <v>0</v>
      </c>
      <c s="6" r="BM1245">
        <v>0</v>
      </c>
      <c s="6" r="BN1245">
        <v>0</v>
      </c>
      <c s="6" r="BO1245">
        <v>0</v>
      </c>
      <c s="6" r="BP1245">
        <v>0</v>
      </c>
      <c s="6" r="BQ1245">
        <v>0</v>
      </c>
      <c t="s" s="6" r="BR1245">
        <v>92</v>
      </c>
      <c s="6" r="BS1245">
        <v>1268</v>
      </c>
      <c t="s" s="6" r="BT1245">
        <v>92</v>
      </c>
      <c s="6" r="BY1245">
        <v>0</v>
      </c>
    </row>
    <row customHeight="1" r="1246" ht="14.25">
      <c t="s" s="6" r="A1246">
        <v>9021</v>
      </c>
      <c t="s" s="6" r="B1246">
        <v>131</v>
      </c>
      <c t="s" s="6" r="E1246">
        <v>9022</v>
      </c>
      <c t="s" s="6" r="F1246">
        <v>81</v>
      </c>
      <c t="s" s="6" r="G1246">
        <v>9023</v>
      </c>
      <c s="6" r="H1246">
        <v>1</v>
      </c>
      <c t="s" s="6" r="I1246">
        <v>120</v>
      </c>
      <c t="s" s="6" r="J1246">
        <v>9024</v>
      </c>
      <c t="s" s="6" r="M1246">
        <v>99</v>
      </c>
      <c s="6" r="N1246">
        <v>0</v>
      </c>
      <c s="6" r="O1246">
        <v>0</v>
      </c>
      <c t="s" s="6" r="P1246">
        <v>221</v>
      </c>
      <c t="s" s="6" r="Q1246">
        <v>188</v>
      </c>
      <c t="s" s="6" r="R1246">
        <v>9025</v>
      </c>
      <c t="s" s="6" r="S1246">
        <v>9026</v>
      </c>
      <c t="s" s="6" r="T1246">
        <v>8912</v>
      </c>
      <c t="s" s="6" r="U1246">
        <v>9027</v>
      </c>
      <c s="6" r="V1246">
        <v>1</v>
      </c>
      <c s="6" r="W1246">
        <v>1</v>
      </c>
      <c s="6" r="X1246">
        <v>1</v>
      </c>
      <c s="6" r="Y1246">
        <v>0</v>
      </c>
      <c s="6" r="Z1246">
        <v>0</v>
      </c>
      <c t="s" s="6" r="AA1246">
        <v>92</v>
      </c>
      <c t="s" s="6" r="AB1246">
        <v>92</v>
      </c>
      <c t="s" s="6" r="AC1246">
        <v>92</v>
      </c>
      <c s="6" r="AD1246">
        <v>4</v>
      </c>
      <c t="s" s="6" r="AE1246">
        <v>92</v>
      </c>
      <c s="6" r="AF1246">
        <v>4</v>
      </c>
      <c t="s" s="6" r="AG1246">
        <v>92</v>
      </c>
      <c t="s" s="6" r="AH1246">
        <v>92</v>
      </c>
      <c t="s" s="6" r="AI1246">
        <v>92</v>
      </c>
      <c t="s" s="6" r="AJ1246">
        <v>92</v>
      </c>
      <c t="s" s="6" r="AK1246">
        <v>92</v>
      </c>
      <c t="s" s="6" r="AL1246">
        <v>92</v>
      </c>
      <c t="s" s="6" r="AM1246">
        <v>92</v>
      </c>
      <c t="s" s="6" r="AN1246">
        <v>92</v>
      </c>
      <c s="6" r="AP1246">
        <v>4</v>
      </c>
      <c s="6" r="AS1246">
        <v>0</v>
      </c>
      <c s="6" r="AT1246">
        <v>0</v>
      </c>
      <c s="6" r="AU1246">
        <v>0</v>
      </c>
      <c s="6" r="AV1246">
        <v>0</v>
      </c>
      <c s="6" r="AW1246">
        <v>0</v>
      </c>
      <c s="6" r="AX1246">
        <v>0</v>
      </c>
      <c s="6" r="AY1246">
        <v>0</v>
      </c>
      <c s="6" r="AZ1246">
        <v>0</v>
      </c>
      <c s="6" r="BA1246">
        <v>0</v>
      </c>
      <c s="6" r="BB1246">
        <v>0</v>
      </c>
      <c s="6" r="BC1246">
        <v>0</v>
      </c>
      <c s="6" r="BD1246">
        <v>0</v>
      </c>
      <c s="6" r="BE1246">
        <v>0</v>
      </c>
      <c s="6" r="BF1246">
        <v>0</v>
      </c>
      <c s="6" r="BG1246">
        <v>0</v>
      </c>
      <c s="6" r="BH1246">
        <v>0</v>
      </c>
      <c s="6" r="BI1246">
        <v>0</v>
      </c>
      <c s="6" r="BJ1246">
        <v>0</v>
      </c>
      <c s="6" r="BK1246">
        <v>0</v>
      </c>
      <c s="6" r="BL1246">
        <v>0</v>
      </c>
      <c s="6" r="BM1246">
        <v>0</v>
      </c>
      <c s="6" r="BN1246">
        <v>0</v>
      </c>
      <c s="6" r="BO1246">
        <v>0</v>
      </c>
      <c s="6" r="BP1246">
        <v>0</v>
      </c>
      <c s="6" r="BQ1246">
        <v>0</v>
      </c>
      <c t="s" s="6" r="BR1246">
        <v>92</v>
      </c>
      <c s="6" r="BS1246">
        <v>1269</v>
      </c>
      <c s="6" r="BT1246">
        <v>100</v>
      </c>
      <c s="6" r="BY1246">
        <v>0</v>
      </c>
    </row>
    <row customHeight="1" r="1247" ht="14.25">
      <c t="s" s="6" r="A1247">
        <v>9028</v>
      </c>
      <c t="s" s="6" r="B1247">
        <v>78</v>
      </c>
      <c t="s" s="6" r="D1247">
        <v>6189</v>
      </c>
      <c t="s" s="6" r="E1247">
        <v>9029</v>
      </c>
      <c t="s" s="6" r="F1247">
        <v>197</v>
      </c>
      <c t="s" s="6" r="G1247">
        <v>119</v>
      </c>
      <c s="6" r="H1247">
        <v>0</v>
      </c>
      <c t="s" s="6" r="I1247">
        <v>9030</v>
      </c>
      <c t="s" s="6" r="L1247">
        <v>9031</v>
      </c>
      <c t="s" s="6" r="M1247">
        <v>2718</v>
      </c>
      <c s="6" r="N1247">
        <v>0</v>
      </c>
      <c s="6" r="O1247">
        <v>0</v>
      </c>
      <c t="s" s="6" r="P1247">
        <v>296</v>
      </c>
      <c t="s" s="6" r="Q1247">
        <v>188</v>
      </c>
      <c t="s" s="6" r="R1247">
        <v>9032</v>
      </c>
      <c t="s" s="6" r="S1247">
        <v>9033</v>
      </c>
      <c t="s" s="6" r="T1247">
        <v>8912</v>
      </c>
      <c t="s" s="6" r="U1247">
        <v>9034</v>
      </c>
      <c s="6" r="V1247">
        <v>1</v>
      </c>
      <c s="6" r="W1247">
        <v>1</v>
      </c>
      <c s="6" r="X1247">
        <v>0</v>
      </c>
      <c s="6" r="Y1247">
        <v>0</v>
      </c>
      <c s="6" r="Z1247">
        <v>1</v>
      </c>
      <c t="s" s="6" r="AA1247">
        <v>92</v>
      </c>
      <c t="s" s="6" r="AB1247">
        <v>92</v>
      </c>
      <c s="6" r="AC1247">
        <v>3</v>
      </c>
      <c t="s" s="6" r="AD1247">
        <v>92</v>
      </c>
      <c t="s" s="6" r="AE1247">
        <v>92</v>
      </c>
      <c t="s" s="6" r="AF1247">
        <v>92</v>
      </c>
      <c s="6" r="AG1247">
        <v>2</v>
      </c>
      <c t="s" s="6" r="AH1247">
        <v>92</v>
      </c>
      <c t="s" s="6" r="AI1247">
        <v>92</v>
      </c>
      <c t="s" s="6" r="AJ1247">
        <v>92</v>
      </c>
      <c s="6" r="AK1247">
        <v>3</v>
      </c>
      <c s="6" r="AL1247">
        <v>3</v>
      </c>
      <c t="s" s="6" r="AM1247">
        <v>92</v>
      </c>
      <c t="s" s="6" r="AN1247">
        <v>92</v>
      </c>
      <c s="6" r="AP1247">
        <v>3</v>
      </c>
      <c s="6" r="AS1247">
        <v>0</v>
      </c>
      <c s="6" r="AT1247">
        <v>0</v>
      </c>
      <c s="6" r="AU1247">
        <v>0</v>
      </c>
      <c s="6" r="AV1247">
        <v>0</v>
      </c>
      <c s="6" r="AW1247">
        <v>0</v>
      </c>
      <c s="6" r="AX1247">
        <v>0</v>
      </c>
      <c s="6" r="AY1247">
        <v>0</v>
      </c>
      <c s="6" r="AZ1247">
        <v>0</v>
      </c>
      <c s="6" r="BA1247">
        <v>0</v>
      </c>
      <c s="6" r="BB1247">
        <v>0</v>
      </c>
      <c s="6" r="BC1247">
        <v>0</v>
      </c>
      <c s="6" r="BD1247">
        <v>0</v>
      </c>
      <c s="6" r="BE1247">
        <v>0</v>
      </c>
      <c s="6" r="BF1247">
        <v>0</v>
      </c>
      <c s="6" r="BG1247">
        <v>0</v>
      </c>
      <c s="6" r="BH1247">
        <v>1</v>
      </c>
      <c s="6" r="BI1247">
        <v>0</v>
      </c>
      <c s="6" r="BJ1247">
        <v>0</v>
      </c>
      <c s="6" r="BK1247">
        <v>1</v>
      </c>
      <c s="6" r="BL1247">
        <v>0</v>
      </c>
      <c s="6" r="BM1247">
        <v>0</v>
      </c>
      <c s="6" r="BN1247">
        <v>0</v>
      </c>
      <c s="6" r="BO1247">
        <v>0</v>
      </c>
      <c s="6" r="BP1247">
        <v>0</v>
      </c>
      <c s="6" r="BQ1247">
        <v>0</v>
      </c>
      <c t="s" s="6" r="BR1247">
        <v>92</v>
      </c>
      <c s="6" r="BS1247">
        <v>1270</v>
      </c>
      <c t="s" s="6" r="BT1247">
        <v>92</v>
      </c>
      <c s="6" r="BY1247">
        <v>0</v>
      </c>
    </row>
    <row customHeight="1" r="1248" ht="14.25">
      <c t="s" s="6" r="A1248">
        <v>9035</v>
      </c>
      <c t="s" s="6" r="B1248">
        <v>115</v>
      </c>
      <c t="s" s="6" r="C1248">
        <v>116</v>
      </c>
      <c t="s" s="6" r="D1248">
        <v>117</v>
      </c>
      <c t="s" s="6" r="E1248">
        <v>2085</v>
      </c>
      <c t="s" s="6" r="F1248">
        <v>81</v>
      </c>
      <c t="s" s="6" r="G1248">
        <v>9036</v>
      </c>
      <c s="6" r="H1248">
        <v>0</v>
      </c>
      <c t="s" s="6" r="I1248">
        <v>107</v>
      </c>
      <c t="s" s="6" r="L1248">
        <v>7051</v>
      </c>
      <c t="s" s="6" r="M1248">
        <v>99</v>
      </c>
      <c s="6" r="N1248">
        <v>0</v>
      </c>
      <c s="6" r="O1248">
        <v>0</v>
      </c>
      <c t="s" s="6" r="P1248">
        <v>221</v>
      </c>
      <c t="s" s="6" r="Q1248">
        <v>188</v>
      </c>
      <c t="s" s="6" r="R1248">
        <v>9037</v>
      </c>
      <c t="s" s="6" r="S1248">
        <v>9038</v>
      </c>
      <c t="s" s="6" r="T1248">
        <v>8912</v>
      </c>
      <c t="s" s="6" r="U1248">
        <v>9039</v>
      </c>
      <c s="6" r="V1248">
        <v>1</v>
      </c>
      <c s="6" r="W1248">
        <v>1</v>
      </c>
      <c s="6" r="X1248">
        <v>1</v>
      </c>
      <c s="6" r="Y1248">
        <v>0</v>
      </c>
      <c s="6" r="Z1248">
        <v>0</v>
      </c>
      <c t="s" s="6" r="AA1248">
        <v>92</v>
      </c>
      <c t="s" s="6" r="AB1248">
        <v>92</v>
      </c>
      <c t="s" s="6" r="AC1248">
        <v>92</v>
      </c>
      <c t="s" s="6" r="AD1248">
        <v>92</v>
      </c>
      <c t="s" s="6" r="AE1248">
        <v>92</v>
      </c>
      <c s="6" r="AF1248">
        <v>3</v>
      </c>
      <c t="s" s="6" r="AG1248">
        <v>92</v>
      </c>
      <c t="s" s="6" r="AH1248">
        <v>92</v>
      </c>
      <c t="s" s="6" r="AI1248">
        <v>92</v>
      </c>
      <c t="s" s="6" r="AJ1248">
        <v>92</v>
      </c>
      <c t="s" s="6" r="AK1248">
        <v>92</v>
      </c>
      <c t="s" s="6" r="AL1248">
        <v>92</v>
      </c>
      <c t="s" s="6" r="AM1248">
        <v>92</v>
      </c>
      <c t="s" s="6" r="AN1248">
        <v>92</v>
      </c>
      <c s="6" r="AP1248">
        <v>3</v>
      </c>
      <c s="6" r="AS1248">
        <v>0</v>
      </c>
      <c s="6" r="AT1248">
        <v>0</v>
      </c>
      <c s="6" r="AU1248">
        <v>0</v>
      </c>
      <c s="6" r="AV1248">
        <v>0</v>
      </c>
      <c s="6" r="AW1248">
        <v>0</v>
      </c>
      <c s="6" r="AX1248">
        <v>0</v>
      </c>
      <c s="6" r="AY1248">
        <v>0</v>
      </c>
      <c s="6" r="AZ1248">
        <v>0</v>
      </c>
      <c s="6" r="BA1248">
        <v>0</v>
      </c>
      <c s="6" r="BB1248">
        <v>0</v>
      </c>
      <c s="6" r="BC1248">
        <v>0</v>
      </c>
      <c s="6" r="BD1248">
        <v>0</v>
      </c>
      <c s="6" r="BE1248">
        <v>0</v>
      </c>
      <c s="6" r="BF1248">
        <v>0</v>
      </c>
      <c s="6" r="BG1248">
        <v>0</v>
      </c>
      <c s="6" r="BH1248">
        <v>0</v>
      </c>
      <c s="6" r="BI1248">
        <v>0</v>
      </c>
      <c s="6" r="BJ1248">
        <v>0</v>
      </c>
      <c s="6" r="BK1248">
        <v>0</v>
      </c>
      <c s="6" r="BL1248">
        <v>1</v>
      </c>
      <c s="6" r="BM1248">
        <v>0</v>
      </c>
      <c s="6" r="BN1248">
        <v>0</v>
      </c>
      <c s="6" r="BO1248">
        <v>0</v>
      </c>
      <c s="6" r="BP1248">
        <v>0</v>
      </c>
      <c s="6" r="BQ1248">
        <v>0</v>
      </c>
      <c t="s" s="6" r="BR1248">
        <v>92</v>
      </c>
      <c s="6" r="BS1248">
        <v>1271</v>
      </c>
      <c t="s" s="6" r="BT1248">
        <v>92</v>
      </c>
      <c s="6" r="BY1248">
        <v>0</v>
      </c>
    </row>
    <row customHeight="1" r="1249" ht="14.25">
      <c t="s" s="6" r="A1249">
        <v>9040</v>
      </c>
      <c t="s" s="6" r="B1249">
        <v>131</v>
      </c>
      <c t="s" s="6" r="D1249">
        <v>59</v>
      </c>
      <c t="s" s="6" r="E1249">
        <v>6129</v>
      </c>
      <c t="s" s="6" r="F1249">
        <v>1743</v>
      </c>
      <c t="s" s="6" r="G1249">
        <v>251</v>
      </c>
      <c s="6" r="H1249">
        <v>0</v>
      </c>
      <c t="s" s="6" r="I1249">
        <v>155</v>
      </c>
      <c t="s" s="6" r="L1249">
        <v>156</v>
      </c>
      <c t="s" s="6" r="M1249">
        <v>99</v>
      </c>
      <c s="6" r="N1249">
        <v>0</v>
      </c>
      <c s="6" r="O1249">
        <v>0</v>
      </c>
      <c t="s" s="6" r="P1249">
        <v>86</v>
      </c>
      <c t="s" s="6" r="Q1249">
        <v>87</v>
      </c>
      <c t="s" s="6" r="R1249">
        <v>9041</v>
      </c>
      <c t="s" s="6" r="S1249">
        <v>9042</v>
      </c>
      <c t="s" s="6" r="T1249">
        <v>8912</v>
      </c>
      <c t="s" s="6" r="U1249">
        <v>9043</v>
      </c>
      <c s="6" r="V1249">
        <v>1</v>
      </c>
      <c s="6" r="W1249">
        <v>0</v>
      </c>
      <c s="6" r="X1249">
        <v>0</v>
      </c>
      <c s="6" r="Y1249">
        <v>0</v>
      </c>
      <c s="6" r="Z1249">
        <v>0</v>
      </c>
      <c t="s" s="6" r="AA1249">
        <v>92</v>
      </c>
      <c t="s" s="6" r="AB1249">
        <v>92</v>
      </c>
      <c s="6" r="AC1249">
        <v>2</v>
      </c>
      <c t="s" s="6" r="AD1249">
        <v>92</v>
      </c>
      <c t="s" s="6" r="AE1249">
        <v>92</v>
      </c>
      <c t="s" s="6" r="AF1249">
        <v>92</v>
      </c>
      <c s="6" r="AG1249">
        <v>2</v>
      </c>
      <c t="s" s="6" r="AH1249">
        <v>92</v>
      </c>
      <c t="s" s="6" r="AI1249">
        <v>92</v>
      </c>
      <c t="s" s="6" r="AJ1249">
        <v>92</v>
      </c>
      <c t="s" s="6" r="AK1249">
        <v>92</v>
      </c>
      <c s="6" r="AL1249">
        <v>2</v>
      </c>
      <c t="s" s="6" r="AM1249">
        <v>92</v>
      </c>
      <c t="s" s="6" r="AN1249">
        <v>92</v>
      </c>
      <c s="6" r="AP1249">
        <v>2</v>
      </c>
      <c s="6" r="AS1249">
        <v>0</v>
      </c>
      <c s="6" r="AT1249">
        <v>0</v>
      </c>
      <c s="6" r="AU1249">
        <v>0</v>
      </c>
      <c s="6" r="AV1249">
        <v>0</v>
      </c>
      <c s="6" r="AW1249">
        <v>0</v>
      </c>
      <c s="6" r="AX1249">
        <v>0</v>
      </c>
      <c s="6" r="AY1249">
        <v>0</v>
      </c>
      <c s="6" r="AZ1249">
        <v>0</v>
      </c>
      <c s="6" r="BA1249">
        <v>0</v>
      </c>
      <c s="6" r="BB1249">
        <v>0</v>
      </c>
      <c s="6" r="BC1249">
        <v>0</v>
      </c>
      <c s="6" r="BD1249">
        <v>0</v>
      </c>
      <c s="6" r="BE1249">
        <v>0</v>
      </c>
      <c s="6" r="BF1249">
        <v>0</v>
      </c>
      <c s="6" r="BG1249">
        <v>0</v>
      </c>
      <c s="6" r="BH1249">
        <v>1</v>
      </c>
      <c s="6" r="BI1249">
        <v>0</v>
      </c>
      <c s="6" r="BJ1249">
        <v>0</v>
      </c>
      <c s="6" r="BK1249">
        <v>0</v>
      </c>
      <c s="6" r="BL1249">
        <v>0</v>
      </c>
      <c s="6" r="BM1249">
        <v>0</v>
      </c>
      <c s="6" r="BN1249">
        <v>0</v>
      </c>
      <c s="6" r="BO1249">
        <v>0</v>
      </c>
      <c s="6" r="BP1249">
        <v>0</v>
      </c>
      <c s="6" r="BQ1249">
        <v>0</v>
      </c>
      <c t="s" s="6" r="BR1249">
        <v>92</v>
      </c>
      <c s="6" r="BS1249">
        <v>1272</v>
      </c>
      <c t="s" s="6" r="BT1249">
        <v>92</v>
      </c>
      <c t="s" s="6" r="BV1249">
        <v>2246</v>
      </c>
      <c s="6" r="BY1249">
        <v>0</v>
      </c>
    </row>
    <row customHeight="1" r="1250" ht="14.25">
      <c t="s" s="6" r="A1250">
        <v>9044</v>
      </c>
      <c t="s" s="6" r="B1250">
        <v>78</v>
      </c>
      <c t="s" s="6" r="C1250">
        <v>598</v>
      </c>
      <c t="s" s="6" r="D1250">
        <v>67</v>
      </c>
      <c t="s" s="6" r="E1250">
        <v>9045</v>
      </c>
      <c t="s" s="6" r="F1250">
        <v>81</v>
      </c>
      <c t="s" s="6" r="G1250">
        <v>9046</v>
      </c>
      <c s="6" r="H1250">
        <v>0</v>
      </c>
      <c t="s" s="6" r="I1250">
        <v>804</v>
      </c>
      <c t="s" s="6" r="J1250">
        <v>9047</v>
      </c>
      <c t="s" s="6" r="M1250">
        <v>9048</v>
      </c>
      <c s="6" r="N1250">
        <v>0</v>
      </c>
      <c s="6" r="O1250">
        <v>0</v>
      </c>
      <c t="s" s="6" r="P1250">
        <v>86</v>
      </c>
      <c t="s" s="6" r="Q1250">
        <v>123</v>
      </c>
      <c t="s" s="6" r="R1250">
        <v>9049</v>
      </c>
      <c t="s" s="6" r="S1250">
        <v>9050</v>
      </c>
      <c t="s" s="6" r="T1250">
        <v>8912</v>
      </c>
      <c t="s" s="6" r="U1250">
        <v>9051</v>
      </c>
      <c s="6" r="V1250">
        <v>1</v>
      </c>
      <c s="6" r="W1250">
        <v>1</v>
      </c>
      <c s="6" r="X1250">
        <v>1</v>
      </c>
      <c s="6" r="Y1250">
        <v>0</v>
      </c>
      <c s="6" r="Z1250">
        <v>0</v>
      </c>
      <c t="s" s="6" r="AA1250">
        <v>92</v>
      </c>
      <c t="s" s="6" r="AB1250">
        <v>92</v>
      </c>
      <c s="6" r="AC1250">
        <v>6</v>
      </c>
      <c t="s" s="6" r="AD1250">
        <v>92</v>
      </c>
      <c t="s" s="6" r="AE1250">
        <v>92</v>
      </c>
      <c s="6" r="AF1250">
        <v>5</v>
      </c>
      <c t="s" s="6" r="AG1250">
        <v>92</v>
      </c>
      <c t="s" s="6" r="AH1250">
        <v>92</v>
      </c>
      <c t="s" s="6" r="AI1250">
        <v>92</v>
      </c>
      <c t="s" s="6" r="AJ1250">
        <v>92</v>
      </c>
      <c t="s" s="6" r="AK1250">
        <v>92</v>
      </c>
      <c s="6" r="AL1250">
        <v>6</v>
      </c>
      <c t="s" s="6" r="AM1250">
        <v>92</v>
      </c>
      <c t="s" s="6" r="AN1250">
        <v>92</v>
      </c>
      <c s="6" r="AP1250">
        <v>6</v>
      </c>
      <c s="6" r="AS1250">
        <v>0</v>
      </c>
      <c s="6" r="AT1250">
        <v>0</v>
      </c>
      <c s="6" r="AU1250">
        <v>0</v>
      </c>
      <c s="6" r="AV1250">
        <v>0</v>
      </c>
      <c s="6" r="AW1250">
        <v>0</v>
      </c>
      <c s="6" r="AX1250">
        <v>0</v>
      </c>
      <c s="6" r="AY1250">
        <v>0</v>
      </c>
      <c s="6" r="AZ1250">
        <v>0</v>
      </c>
      <c s="6" r="BA1250">
        <v>0</v>
      </c>
      <c s="6" r="BB1250">
        <v>0</v>
      </c>
      <c s="6" r="BC1250">
        <v>0</v>
      </c>
      <c s="6" r="BD1250">
        <v>0</v>
      </c>
      <c s="6" r="BE1250">
        <v>0</v>
      </c>
      <c s="6" r="BF1250">
        <v>0</v>
      </c>
      <c s="6" r="BG1250">
        <v>0</v>
      </c>
      <c s="6" r="BH1250">
        <v>0</v>
      </c>
      <c s="6" r="BI1250">
        <v>0</v>
      </c>
      <c s="6" r="BJ1250">
        <v>0</v>
      </c>
      <c s="6" r="BK1250">
        <v>0</v>
      </c>
      <c s="6" r="BL1250">
        <v>0</v>
      </c>
      <c s="6" r="BM1250">
        <v>0</v>
      </c>
      <c s="6" r="BN1250">
        <v>0</v>
      </c>
      <c s="6" r="BO1250">
        <v>0</v>
      </c>
      <c s="6" r="BP1250">
        <v>1</v>
      </c>
      <c s="6" r="BQ1250">
        <v>0</v>
      </c>
      <c t="s" s="6" r="BR1250">
        <v>92</v>
      </c>
      <c s="6" r="BS1250">
        <v>1273</v>
      </c>
      <c t="s" s="6" r="BT1250">
        <v>92</v>
      </c>
      <c s="6" r="BY1250">
        <v>0</v>
      </c>
    </row>
    <row customHeight="1" r="1251" ht="14.25">
      <c t="s" s="6" r="A1251">
        <v>9052</v>
      </c>
      <c t="s" s="6" r="B1251">
        <v>131</v>
      </c>
      <c t="s" s="6" r="E1251">
        <v>5195</v>
      </c>
      <c t="s" s="6" r="F1251">
        <v>81</v>
      </c>
      <c t="s" s="6" r="G1251">
        <v>9053</v>
      </c>
      <c s="6" r="H1251">
        <v>1</v>
      </c>
      <c t="s" s="6" r="I1251">
        <v>155</v>
      </c>
      <c t="s" s="6" r="L1251">
        <v>156</v>
      </c>
      <c t="s" s="6" r="M1251">
        <v>209</v>
      </c>
      <c s="6" r="N1251">
        <v>0</v>
      </c>
      <c s="6" r="O1251">
        <v>0</v>
      </c>
      <c t="s" s="6" r="R1251">
        <v>9054</v>
      </c>
      <c t="s" s="6" r="S1251">
        <v>9055</v>
      </c>
      <c t="s" s="6" r="T1251">
        <v>8912</v>
      </c>
      <c t="s" s="6" r="U1251">
        <v>9056</v>
      </c>
      <c s="6" r="V1251">
        <v>1</v>
      </c>
      <c s="6" r="W1251">
        <v>1</v>
      </c>
      <c s="6" r="X1251">
        <v>1</v>
      </c>
      <c s="6" r="Y1251">
        <v>0</v>
      </c>
      <c s="6" r="Z1251">
        <v>0</v>
      </c>
      <c t="s" s="6" r="AA1251">
        <v>92</v>
      </c>
      <c t="s" s="6" r="AB1251">
        <v>92</v>
      </c>
      <c t="s" s="6" r="AC1251">
        <v>92</v>
      </c>
      <c t="s" s="6" r="AD1251">
        <v>92</v>
      </c>
      <c t="s" s="6" r="AE1251">
        <v>92</v>
      </c>
      <c t="s" s="6" r="AF1251">
        <v>92</v>
      </c>
      <c t="s" s="6" r="AG1251">
        <v>92</v>
      </c>
      <c s="6" r="AH1251">
        <v>3</v>
      </c>
      <c t="s" s="6" r="AI1251">
        <v>92</v>
      </c>
      <c t="s" s="6" r="AJ1251">
        <v>92</v>
      </c>
      <c t="s" s="6" r="AK1251">
        <v>92</v>
      </c>
      <c t="s" s="6" r="AL1251">
        <v>92</v>
      </c>
      <c t="s" s="6" r="AM1251">
        <v>92</v>
      </c>
      <c t="s" s="6" r="AN1251">
        <v>92</v>
      </c>
      <c s="6" r="AP1251">
        <v>3</v>
      </c>
      <c s="6" r="AS1251">
        <v>0</v>
      </c>
      <c s="6" r="AT1251">
        <v>0</v>
      </c>
      <c s="6" r="AU1251">
        <v>0</v>
      </c>
      <c s="6" r="AV1251">
        <v>0</v>
      </c>
      <c s="6" r="AW1251">
        <v>0</v>
      </c>
      <c s="6" r="AX1251">
        <v>0</v>
      </c>
      <c s="6" r="AY1251">
        <v>0</v>
      </c>
      <c s="6" r="AZ1251">
        <v>0</v>
      </c>
      <c s="6" r="BA1251">
        <v>0</v>
      </c>
      <c s="6" r="BB1251">
        <v>0</v>
      </c>
      <c s="6" r="BC1251">
        <v>0</v>
      </c>
      <c s="6" r="BD1251">
        <v>0</v>
      </c>
      <c s="6" r="BE1251">
        <v>0</v>
      </c>
      <c s="6" r="BF1251">
        <v>0</v>
      </c>
      <c s="6" r="BG1251">
        <v>0</v>
      </c>
      <c s="6" r="BH1251">
        <v>0</v>
      </c>
      <c s="6" r="BI1251">
        <v>0</v>
      </c>
      <c s="6" r="BJ1251">
        <v>0</v>
      </c>
      <c s="6" r="BK1251">
        <v>0</v>
      </c>
      <c s="6" r="BL1251">
        <v>0</v>
      </c>
      <c s="6" r="BM1251">
        <v>0</v>
      </c>
      <c s="6" r="BN1251">
        <v>0</v>
      </c>
      <c s="6" r="BO1251">
        <v>0</v>
      </c>
      <c s="6" r="BP1251">
        <v>0</v>
      </c>
      <c s="6" r="BQ1251">
        <v>0</v>
      </c>
      <c t="s" s="6" r="BR1251">
        <v>92</v>
      </c>
      <c s="6" r="BS1251">
        <v>1274</v>
      </c>
      <c s="6" r="BT1251">
        <v>500</v>
      </c>
      <c s="6" r="BY1251">
        <v>0</v>
      </c>
    </row>
    <row customHeight="1" r="1252" ht="14.25">
      <c t="s" s="6" r="A1252">
        <v>9057</v>
      </c>
      <c t="s" s="6" r="B1252">
        <v>115</v>
      </c>
      <c t="s" s="6" r="C1252">
        <v>116</v>
      </c>
      <c t="s" s="6" r="D1252">
        <v>117</v>
      </c>
      <c t="s" s="6" r="E1252">
        <v>4218</v>
      </c>
      <c t="s" s="6" r="F1252">
        <v>81</v>
      </c>
      <c t="s" s="6" r="G1252">
        <v>9058</v>
      </c>
      <c s="6" r="H1252">
        <v>0</v>
      </c>
      <c t="s" s="6" r="I1252">
        <v>9059</v>
      </c>
      <c t="s" s="6" r="L1252">
        <v>9060</v>
      </c>
      <c t="s" s="6" r="M1252">
        <v>99</v>
      </c>
      <c s="6" r="N1252">
        <v>0</v>
      </c>
      <c s="6" r="O1252">
        <v>0</v>
      </c>
      <c t="s" s="6" r="P1252">
        <v>221</v>
      </c>
      <c t="s" s="6" r="Q1252">
        <v>188</v>
      </c>
      <c t="s" s="6" r="R1252">
        <v>9061</v>
      </c>
      <c t="s" s="6" r="S1252">
        <v>9062</v>
      </c>
      <c t="s" s="6" r="T1252">
        <v>8912</v>
      </c>
      <c t="s" s="6" r="U1252">
        <v>9063</v>
      </c>
      <c s="6" r="V1252">
        <v>1</v>
      </c>
      <c s="6" r="W1252">
        <v>1</v>
      </c>
      <c s="6" r="X1252">
        <v>1</v>
      </c>
      <c s="6" r="Y1252">
        <v>0</v>
      </c>
      <c s="6" r="Z1252">
        <v>0</v>
      </c>
      <c s="6" r="AA1252">
        <v>3</v>
      </c>
      <c s="6" r="AB1252">
        <v>3</v>
      </c>
      <c t="s" s="6" r="AC1252">
        <v>92</v>
      </c>
      <c t="s" s="6" r="AD1252">
        <v>92</v>
      </c>
      <c t="s" s="6" r="AE1252">
        <v>92</v>
      </c>
      <c s="6" r="AF1252">
        <v>2</v>
      </c>
      <c t="s" s="6" r="AG1252">
        <v>92</v>
      </c>
      <c t="s" s="6" r="AH1252">
        <v>92</v>
      </c>
      <c t="s" s="6" r="AI1252">
        <v>92</v>
      </c>
      <c s="6" r="AJ1252">
        <v>3</v>
      </c>
      <c t="s" s="6" r="AK1252">
        <v>92</v>
      </c>
      <c t="s" s="6" r="AL1252">
        <v>92</v>
      </c>
      <c t="s" s="6" r="AM1252">
        <v>92</v>
      </c>
      <c t="s" s="6" r="AN1252">
        <v>92</v>
      </c>
      <c s="6" r="AP1252">
        <v>3</v>
      </c>
      <c s="6" r="AS1252">
        <v>0</v>
      </c>
      <c s="6" r="AT1252">
        <v>0</v>
      </c>
      <c s="6" r="AU1252">
        <v>0</v>
      </c>
      <c s="6" r="AV1252">
        <v>0</v>
      </c>
      <c s="6" r="AW1252">
        <v>0</v>
      </c>
      <c s="6" r="AX1252">
        <v>0</v>
      </c>
      <c s="6" r="AY1252">
        <v>0</v>
      </c>
      <c s="6" r="AZ1252">
        <v>0</v>
      </c>
      <c s="6" r="BA1252">
        <v>0</v>
      </c>
      <c s="6" r="BB1252">
        <v>0</v>
      </c>
      <c s="6" r="BC1252">
        <v>0</v>
      </c>
      <c s="6" r="BD1252">
        <v>0</v>
      </c>
      <c s="6" r="BE1252">
        <v>0</v>
      </c>
      <c s="6" r="BF1252">
        <v>0</v>
      </c>
      <c s="6" r="BG1252">
        <v>0</v>
      </c>
      <c s="6" r="BH1252">
        <v>0</v>
      </c>
      <c s="6" r="BI1252">
        <v>0</v>
      </c>
      <c s="6" r="BJ1252">
        <v>0</v>
      </c>
      <c s="6" r="BK1252">
        <v>0</v>
      </c>
      <c s="6" r="BL1252">
        <v>1</v>
      </c>
      <c s="6" r="BM1252">
        <v>0</v>
      </c>
      <c s="6" r="BN1252">
        <v>0</v>
      </c>
      <c s="6" r="BO1252">
        <v>0</v>
      </c>
      <c s="6" r="BP1252">
        <v>0</v>
      </c>
      <c s="6" r="BQ1252">
        <v>0</v>
      </c>
      <c t="s" s="6" r="BR1252">
        <v>92</v>
      </c>
      <c s="6" r="BS1252">
        <v>1275</v>
      </c>
      <c t="s" s="6" r="BT1252">
        <v>92</v>
      </c>
      <c s="6" r="BY1252">
        <v>0</v>
      </c>
    </row>
    <row customHeight="1" r="1253" ht="14.25">
      <c t="s" s="6" r="A1253">
        <v>9064</v>
      </c>
      <c t="s" s="6" r="B1253">
        <v>579</v>
      </c>
      <c t="s" s="6" r="C1253">
        <v>66</v>
      </c>
      <c t="s" s="6" r="D1253">
        <v>49</v>
      </c>
      <c t="s" s="6" r="E1253">
        <v>9065</v>
      </c>
      <c t="s" s="6" r="F1253">
        <v>81</v>
      </c>
      <c t="s" s="6" r="G1253">
        <v>9066</v>
      </c>
      <c s="6" r="H1253">
        <v>0</v>
      </c>
      <c t="s" s="6" r="I1253">
        <v>813</v>
      </c>
      <c t="s" s="6" r="K1253">
        <v>9067</v>
      </c>
      <c t="s" s="6" r="M1253">
        <v>99</v>
      </c>
      <c s="6" r="N1253">
        <v>0</v>
      </c>
      <c s="6" r="O1253">
        <v>0</v>
      </c>
      <c t="s" s="6" r="P1253">
        <v>2206</v>
      </c>
      <c t="s" s="6" r="Q1253">
        <v>87</v>
      </c>
      <c t="s" s="6" r="R1253">
        <v>9068</v>
      </c>
      <c t="s" s="6" r="S1253">
        <v>9069</v>
      </c>
      <c t="s" s="6" r="T1253">
        <v>8912</v>
      </c>
      <c t="s" s="6" r="U1253">
        <v>9070</v>
      </c>
      <c s="6" r="V1253">
        <v>1</v>
      </c>
      <c s="6" r="W1253">
        <v>1</v>
      </c>
      <c s="6" r="X1253">
        <v>1</v>
      </c>
      <c s="6" r="Y1253">
        <v>0</v>
      </c>
      <c s="6" r="Z1253">
        <v>0</v>
      </c>
      <c s="6" r="AA1253">
        <v>4</v>
      </c>
      <c s="6" r="AB1253">
        <v>4</v>
      </c>
      <c s="6" r="AC1253">
        <v>4</v>
      </c>
      <c t="s" s="6" r="AD1253">
        <v>92</v>
      </c>
      <c t="s" s="6" r="AE1253">
        <v>92</v>
      </c>
      <c t="s" s="6" r="AF1253">
        <v>92</v>
      </c>
      <c t="s" s="6" r="AG1253">
        <v>92</v>
      </c>
      <c t="s" s="6" r="AH1253">
        <v>92</v>
      </c>
      <c t="s" s="6" r="AI1253">
        <v>92</v>
      </c>
      <c t="s" s="6" r="AJ1253">
        <v>92</v>
      </c>
      <c s="6" r="AK1253">
        <v>4</v>
      </c>
      <c s="6" r="AL1253">
        <v>4</v>
      </c>
      <c t="s" s="6" r="AM1253">
        <v>92</v>
      </c>
      <c t="s" s="6" r="AN1253">
        <v>92</v>
      </c>
      <c s="6" r="AP1253">
        <v>4</v>
      </c>
      <c s="6" r="AS1253">
        <v>0</v>
      </c>
      <c s="6" r="AT1253">
        <v>0</v>
      </c>
      <c s="6" r="AU1253">
        <v>0</v>
      </c>
      <c s="6" r="AV1253">
        <v>0</v>
      </c>
      <c s="6" r="AW1253">
        <v>0</v>
      </c>
      <c s="6" r="AX1253">
        <v>1</v>
      </c>
      <c s="6" r="AY1253">
        <v>0</v>
      </c>
      <c s="6" r="AZ1253">
        <v>0</v>
      </c>
      <c s="6" r="BA1253">
        <v>0</v>
      </c>
      <c s="6" r="BB1253">
        <v>0</v>
      </c>
      <c s="6" r="BC1253">
        <v>0</v>
      </c>
      <c s="6" r="BD1253">
        <v>0</v>
      </c>
      <c s="6" r="BE1253">
        <v>0</v>
      </c>
      <c s="6" r="BF1253">
        <v>0</v>
      </c>
      <c s="6" r="BG1253">
        <v>0</v>
      </c>
      <c s="6" r="BH1253">
        <v>0</v>
      </c>
      <c s="6" r="BI1253">
        <v>0</v>
      </c>
      <c s="6" r="BJ1253">
        <v>0</v>
      </c>
      <c s="6" r="BK1253">
        <v>0</v>
      </c>
      <c s="6" r="BL1253">
        <v>0</v>
      </c>
      <c s="6" r="BM1253">
        <v>0</v>
      </c>
      <c s="6" r="BN1253">
        <v>0</v>
      </c>
      <c s="6" r="BO1253">
        <v>0</v>
      </c>
      <c s="6" r="BP1253">
        <v>0</v>
      </c>
      <c s="6" r="BQ1253">
        <v>0</v>
      </c>
      <c t="s" s="6" r="BR1253">
        <v>92</v>
      </c>
      <c s="6" r="BS1253">
        <v>1276</v>
      </c>
      <c t="s" s="6" r="BT1253">
        <v>92</v>
      </c>
      <c s="6" r="BY1253">
        <v>0</v>
      </c>
    </row>
    <row customHeight="1" r="1254" ht="14.25">
      <c t="s" s="6" r="A1254">
        <v>9071</v>
      </c>
      <c t="s" s="6" r="B1254">
        <v>493</v>
      </c>
      <c t="s" s="6" r="D1254">
        <v>58</v>
      </c>
      <c t="s" s="6" r="E1254">
        <v>7684</v>
      </c>
      <c t="s" s="6" r="F1254">
        <v>81</v>
      </c>
      <c t="s" s="6" r="G1254">
        <v>9072</v>
      </c>
      <c s="6" r="H1254">
        <v>1</v>
      </c>
      <c t="s" s="6" r="I1254">
        <v>1052</v>
      </c>
      <c t="s" s="6" r="L1254">
        <v>7051</v>
      </c>
      <c t="s" s="6" r="M1254">
        <v>9073</v>
      </c>
      <c s="6" r="N1254">
        <v>0</v>
      </c>
      <c s="6" r="O1254">
        <v>0</v>
      </c>
      <c t="s" s="6" r="P1254">
        <v>9074</v>
      </c>
      <c t="s" s="6" r="Q1254">
        <v>188</v>
      </c>
      <c t="s" s="6" r="R1254">
        <v>9075</v>
      </c>
      <c t="s" s="6" r="S1254">
        <v>9076</v>
      </c>
      <c t="s" s="6" r="T1254">
        <v>8912</v>
      </c>
      <c t="s" s="6" r="U1254">
        <v>9077</v>
      </c>
      <c s="6" r="V1254">
        <v>1</v>
      </c>
      <c s="6" r="W1254">
        <v>1</v>
      </c>
      <c s="6" r="X1254">
        <v>1</v>
      </c>
      <c s="6" r="Y1254">
        <v>0</v>
      </c>
      <c s="6" r="Z1254">
        <v>0</v>
      </c>
      <c t="s" s="6" r="AA1254">
        <v>92</v>
      </c>
      <c t="s" s="6" r="AB1254">
        <v>92</v>
      </c>
      <c t="s" s="6" r="AC1254">
        <v>92</v>
      </c>
      <c t="s" s="6" r="AD1254">
        <v>92</v>
      </c>
      <c t="s" s="6" r="AE1254">
        <v>92</v>
      </c>
      <c t="s" s="6" r="AF1254">
        <v>92</v>
      </c>
      <c t="s" s="6" r="AG1254">
        <v>92</v>
      </c>
      <c t="s" s="6" r="AH1254">
        <v>92</v>
      </c>
      <c t="s" s="6" r="AI1254">
        <v>92</v>
      </c>
      <c t="s" s="6" r="AJ1254">
        <v>92</v>
      </c>
      <c t="s" s="6" r="AK1254">
        <v>92</v>
      </c>
      <c t="s" s="6" r="AL1254">
        <v>92</v>
      </c>
      <c t="s" s="6" r="AM1254">
        <v>92</v>
      </c>
      <c s="6" r="AN1254">
        <v>3</v>
      </c>
      <c s="6" r="AP1254">
        <v>3</v>
      </c>
      <c s="6" r="AS1254">
        <v>0</v>
      </c>
      <c s="6" r="AT1254">
        <v>0</v>
      </c>
      <c s="6" r="AU1254">
        <v>0</v>
      </c>
      <c s="6" r="AV1254">
        <v>0</v>
      </c>
      <c s="6" r="AW1254">
        <v>0</v>
      </c>
      <c s="6" r="AX1254">
        <v>0</v>
      </c>
      <c s="6" r="AY1254">
        <v>0</v>
      </c>
      <c s="6" r="AZ1254">
        <v>0</v>
      </c>
      <c s="6" r="BA1254">
        <v>0</v>
      </c>
      <c s="6" r="BB1254">
        <v>0</v>
      </c>
      <c s="6" r="BC1254">
        <v>0</v>
      </c>
      <c s="6" r="BD1254">
        <v>0</v>
      </c>
      <c s="6" r="BE1254">
        <v>0</v>
      </c>
      <c s="6" r="BF1254">
        <v>0</v>
      </c>
      <c s="6" r="BG1254">
        <v>1</v>
      </c>
      <c s="6" r="BH1254">
        <v>0</v>
      </c>
      <c s="6" r="BI1254">
        <v>0</v>
      </c>
      <c s="6" r="BJ1254">
        <v>0</v>
      </c>
      <c s="6" r="BK1254">
        <v>0</v>
      </c>
      <c s="6" r="BL1254">
        <v>0</v>
      </c>
      <c s="6" r="BM1254">
        <v>0</v>
      </c>
      <c s="6" r="BN1254">
        <v>0</v>
      </c>
      <c s="6" r="BO1254">
        <v>0</v>
      </c>
      <c s="6" r="BP1254">
        <v>0</v>
      </c>
      <c s="6" r="BQ1254">
        <v>0</v>
      </c>
      <c t="s" s="6" r="BR1254">
        <v>92</v>
      </c>
      <c s="6" r="BS1254">
        <v>1277</v>
      </c>
      <c s="6" r="BT1254">
        <v>100</v>
      </c>
      <c s="6" r="BY1254">
        <v>0</v>
      </c>
    </row>
    <row customHeight="1" r="1255" ht="14.25">
      <c t="s" s="6" r="A1255">
        <v>9078</v>
      </c>
      <c t="s" s="6" r="B1255">
        <v>162</v>
      </c>
      <c t="s" s="6" r="E1255">
        <v>4382</v>
      </c>
      <c t="s" s="6" r="F1255">
        <v>81</v>
      </c>
      <c t="s" s="6" r="G1255">
        <v>9079</v>
      </c>
      <c s="6" r="H1255">
        <v>0</v>
      </c>
      <c t="s" s="6" r="I1255">
        <v>120</v>
      </c>
      <c t="s" s="6" r="L1255">
        <v>420</v>
      </c>
      <c t="s" s="6" r="M1255">
        <v>109</v>
      </c>
      <c s="6" r="N1255">
        <v>0</v>
      </c>
      <c s="6" r="O1255">
        <v>0</v>
      </c>
      <c t="s" s="6" r="P1255">
        <v>86</v>
      </c>
      <c t="s" s="6" r="Q1255">
        <v>87</v>
      </c>
      <c t="s" s="6" r="R1255">
        <v>9080</v>
      </c>
      <c t="s" s="6" r="S1255">
        <v>9081</v>
      </c>
      <c t="s" s="6" r="T1255">
        <v>8912</v>
      </c>
      <c t="s" s="6" r="U1255">
        <v>9082</v>
      </c>
      <c s="6" r="V1255">
        <v>1</v>
      </c>
      <c s="6" r="W1255">
        <v>1</v>
      </c>
      <c s="6" r="X1255">
        <v>1</v>
      </c>
      <c s="6" r="Y1255">
        <v>0</v>
      </c>
      <c s="6" r="Z1255">
        <v>0</v>
      </c>
      <c s="6" r="AA1255">
        <v>5</v>
      </c>
      <c s="6" r="AB1255">
        <v>5</v>
      </c>
      <c s="6" r="AC1255">
        <v>5</v>
      </c>
      <c t="s" s="6" r="AD1255">
        <v>92</v>
      </c>
      <c t="s" s="6" r="AE1255">
        <v>92</v>
      </c>
      <c t="s" s="6" r="AF1255">
        <v>92</v>
      </c>
      <c t="s" s="6" r="AG1255">
        <v>92</v>
      </c>
      <c t="s" s="6" r="AH1255">
        <v>92</v>
      </c>
      <c t="s" s="6" r="AI1255">
        <v>92</v>
      </c>
      <c s="6" r="AJ1255">
        <v>5</v>
      </c>
      <c t="s" s="6" r="AK1255">
        <v>92</v>
      </c>
      <c s="6" r="AL1255">
        <v>5</v>
      </c>
      <c t="s" s="6" r="AM1255">
        <v>92</v>
      </c>
      <c t="s" s="6" r="AN1255">
        <v>92</v>
      </c>
      <c s="6" r="AP1255">
        <v>5</v>
      </c>
      <c s="6" r="AS1255">
        <v>0</v>
      </c>
      <c s="6" r="AT1255">
        <v>0</v>
      </c>
      <c s="6" r="AU1255">
        <v>0</v>
      </c>
      <c s="6" r="AV1255">
        <v>0</v>
      </c>
      <c s="6" r="AW1255">
        <v>0</v>
      </c>
      <c s="6" r="AX1255">
        <v>0</v>
      </c>
      <c s="6" r="AY1255">
        <v>0</v>
      </c>
      <c s="6" r="AZ1255">
        <v>0</v>
      </c>
      <c s="6" r="BA1255">
        <v>0</v>
      </c>
      <c s="6" r="BB1255">
        <v>0</v>
      </c>
      <c s="6" r="BC1255">
        <v>0</v>
      </c>
      <c s="6" r="BD1255">
        <v>0</v>
      </c>
      <c s="6" r="BE1255">
        <v>0</v>
      </c>
      <c s="6" r="BF1255">
        <v>0</v>
      </c>
      <c s="6" r="BG1255">
        <v>0</v>
      </c>
      <c s="6" r="BH1255">
        <v>0</v>
      </c>
      <c s="6" r="BI1255">
        <v>0</v>
      </c>
      <c s="6" r="BJ1255">
        <v>0</v>
      </c>
      <c s="6" r="BK1255">
        <v>0</v>
      </c>
      <c s="6" r="BL1255">
        <v>0</v>
      </c>
      <c s="6" r="BM1255">
        <v>0</v>
      </c>
      <c s="6" r="BN1255">
        <v>0</v>
      </c>
      <c s="6" r="BO1255">
        <v>0</v>
      </c>
      <c s="6" r="BP1255">
        <v>0</v>
      </c>
      <c s="6" r="BQ1255">
        <v>0</v>
      </c>
      <c t="s" s="6" r="BR1255">
        <v>92</v>
      </c>
      <c s="6" r="BS1255">
        <v>1278</v>
      </c>
      <c t="s" s="6" r="BT1255">
        <v>92</v>
      </c>
      <c s="6" r="BY1255">
        <v>0</v>
      </c>
    </row>
    <row customHeight="1" r="1256" ht="14.25">
      <c t="s" s="6" r="A1256">
        <v>9083</v>
      </c>
      <c t="s" s="6" r="B1256">
        <v>78</v>
      </c>
      <c t="s" s="6" r="C1256">
        <v>598</v>
      </c>
      <c t="s" s="6" r="E1256">
        <v>3011</v>
      </c>
      <c t="s" s="6" r="F1256">
        <v>81</v>
      </c>
      <c t="s" s="6" r="G1256">
        <v>106</v>
      </c>
      <c s="6" r="H1256">
        <v>0</v>
      </c>
      <c t="s" s="6" r="I1256">
        <v>107</v>
      </c>
      <c t="s" s="6" r="L1256">
        <v>5636</v>
      </c>
      <c t="s" s="6" r="M1256">
        <v>9084</v>
      </c>
      <c s="6" r="N1256">
        <v>0</v>
      </c>
      <c s="6" r="O1256">
        <v>0</v>
      </c>
      <c t="s" s="6" r="R1256">
        <v>9085</v>
      </c>
      <c t="s" s="6" r="S1256">
        <v>9086</v>
      </c>
      <c t="s" s="6" r="T1256">
        <v>8912</v>
      </c>
      <c t="s" s="6" r="U1256">
        <v>9087</v>
      </c>
      <c s="6" r="V1256">
        <v>1</v>
      </c>
      <c s="6" r="W1256">
        <v>1</v>
      </c>
      <c s="6" r="X1256">
        <v>0</v>
      </c>
      <c s="6" r="Y1256">
        <v>0</v>
      </c>
      <c s="6" r="Z1256">
        <v>0</v>
      </c>
      <c t="s" s="6" r="AA1256">
        <v>92</v>
      </c>
      <c t="s" s="6" r="AB1256">
        <v>92</v>
      </c>
      <c t="s" s="6" r="AC1256">
        <v>92</v>
      </c>
      <c t="s" s="6" r="AD1256">
        <v>92</v>
      </c>
      <c t="s" s="6" r="AE1256">
        <v>92</v>
      </c>
      <c s="6" r="AF1256">
        <v>4</v>
      </c>
      <c t="s" s="6" r="AG1256">
        <v>92</v>
      </c>
      <c t="s" s="6" r="AH1256">
        <v>92</v>
      </c>
      <c t="s" s="6" r="AI1256">
        <v>92</v>
      </c>
      <c t="s" s="6" r="AJ1256">
        <v>92</v>
      </c>
      <c t="s" s="6" r="AK1256">
        <v>92</v>
      </c>
      <c t="s" s="6" r="AL1256">
        <v>92</v>
      </c>
      <c t="s" s="6" r="AM1256">
        <v>92</v>
      </c>
      <c t="s" s="6" r="AN1256">
        <v>92</v>
      </c>
      <c s="6" r="AP1256">
        <v>4</v>
      </c>
      <c s="6" r="AS1256">
        <v>0</v>
      </c>
      <c s="6" r="AT1256">
        <v>0</v>
      </c>
      <c s="6" r="AU1256">
        <v>0</v>
      </c>
      <c s="6" r="AV1256">
        <v>0</v>
      </c>
      <c s="6" r="AW1256">
        <v>0</v>
      </c>
      <c s="6" r="AX1256">
        <v>0</v>
      </c>
      <c s="6" r="AY1256">
        <v>0</v>
      </c>
      <c s="6" r="AZ1256">
        <v>0</v>
      </c>
      <c s="6" r="BA1256">
        <v>0</v>
      </c>
      <c s="6" r="BB1256">
        <v>0</v>
      </c>
      <c s="6" r="BC1256">
        <v>0</v>
      </c>
      <c s="6" r="BD1256">
        <v>0</v>
      </c>
      <c s="6" r="BE1256">
        <v>0</v>
      </c>
      <c s="6" r="BF1256">
        <v>0</v>
      </c>
      <c s="6" r="BG1256">
        <v>0</v>
      </c>
      <c s="6" r="BH1256">
        <v>0</v>
      </c>
      <c s="6" r="BI1256">
        <v>0</v>
      </c>
      <c s="6" r="BJ1256">
        <v>0</v>
      </c>
      <c s="6" r="BK1256">
        <v>0</v>
      </c>
      <c s="6" r="BL1256">
        <v>0</v>
      </c>
      <c s="6" r="BM1256">
        <v>0</v>
      </c>
      <c s="6" r="BN1256">
        <v>0</v>
      </c>
      <c s="6" r="BO1256">
        <v>0</v>
      </c>
      <c s="6" r="BP1256">
        <v>0</v>
      </c>
      <c s="6" r="BQ1256">
        <v>0</v>
      </c>
      <c t="s" s="6" r="BR1256">
        <v>92</v>
      </c>
      <c s="6" r="BS1256">
        <v>1279</v>
      </c>
      <c t="s" s="6" r="BT1256">
        <v>92</v>
      </c>
      <c s="6" r="BY1256">
        <v>0</v>
      </c>
    </row>
    <row customHeight="1" r="1257" ht="14.25">
      <c t="s" s="6" r="A1257">
        <v>9088</v>
      </c>
      <c t="s" s="6" r="B1257">
        <v>162</v>
      </c>
      <c t="s" s="6" r="E1257">
        <v>1709</v>
      </c>
      <c t="s" s="6" r="F1257">
        <v>272</v>
      </c>
      <c t="s" s="6" r="G1257">
        <v>9089</v>
      </c>
      <c s="6" r="H1257">
        <v>0</v>
      </c>
      <c t="s" s="6" r="I1257">
        <v>155</v>
      </c>
      <c t="s" s="6" r="L1257">
        <v>156</v>
      </c>
      <c t="s" s="6" r="M1257">
        <v>99</v>
      </c>
      <c s="6" r="N1257">
        <v>0</v>
      </c>
      <c s="6" r="O1257">
        <v>0</v>
      </c>
      <c t="s" s="6" r="R1257">
        <v>9090</v>
      </c>
      <c t="s" s="6" r="S1257">
        <v>9091</v>
      </c>
      <c t="s" s="6" r="T1257">
        <v>8912</v>
      </c>
      <c t="s" s="6" r="U1257">
        <v>9092</v>
      </c>
      <c s="6" r="V1257">
        <v>1</v>
      </c>
      <c s="6" r="W1257">
        <v>1</v>
      </c>
      <c s="6" r="X1257">
        <v>1</v>
      </c>
      <c s="6" r="Y1257">
        <v>0</v>
      </c>
      <c s="6" r="Z1257">
        <v>0</v>
      </c>
      <c s="6" r="AA1257">
        <v>5</v>
      </c>
      <c s="6" r="AB1257">
        <v>5</v>
      </c>
      <c t="s" s="6" r="AC1257">
        <v>92</v>
      </c>
      <c t="s" s="6" r="AD1257">
        <v>92</v>
      </c>
      <c t="s" s="6" r="AE1257">
        <v>92</v>
      </c>
      <c t="s" s="6" r="AF1257">
        <v>92</v>
      </c>
      <c t="s" s="6" r="AG1257">
        <v>92</v>
      </c>
      <c t="s" s="6" r="AH1257">
        <v>92</v>
      </c>
      <c t="s" s="6" r="AI1257">
        <v>92</v>
      </c>
      <c t="s" s="6" r="AJ1257">
        <v>92</v>
      </c>
      <c t="s" s="6" r="AK1257">
        <v>92</v>
      </c>
      <c t="s" s="6" r="AL1257">
        <v>92</v>
      </c>
      <c t="s" s="6" r="AM1257">
        <v>92</v>
      </c>
      <c t="s" s="6" r="AN1257">
        <v>92</v>
      </c>
      <c s="6" r="AP1257">
        <v>5</v>
      </c>
      <c s="6" r="AS1257">
        <v>0</v>
      </c>
      <c s="6" r="AT1257">
        <v>0</v>
      </c>
      <c s="6" r="AU1257">
        <v>0</v>
      </c>
      <c s="6" r="AV1257">
        <v>0</v>
      </c>
      <c s="6" r="AW1257">
        <v>0</v>
      </c>
      <c s="6" r="AX1257">
        <v>0</v>
      </c>
      <c s="6" r="AY1257">
        <v>0</v>
      </c>
      <c s="6" r="AZ1257">
        <v>0</v>
      </c>
      <c s="6" r="BA1257">
        <v>0</v>
      </c>
      <c s="6" r="BB1257">
        <v>0</v>
      </c>
      <c s="6" r="BC1257">
        <v>0</v>
      </c>
      <c s="6" r="BD1257">
        <v>0</v>
      </c>
      <c s="6" r="BE1257">
        <v>0</v>
      </c>
      <c s="6" r="BF1257">
        <v>0</v>
      </c>
      <c s="6" r="BG1257">
        <v>0</v>
      </c>
      <c s="6" r="BH1257">
        <v>0</v>
      </c>
      <c s="6" r="BI1257">
        <v>0</v>
      </c>
      <c s="6" r="BJ1257">
        <v>0</v>
      </c>
      <c s="6" r="BK1257">
        <v>0</v>
      </c>
      <c s="6" r="BL1257">
        <v>0</v>
      </c>
      <c s="6" r="BM1257">
        <v>0</v>
      </c>
      <c s="6" r="BN1257">
        <v>0</v>
      </c>
      <c s="6" r="BO1257">
        <v>0</v>
      </c>
      <c s="6" r="BP1257">
        <v>0</v>
      </c>
      <c s="6" r="BQ1257">
        <v>0</v>
      </c>
      <c t="s" s="6" r="BR1257">
        <v>92</v>
      </c>
      <c s="6" r="BS1257">
        <v>1280</v>
      </c>
      <c t="s" s="6" r="BT1257">
        <v>92</v>
      </c>
      <c s="6" r="BY1257">
        <v>0</v>
      </c>
    </row>
    <row customHeight="1" r="1258" ht="14.25">
      <c t="s" s="6" r="A1258">
        <v>9093</v>
      </c>
      <c t="s" s="6" r="B1258">
        <v>162</v>
      </c>
      <c t="s" s="6" r="E1258">
        <v>794</v>
      </c>
      <c t="s" s="6" r="F1258">
        <v>272</v>
      </c>
      <c t="s" s="6" r="G1258">
        <v>9089</v>
      </c>
      <c s="6" r="H1258">
        <v>0</v>
      </c>
      <c t="s" s="6" r="I1258">
        <v>155</v>
      </c>
      <c t="s" s="6" r="L1258">
        <v>156</v>
      </c>
      <c t="s" s="6" r="M1258">
        <v>99</v>
      </c>
      <c s="6" r="N1258">
        <v>0</v>
      </c>
      <c s="6" r="O1258">
        <v>0</v>
      </c>
      <c t="s" s="6" r="R1258">
        <v>9094</v>
      </c>
      <c t="s" s="6" r="S1258">
        <v>9095</v>
      </c>
      <c t="s" s="6" r="T1258">
        <v>8912</v>
      </c>
      <c t="s" s="6" r="U1258">
        <v>9096</v>
      </c>
      <c s="6" r="V1258">
        <v>1</v>
      </c>
      <c s="6" r="W1258">
        <v>1</v>
      </c>
      <c s="6" r="X1258">
        <v>1</v>
      </c>
      <c s="6" r="Y1258">
        <v>0</v>
      </c>
      <c s="6" r="Z1258">
        <v>0</v>
      </c>
      <c s="6" r="AA1258">
        <v>8</v>
      </c>
      <c s="6" r="AB1258">
        <v>8</v>
      </c>
      <c t="s" s="6" r="AC1258">
        <v>92</v>
      </c>
      <c t="s" s="6" r="AD1258">
        <v>92</v>
      </c>
      <c t="s" s="6" r="AE1258">
        <v>92</v>
      </c>
      <c t="s" s="6" r="AF1258">
        <v>92</v>
      </c>
      <c t="s" s="6" r="AG1258">
        <v>92</v>
      </c>
      <c t="s" s="6" r="AH1258">
        <v>92</v>
      </c>
      <c t="s" s="6" r="AI1258">
        <v>92</v>
      </c>
      <c t="s" s="6" r="AJ1258">
        <v>92</v>
      </c>
      <c t="s" s="6" r="AK1258">
        <v>92</v>
      </c>
      <c t="s" s="6" r="AL1258">
        <v>92</v>
      </c>
      <c t="s" s="6" r="AM1258">
        <v>92</v>
      </c>
      <c t="s" s="6" r="AN1258">
        <v>92</v>
      </c>
      <c s="6" r="AP1258">
        <v>8</v>
      </c>
      <c s="6" r="AS1258">
        <v>0</v>
      </c>
      <c s="6" r="AT1258">
        <v>0</v>
      </c>
      <c s="6" r="AU1258">
        <v>0</v>
      </c>
      <c s="6" r="AV1258">
        <v>0</v>
      </c>
      <c s="6" r="AW1258">
        <v>0</v>
      </c>
      <c s="6" r="AX1258">
        <v>0</v>
      </c>
      <c s="6" r="AY1258">
        <v>0</v>
      </c>
      <c s="6" r="AZ1258">
        <v>0</v>
      </c>
      <c s="6" r="BA1258">
        <v>0</v>
      </c>
      <c s="6" r="BB1258">
        <v>0</v>
      </c>
      <c s="6" r="BC1258">
        <v>0</v>
      </c>
      <c s="6" r="BD1258">
        <v>0</v>
      </c>
      <c s="6" r="BE1258">
        <v>0</v>
      </c>
      <c s="6" r="BF1258">
        <v>0</v>
      </c>
      <c s="6" r="BG1258">
        <v>0</v>
      </c>
      <c s="6" r="BH1258">
        <v>0</v>
      </c>
      <c s="6" r="BI1258">
        <v>0</v>
      </c>
      <c s="6" r="BJ1258">
        <v>0</v>
      </c>
      <c s="6" r="BK1258">
        <v>0</v>
      </c>
      <c s="6" r="BL1258">
        <v>0</v>
      </c>
      <c s="6" r="BM1258">
        <v>0</v>
      </c>
      <c s="6" r="BN1258">
        <v>0</v>
      </c>
      <c s="6" r="BO1258">
        <v>0</v>
      </c>
      <c s="6" r="BP1258">
        <v>0</v>
      </c>
      <c s="6" r="BQ1258">
        <v>0</v>
      </c>
      <c t="s" s="6" r="BR1258">
        <v>92</v>
      </c>
      <c s="6" r="BS1258">
        <v>1281</v>
      </c>
      <c t="s" s="6" r="BT1258">
        <v>92</v>
      </c>
      <c s="6" r="BY1258">
        <v>0</v>
      </c>
    </row>
    <row customHeight="1" r="1259" ht="14.25">
      <c t="s" s="6" r="A1259">
        <v>9097</v>
      </c>
      <c t="s" s="6" r="B1259">
        <v>162</v>
      </c>
      <c t="s" s="6" r="E1259">
        <v>1029</v>
      </c>
      <c t="s" s="6" r="F1259">
        <v>81</v>
      </c>
      <c t="s" s="6" r="G1259">
        <v>9098</v>
      </c>
      <c s="6" r="H1259">
        <v>0</v>
      </c>
      <c t="s" s="6" r="I1259">
        <v>97</v>
      </c>
      <c t="s" s="6" r="J1259">
        <v>1811</v>
      </c>
      <c t="s" s="6" r="M1259">
        <v>5954</v>
      </c>
      <c s="6" r="N1259">
        <v>1</v>
      </c>
      <c s="6" r="O1259">
        <v>1</v>
      </c>
      <c t="s" s="6" r="R1259">
        <v>9099</v>
      </c>
      <c t="s" s="6" r="S1259">
        <v>9100</v>
      </c>
      <c t="s" s="6" r="T1259">
        <v>8912</v>
      </c>
      <c t="s" s="6" r="U1259">
        <v>9101</v>
      </c>
      <c s="6" r="V1259">
        <v>1</v>
      </c>
      <c s="6" r="W1259">
        <v>1</v>
      </c>
      <c s="6" r="X1259">
        <v>1</v>
      </c>
      <c s="6" r="Y1259">
        <v>0</v>
      </c>
      <c s="6" r="Z1259">
        <v>0</v>
      </c>
      <c s="6" r="AA1259">
        <v>8</v>
      </c>
      <c s="6" r="AB1259">
        <v>8</v>
      </c>
      <c s="6" r="AC1259">
        <v>8</v>
      </c>
      <c t="s" s="6" r="AD1259">
        <v>92</v>
      </c>
      <c t="s" s="6" r="AE1259">
        <v>92</v>
      </c>
      <c t="s" s="6" r="AF1259">
        <v>92</v>
      </c>
      <c t="s" s="6" r="AG1259">
        <v>92</v>
      </c>
      <c t="s" s="6" r="AH1259">
        <v>92</v>
      </c>
      <c t="s" s="6" r="AI1259">
        <v>92</v>
      </c>
      <c t="s" s="6" r="AJ1259">
        <v>92</v>
      </c>
      <c t="s" s="6" r="AK1259">
        <v>92</v>
      </c>
      <c s="6" r="AL1259">
        <v>8</v>
      </c>
      <c t="s" s="6" r="AM1259">
        <v>92</v>
      </c>
      <c t="s" s="6" r="AN1259">
        <v>92</v>
      </c>
      <c s="6" r="AP1259">
        <v>8</v>
      </c>
      <c s="6" r="AS1259">
        <v>0</v>
      </c>
      <c s="6" r="AT1259">
        <v>0</v>
      </c>
      <c s="6" r="AU1259">
        <v>0</v>
      </c>
      <c s="6" r="AV1259">
        <v>0</v>
      </c>
      <c s="6" r="AW1259">
        <v>0</v>
      </c>
      <c s="6" r="AX1259">
        <v>0</v>
      </c>
      <c s="6" r="AY1259">
        <v>0</v>
      </c>
      <c s="6" r="AZ1259">
        <v>0</v>
      </c>
      <c s="6" r="BA1259">
        <v>0</v>
      </c>
      <c s="6" r="BB1259">
        <v>0</v>
      </c>
      <c s="6" r="BC1259">
        <v>0</v>
      </c>
      <c s="6" r="BD1259">
        <v>0</v>
      </c>
      <c s="6" r="BE1259">
        <v>0</v>
      </c>
      <c s="6" r="BF1259">
        <v>0</v>
      </c>
      <c s="6" r="BG1259">
        <v>0</v>
      </c>
      <c s="6" r="BH1259">
        <v>0</v>
      </c>
      <c s="6" r="BI1259">
        <v>0</v>
      </c>
      <c s="6" r="BJ1259">
        <v>0</v>
      </c>
      <c s="6" r="BK1259">
        <v>0</v>
      </c>
      <c s="6" r="BL1259">
        <v>0</v>
      </c>
      <c s="6" r="BM1259">
        <v>0</v>
      </c>
      <c s="6" r="BN1259">
        <v>0</v>
      </c>
      <c s="6" r="BO1259">
        <v>0</v>
      </c>
      <c s="6" r="BP1259">
        <v>0</v>
      </c>
      <c s="6" r="BQ1259">
        <v>0</v>
      </c>
      <c t="s" s="6" r="BR1259">
        <v>92</v>
      </c>
      <c s="6" r="BS1259">
        <v>1282</v>
      </c>
      <c t="s" s="6" r="BT1259">
        <v>92</v>
      </c>
      <c s="6" r="BY1259">
        <v>0</v>
      </c>
    </row>
    <row customHeight="1" r="1260" ht="14.25">
      <c t="s" s="6" r="A1260">
        <v>9102</v>
      </c>
      <c t="s" s="6" r="B1260">
        <v>162</v>
      </c>
      <c t="s" s="6" r="E1260">
        <v>4878</v>
      </c>
      <c t="s" s="6" r="F1260">
        <v>81</v>
      </c>
      <c t="s" s="6" r="G1260">
        <v>9098</v>
      </c>
      <c s="6" r="H1260">
        <v>0</v>
      </c>
      <c t="s" s="6" r="I1260">
        <v>273</v>
      </c>
      <c t="s" s="6" r="J1260">
        <v>3603</v>
      </c>
      <c t="s" s="6" r="M1260">
        <v>99</v>
      </c>
      <c s="6" r="N1260">
        <v>0</v>
      </c>
      <c s="6" r="O1260">
        <v>0</v>
      </c>
      <c t="s" s="6" r="R1260">
        <v>9103</v>
      </c>
      <c t="s" s="6" r="S1260">
        <v>9104</v>
      </c>
      <c t="s" s="6" r="T1260">
        <v>8912</v>
      </c>
      <c t="s" s="6" r="U1260">
        <v>9105</v>
      </c>
      <c s="6" r="V1260">
        <v>1</v>
      </c>
      <c s="6" r="W1260">
        <v>1</v>
      </c>
      <c s="6" r="X1260">
        <v>1</v>
      </c>
      <c s="6" r="Y1260">
        <v>0</v>
      </c>
      <c s="6" r="Z1260">
        <v>0</v>
      </c>
      <c s="6" r="AA1260">
        <v>4</v>
      </c>
      <c s="6" r="AB1260">
        <v>4</v>
      </c>
      <c s="6" r="AC1260">
        <v>4</v>
      </c>
      <c t="s" s="6" r="AD1260">
        <v>92</v>
      </c>
      <c t="s" s="6" r="AE1260">
        <v>92</v>
      </c>
      <c t="s" s="6" r="AF1260">
        <v>92</v>
      </c>
      <c t="s" s="6" r="AG1260">
        <v>92</v>
      </c>
      <c t="s" s="6" r="AH1260">
        <v>92</v>
      </c>
      <c t="s" s="6" r="AI1260">
        <v>92</v>
      </c>
      <c t="s" s="6" r="AJ1260">
        <v>92</v>
      </c>
      <c t="s" s="6" r="AK1260">
        <v>92</v>
      </c>
      <c s="6" r="AL1260">
        <v>4</v>
      </c>
      <c t="s" s="6" r="AM1260">
        <v>92</v>
      </c>
      <c t="s" s="6" r="AN1260">
        <v>92</v>
      </c>
      <c s="6" r="AP1260">
        <v>4</v>
      </c>
      <c s="6" r="AS1260">
        <v>0</v>
      </c>
      <c s="6" r="AT1260">
        <v>0</v>
      </c>
      <c s="6" r="AU1260">
        <v>0</v>
      </c>
      <c s="6" r="AV1260">
        <v>0</v>
      </c>
      <c s="6" r="AW1260">
        <v>0</v>
      </c>
      <c s="6" r="AX1260">
        <v>0</v>
      </c>
      <c s="6" r="AY1260">
        <v>0</v>
      </c>
      <c s="6" r="AZ1260">
        <v>0</v>
      </c>
      <c s="6" r="BA1260">
        <v>0</v>
      </c>
      <c s="6" r="BB1260">
        <v>0</v>
      </c>
      <c s="6" r="BC1260">
        <v>0</v>
      </c>
      <c s="6" r="BD1260">
        <v>0</v>
      </c>
      <c s="6" r="BE1260">
        <v>0</v>
      </c>
      <c s="6" r="BF1260">
        <v>0</v>
      </c>
      <c s="6" r="BG1260">
        <v>0</v>
      </c>
      <c s="6" r="BH1260">
        <v>0</v>
      </c>
      <c s="6" r="BI1260">
        <v>0</v>
      </c>
      <c s="6" r="BJ1260">
        <v>0</v>
      </c>
      <c s="6" r="BK1260">
        <v>0</v>
      </c>
      <c s="6" r="BL1260">
        <v>0</v>
      </c>
      <c s="6" r="BM1260">
        <v>0</v>
      </c>
      <c s="6" r="BN1260">
        <v>0</v>
      </c>
      <c s="6" r="BO1260">
        <v>0</v>
      </c>
      <c s="6" r="BP1260">
        <v>0</v>
      </c>
      <c s="6" r="BQ1260">
        <v>0</v>
      </c>
      <c t="s" s="6" r="BR1260">
        <v>92</v>
      </c>
      <c s="6" r="BS1260">
        <v>1283</v>
      </c>
      <c t="s" s="6" r="BT1260">
        <v>92</v>
      </c>
      <c s="6" r="BY1260">
        <v>0</v>
      </c>
    </row>
    <row customHeight="1" r="1261" ht="14.25">
      <c t="s" s="6" r="A1261">
        <v>9106</v>
      </c>
      <c t="s" s="6" r="B1261">
        <v>131</v>
      </c>
      <c t="s" s="6" r="E1261">
        <v>9107</v>
      </c>
      <c t="s" s="6" r="F1261">
        <v>197</v>
      </c>
      <c t="s" s="6" r="G1261">
        <v>9108</v>
      </c>
      <c s="6" r="H1261">
        <v>1</v>
      </c>
      <c t="s" s="6" r="I1261">
        <v>9109</v>
      </c>
      <c t="s" s="6" r="K1261">
        <v>9110</v>
      </c>
      <c t="s" s="6" r="M1261">
        <v>109</v>
      </c>
      <c s="6" r="N1261">
        <v>0</v>
      </c>
      <c s="6" r="O1261">
        <v>0</v>
      </c>
      <c t="s" s="6" r="P1261">
        <v>86</v>
      </c>
      <c t="s" s="6" r="Q1261">
        <v>87</v>
      </c>
      <c t="s" s="6" r="R1261">
        <v>9111</v>
      </c>
      <c t="s" s="6" r="S1261">
        <v>9112</v>
      </c>
      <c t="s" s="6" r="T1261">
        <v>8912</v>
      </c>
      <c t="s" s="6" r="U1261">
        <v>9113</v>
      </c>
      <c s="6" r="V1261">
        <v>1</v>
      </c>
      <c s="6" r="W1261">
        <v>1</v>
      </c>
      <c s="6" r="X1261">
        <v>1</v>
      </c>
      <c s="6" r="Y1261">
        <v>0</v>
      </c>
      <c s="6" r="Z1261">
        <v>0</v>
      </c>
      <c s="6" r="AA1261">
        <v>2</v>
      </c>
      <c s="6" r="AB1261">
        <v>2</v>
      </c>
      <c t="s" s="6" r="AC1261">
        <v>92</v>
      </c>
      <c t="s" s="6" r="AD1261">
        <v>92</v>
      </c>
      <c t="s" s="6" r="AE1261">
        <v>92</v>
      </c>
      <c s="6" r="AF1261">
        <v>2</v>
      </c>
      <c t="s" s="6" r="AG1261">
        <v>92</v>
      </c>
      <c s="6" r="AH1261">
        <v>2</v>
      </c>
      <c t="s" s="6" r="AI1261">
        <v>92</v>
      </c>
      <c s="6" r="AJ1261">
        <v>2</v>
      </c>
      <c t="s" s="6" r="AK1261">
        <v>92</v>
      </c>
      <c t="s" s="6" r="AL1261">
        <v>92</v>
      </c>
      <c t="s" s="6" r="AM1261">
        <v>92</v>
      </c>
      <c t="s" s="6" r="AN1261">
        <v>92</v>
      </c>
      <c s="6" r="AP1261">
        <v>2</v>
      </c>
      <c s="6" r="AS1261">
        <v>0</v>
      </c>
      <c s="6" r="AT1261">
        <v>0</v>
      </c>
      <c s="6" r="AU1261">
        <v>0</v>
      </c>
      <c s="6" r="AV1261">
        <v>0</v>
      </c>
      <c s="6" r="AW1261">
        <v>0</v>
      </c>
      <c s="6" r="AX1261">
        <v>0</v>
      </c>
      <c s="6" r="AY1261">
        <v>0</v>
      </c>
      <c s="6" r="AZ1261">
        <v>0</v>
      </c>
      <c s="6" r="BA1261">
        <v>0</v>
      </c>
      <c s="6" r="BB1261">
        <v>0</v>
      </c>
      <c s="6" r="BC1261">
        <v>0</v>
      </c>
      <c s="6" r="BD1261">
        <v>0</v>
      </c>
      <c s="6" r="BE1261">
        <v>0</v>
      </c>
      <c s="6" r="BF1261">
        <v>0</v>
      </c>
      <c s="6" r="BG1261">
        <v>0</v>
      </c>
      <c s="6" r="BH1261">
        <v>0</v>
      </c>
      <c s="6" r="BI1261">
        <v>0</v>
      </c>
      <c s="6" r="BJ1261">
        <v>0</v>
      </c>
      <c s="6" r="BK1261">
        <v>0</v>
      </c>
      <c s="6" r="BL1261">
        <v>0</v>
      </c>
      <c s="6" r="BM1261">
        <v>0</v>
      </c>
      <c s="6" r="BN1261">
        <v>0</v>
      </c>
      <c s="6" r="BO1261">
        <v>0</v>
      </c>
      <c s="6" r="BP1261">
        <v>0</v>
      </c>
      <c s="6" r="BQ1261">
        <v>0</v>
      </c>
      <c t="s" s="6" r="BR1261">
        <v>92</v>
      </c>
      <c s="6" r="BS1261">
        <v>1284</v>
      </c>
      <c s="6" r="BT1261">
        <v>500</v>
      </c>
      <c s="6" r="BY1261">
        <v>0</v>
      </c>
    </row>
    <row customHeight="1" r="1262" ht="14.25">
      <c t="s" s="6" r="A1262">
        <v>9114</v>
      </c>
      <c t="s" s="6" r="B1262">
        <v>131</v>
      </c>
      <c t="s" s="6" r="E1262">
        <v>730</v>
      </c>
      <c t="s" s="6" r="F1262">
        <v>81</v>
      </c>
      <c t="s" s="6" r="G1262">
        <v>9115</v>
      </c>
      <c s="6" r="H1262">
        <v>0</v>
      </c>
      <c t="s" s="6" r="I1262">
        <v>120</v>
      </c>
      <c t="s" s="6" r="L1262">
        <v>9116</v>
      </c>
      <c t="s" s="6" r="M1262">
        <v>109</v>
      </c>
      <c s="6" r="N1262">
        <v>0</v>
      </c>
      <c s="6" r="O1262">
        <v>0</v>
      </c>
      <c t="s" s="6" r="P1262">
        <v>187</v>
      </c>
      <c t="s" s="6" r="Q1262">
        <v>188</v>
      </c>
      <c t="s" s="6" r="R1262">
        <v>9117</v>
      </c>
      <c t="s" s="6" r="S1262">
        <v>9118</v>
      </c>
      <c t="s" s="6" r="T1262">
        <v>8912</v>
      </c>
      <c t="s" s="6" r="U1262">
        <v>9119</v>
      </c>
      <c s="6" r="V1262">
        <v>1</v>
      </c>
      <c s="6" r="W1262">
        <v>1</v>
      </c>
      <c s="6" r="X1262">
        <v>1</v>
      </c>
      <c s="6" r="Y1262">
        <v>0</v>
      </c>
      <c s="6" r="Z1262">
        <v>0</v>
      </c>
      <c s="6" r="AA1262">
        <v>1</v>
      </c>
      <c s="6" r="AB1262">
        <v>1</v>
      </c>
      <c t="s" s="6" r="AC1262">
        <v>92</v>
      </c>
      <c t="s" s="6" r="AD1262">
        <v>92</v>
      </c>
      <c t="s" s="6" r="AE1262">
        <v>92</v>
      </c>
      <c s="6" r="AF1262">
        <v>1</v>
      </c>
      <c t="s" s="6" r="AG1262">
        <v>92</v>
      </c>
      <c t="s" s="6" r="AH1262">
        <v>92</v>
      </c>
      <c t="s" s="6" r="AI1262">
        <v>92</v>
      </c>
      <c s="6" r="AJ1262">
        <v>1</v>
      </c>
      <c t="s" s="6" r="AK1262">
        <v>92</v>
      </c>
      <c t="s" s="6" r="AL1262">
        <v>92</v>
      </c>
      <c t="s" s="6" r="AM1262">
        <v>92</v>
      </c>
      <c t="s" s="6" r="AN1262">
        <v>92</v>
      </c>
      <c s="6" r="AP1262">
        <v>1</v>
      </c>
      <c s="6" r="AS1262">
        <v>0</v>
      </c>
      <c s="6" r="AT1262">
        <v>0</v>
      </c>
      <c s="6" r="AU1262">
        <v>0</v>
      </c>
      <c s="6" r="AV1262">
        <v>0</v>
      </c>
      <c s="6" r="AW1262">
        <v>0</v>
      </c>
      <c s="6" r="AX1262">
        <v>0</v>
      </c>
      <c s="6" r="AY1262">
        <v>0</v>
      </c>
      <c s="6" r="AZ1262">
        <v>0</v>
      </c>
      <c s="6" r="BA1262">
        <v>0</v>
      </c>
      <c s="6" r="BB1262">
        <v>0</v>
      </c>
      <c s="6" r="BC1262">
        <v>0</v>
      </c>
      <c s="6" r="BD1262">
        <v>0</v>
      </c>
      <c s="6" r="BE1262">
        <v>0</v>
      </c>
      <c s="6" r="BF1262">
        <v>0</v>
      </c>
      <c s="6" r="BG1262">
        <v>0</v>
      </c>
      <c s="6" r="BH1262">
        <v>0</v>
      </c>
      <c s="6" r="BI1262">
        <v>0</v>
      </c>
      <c s="6" r="BJ1262">
        <v>0</v>
      </c>
      <c s="6" r="BK1262">
        <v>0</v>
      </c>
      <c s="6" r="BL1262">
        <v>0</v>
      </c>
      <c s="6" r="BM1262">
        <v>0</v>
      </c>
      <c s="6" r="BN1262">
        <v>0</v>
      </c>
      <c s="6" r="BO1262">
        <v>0</v>
      </c>
      <c s="6" r="BP1262">
        <v>0</v>
      </c>
      <c s="6" r="BQ1262">
        <v>0</v>
      </c>
      <c t="s" s="6" r="BR1262">
        <v>92</v>
      </c>
      <c s="6" r="BS1262">
        <v>1285</v>
      </c>
      <c t="s" s="6" r="BT1262">
        <v>92</v>
      </c>
      <c s="6" r="BY1262">
        <v>0</v>
      </c>
    </row>
    <row customHeight="1" r="1263" ht="14.25">
      <c t="s" s="6" r="A1263">
        <v>9120</v>
      </c>
      <c t="s" s="6" r="B1263">
        <v>493</v>
      </c>
      <c t="s" s="6" r="D1263">
        <v>47</v>
      </c>
      <c t="s" s="6" r="E1263">
        <v>5164</v>
      </c>
      <c t="s" s="6" r="F1263">
        <v>81</v>
      </c>
      <c t="s" s="6" r="G1263">
        <v>106</v>
      </c>
      <c s="6" r="H1263">
        <v>0</v>
      </c>
      <c t="s" s="6" r="I1263">
        <v>83</v>
      </c>
      <c t="s" s="6" r="K1263">
        <v>9121</v>
      </c>
      <c t="s" s="6" r="M1263">
        <v>9122</v>
      </c>
      <c s="6" r="N1263">
        <v>0</v>
      </c>
      <c s="6" r="O1263">
        <v>0</v>
      </c>
      <c t="s" s="6" r="P1263">
        <v>86</v>
      </c>
      <c t="s" s="6" r="Q1263">
        <v>188</v>
      </c>
      <c t="s" s="6" r="R1263">
        <v>9123</v>
      </c>
      <c t="s" s="6" r="S1263">
        <v>9124</v>
      </c>
      <c t="s" s="6" r="T1263">
        <v>8912</v>
      </c>
      <c t="s" s="6" r="U1263">
        <v>9125</v>
      </c>
      <c s="6" r="V1263">
        <v>1</v>
      </c>
      <c s="6" r="W1263">
        <v>1</v>
      </c>
      <c s="6" r="X1263">
        <v>0</v>
      </c>
      <c s="6" r="Y1263">
        <v>0</v>
      </c>
      <c s="6" r="Z1263">
        <v>0</v>
      </c>
      <c s="6" r="AA1263">
        <v>3</v>
      </c>
      <c s="6" r="AB1263">
        <v>3</v>
      </c>
      <c t="s" s="6" r="AC1263">
        <v>92</v>
      </c>
      <c s="6" r="AD1263">
        <v>3</v>
      </c>
      <c t="s" s="6" r="AE1263">
        <v>92</v>
      </c>
      <c t="s" s="6" r="AF1263">
        <v>92</v>
      </c>
      <c t="s" s="6" r="AG1263">
        <v>92</v>
      </c>
      <c t="s" s="6" r="AH1263">
        <v>92</v>
      </c>
      <c t="s" s="6" r="AI1263">
        <v>92</v>
      </c>
      <c t="s" s="6" r="AJ1263">
        <v>92</v>
      </c>
      <c t="s" s="6" r="AK1263">
        <v>92</v>
      </c>
      <c t="s" s="6" r="AL1263">
        <v>92</v>
      </c>
      <c t="s" s="6" r="AM1263">
        <v>92</v>
      </c>
      <c t="s" s="6" r="AN1263">
        <v>92</v>
      </c>
      <c s="6" r="AP1263">
        <v>3</v>
      </c>
      <c s="6" r="AS1263">
        <v>0</v>
      </c>
      <c s="6" r="AT1263">
        <v>0</v>
      </c>
      <c s="6" r="AU1263">
        <v>0</v>
      </c>
      <c s="6" r="AV1263">
        <v>1</v>
      </c>
      <c s="6" r="AW1263">
        <v>0</v>
      </c>
      <c s="6" r="AX1263">
        <v>0</v>
      </c>
      <c s="6" r="AY1263">
        <v>0</v>
      </c>
      <c s="6" r="AZ1263">
        <v>0</v>
      </c>
      <c s="6" r="BA1263">
        <v>0</v>
      </c>
      <c s="6" r="BB1263">
        <v>0</v>
      </c>
      <c s="6" r="BC1263">
        <v>0</v>
      </c>
      <c s="6" r="BD1263">
        <v>0</v>
      </c>
      <c s="6" r="BE1263">
        <v>0</v>
      </c>
      <c s="6" r="BF1263">
        <v>0</v>
      </c>
      <c s="6" r="BG1263">
        <v>0</v>
      </c>
      <c s="6" r="BH1263">
        <v>0</v>
      </c>
      <c s="6" r="BI1263">
        <v>0</v>
      </c>
      <c s="6" r="BJ1263">
        <v>0</v>
      </c>
      <c s="6" r="BK1263">
        <v>0</v>
      </c>
      <c s="6" r="BL1263">
        <v>0</v>
      </c>
      <c s="6" r="BM1263">
        <v>0</v>
      </c>
      <c s="6" r="BN1263">
        <v>0</v>
      </c>
      <c s="6" r="BO1263">
        <v>0</v>
      </c>
      <c s="6" r="BP1263">
        <v>0</v>
      </c>
      <c s="6" r="BQ1263">
        <v>0</v>
      </c>
      <c t="s" s="6" r="BR1263">
        <v>92</v>
      </c>
      <c s="6" r="BS1263">
        <v>1286</v>
      </c>
      <c t="s" s="6" r="BT1263">
        <v>92</v>
      </c>
      <c s="6" r="BY1263">
        <v>0</v>
      </c>
    </row>
    <row customHeight="1" r="1264" ht="14.25">
      <c t="s" s="6" r="A1264">
        <v>9126</v>
      </c>
      <c t="s" s="6" r="B1264">
        <v>131</v>
      </c>
      <c t="s" s="6" r="E1264">
        <v>6135</v>
      </c>
      <c t="s" s="6" r="F1264">
        <v>81</v>
      </c>
      <c t="s" s="6" r="G1264">
        <v>9127</v>
      </c>
      <c s="6" r="H1264">
        <v>0</v>
      </c>
      <c t="s" s="6" r="I1264">
        <v>155</v>
      </c>
      <c t="s" s="6" r="L1264">
        <v>156</v>
      </c>
      <c t="s" s="6" r="M1264">
        <v>9128</v>
      </c>
      <c s="6" r="N1264">
        <v>0</v>
      </c>
      <c s="6" r="O1264">
        <v>0</v>
      </c>
      <c t="s" s="6" r="R1264">
        <v>9129</v>
      </c>
      <c t="s" s="6" r="S1264">
        <v>9130</v>
      </c>
      <c t="s" s="6" r="T1264">
        <v>8912</v>
      </c>
      <c t="s" s="6" r="U1264">
        <v>9131</v>
      </c>
      <c s="6" r="V1264">
        <v>1</v>
      </c>
      <c s="6" r="W1264">
        <v>1</v>
      </c>
      <c s="6" r="X1264">
        <v>1</v>
      </c>
      <c s="6" r="Y1264">
        <v>0</v>
      </c>
      <c s="6" r="Z1264">
        <v>0</v>
      </c>
      <c t="s" s="6" r="AA1264">
        <v>92</v>
      </c>
      <c t="s" s="6" r="AB1264">
        <v>92</v>
      </c>
      <c t="s" s="6" r="AC1264">
        <v>92</v>
      </c>
      <c t="s" s="6" r="AD1264">
        <v>92</v>
      </c>
      <c s="6" r="AE1264">
        <v>3</v>
      </c>
      <c t="s" s="6" r="AF1264">
        <v>92</v>
      </c>
      <c t="s" s="6" r="AG1264">
        <v>92</v>
      </c>
      <c t="s" s="6" r="AH1264">
        <v>92</v>
      </c>
      <c t="s" s="6" r="AI1264">
        <v>92</v>
      </c>
      <c t="s" s="6" r="AJ1264">
        <v>92</v>
      </c>
      <c t="s" s="6" r="AK1264">
        <v>92</v>
      </c>
      <c t="s" s="6" r="AL1264">
        <v>92</v>
      </c>
      <c t="s" s="6" r="AM1264">
        <v>92</v>
      </c>
      <c t="s" s="6" r="AN1264">
        <v>92</v>
      </c>
      <c s="6" r="AP1264">
        <v>3</v>
      </c>
      <c s="6" r="AS1264">
        <v>0</v>
      </c>
      <c s="6" r="AT1264">
        <v>0</v>
      </c>
      <c s="6" r="AU1264">
        <v>0</v>
      </c>
      <c s="6" r="AV1264">
        <v>0</v>
      </c>
      <c s="6" r="AW1264">
        <v>0</v>
      </c>
      <c s="6" r="AX1264">
        <v>0</v>
      </c>
      <c s="6" r="AY1264">
        <v>0</v>
      </c>
      <c s="6" r="AZ1264">
        <v>0</v>
      </c>
      <c s="6" r="BA1264">
        <v>0</v>
      </c>
      <c s="6" r="BB1264">
        <v>0</v>
      </c>
      <c s="6" r="BC1264">
        <v>0</v>
      </c>
      <c s="6" r="BD1264">
        <v>0</v>
      </c>
      <c s="6" r="BE1264">
        <v>0</v>
      </c>
      <c s="6" r="BF1264">
        <v>0</v>
      </c>
      <c s="6" r="BG1264">
        <v>0</v>
      </c>
      <c s="6" r="BH1264">
        <v>0</v>
      </c>
      <c s="6" r="BI1264">
        <v>0</v>
      </c>
      <c s="6" r="BJ1264">
        <v>0</v>
      </c>
      <c s="6" r="BK1264">
        <v>0</v>
      </c>
      <c s="6" r="BL1264">
        <v>0</v>
      </c>
      <c s="6" r="BM1264">
        <v>0</v>
      </c>
      <c s="6" r="BN1264">
        <v>0</v>
      </c>
      <c s="6" r="BO1264">
        <v>0</v>
      </c>
      <c s="6" r="BP1264">
        <v>0</v>
      </c>
      <c s="6" r="BQ1264">
        <v>0</v>
      </c>
      <c t="s" s="6" r="BR1264">
        <v>92</v>
      </c>
      <c s="6" r="BS1264">
        <v>1287</v>
      </c>
      <c t="s" s="6" r="BT1264">
        <v>92</v>
      </c>
      <c s="6" r="BY1264">
        <v>0</v>
      </c>
    </row>
    <row customHeight="1" r="1265" ht="14.25">
      <c t="s" s="6" r="A1265">
        <v>9132</v>
      </c>
      <c t="s" s="6" r="B1265">
        <v>131</v>
      </c>
      <c t="s" s="6" r="E1265">
        <v>9133</v>
      </c>
      <c t="s" s="6" r="F1265">
        <v>272</v>
      </c>
      <c t="s" s="6" r="G1265">
        <v>9134</v>
      </c>
      <c s="6" r="H1265">
        <v>0</v>
      </c>
      <c t="s" s="6" r="I1265">
        <v>120</v>
      </c>
      <c t="s" s="6" r="L1265">
        <v>9135</v>
      </c>
      <c t="s" s="6" r="M1265">
        <v>2718</v>
      </c>
      <c s="6" r="N1265">
        <v>0</v>
      </c>
      <c s="6" r="O1265">
        <v>0</v>
      </c>
      <c t="s" s="6" r="P1265">
        <v>144</v>
      </c>
      <c t="s" s="6" r="Q1265">
        <v>145</v>
      </c>
      <c t="s" s="6" r="R1265">
        <v>9136</v>
      </c>
      <c t="s" s="6" r="S1265">
        <v>9137</v>
      </c>
      <c t="s" s="6" r="T1265">
        <v>8912</v>
      </c>
      <c t="s" s="6" r="U1265">
        <v>9138</v>
      </c>
      <c s="6" r="V1265">
        <v>1</v>
      </c>
      <c s="6" r="W1265">
        <v>1</v>
      </c>
      <c s="6" r="X1265">
        <v>0</v>
      </c>
      <c s="6" r="Y1265">
        <v>0</v>
      </c>
      <c s="6" r="Z1265">
        <v>0</v>
      </c>
      <c t="s" s="6" r="AA1265">
        <v>92</v>
      </c>
      <c t="s" s="6" r="AB1265">
        <v>92</v>
      </c>
      <c s="6" r="AC1265">
        <v>1</v>
      </c>
      <c t="s" s="6" r="AD1265">
        <v>92</v>
      </c>
      <c t="s" s="6" r="AE1265">
        <v>92</v>
      </c>
      <c s="6" r="AF1265">
        <v>1</v>
      </c>
      <c t="s" s="6" r="AG1265">
        <v>92</v>
      </c>
      <c t="s" s="6" r="AH1265">
        <v>92</v>
      </c>
      <c t="s" s="6" r="AI1265">
        <v>92</v>
      </c>
      <c t="s" s="6" r="AJ1265">
        <v>92</v>
      </c>
      <c s="6" r="AK1265">
        <v>1</v>
      </c>
      <c s="6" r="AL1265">
        <v>1</v>
      </c>
      <c t="s" s="6" r="AM1265">
        <v>92</v>
      </c>
      <c s="6" r="AN1265">
        <v>1</v>
      </c>
      <c s="6" r="AP1265">
        <v>1</v>
      </c>
      <c s="6" r="AS1265">
        <v>0</v>
      </c>
      <c s="6" r="AT1265">
        <v>0</v>
      </c>
      <c s="6" r="AU1265">
        <v>0</v>
      </c>
      <c s="6" r="AV1265">
        <v>0</v>
      </c>
      <c s="6" r="AW1265">
        <v>0</v>
      </c>
      <c s="6" r="AX1265">
        <v>0</v>
      </c>
      <c s="6" r="AY1265">
        <v>0</v>
      </c>
      <c s="6" r="AZ1265">
        <v>0</v>
      </c>
      <c s="6" r="BA1265">
        <v>0</v>
      </c>
      <c s="6" r="BB1265">
        <v>0</v>
      </c>
      <c s="6" r="BC1265">
        <v>0</v>
      </c>
      <c s="6" r="BD1265">
        <v>0</v>
      </c>
      <c s="6" r="BE1265">
        <v>0</v>
      </c>
      <c s="6" r="BF1265">
        <v>0</v>
      </c>
      <c s="6" r="BG1265">
        <v>0</v>
      </c>
      <c s="6" r="BH1265">
        <v>0</v>
      </c>
      <c s="6" r="BI1265">
        <v>0</v>
      </c>
      <c s="6" r="BJ1265">
        <v>0</v>
      </c>
      <c s="6" r="BK1265">
        <v>0</v>
      </c>
      <c s="6" r="BL1265">
        <v>0</v>
      </c>
      <c s="6" r="BM1265">
        <v>0</v>
      </c>
      <c s="6" r="BN1265">
        <v>0</v>
      </c>
      <c s="6" r="BO1265">
        <v>0</v>
      </c>
      <c s="6" r="BP1265">
        <v>0</v>
      </c>
      <c s="6" r="BQ1265">
        <v>0</v>
      </c>
      <c t="s" s="6" r="BR1265">
        <v>92</v>
      </c>
      <c s="6" r="BS1265">
        <v>1288</v>
      </c>
      <c t="s" s="6" r="BT1265">
        <v>92</v>
      </c>
      <c s="6" r="BY1265">
        <v>0</v>
      </c>
    </row>
    <row customHeight="1" r="1266" ht="14.25">
      <c t="s" s="6" r="A1266">
        <v>9139</v>
      </c>
      <c t="s" s="6" r="B1266">
        <v>131</v>
      </c>
      <c t="s" s="6" r="E1266">
        <v>303</v>
      </c>
      <c t="s" s="6" r="F1266">
        <v>81</v>
      </c>
      <c t="s" s="6" r="G1266">
        <v>9140</v>
      </c>
      <c s="6" r="H1266">
        <v>0</v>
      </c>
      <c t="s" s="6" r="I1266">
        <v>107</v>
      </c>
      <c t="s" s="6" r="J1266">
        <v>482</v>
      </c>
      <c t="s" s="6" r="M1266">
        <v>2718</v>
      </c>
      <c s="6" r="N1266">
        <v>0</v>
      </c>
      <c s="6" r="O1266">
        <v>0</v>
      </c>
      <c t="s" s="6" r="P1266">
        <v>221</v>
      </c>
      <c t="s" s="6" r="Q1266">
        <v>188</v>
      </c>
      <c t="s" s="6" r="R1266">
        <v>9141</v>
      </c>
      <c t="s" s="6" r="S1266">
        <v>9142</v>
      </c>
      <c t="s" s="6" r="T1266">
        <v>8912</v>
      </c>
      <c t="s" s="6" r="U1266">
        <v>9143</v>
      </c>
      <c s="6" r="V1266">
        <v>1</v>
      </c>
      <c s="6" r="W1266">
        <v>1</v>
      </c>
      <c s="6" r="X1266">
        <v>1</v>
      </c>
      <c s="6" r="Y1266">
        <v>0</v>
      </c>
      <c s="6" r="Z1266">
        <v>0</v>
      </c>
      <c t="s" s="6" r="AA1266">
        <v>92</v>
      </c>
      <c t="s" s="6" r="AB1266">
        <v>92</v>
      </c>
      <c t="s" s="6" r="AC1266">
        <v>92</v>
      </c>
      <c s="6" r="AD1266">
        <v>4</v>
      </c>
      <c t="s" s="6" r="AE1266">
        <v>92</v>
      </c>
      <c t="s" s="6" r="AF1266">
        <v>92</v>
      </c>
      <c t="s" s="6" r="AG1266">
        <v>92</v>
      </c>
      <c t="s" s="6" r="AH1266">
        <v>92</v>
      </c>
      <c t="s" s="6" r="AI1266">
        <v>92</v>
      </c>
      <c t="s" s="6" r="AJ1266">
        <v>92</v>
      </c>
      <c t="s" s="6" r="AK1266">
        <v>92</v>
      </c>
      <c t="s" s="6" r="AL1266">
        <v>92</v>
      </c>
      <c t="s" s="6" r="AM1266">
        <v>92</v>
      </c>
      <c t="s" s="6" r="AN1266">
        <v>92</v>
      </c>
      <c s="6" r="AP1266">
        <v>4</v>
      </c>
      <c s="6" r="AS1266">
        <v>0</v>
      </c>
      <c s="6" r="AT1266">
        <v>0</v>
      </c>
      <c s="6" r="AU1266">
        <v>0</v>
      </c>
      <c s="6" r="AV1266">
        <v>0</v>
      </c>
      <c s="6" r="AW1266">
        <v>0</v>
      </c>
      <c s="6" r="AX1266">
        <v>0</v>
      </c>
      <c s="6" r="AY1266">
        <v>0</v>
      </c>
      <c s="6" r="AZ1266">
        <v>0</v>
      </c>
      <c s="6" r="BA1266">
        <v>0</v>
      </c>
      <c s="6" r="BB1266">
        <v>0</v>
      </c>
      <c s="6" r="BC1266">
        <v>0</v>
      </c>
      <c s="6" r="BD1266">
        <v>0</v>
      </c>
      <c s="6" r="BE1266">
        <v>0</v>
      </c>
      <c s="6" r="BF1266">
        <v>0</v>
      </c>
      <c s="6" r="BG1266">
        <v>0</v>
      </c>
      <c s="6" r="BH1266">
        <v>0</v>
      </c>
      <c s="6" r="BI1266">
        <v>0</v>
      </c>
      <c s="6" r="BJ1266">
        <v>0</v>
      </c>
      <c s="6" r="BK1266">
        <v>0</v>
      </c>
      <c s="6" r="BL1266">
        <v>0</v>
      </c>
      <c s="6" r="BM1266">
        <v>0</v>
      </c>
      <c s="6" r="BN1266">
        <v>0</v>
      </c>
      <c s="6" r="BO1266">
        <v>0</v>
      </c>
      <c s="6" r="BP1266">
        <v>0</v>
      </c>
      <c s="6" r="BQ1266">
        <v>0</v>
      </c>
      <c t="s" s="6" r="BR1266">
        <v>92</v>
      </c>
      <c s="6" r="BS1266">
        <v>1289</v>
      </c>
      <c t="s" s="6" r="BT1266">
        <v>92</v>
      </c>
      <c s="6" r="BY1266">
        <v>0</v>
      </c>
    </row>
    <row customHeight="1" r="1267" ht="14.25">
      <c t="s" s="6" r="A1267">
        <v>9144</v>
      </c>
      <c t="s" s="6" r="B1267">
        <v>78</v>
      </c>
      <c t="s" s="6" r="C1267">
        <v>79</v>
      </c>
      <c t="s" s="6" r="D1267">
        <v>58</v>
      </c>
      <c t="s" s="6" r="E1267">
        <v>9145</v>
      </c>
      <c t="s" s="6" r="F1267">
        <v>81</v>
      </c>
      <c t="s" s="6" r="G1267">
        <v>9146</v>
      </c>
      <c s="6" r="H1267">
        <v>0</v>
      </c>
      <c t="s" s="6" r="I1267">
        <v>120</v>
      </c>
      <c t="s" s="6" r="L1267">
        <v>420</v>
      </c>
      <c t="s" s="6" r="M1267">
        <v>3018</v>
      </c>
      <c s="6" r="N1267">
        <v>0</v>
      </c>
      <c s="6" r="O1267">
        <v>0</v>
      </c>
      <c t="s" s="6" r="P1267">
        <v>421</v>
      </c>
      <c t="s" s="6" r="Q1267">
        <v>87</v>
      </c>
      <c t="s" s="6" r="R1267">
        <v>9147</v>
      </c>
      <c t="s" s="6" r="S1267">
        <v>9148</v>
      </c>
      <c t="s" s="6" r="T1267">
        <v>9149</v>
      </c>
      <c t="s" s="6" r="U1267">
        <v>9150</v>
      </c>
      <c s="6" r="V1267">
        <v>1</v>
      </c>
      <c s="6" r="W1267">
        <v>1</v>
      </c>
      <c s="6" r="X1267">
        <v>1</v>
      </c>
      <c s="6" r="Y1267">
        <v>0</v>
      </c>
      <c s="6" r="Z1267">
        <v>0</v>
      </c>
      <c s="6" r="AA1267">
        <v>3</v>
      </c>
      <c s="6" r="AB1267">
        <v>3</v>
      </c>
      <c t="s" s="6" r="AC1267">
        <v>92</v>
      </c>
      <c t="s" s="6" r="AD1267">
        <v>92</v>
      </c>
      <c t="s" s="6" r="AE1267">
        <v>92</v>
      </c>
      <c t="s" s="6" r="AF1267">
        <v>92</v>
      </c>
      <c t="s" s="6" r="AG1267">
        <v>92</v>
      </c>
      <c s="6" r="AH1267">
        <v>2</v>
      </c>
      <c s="6" r="AI1267">
        <v>2</v>
      </c>
      <c t="s" s="6" r="AJ1267">
        <v>92</v>
      </c>
      <c t="s" s="6" r="AK1267">
        <v>92</v>
      </c>
      <c t="s" s="6" r="AL1267">
        <v>92</v>
      </c>
      <c t="s" s="6" r="AM1267">
        <v>92</v>
      </c>
      <c s="6" r="AN1267">
        <v>2</v>
      </c>
      <c s="6" r="AP1267">
        <v>3</v>
      </c>
      <c t="s" s="6" r="AR1267">
        <v>9151</v>
      </c>
      <c s="6" r="AS1267">
        <v>0</v>
      </c>
      <c s="6" r="AT1267">
        <v>0</v>
      </c>
      <c s="6" r="AU1267">
        <v>0</v>
      </c>
      <c s="6" r="AV1267">
        <v>0</v>
      </c>
      <c s="6" r="AW1267">
        <v>0</v>
      </c>
      <c s="6" r="AX1267">
        <v>0</v>
      </c>
      <c s="6" r="AY1267">
        <v>0</v>
      </c>
      <c s="6" r="AZ1267">
        <v>0</v>
      </c>
      <c s="6" r="BA1267">
        <v>0</v>
      </c>
      <c s="6" r="BB1267">
        <v>0</v>
      </c>
      <c s="6" r="BC1267">
        <v>0</v>
      </c>
      <c s="6" r="BD1267">
        <v>0</v>
      </c>
      <c s="6" r="BE1267">
        <v>0</v>
      </c>
      <c s="6" r="BF1267">
        <v>0</v>
      </c>
      <c s="6" r="BG1267">
        <v>1</v>
      </c>
      <c s="6" r="BH1267">
        <v>0</v>
      </c>
      <c s="6" r="BI1267">
        <v>0</v>
      </c>
      <c s="6" r="BJ1267">
        <v>0</v>
      </c>
      <c s="6" r="BK1267">
        <v>0</v>
      </c>
      <c s="6" r="BL1267">
        <v>0</v>
      </c>
      <c s="6" r="BM1267">
        <v>0</v>
      </c>
      <c s="6" r="BN1267">
        <v>0</v>
      </c>
      <c s="6" r="BO1267">
        <v>0</v>
      </c>
      <c s="6" r="BP1267">
        <v>0</v>
      </c>
      <c s="6" r="BQ1267">
        <v>0</v>
      </c>
      <c t="str" s="6" r="BR1267">
        <f>HYPERLINK("http://www.d20pfsrd.com/magic/all-spells/a/ablative-barrier","Ablative Barrier")</f>
        <v>Ablative Barrier</v>
      </c>
      <c s="6" r="BS1267">
        <v>1290</v>
      </c>
      <c t="s" s="6" r="BT1267">
        <v>92</v>
      </c>
      <c t="s" s="6" r="BW1267">
        <v>9152</v>
      </c>
      <c s="6" r="BY1267">
        <v>1</v>
      </c>
    </row>
    <row customHeight="1" r="1268" ht="14.25">
      <c t="s" s="6" r="A1268">
        <v>9153</v>
      </c>
      <c t="s" s="6" r="B1268">
        <v>227</v>
      </c>
      <c t="s" s="6" r="E1268">
        <v>9154</v>
      </c>
      <c t="s" s="6" r="F1268">
        <v>81</v>
      </c>
      <c t="s" s="6" r="G1268">
        <v>9155</v>
      </c>
      <c s="6" r="H1268">
        <v>0</v>
      </c>
      <c t="s" s="6" r="I1268">
        <v>155</v>
      </c>
      <c t="s" s="6" r="L1268">
        <v>156</v>
      </c>
      <c t="s" s="6" r="M1268">
        <v>8817</v>
      </c>
      <c s="6" r="N1268">
        <v>0</v>
      </c>
      <c s="6" r="O1268">
        <v>0</v>
      </c>
      <c t="s" s="6" r="P1268">
        <v>141</v>
      </c>
      <c t="s" s="6" r="Q1268">
        <v>87</v>
      </c>
      <c t="s" s="6" r="R1268">
        <v>9156</v>
      </c>
      <c t="s" s="6" r="S1268">
        <v>9157</v>
      </c>
      <c t="s" s="6" r="T1268">
        <v>9149</v>
      </c>
      <c t="s" s="6" r="U1268">
        <v>9158</v>
      </c>
      <c s="6" r="V1268">
        <v>1</v>
      </c>
      <c s="6" r="W1268">
        <v>1</v>
      </c>
      <c s="6" r="X1268">
        <v>1</v>
      </c>
      <c s="6" r="Y1268">
        <v>0</v>
      </c>
      <c s="6" r="Z1268">
        <v>0</v>
      </c>
      <c s="6" r="AA1268">
        <v>5</v>
      </c>
      <c s="6" r="AB1268">
        <v>5</v>
      </c>
      <c t="s" s="6" r="AC1268">
        <v>92</v>
      </c>
      <c s="6" r="AD1268">
        <v>4</v>
      </c>
      <c t="s" s="6" r="AE1268">
        <v>92</v>
      </c>
      <c t="s" s="6" r="AF1268">
        <v>92</v>
      </c>
      <c t="s" s="6" r="AG1268">
        <v>92</v>
      </c>
      <c s="6" r="AH1268">
        <v>3</v>
      </c>
      <c t="s" s="6" r="AI1268">
        <v>92</v>
      </c>
      <c s="6" r="AJ1268">
        <v>4</v>
      </c>
      <c t="s" s="6" r="AK1268">
        <v>92</v>
      </c>
      <c t="s" s="6" r="AL1268">
        <v>92</v>
      </c>
      <c t="s" s="6" r="AM1268">
        <v>92</v>
      </c>
      <c t="s" s="6" r="AN1268">
        <v>92</v>
      </c>
      <c s="6" r="AP1268">
        <v>4</v>
      </c>
      <c t="s" s="6" r="AR1268">
        <v>9159</v>
      </c>
      <c s="6" r="AS1268">
        <v>0</v>
      </c>
      <c s="6" r="AT1268">
        <v>0</v>
      </c>
      <c s="6" r="AU1268">
        <v>0</v>
      </c>
      <c s="6" r="AV1268">
        <v>0</v>
      </c>
      <c s="6" r="AW1268">
        <v>0</v>
      </c>
      <c s="6" r="AX1268">
        <v>0</v>
      </c>
      <c s="6" r="AY1268">
        <v>0</v>
      </c>
      <c s="6" r="AZ1268">
        <v>0</v>
      </c>
      <c s="6" r="BA1268">
        <v>0</v>
      </c>
      <c s="6" r="BB1268">
        <v>0</v>
      </c>
      <c s="6" r="BC1268">
        <v>0</v>
      </c>
      <c s="6" r="BD1268">
        <v>0</v>
      </c>
      <c s="6" r="BE1268">
        <v>0</v>
      </c>
      <c s="6" r="BF1268">
        <v>0</v>
      </c>
      <c s="6" r="BG1268">
        <v>0</v>
      </c>
      <c s="6" r="BH1268">
        <v>0</v>
      </c>
      <c s="6" r="BI1268">
        <v>0</v>
      </c>
      <c s="6" r="BJ1268">
        <v>0</v>
      </c>
      <c s="6" r="BK1268">
        <v>0</v>
      </c>
      <c s="6" r="BL1268">
        <v>0</v>
      </c>
      <c s="6" r="BM1268">
        <v>0</v>
      </c>
      <c s="6" r="BN1268">
        <v>0</v>
      </c>
      <c s="6" r="BO1268">
        <v>0</v>
      </c>
      <c s="6" r="BP1268">
        <v>0</v>
      </c>
      <c s="6" r="BQ1268">
        <v>0</v>
      </c>
      <c t="str" s="6" r="BR1268">
        <f>HYPERLINK("http://www.d20pfsrd.com/magic/all-spells/a/absorb-toxicity","Absorb Toxicity")</f>
        <v>Absorb Toxicity</v>
      </c>
      <c s="6" r="BS1268">
        <v>1291</v>
      </c>
      <c t="s" s="6" r="BT1268">
        <v>92</v>
      </c>
      <c s="6" r="BY1268">
        <v>0</v>
      </c>
    </row>
    <row customHeight="1" r="1269" ht="14.25">
      <c t="s" s="6" r="A1269">
        <v>9160</v>
      </c>
      <c t="s" s="6" r="B1269">
        <v>78</v>
      </c>
      <c t="s" s="6" r="C1269">
        <v>1042</v>
      </c>
      <c t="s" s="6" r="E1269">
        <v>9161</v>
      </c>
      <c t="s" s="6" r="F1269">
        <v>81</v>
      </c>
      <c t="s" s="6" r="G1269">
        <v>9162</v>
      </c>
      <c s="6" r="H1269">
        <v>0</v>
      </c>
      <c t="s" s="6" r="L1269">
        <v>9163</v>
      </c>
      <c t="s" s="6" r="M1269">
        <v>2718</v>
      </c>
      <c s="6" r="N1269">
        <v>0</v>
      </c>
      <c s="6" r="O1269">
        <v>0</v>
      </c>
      <c t="s" s="6" r="P1269">
        <v>86</v>
      </c>
      <c t="s" s="6" r="Q1269">
        <v>87</v>
      </c>
      <c t="s" s="6" r="R1269">
        <v>9164</v>
      </c>
      <c t="s" s="6" r="S1269">
        <v>9165</v>
      </c>
      <c t="s" s="6" r="T1269">
        <v>9149</v>
      </c>
      <c t="s" s="6" r="U1269">
        <v>9166</v>
      </c>
      <c s="6" r="V1269">
        <v>1</v>
      </c>
      <c s="6" r="W1269">
        <v>1</v>
      </c>
      <c s="6" r="X1269">
        <v>1</v>
      </c>
      <c s="6" r="Y1269">
        <v>0</v>
      </c>
      <c s="6" r="Z1269">
        <v>1</v>
      </c>
      <c s="6" r="AA1269">
        <v>1</v>
      </c>
      <c s="6" r="AB1269">
        <v>1</v>
      </c>
      <c s="6" r="AC1269">
        <v>1</v>
      </c>
      <c t="s" s="6" r="AD1269">
        <v>92</v>
      </c>
      <c s="6" r="AE1269">
        <v>1</v>
      </c>
      <c s="6" r="AF1269">
        <v>1</v>
      </c>
      <c t="s" s="6" r="AG1269">
        <v>92</v>
      </c>
      <c t="s" s="6" r="AH1269">
        <v>92</v>
      </c>
      <c t="s" s="6" r="AI1269">
        <v>92</v>
      </c>
      <c t="s" s="6" r="AJ1269">
        <v>92</v>
      </c>
      <c t="s" s="6" r="AK1269">
        <v>92</v>
      </c>
      <c s="6" r="AL1269">
        <v>1</v>
      </c>
      <c t="s" s="6" r="AM1269">
        <v>92</v>
      </c>
      <c t="s" s="6" r="AN1269">
        <v>92</v>
      </c>
      <c s="6" r="AP1269">
        <v>1</v>
      </c>
      <c t="s" s="6" r="AR1269">
        <v>9167</v>
      </c>
      <c s="6" r="AS1269">
        <v>0</v>
      </c>
      <c s="6" r="AT1269">
        <v>0</v>
      </c>
      <c s="6" r="AU1269">
        <v>0</v>
      </c>
      <c s="6" r="AV1269">
        <v>0</v>
      </c>
      <c s="6" r="AW1269">
        <v>0</v>
      </c>
      <c s="6" r="AX1269">
        <v>0</v>
      </c>
      <c s="6" r="AY1269">
        <v>0</v>
      </c>
      <c s="6" r="AZ1269">
        <v>0</v>
      </c>
      <c s="6" r="BA1269">
        <v>0</v>
      </c>
      <c s="6" r="BB1269">
        <v>0</v>
      </c>
      <c s="6" r="BC1269">
        <v>0</v>
      </c>
      <c s="6" r="BD1269">
        <v>0</v>
      </c>
      <c s="6" r="BE1269">
        <v>0</v>
      </c>
      <c s="6" r="BF1269">
        <v>0</v>
      </c>
      <c s="6" r="BG1269">
        <v>0</v>
      </c>
      <c s="6" r="BH1269">
        <v>0</v>
      </c>
      <c s="6" r="BI1269">
        <v>0</v>
      </c>
      <c s="6" r="BJ1269">
        <v>0</v>
      </c>
      <c s="6" r="BK1269">
        <v>0</v>
      </c>
      <c s="6" r="BL1269">
        <v>0</v>
      </c>
      <c s="6" r="BM1269">
        <v>0</v>
      </c>
      <c s="6" r="BN1269">
        <v>0</v>
      </c>
      <c s="6" r="BO1269">
        <v>0</v>
      </c>
      <c s="6" r="BP1269">
        <v>0</v>
      </c>
      <c s="6" r="BQ1269">
        <v>0</v>
      </c>
      <c t="str" s="6" r="BR1269">
        <f>HYPERLINK("http://www.d20pfsrd.com/magic/all-spells/a/abundant-ammunition","Abundant Ammunition")</f>
        <v>Abundant Ammunition</v>
      </c>
      <c s="6" r="BS1269">
        <v>1292</v>
      </c>
      <c t="s" s="6" r="BT1269">
        <v>92</v>
      </c>
      <c s="6" r="BY1269">
        <v>0</v>
      </c>
    </row>
    <row customHeight="1" r="1270" ht="14.25">
      <c t="s" s="6" r="A1270">
        <v>9168</v>
      </c>
      <c t="s" s="6" r="B1270">
        <v>162</v>
      </c>
      <c t="s" s="6" r="D1270">
        <v>58</v>
      </c>
      <c t="s" s="6" r="E1270">
        <v>9169</v>
      </c>
      <c t="s" s="6" r="F1270">
        <v>81</v>
      </c>
      <c t="s" s="6" r="G1270">
        <v>9170</v>
      </c>
      <c s="6" r="H1270">
        <v>0</v>
      </c>
      <c t="s" s="6" r="I1270">
        <v>155</v>
      </c>
      <c t="s" s="6" r="L1270">
        <v>156</v>
      </c>
      <c t="s" s="6" r="M1270">
        <v>6116</v>
      </c>
      <c s="6" r="N1270">
        <v>0</v>
      </c>
      <c s="6" r="O1270">
        <v>0</v>
      </c>
      <c t="s" s="6" r="R1270">
        <v>9171</v>
      </c>
      <c t="s" s="6" r="S1270">
        <v>9172</v>
      </c>
      <c t="s" s="6" r="T1270">
        <v>9149</v>
      </c>
      <c t="s" s="6" r="U1270">
        <v>9173</v>
      </c>
      <c s="6" r="V1270">
        <v>1</v>
      </c>
      <c s="6" r="W1270">
        <v>1</v>
      </c>
      <c s="6" r="X1270">
        <v>1</v>
      </c>
      <c s="6" r="Y1270">
        <v>0</v>
      </c>
      <c s="6" r="Z1270">
        <v>0</v>
      </c>
      <c s="6" r="AA1270">
        <v>1</v>
      </c>
      <c s="6" r="AB1270">
        <v>1</v>
      </c>
      <c t="s" s="6" r="AC1270">
        <v>92</v>
      </c>
      <c t="s" s="6" r="AD1270">
        <v>92</v>
      </c>
      <c t="s" s="6" r="AE1270">
        <v>92</v>
      </c>
      <c s="6" r="AF1270">
        <v>1</v>
      </c>
      <c t="s" s="6" r="AG1270">
        <v>92</v>
      </c>
      <c s="6" r="AH1270">
        <v>1</v>
      </c>
      <c t="s" s="6" r="AI1270">
        <v>92</v>
      </c>
      <c t="s" s="6" r="AJ1270">
        <v>92</v>
      </c>
      <c t="s" s="6" r="AK1270">
        <v>92</v>
      </c>
      <c t="s" s="6" r="AL1270">
        <v>92</v>
      </c>
      <c t="s" s="6" r="AM1270">
        <v>92</v>
      </c>
      <c s="6" r="AN1270">
        <v>1</v>
      </c>
      <c s="6" r="AP1270">
        <v>1</v>
      </c>
      <c t="s" s="6" r="AR1270">
        <v>9174</v>
      </c>
      <c s="6" r="AS1270">
        <v>0</v>
      </c>
      <c s="6" r="AT1270">
        <v>0</v>
      </c>
      <c s="6" r="AU1270">
        <v>0</v>
      </c>
      <c s="6" r="AV1270">
        <v>0</v>
      </c>
      <c s="6" r="AW1270">
        <v>0</v>
      </c>
      <c s="6" r="AX1270">
        <v>0</v>
      </c>
      <c s="6" r="AY1270">
        <v>0</v>
      </c>
      <c s="6" r="AZ1270">
        <v>0</v>
      </c>
      <c s="6" r="BA1270">
        <v>0</v>
      </c>
      <c s="6" r="BB1270">
        <v>0</v>
      </c>
      <c s="6" r="BC1270">
        <v>0</v>
      </c>
      <c s="6" r="BD1270">
        <v>0</v>
      </c>
      <c s="6" r="BE1270">
        <v>0</v>
      </c>
      <c s="6" r="BF1270">
        <v>0</v>
      </c>
      <c s="6" r="BG1270">
        <v>0</v>
      </c>
      <c s="6" r="BH1270">
        <v>0</v>
      </c>
      <c s="6" r="BI1270">
        <v>0</v>
      </c>
      <c s="6" r="BJ1270">
        <v>0</v>
      </c>
      <c s="6" r="BK1270">
        <v>0</v>
      </c>
      <c s="6" r="BL1270">
        <v>0</v>
      </c>
      <c s="6" r="BM1270">
        <v>0</v>
      </c>
      <c s="6" r="BN1270">
        <v>0</v>
      </c>
      <c s="6" r="BO1270">
        <v>0</v>
      </c>
      <c s="6" r="BP1270">
        <v>0</v>
      </c>
      <c s="6" r="BQ1270">
        <v>0</v>
      </c>
      <c t="str" s="6" r="BR1270">
        <f>HYPERLINK("http://www.d20pfsrd.com/magic/all-spells/a/adjuring-step","Adjuring Step")</f>
        <v>Adjuring Step</v>
      </c>
      <c s="6" r="BS1270">
        <v>1293</v>
      </c>
      <c t="s" s="6" r="BT1270">
        <v>92</v>
      </c>
      <c s="6" r="BY1270">
        <v>0</v>
      </c>
    </row>
    <row customHeight="1" r="1271" ht="14.25">
      <c t="s" s="6" r="A1271">
        <v>9175</v>
      </c>
      <c t="s" s="6" r="B1271">
        <v>131</v>
      </c>
      <c t="s" s="6" r="E1271">
        <v>8480</v>
      </c>
      <c t="s" s="6" r="F1271">
        <v>81</v>
      </c>
      <c t="s" s="6" r="G1271">
        <v>106</v>
      </c>
      <c s="6" r="H1271">
        <v>0</v>
      </c>
      <c t="s" s="6" r="I1271">
        <v>107</v>
      </c>
      <c t="s" s="6" r="L1271">
        <v>1235</v>
      </c>
      <c t="s" s="6" r="M1271">
        <v>2718</v>
      </c>
      <c s="6" r="N1271">
        <v>0</v>
      </c>
      <c s="6" r="O1271">
        <v>0</v>
      </c>
      <c t="s" s="6" r="P1271">
        <v>421</v>
      </c>
      <c t="s" s="6" r="Q1271">
        <v>188</v>
      </c>
      <c t="s" s="6" r="R1271">
        <v>9176</v>
      </c>
      <c t="s" s="6" r="S1271">
        <v>9177</v>
      </c>
      <c t="s" s="6" r="T1271">
        <v>9149</v>
      </c>
      <c t="s" s="6" r="U1271">
        <v>9178</v>
      </c>
      <c s="6" r="V1271">
        <v>1</v>
      </c>
      <c s="6" r="W1271">
        <v>1</v>
      </c>
      <c s="6" r="X1271">
        <v>0</v>
      </c>
      <c s="6" r="Y1271">
        <v>0</v>
      </c>
      <c s="6" r="Z1271">
        <v>0</v>
      </c>
      <c s="6" r="AA1271">
        <v>2</v>
      </c>
      <c s="6" r="AB1271">
        <v>2</v>
      </c>
      <c t="s" s="6" r="AC1271">
        <v>92</v>
      </c>
      <c t="s" s="6" r="AD1271">
        <v>92</v>
      </c>
      <c t="s" s="6" r="AE1271">
        <v>92</v>
      </c>
      <c s="6" r="AF1271">
        <v>1</v>
      </c>
      <c t="s" s="6" r="AG1271">
        <v>92</v>
      </c>
      <c t="s" s="6" r="AH1271">
        <v>92</v>
      </c>
      <c t="s" s="6" r="AI1271">
        <v>92</v>
      </c>
      <c s="6" r="AJ1271">
        <v>2</v>
      </c>
      <c t="s" s="6" r="AK1271">
        <v>92</v>
      </c>
      <c t="s" s="6" r="AL1271">
        <v>92</v>
      </c>
      <c t="s" s="6" r="AM1271">
        <v>92</v>
      </c>
      <c t="s" s="6" r="AN1271">
        <v>92</v>
      </c>
      <c s="6" r="AP1271">
        <v>2</v>
      </c>
      <c t="s" s="6" r="AR1271">
        <v>9179</v>
      </c>
      <c s="6" r="AS1271">
        <v>0</v>
      </c>
      <c s="6" r="AT1271">
        <v>0</v>
      </c>
      <c s="6" r="AU1271">
        <v>0</v>
      </c>
      <c s="6" r="AV1271">
        <v>0</v>
      </c>
      <c s="6" r="AW1271">
        <v>0</v>
      </c>
      <c s="6" r="AX1271">
        <v>0</v>
      </c>
      <c s="6" r="AY1271">
        <v>0</v>
      </c>
      <c s="6" r="AZ1271">
        <v>0</v>
      </c>
      <c s="6" r="BA1271">
        <v>0</v>
      </c>
      <c s="6" r="BB1271">
        <v>0</v>
      </c>
      <c s="6" r="BC1271">
        <v>0</v>
      </c>
      <c s="6" r="BD1271">
        <v>0</v>
      </c>
      <c s="6" r="BE1271">
        <v>0</v>
      </c>
      <c s="6" r="BF1271">
        <v>0</v>
      </c>
      <c s="6" r="BG1271">
        <v>0</v>
      </c>
      <c s="6" r="BH1271">
        <v>0</v>
      </c>
      <c s="6" r="BI1271">
        <v>0</v>
      </c>
      <c s="6" r="BJ1271">
        <v>0</v>
      </c>
      <c s="6" r="BK1271">
        <v>0</v>
      </c>
      <c s="6" r="BL1271">
        <v>0</v>
      </c>
      <c s="6" r="BM1271">
        <v>0</v>
      </c>
      <c s="6" r="BN1271">
        <v>0</v>
      </c>
      <c s="6" r="BO1271">
        <v>0</v>
      </c>
      <c s="6" r="BP1271">
        <v>0</v>
      </c>
      <c s="6" r="BQ1271">
        <v>0</v>
      </c>
      <c t="str" s="6" r="BR1271">
        <f>HYPERLINK("http://www.d20pfsrd.com/magic/all-spells/a/adoration","Adoration")</f>
        <v>Adoration</v>
      </c>
      <c s="6" r="BS1271">
        <v>1294</v>
      </c>
      <c t="s" s="6" r="BT1271">
        <v>92</v>
      </c>
      <c s="6" r="BY1271">
        <v>0</v>
      </c>
    </row>
    <row customHeight="1" r="1272" ht="14.25">
      <c t="s" s="6" r="A1272">
        <v>9180</v>
      </c>
      <c t="s" s="6" r="B1272">
        <v>78</v>
      </c>
      <c t="s" s="6" r="E1272">
        <v>9181</v>
      </c>
      <c t="s" s="6" r="F1272">
        <v>81</v>
      </c>
      <c t="s" s="6" r="G1272">
        <v>9182</v>
      </c>
      <c s="6" r="H1272">
        <v>0</v>
      </c>
      <c t="s" s="6" r="I1272">
        <v>120</v>
      </c>
      <c t="s" s="6" r="L1272">
        <v>9183</v>
      </c>
      <c t="s" s="6" r="M1272">
        <v>2718</v>
      </c>
      <c s="6" r="N1272">
        <v>0</v>
      </c>
      <c s="6" r="O1272">
        <v>0</v>
      </c>
      <c t="s" s="6" r="P1272">
        <v>421</v>
      </c>
      <c t="s" s="6" r="Q1272">
        <v>123</v>
      </c>
      <c t="s" s="6" r="R1272">
        <v>9184</v>
      </c>
      <c t="s" s="6" r="S1272">
        <v>9185</v>
      </c>
      <c t="s" s="6" r="T1272">
        <v>9149</v>
      </c>
      <c t="s" s="6" r="U1272">
        <v>9186</v>
      </c>
      <c s="6" r="V1272">
        <v>0</v>
      </c>
      <c s="6" r="W1272">
        <v>1</v>
      </c>
      <c s="6" r="X1272">
        <v>1</v>
      </c>
      <c s="6" r="Y1272">
        <v>0</v>
      </c>
      <c s="6" r="Z1272">
        <v>1</v>
      </c>
      <c s="6" r="AA1272">
        <v>1</v>
      </c>
      <c s="6" r="AB1272">
        <v>1</v>
      </c>
      <c s="6" r="AC1272">
        <v>1</v>
      </c>
      <c s="6" r="AD1272">
        <v>1</v>
      </c>
      <c s="6" r="AE1272">
        <v>1</v>
      </c>
      <c t="s" s="6" r="AF1272">
        <v>92</v>
      </c>
      <c t="s" s="6" r="AG1272">
        <v>92</v>
      </c>
      <c t="s" s="6" r="AH1272">
        <v>92</v>
      </c>
      <c t="s" s="6" r="AI1272">
        <v>92</v>
      </c>
      <c s="6" r="AJ1272">
        <v>1</v>
      </c>
      <c t="s" s="6" r="AK1272">
        <v>92</v>
      </c>
      <c s="6" r="AL1272">
        <v>1</v>
      </c>
      <c t="s" s="6" r="AM1272">
        <v>92</v>
      </c>
      <c t="s" s="6" r="AN1272">
        <v>92</v>
      </c>
      <c s="6" r="AP1272">
        <v>1</v>
      </c>
      <c t="s" s="6" r="AR1272">
        <v>9187</v>
      </c>
      <c s="6" r="AS1272">
        <v>0</v>
      </c>
      <c s="6" r="AT1272">
        <v>0</v>
      </c>
      <c s="6" r="AU1272">
        <v>0</v>
      </c>
      <c s="6" r="AV1272">
        <v>0</v>
      </c>
      <c s="6" r="AW1272">
        <v>0</v>
      </c>
      <c s="6" r="AX1272">
        <v>0</v>
      </c>
      <c s="6" r="AY1272">
        <v>0</v>
      </c>
      <c s="6" r="AZ1272">
        <v>0</v>
      </c>
      <c s="6" r="BA1272">
        <v>0</v>
      </c>
      <c s="6" r="BB1272">
        <v>0</v>
      </c>
      <c s="6" r="BC1272">
        <v>0</v>
      </c>
      <c s="6" r="BD1272">
        <v>0</v>
      </c>
      <c s="6" r="BE1272">
        <v>0</v>
      </c>
      <c s="6" r="BF1272">
        <v>0</v>
      </c>
      <c s="6" r="BG1272">
        <v>0</v>
      </c>
      <c s="6" r="BH1272">
        <v>0</v>
      </c>
      <c s="6" r="BI1272">
        <v>0</v>
      </c>
      <c s="6" r="BJ1272">
        <v>0</v>
      </c>
      <c s="6" r="BK1272">
        <v>0</v>
      </c>
      <c s="6" r="BL1272">
        <v>0</v>
      </c>
      <c s="6" r="BM1272">
        <v>0</v>
      </c>
      <c s="6" r="BN1272">
        <v>0</v>
      </c>
      <c s="6" r="BO1272">
        <v>0</v>
      </c>
      <c s="6" r="BP1272">
        <v>0</v>
      </c>
      <c s="6" r="BQ1272">
        <v>0</v>
      </c>
      <c t="str" s="6" r="BR1272">
        <f>HYPERLINK("http://www.d20pfsrd.com/magic/all-spells/a/air-bubble","Air Bubble")</f>
        <v>Air Bubble</v>
      </c>
      <c s="6" r="BS1272">
        <v>1295</v>
      </c>
      <c t="s" s="6" r="BT1272">
        <v>92</v>
      </c>
      <c s="6" r="BY1272">
        <v>0</v>
      </c>
    </row>
    <row customHeight="1" r="1273" ht="14.25">
      <c t="s" s="6" r="A1273">
        <v>9188</v>
      </c>
      <c t="s" s="6" r="B1273">
        <v>131</v>
      </c>
      <c t="s" s="6" r="D1273">
        <v>45</v>
      </c>
      <c t="s" s="6" r="E1273">
        <v>9189</v>
      </c>
      <c t="s" s="6" r="F1273">
        <v>81</v>
      </c>
      <c t="s" s="6" r="G1273">
        <v>119</v>
      </c>
      <c s="6" r="H1273">
        <v>0</v>
      </c>
      <c t="s" s="6" r="I1273">
        <v>120</v>
      </c>
      <c t="s" s="6" r="L1273">
        <v>9190</v>
      </c>
      <c t="s" s="6" r="M1273">
        <v>134</v>
      </c>
      <c s="6" r="N1273">
        <v>0</v>
      </c>
      <c s="6" r="O1273">
        <v>0</v>
      </c>
      <c t="s" s="6" r="P1273">
        <v>86</v>
      </c>
      <c t="s" s="6" r="Q1273">
        <v>123</v>
      </c>
      <c t="s" s="6" r="R1273">
        <v>9191</v>
      </c>
      <c t="s" s="6" r="S1273">
        <v>9192</v>
      </c>
      <c t="s" s="6" r="T1273">
        <v>9149</v>
      </c>
      <c t="s" s="6" r="U1273">
        <v>9193</v>
      </c>
      <c s="6" r="V1273">
        <v>1</v>
      </c>
      <c s="6" r="W1273">
        <v>1</v>
      </c>
      <c s="6" r="X1273">
        <v>0</v>
      </c>
      <c s="6" r="Y1273">
        <v>0</v>
      </c>
      <c s="6" r="Z1273">
        <v>1</v>
      </c>
      <c t="s" s="6" r="AA1273">
        <v>92</v>
      </c>
      <c t="s" s="6" r="AB1273">
        <v>92</v>
      </c>
      <c s="6" r="AC1273">
        <v>5</v>
      </c>
      <c s="6" r="AD1273">
        <v>5</v>
      </c>
      <c t="s" s="6" r="AE1273">
        <v>92</v>
      </c>
      <c t="s" s="6" r="AF1273">
        <v>92</v>
      </c>
      <c t="s" s="6" r="AG1273">
        <v>92</v>
      </c>
      <c s="6" r="AH1273">
        <v>4</v>
      </c>
      <c t="s" s="6" r="AI1273">
        <v>92</v>
      </c>
      <c t="s" s="6" r="AJ1273">
        <v>92</v>
      </c>
      <c t="s" s="6" r="AK1273">
        <v>92</v>
      </c>
      <c s="6" r="AL1273">
        <v>5</v>
      </c>
      <c t="s" s="6" r="AM1273">
        <v>92</v>
      </c>
      <c t="s" s="6" r="AN1273">
        <v>92</v>
      </c>
      <c s="6" r="AP1273">
        <v>5</v>
      </c>
      <c t="s" s="6" r="AR1273">
        <v>9194</v>
      </c>
      <c s="6" r="AS1273">
        <v>0</v>
      </c>
      <c s="6" r="AT1273">
        <v>1</v>
      </c>
      <c s="6" r="AU1273">
        <v>0</v>
      </c>
      <c s="6" r="AV1273">
        <v>0</v>
      </c>
      <c s="6" r="AW1273">
        <v>0</v>
      </c>
      <c s="6" r="AX1273">
        <v>0</v>
      </c>
      <c s="6" r="AY1273">
        <v>0</v>
      </c>
      <c s="6" r="AZ1273">
        <v>0</v>
      </c>
      <c s="6" r="BA1273">
        <v>0</v>
      </c>
      <c s="6" r="BB1273">
        <v>0</v>
      </c>
      <c s="6" r="BC1273">
        <v>0</v>
      </c>
      <c s="6" r="BD1273">
        <v>0</v>
      </c>
      <c s="6" r="BE1273">
        <v>0</v>
      </c>
      <c s="6" r="BF1273">
        <v>0</v>
      </c>
      <c s="6" r="BG1273">
        <v>0</v>
      </c>
      <c s="6" r="BH1273">
        <v>0</v>
      </c>
      <c s="6" r="BI1273">
        <v>0</v>
      </c>
      <c s="6" r="BJ1273">
        <v>0</v>
      </c>
      <c s="6" r="BK1273">
        <v>0</v>
      </c>
      <c s="6" r="BL1273">
        <v>0</v>
      </c>
      <c s="6" r="BM1273">
        <v>0</v>
      </c>
      <c s="6" r="BN1273">
        <v>0</v>
      </c>
      <c s="6" r="BO1273">
        <v>0</v>
      </c>
      <c s="6" r="BP1273">
        <v>0</v>
      </c>
      <c s="6" r="BQ1273">
        <v>0</v>
      </c>
      <c t="str" s="6" r="BR1273">
        <f>HYPERLINK("http://www.d20pfsrd.com/magic/all-spells/a/air-walk#TOC-Air-Walk-Communal","Air Walk, Communal")</f>
        <v>Air Walk, Communal</v>
      </c>
      <c s="6" r="BS1273">
        <v>1296</v>
      </c>
      <c t="s" s="6" r="BT1273">
        <v>92</v>
      </c>
      <c s="6" r="BY1273">
        <v>0</v>
      </c>
    </row>
    <row customHeight="1" r="1274" ht="14.25">
      <c t="s" s="6" r="A1274">
        <v>9195</v>
      </c>
      <c t="s" s="6" r="B1274">
        <v>131</v>
      </c>
      <c t="s" s="6" r="C1274">
        <v>152</v>
      </c>
      <c t="s" s="6" r="E1274">
        <v>9196</v>
      </c>
      <c t="s" s="6" r="F1274">
        <v>81</v>
      </c>
      <c t="s" s="6" r="G1274">
        <v>9197</v>
      </c>
      <c s="6" r="H1274">
        <v>0</v>
      </c>
      <c t="s" s="6" r="I1274">
        <v>155</v>
      </c>
      <c t="s" s="6" r="L1274">
        <v>156</v>
      </c>
      <c t="s" s="6" r="M1274">
        <v>5513</v>
      </c>
      <c s="6" r="N1274">
        <v>1</v>
      </c>
      <c s="6" r="O1274">
        <v>0</v>
      </c>
      <c t="s" s="6" r="P1274">
        <v>86</v>
      </c>
      <c t="s" s="6" r="Q1274">
        <v>123</v>
      </c>
      <c t="s" s="6" r="R1274">
        <v>9198</v>
      </c>
      <c t="s" s="6" r="S1274">
        <v>9199</v>
      </c>
      <c t="s" s="6" r="T1274">
        <v>9149</v>
      </c>
      <c t="s" s="6" r="U1274">
        <v>9200</v>
      </c>
      <c s="6" r="V1274">
        <v>1</v>
      </c>
      <c s="6" r="W1274">
        <v>1</v>
      </c>
      <c s="6" r="X1274">
        <v>1</v>
      </c>
      <c s="6" r="Y1274">
        <v>0</v>
      </c>
      <c s="6" r="Z1274">
        <v>1</v>
      </c>
      <c s="6" r="AA1274">
        <v>2</v>
      </c>
      <c s="6" r="AB1274">
        <v>2</v>
      </c>
      <c t="s" s="6" r="AC1274">
        <v>92</v>
      </c>
      <c s="6" r="AD1274">
        <v>2</v>
      </c>
      <c s="6" r="AE1274">
        <v>2</v>
      </c>
      <c t="s" s="6" r="AF1274">
        <v>92</v>
      </c>
      <c t="s" s="6" r="AG1274">
        <v>92</v>
      </c>
      <c s="6" r="AH1274">
        <v>2</v>
      </c>
      <c t="s" s="6" r="AI1274">
        <v>92</v>
      </c>
      <c t="s" s="6" r="AJ1274">
        <v>92</v>
      </c>
      <c t="s" s="6" r="AK1274">
        <v>92</v>
      </c>
      <c t="s" s="6" r="AL1274">
        <v>92</v>
      </c>
      <c t="s" s="6" r="AM1274">
        <v>92</v>
      </c>
      <c s="6" r="AN1274">
        <v>2</v>
      </c>
      <c s="6" r="AP1274">
        <v>2</v>
      </c>
      <c t="s" s="6" r="AR1274">
        <v>9201</v>
      </c>
      <c s="6" r="AS1274">
        <v>0</v>
      </c>
      <c s="6" r="AT1274">
        <v>0</v>
      </c>
      <c s="6" r="AU1274">
        <v>0</v>
      </c>
      <c s="6" r="AV1274">
        <v>0</v>
      </c>
      <c s="6" r="AW1274">
        <v>0</v>
      </c>
      <c s="6" r="AX1274">
        <v>0</v>
      </c>
      <c s="6" r="AY1274">
        <v>0</v>
      </c>
      <c s="6" r="AZ1274">
        <v>0</v>
      </c>
      <c s="6" r="BA1274">
        <v>0</v>
      </c>
      <c s="6" r="BB1274">
        <v>0</v>
      </c>
      <c s="6" r="BC1274">
        <v>0</v>
      </c>
      <c s="6" r="BD1274">
        <v>0</v>
      </c>
      <c s="6" r="BE1274">
        <v>0</v>
      </c>
      <c s="6" r="BF1274">
        <v>0</v>
      </c>
      <c s="6" r="BG1274">
        <v>0</v>
      </c>
      <c s="6" r="BH1274">
        <v>0</v>
      </c>
      <c s="6" r="BI1274">
        <v>0</v>
      </c>
      <c s="6" r="BJ1274">
        <v>0</v>
      </c>
      <c s="6" r="BK1274">
        <v>0</v>
      </c>
      <c s="6" r="BL1274">
        <v>0</v>
      </c>
      <c s="6" r="BM1274">
        <v>0</v>
      </c>
      <c s="6" r="BN1274">
        <v>0</v>
      </c>
      <c s="6" r="BO1274">
        <v>0</v>
      </c>
      <c s="6" r="BP1274">
        <v>0</v>
      </c>
      <c s="6" r="BQ1274">
        <v>0</v>
      </c>
      <c t="str" s="6" r="BR1274">
        <f>HYPERLINK("http://www.d20pfsrd.com/magic/all-spells/a/animal-aspect","Animal Aspect")</f>
        <v>Animal Aspect</v>
      </c>
      <c s="6" r="BS1274">
        <v>1297</v>
      </c>
      <c t="s" s="6" r="BT1274">
        <v>92</v>
      </c>
      <c t="s" s="6" r="BW1274">
        <v>9202</v>
      </c>
      <c s="6" r="BY1274">
        <v>1</v>
      </c>
    </row>
    <row customHeight="1" r="1275" ht="14.25">
      <c t="s" s="6" r="A1275">
        <v>9203</v>
      </c>
      <c t="s" s="6" r="B1275">
        <v>131</v>
      </c>
      <c t="s" s="6" r="C1275">
        <v>152</v>
      </c>
      <c t="s" s="6" r="E1275">
        <v>9204</v>
      </c>
      <c t="s" s="6" r="F1275">
        <v>81</v>
      </c>
      <c t="s" s="6" r="G1275">
        <v>9197</v>
      </c>
      <c s="6" r="H1275">
        <v>0</v>
      </c>
      <c t="s" s="6" r="I1275">
        <v>155</v>
      </c>
      <c t="s" s="6" r="L1275">
        <v>156</v>
      </c>
      <c t="s" s="6" r="M1275">
        <v>5513</v>
      </c>
      <c s="6" r="N1275">
        <v>1</v>
      </c>
      <c s="6" r="O1275">
        <v>0</v>
      </c>
      <c t="s" s="6" r="P1275">
        <v>86</v>
      </c>
      <c t="s" s="6" r="Q1275">
        <v>123</v>
      </c>
      <c t="s" s="6" r="R1275">
        <v>9205</v>
      </c>
      <c t="s" s="6" r="S1275">
        <v>9206</v>
      </c>
      <c t="s" s="6" r="T1275">
        <v>9149</v>
      </c>
      <c t="s" s="6" r="U1275">
        <v>9207</v>
      </c>
      <c s="6" r="V1275">
        <v>1</v>
      </c>
      <c s="6" r="W1275">
        <v>1</v>
      </c>
      <c s="6" r="X1275">
        <v>1</v>
      </c>
      <c s="6" r="Y1275">
        <v>0</v>
      </c>
      <c s="6" r="Z1275">
        <v>1</v>
      </c>
      <c s="6" r="AA1275">
        <v>4</v>
      </c>
      <c s="6" r="AB1275">
        <v>4</v>
      </c>
      <c t="s" s="6" r="AC1275">
        <v>92</v>
      </c>
      <c s="6" r="AD1275">
        <v>3</v>
      </c>
      <c s="6" r="AE1275">
        <v>3</v>
      </c>
      <c t="s" s="6" r="AF1275">
        <v>92</v>
      </c>
      <c t="s" s="6" r="AG1275">
        <v>92</v>
      </c>
      <c s="6" r="AH1275">
        <v>3</v>
      </c>
      <c t="s" s="6" r="AI1275">
        <v>92</v>
      </c>
      <c t="s" s="6" r="AJ1275">
        <v>92</v>
      </c>
      <c t="s" s="6" r="AK1275">
        <v>92</v>
      </c>
      <c t="s" s="6" r="AL1275">
        <v>92</v>
      </c>
      <c t="s" s="6" r="AM1275">
        <v>92</v>
      </c>
      <c s="6" r="AN1275">
        <v>3</v>
      </c>
      <c s="6" r="AP1275">
        <v>4</v>
      </c>
      <c t="s" s="6" r="AR1275">
        <v>9208</v>
      </c>
      <c s="6" r="AS1275">
        <v>0</v>
      </c>
      <c s="6" r="AT1275">
        <v>0</v>
      </c>
      <c s="6" r="AU1275">
        <v>0</v>
      </c>
      <c s="6" r="AV1275">
        <v>0</v>
      </c>
      <c s="6" r="AW1275">
        <v>0</v>
      </c>
      <c s="6" r="AX1275">
        <v>0</v>
      </c>
      <c s="6" r="AY1275">
        <v>0</v>
      </c>
      <c s="6" r="AZ1275">
        <v>0</v>
      </c>
      <c s="6" r="BA1275">
        <v>0</v>
      </c>
      <c s="6" r="BB1275">
        <v>0</v>
      </c>
      <c s="6" r="BC1275">
        <v>0</v>
      </c>
      <c s="6" r="BD1275">
        <v>0</v>
      </c>
      <c s="6" r="BE1275">
        <v>0</v>
      </c>
      <c s="6" r="BF1275">
        <v>0</v>
      </c>
      <c s="6" r="BG1275">
        <v>0</v>
      </c>
      <c s="6" r="BH1275">
        <v>0</v>
      </c>
      <c s="6" r="BI1275">
        <v>0</v>
      </c>
      <c s="6" r="BJ1275">
        <v>0</v>
      </c>
      <c s="6" r="BK1275">
        <v>0</v>
      </c>
      <c s="6" r="BL1275">
        <v>0</v>
      </c>
      <c s="6" r="BM1275">
        <v>0</v>
      </c>
      <c s="6" r="BN1275">
        <v>0</v>
      </c>
      <c s="6" r="BO1275">
        <v>0</v>
      </c>
      <c s="6" r="BP1275">
        <v>0</v>
      </c>
      <c s="6" r="BQ1275">
        <v>0</v>
      </c>
      <c t="str" s="6" r="BR1275">
        <f>HYPERLINK("http://www.d20pfsrd.com/magic/all-spells/a/animal-aspect#TOC-Animal-Aspect-Greater","Animal Aspect, Greater")</f>
        <v>Animal Aspect, Greater</v>
      </c>
      <c s="6" r="BS1275">
        <v>1298</v>
      </c>
      <c t="s" s="6" r="BT1275">
        <v>92</v>
      </c>
      <c s="6" r="BY1275">
        <v>0</v>
      </c>
    </row>
    <row customHeight="1" r="1276" ht="14.25">
      <c t="s" s="6" r="A1276">
        <v>9209</v>
      </c>
      <c t="s" s="6" r="B1276">
        <v>131</v>
      </c>
      <c t="s" s="6" r="E1276">
        <v>9210</v>
      </c>
      <c t="s" s="6" r="F1276">
        <v>81</v>
      </c>
      <c t="s" s="6" r="G1276">
        <v>5247</v>
      </c>
      <c s="6" r="H1276">
        <v>0</v>
      </c>
      <c t="s" s="6" r="I1276">
        <v>120</v>
      </c>
      <c t="s" s="6" r="L1276">
        <v>9190</v>
      </c>
      <c t="s" s="6" r="M1276">
        <v>166</v>
      </c>
      <c s="6" r="N1276">
        <v>0</v>
      </c>
      <c s="6" r="O1276">
        <v>0</v>
      </c>
      <c t="s" s="6" r="P1276">
        <v>1227</v>
      </c>
      <c t="s" s="6" r="Q1276">
        <v>123</v>
      </c>
      <c t="s" s="6" r="R1276">
        <v>9211</v>
      </c>
      <c t="s" s="6" r="S1276">
        <v>9212</v>
      </c>
      <c t="s" s="6" r="T1276">
        <v>9149</v>
      </c>
      <c t="s" s="6" r="U1276">
        <v>9213</v>
      </c>
      <c s="6" r="V1276">
        <v>1</v>
      </c>
      <c s="6" r="W1276">
        <v>1</v>
      </c>
      <c s="6" r="X1276">
        <v>1</v>
      </c>
      <c s="6" r="Y1276">
        <v>0</v>
      </c>
      <c s="6" r="Z1276">
        <v>1</v>
      </c>
      <c s="6" r="AA1276">
        <v>2</v>
      </c>
      <c s="6" r="AB1276">
        <v>2</v>
      </c>
      <c s="6" r="AC1276">
        <v>2</v>
      </c>
      <c s="6" r="AD1276">
        <v>2</v>
      </c>
      <c s="6" r="AE1276">
        <v>2</v>
      </c>
      <c t="s" s="6" r="AF1276">
        <v>92</v>
      </c>
      <c t="s" s="6" r="AG1276">
        <v>92</v>
      </c>
      <c s="6" r="AH1276">
        <v>2</v>
      </c>
      <c s="6" r="AI1276">
        <v>2</v>
      </c>
      <c t="s" s="6" r="AJ1276">
        <v>92</v>
      </c>
      <c t="s" s="6" r="AK1276">
        <v>92</v>
      </c>
      <c s="6" r="AL1276">
        <v>2</v>
      </c>
      <c t="s" s="6" r="AM1276">
        <v>92</v>
      </c>
      <c t="s" s="6" r="AN1276">
        <v>92</v>
      </c>
      <c s="6" r="AP1276">
        <v>2</v>
      </c>
      <c t="s" s="6" r="AR1276">
        <v>9214</v>
      </c>
      <c s="6" r="AS1276">
        <v>0</v>
      </c>
      <c s="6" r="AT1276">
        <v>0</v>
      </c>
      <c s="6" r="AU1276">
        <v>0</v>
      </c>
      <c s="6" r="AV1276">
        <v>0</v>
      </c>
      <c s="6" r="AW1276">
        <v>0</v>
      </c>
      <c s="6" r="AX1276">
        <v>0</v>
      </c>
      <c s="6" r="AY1276">
        <v>0</v>
      </c>
      <c s="6" r="AZ1276">
        <v>0</v>
      </c>
      <c s="6" r="BA1276">
        <v>0</v>
      </c>
      <c s="6" r="BB1276">
        <v>0</v>
      </c>
      <c s="6" r="BC1276">
        <v>0</v>
      </c>
      <c s="6" r="BD1276">
        <v>0</v>
      </c>
      <c s="6" r="BE1276">
        <v>0</v>
      </c>
      <c s="6" r="BF1276">
        <v>0</v>
      </c>
      <c s="6" r="BG1276">
        <v>0</v>
      </c>
      <c s="6" r="BH1276">
        <v>0</v>
      </c>
      <c s="6" r="BI1276">
        <v>0</v>
      </c>
      <c s="6" r="BJ1276">
        <v>0</v>
      </c>
      <c s="6" r="BK1276">
        <v>0</v>
      </c>
      <c s="6" r="BL1276">
        <v>0</v>
      </c>
      <c s="6" r="BM1276">
        <v>0</v>
      </c>
      <c s="6" r="BN1276">
        <v>0</v>
      </c>
      <c s="6" r="BO1276">
        <v>0</v>
      </c>
      <c s="6" r="BP1276">
        <v>0</v>
      </c>
      <c s="6" r="BQ1276">
        <v>0</v>
      </c>
      <c t="str" s="6" r="BR1276">
        <f>HYPERLINK("http://www.d20pfsrd.com/magic/all-spells/a/ant-haul#TOC-Ant-Haul-Communal","Ant Haul, Communal")</f>
        <v>Ant Haul, Communal</v>
      </c>
      <c s="6" r="BS1276">
        <v>1299</v>
      </c>
      <c t="s" s="6" r="BT1276">
        <v>92</v>
      </c>
      <c s="6" r="BY1276">
        <v>0</v>
      </c>
    </row>
    <row customHeight="1" r="1277" ht="14.25">
      <c t="s" s="6" r="A1277">
        <v>9215</v>
      </c>
      <c t="s" s="6" r="B1277">
        <v>131</v>
      </c>
      <c t="s" s="6" r="E1277">
        <v>973</v>
      </c>
      <c t="s" s="6" r="F1277">
        <v>272</v>
      </c>
      <c t="s" s="6" r="G1277">
        <v>9216</v>
      </c>
      <c s="6" r="H1277">
        <v>1</v>
      </c>
      <c t="s" s="6" r="I1277">
        <v>107</v>
      </c>
      <c t="s" s="6" r="K1277">
        <v>9217</v>
      </c>
      <c t="s" s="6" r="M1277">
        <v>99</v>
      </c>
      <c s="6" r="N1277">
        <v>0</v>
      </c>
      <c s="6" r="O1277">
        <v>0</v>
      </c>
      <c t="s" s="6" r="P1277">
        <v>86</v>
      </c>
      <c t="s" s="6" r="Q1277">
        <v>87</v>
      </c>
      <c t="s" s="6" r="R1277">
        <v>9218</v>
      </c>
      <c t="s" s="6" r="S1277">
        <v>9219</v>
      </c>
      <c t="s" s="6" r="T1277">
        <v>9149</v>
      </c>
      <c t="s" s="6" r="U1277">
        <v>9220</v>
      </c>
      <c s="6" r="V1277">
        <v>1</v>
      </c>
      <c s="6" r="W1277">
        <v>1</v>
      </c>
      <c s="6" r="X1277">
        <v>0</v>
      </c>
      <c s="6" r="Y1277">
        <v>0</v>
      </c>
      <c s="6" r="Z1277">
        <v>0</v>
      </c>
      <c s="6" r="AA1277">
        <v>7</v>
      </c>
      <c s="6" r="AB1277">
        <v>7</v>
      </c>
      <c t="s" s="6" r="AC1277">
        <v>92</v>
      </c>
      <c t="s" s="6" r="AD1277">
        <v>92</v>
      </c>
      <c t="s" s="6" r="AE1277">
        <v>92</v>
      </c>
      <c t="s" s="6" r="AF1277">
        <v>92</v>
      </c>
      <c t="s" s="6" r="AG1277">
        <v>92</v>
      </c>
      <c t="s" s="6" r="AH1277">
        <v>92</v>
      </c>
      <c t="s" s="6" r="AI1277">
        <v>92</v>
      </c>
      <c t="s" s="6" r="AJ1277">
        <v>92</v>
      </c>
      <c t="s" s="6" r="AK1277">
        <v>92</v>
      </c>
      <c t="s" s="6" r="AL1277">
        <v>92</v>
      </c>
      <c t="s" s="6" r="AM1277">
        <v>92</v>
      </c>
      <c t="s" s="6" r="AN1277">
        <v>92</v>
      </c>
      <c s="6" r="AP1277">
        <v>7</v>
      </c>
      <c t="s" s="6" r="AR1277">
        <v>9221</v>
      </c>
      <c s="6" r="AS1277">
        <v>0</v>
      </c>
      <c s="6" r="AT1277">
        <v>0</v>
      </c>
      <c s="6" r="AU1277">
        <v>0</v>
      </c>
      <c s="6" r="AV1277">
        <v>0</v>
      </c>
      <c s="6" r="AW1277">
        <v>0</v>
      </c>
      <c s="6" r="AX1277">
        <v>0</v>
      </c>
      <c s="6" r="AY1277">
        <v>0</v>
      </c>
      <c s="6" r="AZ1277">
        <v>0</v>
      </c>
      <c s="6" r="BA1277">
        <v>0</v>
      </c>
      <c s="6" r="BB1277">
        <v>0</v>
      </c>
      <c s="6" r="BC1277">
        <v>0</v>
      </c>
      <c s="6" r="BD1277">
        <v>0</v>
      </c>
      <c s="6" r="BE1277">
        <v>0</v>
      </c>
      <c s="6" r="BF1277">
        <v>0</v>
      </c>
      <c s="6" r="BG1277">
        <v>0</v>
      </c>
      <c s="6" r="BH1277">
        <v>0</v>
      </c>
      <c s="6" r="BI1277">
        <v>0</v>
      </c>
      <c s="6" r="BJ1277">
        <v>0</v>
      </c>
      <c s="6" r="BK1277">
        <v>0</v>
      </c>
      <c s="6" r="BL1277">
        <v>0</v>
      </c>
      <c s="6" r="BM1277">
        <v>0</v>
      </c>
      <c s="6" r="BN1277">
        <v>0</v>
      </c>
      <c s="6" r="BO1277">
        <v>0</v>
      </c>
      <c s="6" r="BP1277">
        <v>0</v>
      </c>
      <c s="6" r="BQ1277">
        <v>0</v>
      </c>
      <c t="str" s="6" r="BR1277">
        <f>HYPERLINK("http://www.d20pfsrd.com/magic/all-spells/a/arcane-cannon","Arcane Cannon")</f>
        <v>Arcane Cannon</v>
      </c>
      <c s="6" r="BS1277">
        <v>1300</v>
      </c>
      <c s="6" r="BT1277">
        <v>5000</v>
      </c>
      <c s="6" r="BY1277">
        <v>0</v>
      </c>
    </row>
    <row customHeight="1" r="1278" ht="14.25">
      <c t="s" s="6" r="A1278">
        <v>9222</v>
      </c>
      <c t="s" s="6" r="B1278">
        <v>115</v>
      </c>
      <c t="s" s="6" r="C1278">
        <v>116</v>
      </c>
      <c t="s" s="6" r="E1278">
        <v>9223</v>
      </c>
      <c t="s" s="6" r="F1278">
        <v>81</v>
      </c>
      <c t="s" s="6" r="G1278">
        <v>9224</v>
      </c>
      <c s="6" r="H1278">
        <v>0</v>
      </c>
      <c t="s" s="6" r="I1278">
        <v>107</v>
      </c>
      <c t="s" s="6" r="L1278">
        <v>1235</v>
      </c>
      <c t="s" s="6" r="M1278">
        <v>2718</v>
      </c>
      <c s="6" r="N1278">
        <v>0</v>
      </c>
      <c s="6" r="O1278">
        <v>0</v>
      </c>
      <c t="s" s="6" r="P1278">
        <v>421</v>
      </c>
      <c t="s" s="6" r="Q1278">
        <v>123</v>
      </c>
      <c t="s" s="6" r="R1278">
        <v>9225</v>
      </c>
      <c t="s" s="6" r="S1278">
        <v>9226</v>
      </c>
      <c t="s" s="6" r="T1278">
        <v>9149</v>
      </c>
      <c t="s" s="6" r="U1278">
        <v>9227</v>
      </c>
      <c s="6" r="V1278">
        <v>1</v>
      </c>
      <c s="6" r="W1278">
        <v>1</v>
      </c>
      <c s="6" r="X1278">
        <v>1</v>
      </c>
      <c s="6" r="Y1278">
        <v>0</v>
      </c>
      <c s="6" r="Z1278">
        <v>0</v>
      </c>
      <c s="6" r="AA1278">
        <v>2</v>
      </c>
      <c s="6" r="AB1278">
        <v>2</v>
      </c>
      <c s="6" r="AC1278">
        <v>2</v>
      </c>
      <c t="s" s="6" r="AD1278">
        <v>92</v>
      </c>
      <c t="s" s="6" r="AE1278">
        <v>92</v>
      </c>
      <c t="s" s="6" r="AF1278">
        <v>92</v>
      </c>
      <c s="6" r="AG1278">
        <v>2</v>
      </c>
      <c s="6" r="AH1278">
        <v>2</v>
      </c>
      <c t="s" s="6" r="AI1278">
        <v>92</v>
      </c>
      <c s="6" r="AJ1278">
        <v>2</v>
      </c>
      <c s="6" r="AK1278">
        <v>2</v>
      </c>
      <c s="6" r="AL1278">
        <v>2</v>
      </c>
      <c s="6" r="AM1278">
        <v>2</v>
      </c>
      <c s="6" r="AN1278">
        <v>2</v>
      </c>
      <c s="6" r="AP1278">
        <v>2</v>
      </c>
      <c t="s" s="6" r="AR1278">
        <v>9228</v>
      </c>
      <c s="6" r="AS1278">
        <v>0</v>
      </c>
      <c s="6" r="AT1278">
        <v>0</v>
      </c>
      <c s="6" r="AU1278">
        <v>0</v>
      </c>
      <c s="6" r="AV1278">
        <v>0</v>
      </c>
      <c s="6" r="AW1278">
        <v>0</v>
      </c>
      <c s="6" r="AX1278">
        <v>0</v>
      </c>
      <c s="6" r="AY1278">
        <v>0</v>
      </c>
      <c s="6" r="AZ1278">
        <v>0</v>
      </c>
      <c s="6" r="BA1278">
        <v>0</v>
      </c>
      <c s="6" r="BB1278">
        <v>0</v>
      </c>
      <c s="6" r="BC1278">
        <v>0</v>
      </c>
      <c s="6" r="BD1278">
        <v>0</v>
      </c>
      <c s="6" r="BE1278">
        <v>0</v>
      </c>
      <c s="6" r="BF1278">
        <v>0</v>
      </c>
      <c s="6" r="BG1278">
        <v>0</v>
      </c>
      <c s="6" r="BH1278">
        <v>0</v>
      </c>
      <c s="6" r="BI1278">
        <v>0</v>
      </c>
      <c s="6" r="BJ1278">
        <v>0</v>
      </c>
      <c s="6" r="BK1278">
        <v>0</v>
      </c>
      <c s="6" r="BL1278">
        <v>0</v>
      </c>
      <c s="6" r="BM1278">
        <v>0</v>
      </c>
      <c s="6" r="BN1278">
        <v>0</v>
      </c>
      <c s="6" r="BO1278">
        <v>0</v>
      </c>
      <c s="6" r="BP1278">
        <v>0</v>
      </c>
      <c s="6" r="BQ1278">
        <v>0</v>
      </c>
      <c t="str" s="6" r="BR1278">
        <f>HYPERLINK("http://www.d20pfsrd.com/magic/all-spells/b/bestow-weapon-proficiency","Bestow Weapon Proficiency")</f>
        <v>Bestow Weapon Proficiency</v>
      </c>
      <c s="6" r="BS1278">
        <v>1301</v>
      </c>
      <c t="s" s="6" r="BT1278">
        <v>92</v>
      </c>
      <c s="6" r="BY1278">
        <v>0</v>
      </c>
    </row>
    <row customHeight="1" r="1279" ht="14.25">
      <c t="s" s="6" r="A1279">
        <v>9229</v>
      </c>
      <c t="s" s="6" r="B1279">
        <v>493</v>
      </c>
      <c t="s" s="6" r="D1279">
        <v>9230</v>
      </c>
      <c t="s" s="6" r="E1279">
        <v>9231</v>
      </c>
      <c t="s" s="6" r="F1279">
        <v>81</v>
      </c>
      <c t="s" s="6" r="G1279">
        <v>106</v>
      </c>
      <c s="6" r="H1279">
        <v>0</v>
      </c>
      <c t="s" s="6" r="I1279">
        <v>155</v>
      </c>
      <c t="s" s="6" r="J1279">
        <v>9232</v>
      </c>
      <c t="s" s="6" r="M1279">
        <v>109</v>
      </c>
      <c s="6" r="N1279">
        <v>0</v>
      </c>
      <c s="6" r="O1279">
        <v>0</v>
      </c>
      <c t="s" s="6" r="P1279">
        <v>5524</v>
      </c>
      <c t="s" s="6" r="Q1279">
        <v>9233</v>
      </c>
      <c t="s" s="6" r="R1279">
        <v>9234</v>
      </c>
      <c t="s" s="6" r="S1279">
        <v>9235</v>
      </c>
      <c t="s" s="6" r="T1279">
        <v>9149</v>
      </c>
      <c t="s" s="6" r="U1279">
        <v>9236</v>
      </c>
      <c s="6" r="V1279">
        <v>1</v>
      </c>
      <c s="6" r="W1279">
        <v>1</v>
      </c>
      <c s="6" r="X1279">
        <v>0</v>
      </c>
      <c s="6" r="Y1279">
        <v>0</v>
      </c>
      <c s="6" r="Z1279">
        <v>0</v>
      </c>
      <c t="s" s="6" r="AA1279">
        <v>92</v>
      </c>
      <c t="s" s="6" r="AB1279">
        <v>92</v>
      </c>
      <c t="s" s="6" r="AC1279">
        <v>92</v>
      </c>
      <c t="s" s="6" r="AD1279">
        <v>92</v>
      </c>
      <c t="s" s="6" r="AE1279">
        <v>92</v>
      </c>
      <c s="6" r="AF1279">
        <v>2</v>
      </c>
      <c t="s" s="6" r="AG1279">
        <v>92</v>
      </c>
      <c s="6" r="AH1279">
        <v>2</v>
      </c>
      <c t="s" s="6" r="AI1279">
        <v>92</v>
      </c>
      <c t="s" s="6" r="AJ1279">
        <v>92</v>
      </c>
      <c s="6" r="AK1279">
        <v>2</v>
      </c>
      <c t="s" s="6" r="AL1279">
        <v>92</v>
      </c>
      <c t="s" s="6" r="AM1279">
        <v>92</v>
      </c>
      <c t="s" s="6" r="AN1279">
        <v>92</v>
      </c>
      <c s="6" r="AP1279">
        <v>2</v>
      </c>
      <c t="s" s="6" r="AR1279">
        <v>9237</v>
      </c>
      <c s="6" r="AS1279">
        <v>0</v>
      </c>
      <c s="6" r="AT1279">
        <v>0</v>
      </c>
      <c s="6" r="AU1279">
        <v>0</v>
      </c>
      <c s="6" r="AV1279">
        <v>0</v>
      </c>
      <c s="6" r="AW1279">
        <v>0</v>
      </c>
      <c s="6" r="AX1279">
        <v>0</v>
      </c>
      <c s="6" r="AY1279">
        <v>0</v>
      </c>
      <c s="6" r="AZ1279">
        <v>0</v>
      </c>
      <c s="6" r="BA1279">
        <v>0</v>
      </c>
      <c s="6" r="BB1279">
        <v>0</v>
      </c>
      <c s="6" r="BC1279">
        <v>0</v>
      </c>
      <c s="6" r="BD1279">
        <v>0</v>
      </c>
      <c s="6" r="BE1279">
        <v>0</v>
      </c>
      <c s="6" r="BF1279">
        <v>1</v>
      </c>
      <c s="6" r="BG1279">
        <v>0</v>
      </c>
      <c s="6" r="BH1279">
        <v>0</v>
      </c>
      <c s="6" r="BI1279">
        <v>1</v>
      </c>
      <c s="6" r="BJ1279">
        <v>0</v>
      </c>
      <c s="6" r="BK1279">
        <v>0</v>
      </c>
      <c s="6" r="BL1279">
        <v>0</v>
      </c>
      <c s="6" r="BM1279">
        <v>0</v>
      </c>
      <c s="6" r="BN1279">
        <v>0</v>
      </c>
      <c s="6" r="BO1279">
        <v>0</v>
      </c>
      <c s="6" r="BP1279">
        <v>0</v>
      </c>
      <c s="6" r="BQ1279">
        <v>0</v>
      </c>
      <c t="str" s="6" r="BR1279">
        <f>HYPERLINK("http://www.d20pfsrd.com/magic/all-spells/b/blistering-invective","Blistering Invective")</f>
        <v>Blistering Invective</v>
      </c>
      <c s="6" r="BS1279">
        <v>1302</v>
      </c>
      <c t="s" s="6" r="BT1279">
        <v>92</v>
      </c>
      <c t="s" s="6" r="BW1279">
        <v>9238</v>
      </c>
      <c t="s" s="6" r="BX1279">
        <v>9239</v>
      </c>
      <c s="6" r="BY1279">
        <v>1</v>
      </c>
    </row>
    <row customHeight="1" r="1280" ht="14.25">
      <c t="s" s="6" r="A1280">
        <v>9240</v>
      </c>
      <c t="s" s="6" r="B1280">
        <v>131</v>
      </c>
      <c t="s" s="6" r="E1280">
        <v>9241</v>
      </c>
      <c t="s" s="6" r="F1280">
        <v>5881</v>
      </c>
      <c t="s" s="6" r="G1280">
        <v>251</v>
      </c>
      <c s="6" r="H1280">
        <v>0</v>
      </c>
      <c t="s" s="6" r="I1280">
        <v>155</v>
      </c>
      <c t="s" s="6" r="L1280">
        <v>9242</v>
      </c>
      <c t="s" s="6" r="M1280">
        <v>483</v>
      </c>
      <c s="6" r="N1280">
        <v>1</v>
      </c>
      <c s="6" r="O1280">
        <v>0</v>
      </c>
      <c t="s" s="6" r="P1280">
        <v>144</v>
      </c>
      <c t="s" s="6" r="Q1280">
        <v>145</v>
      </c>
      <c t="s" s="6" r="R1280">
        <v>9243</v>
      </c>
      <c t="s" s="6" r="S1280">
        <v>9244</v>
      </c>
      <c t="s" s="6" r="T1280">
        <v>9149</v>
      </c>
      <c t="s" s="6" r="U1280">
        <v>9245</v>
      </c>
      <c s="6" r="V1280">
        <v>1</v>
      </c>
      <c s="6" r="W1280">
        <v>0</v>
      </c>
      <c s="6" r="X1280">
        <v>0</v>
      </c>
      <c s="6" r="Y1280">
        <v>0</v>
      </c>
      <c s="6" r="Z1280">
        <v>0</v>
      </c>
      <c t="s" s="6" r="AA1280">
        <v>92</v>
      </c>
      <c t="s" s="6" r="AB1280">
        <v>92</v>
      </c>
      <c t="s" s="6" r="AC1280">
        <v>92</v>
      </c>
      <c t="s" s="6" r="AD1280">
        <v>92</v>
      </c>
      <c s="6" r="AE1280">
        <v>1</v>
      </c>
      <c t="s" s="6" r="AF1280">
        <v>92</v>
      </c>
      <c s="6" r="AG1280">
        <v>1</v>
      </c>
      <c t="s" s="6" r="AH1280">
        <v>92</v>
      </c>
      <c t="s" s="6" r="AI1280">
        <v>92</v>
      </c>
      <c t="s" s="6" r="AJ1280">
        <v>92</v>
      </c>
      <c s="6" r="AK1280">
        <v>1</v>
      </c>
      <c t="s" s="6" r="AL1280">
        <v>92</v>
      </c>
      <c t="s" s="6" r="AM1280">
        <v>92</v>
      </c>
      <c t="s" s="6" r="AN1280">
        <v>92</v>
      </c>
      <c s="6" r="AP1280">
        <v>1</v>
      </c>
      <c t="s" s="6" r="AR1280">
        <v>9246</v>
      </c>
      <c s="6" r="AS1280">
        <v>0</v>
      </c>
      <c s="6" r="AT1280">
        <v>0</v>
      </c>
      <c s="6" r="AU1280">
        <v>0</v>
      </c>
      <c s="6" r="AV1280">
        <v>0</v>
      </c>
      <c s="6" r="AW1280">
        <v>0</v>
      </c>
      <c s="6" r="AX1280">
        <v>0</v>
      </c>
      <c s="6" r="AY1280">
        <v>0</v>
      </c>
      <c s="6" r="AZ1280">
        <v>0</v>
      </c>
      <c s="6" r="BA1280">
        <v>0</v>
      </c>
      <c s="6" r="BB1280">
        <v>0</v>
      </c>
      <c s="6" r="BC1280">
        <v>0</v>
      </c>
      <c s="6" r="BD1280">
        <v>0</v>
      </c>
      <c s="6" r="BE1280">
        <v>0</v>
      </c>
      <c s="6" r="BF1280">
        <v>0</v>
      </c>
      <c s="6" r="BG1280">
        <v>0</v>
      </c>
      <c s="6" r="BH1280">
        <v>0</v>
      </c>
      <c s="6" r="BI1280">
        <v>0</v>
      </c>
      <c s="6" r="BJ1280">
        <v>0</v>
      </c>
      <c s="6" r="BK1280">
        <v>0</v>
      </c>
      <c s="6" r="BL1280">
        <v>0</v>
      </c>
      <c s="6" r="BM1280">
        <v>0</v>
      </c>
      <c s="6" r="BN1280">
        <v>0</v>
      </c>
      <c s="6" r="BO1280">
        <v>0</v>
      </c>
      <c s="6" r="BP1280">
        <v>0</v>
      </c>
      <c s="6" r="BQ1280">
        <v>0</v>
      </c>
      <c t="str" s="6" r="BR1280">
        <f>HYPERLINK("http://www.d20pfsrd.com/magic/all-spells/b/bowstaff","Bowstaff")</f>
        <v>Bowstaff</v>
      </c>
      <c s="6" r="BS1280">
        <v>1303</v>
      </c>
      <c t="s" s="6" r="BT1280">
        <v>92</v>
      </c>
      <c s="6" r="BY1280">
        <v>0</v>
      </c>
    </row>
    <row customHeight="1" r="1281" ht="14.25">
      <c t="s" s="6" r="A1281">
        <v>9247</v>
      </c>
      <c t="s" s="6" r="B1281">
        <v>227</v>
      </c>
      <c t="s" s="6" r="E1281">
        <v>9248</v>
      </c>
      <c t="s" s="6" r="F1281">
        <v>81</v>
      </c>
      <c t="s" s="6" r="G1281">
        <v>106</v>
      </c>
      <c s="6" r="H1281">
        <v>0</v>
      </c>
      <c t="s" s="6" r="I1281">
        <v>120</v>
      </c>
      <c t="s" s="6" r="J1281">
        <v>9249</v>
      </c>
      <c t="s" s="6" r="M1281">
        <v>6116</v>
      </c>
      <c s="6" r="N1281">
        <v>0</v>
      </c>
      <c s="6" r="O1281">
        <v>0</v>
      </c>
      <c t="s" s="6" r="P1281">
        <v>144</v>
      </c>
      <c t="s" s="6" r="Q1281">
        <v>145</v>
      </c>
      <c t="s" s="6" r="R1281">
        <v>9250</v>
      </c>
      <c t="s" s="6" r="S1281">
        <v>9251</v>
      </c>
      <c t="s" s="6" r="T1281">
        <v>9149</v>
      </c>
      <c t="s" s="6" r="U1281">
        <v>9252</v>
      </c>
      <c s="6" r="V1281">
        <v>1</v>
      </c>
      <c s="6" r="W1281">
        <v>1</v>
      </c>
      <c s="6" r="X1281">
        <v>0</v>
      </c>
      <c s="6" r="Y1281">
        <v>0</v>
      </c>
      <c s="6" r="Z1281">
        <v>0</v>
      </c>
      <c s="6" r="AA1281">
        <v>2</v>
      </c>
      <c s="6" r="AB1281">
        <v>2</v>
      </c>
      <c t="s" s="6" r="AC1281">
        <v>92</v>
      </c>
      <c t="s" s="6" r="AD1281">
        <v>92</v>
      </c>
      <c s="6" r="AE1281">
        <v>2</v>
      </c>
      <c t="s" s="6" r="AF1281">
        <v>92</v>
      </c>
      <c t="s" s="6" r="AG1281">
        <v>92</v>
      </c>
      <c t="s" s="6" r="AH1281">
        <v>92</v>
      </c>
      <c t="s" s="6" r="AI1281">
        <v>92</v>
      </c>
      <c t="s" s="6" r="AJ1281">
        <v>92</v>
      </c>
      <c s="6" r="AK1281">
        <v>2</v>
      </c>
      <c t="s" s="6" r="AL1281">
        <v>92</v>
      </c>
      <c t="s" s="6" r="AM1281">
        <v>92</v>
      </c>
      <c s="6" r="AN1281">
        <v>2</v>
      </c>
      <c s="6" r="AP1281">
        <v>2</v>
      </c>
      <c t="s" s="6" r="AR1281">
        <v>9253</v>
      </c>
      <c s="6" r="AS1281">
        <v>0</v>
      </c>
      <c s="6" r="AT1281">
        <v>0</v>
      </c>
      <c s="6" r="AU1281">
        <v>0</v>
      </c>
      <c s="6" r="AV1281">
        <v>0</v>
      </c>
      <c s="6" r="AW1281">
        <v>0</v>
      </c>
      <c s="6" r="AX1281">
        <v>0</v>
      </c>
      <c s="6" r="AY1281">
        <v>0</v>
      </c>
      <c s="6" r="AZ1281">
        <v>0</v>
      </c>
      <c s="6" r="BA1281">
        <v>0</v>
      </c>
      <c s="6" r="BB1281">
        <v>0</v>
      </c>
      <c s="6" r="BC1281">
        <v>0</v>
      </c>
      <c s="6" r="BD1281">
        <v>0</v>
      </c>
      <c s="6" r="BE1281">
        <v>0</v>
      </c>
      <c s="6" r="BF1281">
        <v>0</v>
      </c>
      <c s="6" r="BG1281">
        <v>0</v>
      </c>
      <c s="6" r="BH1281">
        <v>0</v>
      </c>
      <c s="6" r="BI1281">
        <v>0</v>
      </c>
      <c s="6" r="BJ1281">
        <v>0</v>
      </c>
      <c s="6" r="BK1281">
        <v>0</v>
      </c>
      <c s="6" r="BL1281">
        <v>0</v>
      </c>
      <c s="6" r="BM1281">
        <v>0</v>
      </c>
      <c s="6" r="BN1281">
        <v>0</v>
      </c>
      <c s="6" r="BO1281">
        <v>0</v>
      </c>
      <c s="6" r="BP1281">
        <v>0</v>
      </c>
      <c s="6" r="BQ1281">
        <v>0</v>
      </c>
      <c t="str" s="6" r="BR1281">
        <f>HYPERLINK("http://www.d20pfsrd.com/magic/all-spells/b/brow-gasher","Brow Gasher")</f>
        <v>Brow Gasher</v>
      </c>
      <c s="6" r="BS1281">
        <v>1304</v>
      </c>
      <c t="s" s="6" r="BT1281">
        <v>92</v>
      </c>
      <c s="6" r="BY1281">
        <v>0</v>
      </c>
    </row>
    <row customHeight="1" r="1282" ht="14.25">
      <c t="s" s="6" r="A1282">
        <v>9254</v>
      </c>
      <c t="s" s="6" r="B1282">
        <v>162</v>
      </c>
      <c t="s" s="6" r="E1282">
        <v>9255</v>
      </c>
      <c t="s" s="6" r="F1282">
        <v>81</v>
      </c>
      <c t="s" s="6" r="G1282">
        <v>9256</v>
      </c>
      <c s="6" r="H1282">
        <v>0</v>
      </c>
      <c t="s" s="6" r="I1282">
        <v>120</v>
      </c>
      <c t="s" s="6" r="L1282">
        <v>420</v>
      </c>
      <c t="s" s="6" r="M1282">
        <v>5954</v>
      </c>
      <c s="6" r="N1282">
        <v>1</v>
      </c>
      <c s="6" r="O1282">
        <v>0</v>
      </c>
      <c t="s" s="6" r="P1282">
        <v>421</v>
      </c>
      <c t="s" s="6" r="Q1282">
        <v>123</v>
      </c>
      <c t="s" s="6" r="R1282">
        <v>9257</v>
      </c>
      <c t="s" s="6" r="S1282">
        <v>9258</v>
      </c>
      <c t="s" s="6" r="T1282">
        <v>9149</v>
      </c>
      <c t="s" s="6" r="U1282">
        <v>9259</v>
      </c>
      <c s="6" r="V1282">
        <v>1</v>
      </c>
      <c s="6" r="W1282">
        <v>1</v>
      </c>
      <c s="6" r="X1282">
        <v>1</v>
      </c>
      <c s="6" r="Y1282">
        <v>0</v>
      </c>
      <c s="6" r="Z1282">
        <v>0</v>
      </c>
      <c s="6" r="AA1282">
        <v>2</v>
      </c>
      <c s="6" r="AB1282">
        <v>2</v>
      </c>
      <c t="s" s="6" r="AC1282">
        <v>92</v>
      </c>
      <c t="s" s="6" r="AD1282">
        <v>92</v>
      </c>
      <c t="s" s="6" r="AE1282">
        <v>92</v>
      </c>
      <c t="s" s="6" r="AF1282">
        <v>92</v>
      </c>
      <c t="s" s="6" r="AG1282">
        <v>92</v>
      </c>
      <c s="6" r="AH1282">
        <v>2</v>
      </c>
      <c t="s" s="6" r="AI1282">
        <v>92</v>
      </c>
      <c t="s" s="6" r="AJ1282">
        <v>92</v>
      </c>
      <c t="s" s="6" r="AK1282">
        <v>92</v>
      </c>
      <c t="s" s="6" r="AL1282">
        <v>92</v>
      </c>
      <c t="s" s="6" r="AM1282">
        <v>92</v>
      </c>
      <c t="s" s="6" r="AN1282">
        <v>92</v>
      </c>
      <c s="6" r="AP1282">
        <v>2</v>
      </c>
      <c t="s" s="6" r="AR1282">
        <v>9260</v>
      </c>
      <c s="6" r="AS1282">
        <v>0</v>
      </c>
      <c s="6" r="AT1282">
        <v>0</v>
      </c>
      <c s="6" r="AU1282">
        <v>0</v>
      </c>
      <c s="6" r="AV1282">
        <v>0</v>
      </c>
      <c s="6" r="AW1282">
        <v>0</v>
      </c>
      <c s="6" r="AX1282">
        <v>0</v>
      </c>
      <c s="6" r="AY1282">
        <v>0</v>
      </c>
      <c s="6" r="AZ1282">
        <v>0</v>
      </c>
      <c s="6" r="BA1282">
        <v>0</v>
      </c>
      <c s="6" r="BB1282">
        <v>0</v>
      </c>
      <c s="6" r="BC1282">
        <v>0</v>
      </c>
      <c s="6" r="BD1282">
        <v>0</v>
      </c>
      <c s="6" r="BE1282">
        <v>0</v>
      </c>
      <c s="6" r="BF1282">
        <v>0</v>
      </c>
      <c s="6" r="BG1282">
        <v>0</v>
      </c>
      <c s="6" r="BH1282">
        <v>0</v>
      </c>
      <c s="6" r="BI1282">
        <v>0</v>
      </c>
      <c s="6" r="BJ1282">
        <v>0</v>
      </c>
      <c s="6" r="BK1282">
        <v>0</v>
      </c>
      <c s="6" r="BL1282">
        <v>0</v>
      </c>
      <c s="6" r="BM1282">
        <v>0</v>
      </c>
      <c s="6" r="BN1282">
        <v>0</v>
      </c>
      <c s="6" r="BO1282">
        <v>0</v>
      </c>
      <c s="6" r="BP1282">
        <v>0</v>
      </c>
      <c s="6" r="BQ1282">
        <v>0</v>
      </c>
      <c t="str" s="6" r="BR1282">
        <f>HYPERLINK("http://www.d20pfsrd.com/magic/all-spells/b/bullet-shield","Bullet Shield")</f>
        <v>Bullet Shield</v>
      </c>
      <c s="6" r="BS1282">
        <v>1305</v>
      </c>
      <c t="s" s="6" r="BT1282">
        <v>92</v>
      </c>
      <c s="6" r="BY1282">
        <v>0</v>
      </c>
    </row>
    <row customHeight="1" r="1283" ht="14.25">
      <c t="s" s="6" r="A1283">
        <v>9261</v>
      </c>
      <c t="s" s="6" r="B1283">
        <v>131</v>
      </c>
      <c t="s" s="6" r="E1283">
        <v>9262</v>
      </c>
      <c t="s" s="6" r="F1283">
        <v>5881</v>
      </c>
      <c t="s" s="6" r="G1283">
        <v>251</v>
      </c>
      <c s="6" r="H1283">
        <v>0</v>
      </c>
      <c t="s" s="6" r="I1283">
        <v>155</v>
      </c>
      <c t="s" s="6" r="L1283">
        <v>156</v>
      </c>
      <c t="s" s="6" r="M1283">
        <v>141</v>
      </c>
      <c s="6" r="N1283">
        <v>0</v>
      </c>
      <c s="6" r="O1283">
        <v>0</v>
      </c>
      <c t="s" s="6" r="R1283">
        <v>9263</v>
      </c>
      <c t="s" s="6" r="S1283">
        <v>9264</v>
      </c>
      <c t="s" s="6" r="T1283">
        <v>9149</v>
      </c>
      <c t="s" s="6" r="U1283">
        <v>9265</v>
      </c>
      <c s="6" r="V1283">
        <v>1</v>
      </c>
      <c s="6" r="W1283">
        <v>0</v>
      </c>
      <c s="6" r="X1283">
        <v>0</v>
      </c>
      <c s="6" r="Y1283">
        <v>0</v>
      </c>
      <c s="6" r="Z1283">
        <v>0</v>
      </c>
      <c t="s" s="6" r="AA1283">
        <v>92</v>
      </c>
      <c t="s" s="6" r="AB1283">
        <v>92</v>
      </c>
      <c t="s" s="6" r="AC1283">
        <v>92</v>
      </c>
      <c t="s" s="6" r="AD1283">
        <v>92</v>
      </c>
      <c s="6" r="AE1283">
        <v>3</v>
      </c>
      <c t="s" s="6" r="AF1283">
        <v>92</v>
      </c>
      <c s="6" r="AG1283">
        <v>3</v>
      </c>
      <c s="6" r="AH1283">
        <v>3</v>
      </c>
      <c t="s" s="6" r="AI1283">
        <v>92</v>
      </c>
      <c t="s" s="6" r="AJ1283">
        <v>92</v>
      </c>
      <c s="6" r="AK1283">
        <v>3</v>
      </c>
      <c t="s" s="6" r="AL1283">
        <v>92</v>
      </c>
      <c s="6" r="AM1283">
        <v>3</v>
      </c>
      <c s="6" r="AN1283">
        <v>3</v>
      </c>
      <c s="6" r="AP1283">
        <v>3</v>
      </c>
      <c t="s" s="6" r="AR1283">
        <v>9266</v>
      </c>
      <c s="6" r="AS1283">
        <v>0</v>
      </c>
      <c s="6" r="AT1283">
        <v>0</v>
      </c>
      <c s="6" r="AU1283">
        <v>0</v>
      </c>
      <c s="6" r="AV1283">
        <v>0</v>
      </c>
      <c s="6" r="AW1283">
        <v>0</v>
      </c>
      <c s="6" r="AX1283">
        <v>0</v>
      </c>
      <c s="6" r="AY1283">
        <v>0</v>
      </c>
      <c s="6" r="AZ1283">
        <v>0</v>
      </c>
      <c s="6" r="BA1283">
        <v>0</v>
      </c>
      <c s="6" r="BB1283">
        <v>0</v>
      </c>
      <c s="6" r="BC1283">
        <v>0</v>
      </c>
      <c s="6" r="BD1283">
        <v>0</v>
      </c>
      <c s="6" r="BE1283">
        <v>0</v>
      </c>
      <c s="6" r="BF1283">
        <v>0</v>
      </c>
      <c s="6" r="BG1283">
        <v>0</v>
      </c>
      <c s="6" r="BH1283">
        <v>0</v>
      </c>
      <c s="6" r="BI1283">
        <v>0</v>
      </c>
      <c s="6" r="BJ1283">
        <v>0</v>
      </c>
      <c s="6" r="BK1283">
        <v>0</v>
      </c>
      <c s="6" r="BL1283">
        <v>0</v>
      </c>
      <c s="6" r="BM1283">
        <v>0</v>
      </c>
      <c s="6" r="BN1283">
        <v>0</v>
      </c>
      <c s="6" r="BO1283">
        <v>0</v>
      </c>
      <c s="6" r="BP1283">
        <v>0</v>
      </c>
      <c s="6" r="BQ1283">
        <v>0</v>
      </c>
      <c t="str" s="6" r="BR1283">
        <f>HYPERLINK("http://www.d20pfsrd.com/magic/all-spells/b/burst-of-speed","Burst of Speed")</f>
        <v>Burst of Speed</v>
      </c>
      <c s="6" r="BS1283">
        <v>1306</v>
      </c>
      <c t="s" s="6" r="BT1283">
        <v>92</v>
      </c>
      <c s="6" r="BY1283">
        <v>0</v>
      </c>
    </row>
    <row customHeight="1" r="1284" ht="14.25">
      <c t="s" s="6" r="A1284">
        <v>9267</v>
      </c>
      <c t="s" s="6" r="B1284">
        <v>493</v>
      </c>
      <c t="s" s="6" r="D1284">
        <v>58</v>
      </c>
      <c t="s" s="6" r="E1284">
        <v>6791</v>
      </c>
      <c t="s" s="6" r="F1284">
        <v>81</v>
      </c>
      <c t="s" s="6" r="G1284">
        <v>106</v>
      </c>
      <c s="6" r="H1284">
        <v>0</v>
      </c>
      <c t="s" s="6" r="I1284">
        <v>155</v>
      </c>
      <c t="s" s="6" r="L1284">
        <v>156</v>
      </c>
      <c t="s" s="6" r="M1284">
        <v>99</v>
      </c>
      <c s="6" r="N1284">
        <v>0</v>
      </c>
      <c s="6" r="O1284">
        <v>0</v>
      </c>
      <c t="s" s="6" r="R1284">
        <v>9268</v>
      </c>
      <c t="s" s="6" r="S1284">
        <v>9269</v>
      </c>
      <c t="s" s="6" r="T1284">
        <v>9149</v>
      </c>
      <c t="s" s="6" r="U1284">
        <v>9270</v>
      </c>
      <c s="6" r="V1284">
        <v>1</v>
      </c>
      <c s="6" r="W1284">
        <v>1</v>
      </c>
      <c s="6" r="X1284">
        <v>0</v>
      </c>
      <c s="6" r="Y1284">
        <v>0</v>
      </c>
      <c s="6" r="Z1284">
        <v>0</v>
      </c>
      <c t="s" s="6" r="AA1284">
        <v>92</v>
      </c>
      <c t="s" s="6" r="AB1284">
        <v>92</v>
      </c>
      <c t="s" s="6" r="AC1284">
        <v>92</v>
      </c>
      <c t="s" s="6" r="AD1284">
        <v>92</v>
      </c>
      <c t="s" s="6" r="AE1284">
        <v>92</v>
      </c>
      <c t="s" s="6" r="AF1284">
        <v>92</v>
      </c>
      <c t="s" s="6" r="AG1284">
        <v>92</v>
      </c>
      <c s="6" r="AH1284">
        <v>6</v>
      </c>
      <c t="s" s="6" r="AI1284">
        <v>92</v>
      </c>
      <c t="s" s="6" r="AJ1284">
        <v>92</v>
      </c>
      <c t="s" s="6" r="AK1284">
        <v>92</v>
      </c>
      <c t="s" s="6" r="AL1284">
        <v>92</v>
      </c>
      <c t="s" s="6" r="AM1284">
        <v>92</v>
      </c>
      <c t="s" s="6" r="AN1284">
        <v>92</v>
      </c>
      <c s="6" r="AP1284">
        <v>6</v>
      </c>
      <c t="s" s="6" r="AR1284">
        <v>9271</v>
      </c>
      <c s="6" r="AS1284">
        <v>0</v>
      </c>
      <c s="6" r="AT1284">
        <v>0</v>
      </c>
      <c s="6" r="AU1284">
        <v>0</v>
      </c>
      <c s="6" r="AV1284">
        <v>0</v>
      </c>
      <c s="6" r="AW1284">
        <v>0</v>
      </c>
      <c s="6" r="AX1284">
        <v>0</v>
      </c>
      <c s="6" r="AY1284">
        <v>0</v>
      </c>
      <c s="6" r="AZ1284">
        <v>0</v>
      </c>
      <c s="6" r="BA1284">
        <v>0</v>
      </c>
      <c s="6" r="BB1284">
        <v>0</v>
      </c>
      <c s="6" r="BC1284">
        <v>0</v>
      </c>
      <c s="6" r="BD1284">
        <v>0</v>
      </c>
      <c s="6" r="BE1284">
        <v>0</v>
      </c>
      <c s="6" r="BF1284">
        <v>0</v>
      </c>
      <c s="6" r="BG1284">
        <v>1</v>
      </c>
      <c s="6" r="BH1284">
        <v>0</v>
      </c>
      <c s="6" r="BI1284">
        <v>0</v>
      </c>
      <c s="6" r="BJ1284">
        <v>0</v>
      </c>
      <c s="6" r="BK1284">
        <v>0</v>
      </c>
      <c s="6" r="BL1284">
        <v>0</v>
      </c>
      <c s="6" r="BM1284">
        <v>0</v>
      </c>
      <c s="6" r="BN1284">
        <v>0</v>
      </c>
      <c s="6" r="BO1284">
        <v>0</v>
      </c>
      <c s="6" r="BP1284">
        <v>0</v>
      </c>
      <c s="6" r="BQ1284">
        <v>0</v>
      </c>
      <c t="str" s="6" r="BR1284">
        <f>HYPERLINK("http://www.d20pfsrd.com/magic/all-spells/c/caging-bomb-admixture","Caging Bomb Admixture")</f>
        <v>Caging Bomb Admixture</v>
      </c>
      <c s="6" r="BS1284">
        <v>1307</v>
      </c>
      <c t="s" s="6" r="BT1284">
        <v>92</v>
      </c>
      <c s="6" r="BY1284">
        <v>0</v>
      </c>
    </row>
    <row customHeight="1" r="1285" ht="14.25">
      <c t="s" s="6" r="A1285">
        <v>9272</v>
      </c>
      <c t="s" s="6" r="B1285">
        <v>131</v>
      </c>
      <c t="s" s="6" r="E1285">
        <v>8896</v>
      </c>
      <c t="s" s="6" r="F1285">
        <v>81</v>
      </c>
      <c t="s" s="6" r="G1285">
        <v>9273</v>
      </c>
      <c s="6" r="H1285">
        <v>0</v>
      </c>
      <c t="s" s="6" r="L1285">
        <v>420</v>
      </c>
      <c t="s" s="6" r="M1285">
        <v>5954</v>
      </c>
      <c s="6" r="N1285">
        <v>1</v>
      </c>
      <c s="6" r="O1285">
        <v>0</v>
      </c>
      <c t="s" s="6" r="P1285">
        <v>421</v>
      </c>
      <c t="s" s="6" r="Q1285">
        <v>123</v>
      </c>
      <c t="s" s="6" r="R1285">
        <v>9274</v>
      </c>
      <c t="s" s="6" r="S1285">
        <v>9275</v>
      </c>
      <c t="s" s="6" r="T1285">
        <v>9149</v>
      </c>
      <c t="s" s="6" r="U1285">
        <v>9276</v>
      </c>
      <c s="6" r="V1285">
        <v>1</v>
      </c>
      <c s="6" r="W1285">
        <v>1</v>
      </c>
      <c s="6" r="X1285">
        <v>1</v>
      </c>
      <c s="6" r="Y1285">
        <v>0</v>
      </c>
      <c s="6" r="Z1285">
        <v>1</v>
      </c>
      <c s="6" r="AA1285">
        <v>2</v>
      </c>
      <c s="6" r="AB1285">
        <v>2</v>
      </c>
      <c t="s" s="6" r="AC1285">
        <v>92</v>
      </c>
      <c s="6" r="AD1285">
        <v>2</v>
      </c>
      <c t="s" s="6" r="AE1285">
        <v>92</v>
      </c>
      <c t="s" s="6" r="AF1285">
        <v>92</v>
      </c>
      <c t="s" s="6" r="AG1285">
        <v>92</v>
      </c>
      <c s="6" r="AH1285">
        <v>2</v>
      </c>
      <c t="s" s="6" r="AI1285">
        <v>92</v>
      </c>
      <c t="s" s="6" r="AJ1285">
        <v>92</v>
      </c>
      <c t="s" s="6" r="AK1285">
        <v>92</v>
      </c>
      <c t="s" s="6" r="AL1285">
        <v>92</v>
      </c>
      <c t="s" s="6" r="AM1285">
        <v>92</v>
      </c>
      <c t="s" s="6" r="AN1285">
        <v>92</v>
      </c>
      <c s="6" r="AP1285">
        <v>2</v>
      </c>
      <c t="s" s="6" r="AR1285">
        <v>9277</v>
      </c>
      <c s="6" r="AS1285">
        <v>0</v>
      </c>
      <c s="6" r="AT1285">
        <v>0</v>
      </c>
      <c s="6" r="AU1285">
        <v>0</v>
      </c>
      <c s="6" r="AV1285">
        <v>0</v>
      </c>
      <c s="6" r="AW1285">
        <v>0</v>
      </c>
      <c s="6" r="AX1285">
        <v>0</v>
      </c>
      <c s="6" r="AY1285">
        <v>0</v>
      </c>
      <c s="6" r="AZ1285">
        <v>0</v>
      </c>
      <c s="6" r="BA1285">
        <v>0</v>
      </c>
      <c s="6" r="BB1285">
        <v>0</v>
      </c>
      <c s="6" r="BC1285">
        <v>0</v>
      </c>
      <c s="6" r="BD1285">
        <v>0</v>
      </c>
      <c s="6" r="BE1285">
        <v>0</v>
      </c>
      <c s="6" r="BF1285">
        <v>0</v>
      </c>
      <c s="6" r="BG1285">
        <v>0</v>
      </c>
      <c s="6" r="BH1285">
        <v>0</v>
      </c>
      <c s="6" r="BI1285">
        <v>0</v>
      </c>
      <c s="6" r="BJ1285">
        <v>0</v>
      </c>
      <c s="6" r="BK1285">
        <v>0</v>
      </c>
      <c s="6" r="BL1285">
        <v>0</v>
      </c>
      <c s="6" r="BM1285">
        <v>0</v>
      </c>
      <c s="6" r="BN1285">
        <v>0</v>
      </c>
      <c s="6" r="BO1285">
        <v>0</v>
      </c>
      <c s="6" r="BP1285">
        <v>0</v>
      </c>
      <c s="6" r="BQ1285">
        <v>0</v>
      </c>
      <c t="str" s="6" r="BR1285">
        <f>HYPERLINK("http://www.d20pfsrd.com/magic/all-spells/c/certain-grip","Certain Grip")</f>
        <v>Certain Grip</v>
      </c>
      <c s="6" r="BS1285">
        <v>1308</v>
      </c>
      <c t="s" s="6" r="BT1285">
        <v>92</v>
      </c>
      <c s="6" r="BY1285">
        <v>0</v>
      </c>
    </row>
    <row customHeight="1" r="1286" ht="14.25">
      <c t="s" s="6" r="A1286">
        <v>9278</v>
      </c>
      <c t="s" s="6" r="B1286">
        <v>493</v>
      </c>
      <c t="s" s="6" r="D1286">
        <v>58</v>
      </c>
      <c t="s" s="6" r="E1286">
        <v>9279</v>
      </c>
      <c t="s" s="6" r="F1286">
        <v>81</v>
      </c>
      <c t="s" s="6" r="G1286">
        <v>9280</v>
      </c>
      <c s="6" r="H1286">
        <v>0</v>
      </c>
      <c t="s" s="6" r="I1286">
        <v>107</v>
      </c>
      <c t="s" s="6" r="K1286">
        <v>9281</v>
      </c>
      <c t="s" s="6" r="M1286">
        <v>483</v>
      </c>
      <c s="6" r="N1286">
        <v>1</v>
      </c>
      <c s="6" r="O1286">
        <v>0</v>
      </c>
      <c t="s" s="6" r="P1286">
        <v>86</v>
      </c>
      <c t="s" s="6" r="Q1286">
        <v>188</v>
      </c>
      <c t="s" s="6" r="R1286">
        <v>9282</v>
      </c>
      <c t="s" s="6" r="S1286">
        <v>9283</v>
      </c>
      <c t="s" s="6" r="T1286">
        <v>9149</v>
      </c>
      <c t="s" s="6" r="U1286">
        <v>9284</v>
      </c>
      <c s="6" r="V1286">
        <v>1</v>
      </c>
      <c s="6" r="W1286">
        <v>1</v>
      </c>
      <c s="6" r="X1286">
        <v>1</v>
      </c>
      <c s="6" r="Y1286">
        <v>0</v>
      </c>
      <c s="6" r="Z1286">
        <v>1</v>
      </c>
      <c s="6" r="AA1286">
        <v>3</v>
      </c>
      <c s="6" r="AB1286">
        <v>3</v>
      </c>
      <c s="6" r="AC1286">
        <v>3</v>
      </c>
      <c t="s" s="6" r="AD1286">
        <v>92</v>
      </c>
      <c t="s" s="6" r="AE1286">
        <v>92</v>
      </c>
      <c t="s" s="6" r="AF1286">
        <v>92</v>
      </c>
      <c t="s" s="6" r="AG1286">
        <v>92</v>
      </c>
      <c t="s" s="6" r="AH1286">
        <v>92</v>
      </c>
      <c t="s" s="6" r="AI1286">
        <v>92</v>
      </c>
      <c t="s" s="6" r="AJ1286">
        <v>92</v>
      </c>
      <c t="s" s="6" r="AK1286">
        <v>92</v>
      </c>
      <c s="6" r="AL1286">
        <v>3</v>
      </c>
      <c t="s" s="6" r="AM1286">
        <v>92</v>
      </c>
      <c t="s" s="6" r="AN1286">
        <v>92</v>
      </c>
      <c s="6" r="AP1286">
        <v>3</v>
      </c>
      <c t="s" s="6" r="AR1286">
        <v>9285</v>
      </c>
      <c s="6" r="AS1286">
        <v>0</v>
      </c>
      <c s="6" r="AT1286">
        <v>0</v>
      </c>
      <c s="6" r="AU1286">
        <v>0</v>
      </c>
      <c s="6" r="AV1286">
        <v>0</v>
      </c>
      <c s="6" r="AW1286">
        <v>0</v>
      </c>
      <c s="6" r="AX1286">
        <v>0</v>
      </c>
      <c s="6" r="AY1286">
        <v>0</v>
      </c>
      <c s="6" r="AZ1286">
        <v>0</v>
      </c>
      <c s="6" r="BA1286">
        <v>0</v>
      </c>
      <c s="6" r="BB1286">
        <v>0</v>
      </c>
      <c s="6" r="BC1286">
        <v>0</v>
      </c>
      <c s="6" r="BD1286">
        <v>0</v>
      </c>
      <c s="6" r="BE1286">
        <v>0</v>
      </c>
      <c s="6" r="BF1286">
        <v>0</v>
      </c>
      <c s="6" r="BG1286">
        <v>1</v>
      </c>
      <c s="6" r="BH1286">
        <v>0</v>
      </c>
      <c s="6" r="BI1286">
        <v>0</v>
      </c>
      <c s="6" r="BJ1286">
        <v>0</v>
      </c>
      <c s="6" r="BK1286">
        <v>0</v>
      </c>
      <c s="6" r="BL1286">
        <v>0</v>
      </c>
      <c s="6" r="BM1286">
        <v>0</v>
      </c>
      <c s="6" r="BN1286">
        <v>0</v>
      </c>
      <c s="6" r="BO1286">
        <v>0</v>
      </c>
      <c s="6" r="BP1286">
        <v>0</v>
      </c>
      <c s="6" r="BQ1286">
        <v>0</v>
      </c>
      <c t="str" s="6" r="BR1286">
        <f>HYPERLINK("http://www.d20pfsrd.com/magic/all-spells/c/chain-of-perdition","Chain of Perdition")</f>
        <v>Chain of Perdition</v>
      </c>
      <c s="6" r="BS1286">
        <v>1309</v>
      </c>
      <c t="s" s="6" r="BT1286">
        <v>92</v>
      </c>
      <c s="6" r="BY1286">
        <v>0</v>
      </c>
    </row>
    <row customHeight="1" r="1287" ht="14.25">
      <c t="s" s="6" r="A1287">
        <v>9286</v>
      </c>
      <c t="s" s="6" r="B1287">
        <v>115</v>
      </c>
      <c t="s" s="6" r="C1287">
        <v>729</v>
      </c>
      <c t="s" s="6" r="E1287">
        <v>1366</v>
      </c>
      <c t="s" s="6" r="F1287">
        <v>81</v>
      </c>
      <c t="s" s="6" r="G1287">
        <v>106</v>
      </c>
      <c s="6" r="H1287">
        <v>0</v>
      </c>
      <c t="s" s="6" r="I1287">
        <v>107</v>
      </c>
      <c t="s" s="6" r="L1287">
        <v>9287</v>
      </c>
      <c t="s" s="6" r="M1287">
        <v>2718</v>
      </c>
      <c s="6" r="N1287">
        <v>0</v>
      </c>
      <c s="6" r="O1287">
        <v>0</v>
      </c>
      <c t="s" s="6" r="R1287">
        <v>9288</v>
      </c>
      <c t="s" s="6" r="S1287">
        <v>9289</v>
      </c>
      <c t="s" s="6" r="T1287">
        <v>9149</v>
      </c>
      <c t="s" s="6" r="U1287">
        <v>9290</v>
      </c>
      <c s="6" r="V1287">
        <v>1</v>
      </c>
      <c s="6" r="W1287">
        <v>1</v>
      </c>
      <c s="6" r="X1287">
        <v>0</v>
      </c>
      <c s="6" r="Y1287">
        <v>0</v>
      </c>
      <c s="6" r="Z1287">
        <v>0</v>
      </c>
      <c t="s" s="6" r="AA1287">
        <v>92</v>
      </c>
      <c t="s" s="6" r="AB1287">
        <v>92</v>
      </c>
      <c t="s" s="6" r="AC1287">
        <v>92</v>
      </c>
      <c s="6" r="AD1287">
        <v>3</v>
      </c>
      <c s="6" r="AE1287">
        <v>3</v>
      </c>
      <c t="s" s="6" r="AF1287">
        <v>92</v>
      </c>
      <c t="s" s="6" r="AG1287">
        <v>92</v>
      </c>
      <c t="s" s="6" r="AH1287">
        <v>92</v>
      </c>
      <c t="s" s="6" r="AI1287">
        <v>92</v>
      </c>
      <c t="s" s="6" r="AJ1287">
        <v>92</v>
      </c>
      <c t="s" s="6" r="AK1287">
        <v>92</v>
      </c>
      <c t="s" s="6" r="AL1287">
        <v>92</v>
      </c>
      <c t="s" s="6" r="AM1287">
        <v>92</v>
      </c>
      <c t="s" s="6" r="AN1287">
        <v>92</v>
      </c>
      <c s="6" r="AP1287">
        <v>3</v>
      </c>
      <c t="s" s="6" r="AR1287">
        <v>9291</v>
      </c>
      <c s="6" r="AS1287">
        <v>0</v>
      </c>
      <c s="6" r="AT1287">
        <v>0</v>
      </c>
      <c s="6" r="AU1287">
        <v>0</v>
      </c>
      <c s="6" r="AV1287">
        <v>0</v>
      </c>
      <c s="6" r="AW1287">
        <v>0</v>
      </c>
      <c s="6" r="AX1287">
        <v>0</v>
      </c>
      <c s="6" r="AY1287">
        <v>0</v>
      </c>
      <c s="6" r="AZ1287">
        <v>0</v>
      </c>
      <c s="6" r="BA1287">
        <v>0</v>
      </c>
      <c s="6" r="BB1287">
        <v>0</v>
      </c>
      <c s="6" r="BC1287">
        <v>0</v>
      </c>
      <c s="6" r="BD1287">
        <v>0</v>
      </c>
      <c s="6" r="BE1287">
        <v>0</v>
      </c>
      <c s="6" r="BF1287">
        <v>0</v>
      </c>
      <c s="6" r="BG1287">
        <v>0</v>
      </c>
      <c s="6" r="BH1287">
        <v>0</v>
      </c>
      <c s="6" r="BI1287">
        <v>0</v>
      </c>
      <c s="6" r="BJ1287">
        <v>0</v>
      </c>
      <c s="6" r="BK1287">
        <v>0</v>
      </c>
      <c s="6" r="BL1287">
        <v>0</v>
      </c>
      <c s="6" r="BM1287">
        <v>0</v>
      </c>
      <c s="6" r="BN1287">
        <v>0</v>
      </c>
      <c s="6" r="BO1287">
        <v>0</v>
      </c>
      <c s="6" r="BP1287">
        <v>0</v>
      </c>
      <c s="6" r="BQ1287">
        <v>0</v>
      </c>
      <c t="str" s="6" r="BR1287">
        <f>HYPERLINK("http://www.d20pfsrd.com/magic/all-spells/c/companion-mind-link","Companion Mind Link")</f>
        <v>Companion Mind Link</v>
      </c>
      <c s="6" r="BS1287">
        <v>1310</v>
      </c>
      <c t="s" s="6" r="BT1287">
        <v>92</v>
      </c>
      <c t="s" s="6" r="BW1287">
        <v>9292</v>
      </c>
      <c s="6" r="BY1287">
        <v>1</v>
      </c>
    </row>
    <row customHeight="1" r="1288" ht="14.25">
      <c t="s" s="6" r="A1288">
        <v>9293</v>
      </c>
      <c t="s" s="6" r="B1288">
        <v>115</v>
      </c>
      <c t="s" s="6" r="C1288">
        <v>116</v>
      </c>
      <c t="s" s="6" r="D1288">
        <v>117</v>
      </c>
      <c t="s" s="6" r="E1288">
        <v>9294</v>
      </c>
      <c t="s" s="6" r="F1288">
        <v>81</v>
      </c>
      <c t="s" s="6" r="G1288">
        <v>5126</v>
      </c>
      <c s="6" r="H1288">
        <v>0</v>
      </c>
      <c t="s" s="6" r="I1288">
        <v>155</v>
      </c>
      <c t="s" s="6" r="L1288">
        <v>156</v>
      </c>
      <c t="s" s="6" r="M1288">
        <v>99</v>
      </c>
      <c s="6" r="N1288">
        <v>0</v>
      </c>
      <c s="6" r="O1288">
        <v>0</v>
      </c>
      <c t="s" s="6" r="P1288">
        <v>141</v>
      </c>
      <c t="s" s="6" r="Q1288">
        <v>141</v>
      </c>
      <c t="s" s="6" r="R1288">
        <v>9295</v>
      </c>
      <c t="s" s="6" r="S1288">
        <v>9296</v>
      </c>
      <c t="s" s="6" r="T1288">
        <v>9149</v>
      </c>
      <c t="s" s="6" r="U1288">
        <v>9297</v>
      </c>
      <c s="6" r="V1288">
        <v>1</v>
      </c>
      <c s="6" r="W1288">
        <v>1</v>
      </c>
      <c s="6" r="X1288">
        <v>1</v>
      </c>
      <c s="6" r="Y1288">
        <v>0</v>
      </c>
      <c s="6" r="Z1288">
        <v>0</v>
      </c>
      <c t="s" s="6" r="AA1288">
        <v>92</v>
      </c>
      <c t="s" s="6" r="AB1288">
        <v>92</v>
      </c>
      <c s="6" r="AC1288">
        <v>1</v>
      </c>
      <c t="s" s="6" r="AD1288">
        <v>92</v>
      </c>
      <c s="6" r="AE1288">
        <v>1</v>
      </c>
      <c s="6" r="AF1288">
        <v>1</v>
      </c>
      <c s="6" r="AG1288">
        <v>1</v>
      </c>
      <c t="s" s="6" r="AH1288">
        <v>92</v>
      </c>
      <c s="6" r="AI1288">
        <v>1</v>
      </c>
      <c s="6" r="AJ1288">
        <v>1</v>
      </c>
      <c s="6" r="AK1288">
        <v>1</v>
      </c>
      <c s="6" r="AL1288">
        <v>1</v>
      </c>
      <c t="s" s="6" r="AM1288">
        <v>92</v>
      </c>
      <c t="s" s="6" r="AN1288">
        <v>92</v>
      </c>
      <c s="6" r="AP1288">
        <v>1</v>
      </c>
      <c t="s" s="6" r="AR1288">
        <v>9298</v>
      </c>
      <c s="6" r="AS1288">
        <v>0</v>
      </c>
      <c s="6" r="AT1288">
        <v>0</v>
      </c>
      <c s="6" r="AU1288">
        <v>0</v>
      </c>
      <c s="6" r="AV1288">
        <v>0</v>
      </c>
      <c s="6" r="AW1288">
        <v>0</v>
      </c>
      <c s="6" r="AX1288">
        <v>0</v>
      </c>
      <c s="6" r="AY1288">
        <v>0</v>
      </c>
      <c s="6" r="AZ1288">
        <v>0</v>
      </c>
      <c s="6" r="BA1288">
        <v>0</v>
      </c>
      <c s="6" r="BB1288">
        <v>0</v>
      </c>
      <c s="6" r="BC1288">
        <v>0</v>
      </c>
      <c s="6" r="BD1288">
        <v>0</v>
      </c>
      <c s="6" r="BE1288">
        <v>0</v>
      </c>
      <c s="6" r="BF1288">
        <v>0</v>
      </c>
      <c s="6" r="BG1288">
        <v>0</v>
      </c>
      <c s="6" r="BH1288">
        <v>0</v>
      </c>
      <c s="6" r="BI1288">
        <v>0</v>
      </c>
      <c s="6" r="BJ1288">
        <v>0</v>
      </c>
      <c s="6" r="BK1288">
        <v>0</v>
      </c>
      <c s="6" r="BL1288">
        <v>1</v>
      </c>
      <c s="6" r="BM1288">
        <v>0</v>
      </c>
      <c s="6" r="BN1288">
        <v>0</v>
      </c>
      <c s="6" r="BO1288">
        <v>0</v>
      </c>
      <c s="6" r="BP1288">
        <v>0</v>
      </c>
      <c s="6" r="BQ1288">
        <v>0</v>
      </c>
      <c t="str" s="6" r="BR1288">
        <f>HYPERLINK("http://www.d20pfsrd.com/magic/all-spells/c/compel-hostility","Compel Hostility")</f>
        <v>Compel Hostility</v>
      </c>
      <c s="6" r="BS1288">
        <v>1311</v>
      </c>
      <c t="s" s="6" r="BT1288">
        <v>92</v>
      </c>
      <c s="6" r="BY1288">
        <v>0</v>
      </c>
    </row>
    <row customHeight="1" r="1289" ht="14.25">
      <c t="s" s="6" r="A1289">
        <v>9299</v>
      </c>
      <c t="s" s="6" r="B1289">
        <v>131</v>
      </c>
      <c t="s" s="6" r="E1289">
        <v>9300</v>
      </c>
      <c t="s" s="6" r="F1289">
        <v>81</v>
      </c>
      <c t="s" s="6" r="G1289">
        <v>9301</v>
      </c>
      <c s="6" r="H1289">
        <v>0</v>
      </c>
      <c t="s" s="6" r="I1289">
        <v>107</v>
      </c>
      <c t="s" s="6" r="L1289">
        <v>9302</v>
      </c>
      <c t="s" s="6" r="M1289">
        <v>109</v>
      </c>
      <c s="6" r="N1289">
        <v>0</v>
      </c>
      <c s="6" r="O1289">
        <v>0</v>
      </c>
      <c t="s" s="6" r="P1289">
        <v>535</v>
      </c>
      <c t="s" s="6" r="Q1289">
        <v>536</v>
      </c>
      <c t="s" s="6" r="R1289">
        <v>9303</v>
      </c>
      <c t="s" s="6" r="S1289">
        <v>9304</v>
      </c>
      <c t="s" s="6" r="T1289">
        <v>9149</v>
      </c>
      <c t="s" s="6" r="U1289">
        <v>9305</v>
      </c>
      <c s="6" r="V1289">
        <v>1</v>
      </c>
      <c s="6" r="W1289">
        <v>1</v>
      </c>
      <c s="6" r="X1289">
        <v>1</v>
      </c>
      <c s="6" r="Y1289">
        <v>0</v>
      </c>
      <c s="6" r="Z1289">
        <v>1</v>
      </c>
      <c s="6" r="AA1289">
        <v>1</v>
      </c>
      <c s="6" r="AB1289">
        <v>1</v>
      </c>
      <c t="s" s="6" r="AC1289">
        <v>92</v>
      </c>
      <c s="6" r="AD1289">
        <v>1</v>
      </c>
      <c t="s" s="6" r="AE1289">
        <v>92</v>
      </c>
      <c t="s" s="6" r="AF1289">
        <v>92</v>
      </c>
      <c t="s" s="6" r="AG1289">
        <v>92</v>
      </c>
      <c t="s" s="6" r="AH1289">
        <v>92</v>
      </c>
      <c t="s" s="6" r="AI1289">
        <v>92</v>
      </c>
      <c s="6" r="AJ1289">
        <v>1</v>
      </c>
      <c t="s" s="6" r="AK1289">
        <v>92</v>
      </c>
      <c t="s" s="6" r="AL1289">
        <v>92</v>
      </c>
      <c t="s" s="6" r="AM1289">
        <v>92</v>
      </c>
      <c t="s" s="6" r="AN1289">
        <v>92</v>
      </c>
      <c s="6" r="AP1289">
        <v>1</v>
      </c>
      <c t="s" s="6" r="AR1289">
        <v>9306</v>
      </c>
      <c s="6" r="AS1289">
        <v>0</v>
      </c>
      <c s="6" r="AT1289">
        <v>0</v>
      </c>
      <c s="6" r="AU1289">
        <v>0</v>
      </c>
      <c s="6" r="AV1289">
        <v>0</v>
      </c>
      <c s="6" r="AW1289">
        <v>0</v>
      </c>
      <c s="6" r="AX1289">
        <v>0</v>
      </c>
      <c s="6" r="AY1289">
        <v>0</v>
      </c>
      <c s="6" r="AZ1289">
        <v>0</v>
      </c>
      <c s="6" r="BA1289">
        <v>0</v>
      </c>
      <c s="6" r="BB1289">
        <v>0</v>
      </c>
      <c s="6" r="BC1289">
        <v>0</v>
      </c>
      <c s="6" r="BD1289">
        <v>0</v>
      </c>
      <c s="6" r="BE1289">
        <v>0</v>
      </c>
      <c s="6" r="BF1289">
        <v>0</v>
      </c>
      <c s="6" r="BG1289">
        <v>0</v>
      </c>
      <c s="6" r="BH1289">
        <v>0</v>
      </c>
      <c s="6" r="BI1289">
        <v>0</v>
      </c>
      <c s="6" r="BJ1289">
        <v>0</v>
      </c>
      <c s="6" r="BK1289">
        <v>0</v>
      </c>
      <c s="6" r="BL1289">
        <v>0</v>
      </c>
      <c s="6" r="BM1289">
        <v>0</v>
      </c>
      <c s="6" r="BN1289">
        <v>0</v>
      </c>
      <c s="6" r="BO1289">
        <v>0</v>
      </c>
      <c s="6" r="BP1289">
        <v>0</v>
      </c>
      <c s="6" r="BQ1289">
        <v>0</v>
      </c>
      <c t="str" s="6" r="BR1289">
        <f>HYPERLINK("http://www.d20pfsrd.com/magic/all-spells/d/damp-powder","Damp Powder")</f>
        <v>Damp Powder</v>
      </c>
      <c s="6" r="BS1289">
        <v>1312</v>
      </c>
      <c t="s" s="6" r="BT1289">
        <v>92</v>
      </c>
      <c s="6" r="BY1289">
        <v>0</v>
      </c>
    </row>
    <row customHeight="1" r="1290" ht="14.25">
      <c t="s" s="6" r="A1290">
        <v>9307</v>
      </c>
      <c t="s" s="6" r="B1290">
        <v>131</v>
      </c>
      <c t="s" s="6" r="E1290">
        <v>9308</v>
      </c>
      <c t="s" s="6" r="F1290">
        <v>81</v>
      </c>
      <c t="s" s="6" r="G1290">
        <v>1146</v>
      </c>
      <c s="6" r="H1290">
        <v>0</v>
      </c>
      <c t="s" s="6" r="I1290">
        <v>120</v>
      </c>
      <c t="s" s="6" r="L1290">
        <v>9190</v>
      </c>
      <c t="s" s="6" r="M1290">
        <v>209</v>
      </c>
      <c s="6" r="N1290">
        <v>0</v>
      </c>
      <c s="6" r="O1290">
        <v>0</v>
      </c>
      <c t="s" s="6" r="P1290">
        <v>421</v>
      </c>
      <c t="s" s="6" r="Q1290">
        <v>123</v>
      </c>
      <c t="s" s="6" r="R1290">
        <v>9309</v>
      </c>
      <c t="s" s="6" r="S1290">
        <v>9310</v>
      </c>
      <c t="s" s="6" r="T1290">
        <v>9149</v>
      </c>
      <c t="s" s="6" r="U1290">
        <v>9311</v>
      </c>
      <c s="6" r="V1290">
        <v>1</v>
      </c>
      <c s="6" r="W1290">
        <v>1</v>
      </c>
      <c s="6" r="X1290">
        <v>1</v>
      </c>
      <c s="6" r="Y1290">
        <v>0</v>
      </c>
      <c s="6" r="Z1290">
        <v>0</v>
      </c>
      <c s="6" r="AA1290">
        <v>3</v>
      </c>
      <c s="6" r="AB1290">
        <v>3</v>
      </c>
      <c t="s" s="6" r="AC1290">
        <v>92</v>
      </c>
      <c t="s" s="6" r="AD1290">
        <v>92</v>
      </c>
      <c s="6" r="AE1290">
        <v>4</v>
      </c>
      <c t="s" s="6" r="AF1290">
        <v>92</v>
      </c>
      <c t="s" s="6" r="AG1290">
        <v>92</v>
      </c>
      <c s="6" r="AH1290">
        <v>3</v>
      </c>
      <c t="s" s="6" r="AI1290">
        <v>92</v>
      </c>
      <c t="s" s="6" r="AJ1290">
        <v>92</v>
      </c>
      <c t="s" s="6" r="AK1290">
        <v>92</v>
      </c>
      <c t="s" s="6" r="AL1290">
        <v>92</v>
      </c>
      <c s="6" r="AM1290">
        <v>3</v>
      </c>
      <c t="s" s="6" r="AN1290">
        <v>92</v>
      </c>
      <c s="6" r="AP1290">
        <v>3</v>
      </c>
      <c t="s" s="6" r="AR1290">
        <v>9312</v>
      </c>
      <c s="6" r="AS1290">
        <v>0</v>
      </c>
      <c s="6" r="AT1290">
        <v>0</v>
      </c>
      <c s="6" r="AU1290">
        <v>0</v>
      </c>
      <c s="6" r="AV1290">
        <v>0</v>
      </c>
      <c s="6" r="AW1290">
        <v>0</v>
      </c>
      <c s="6" r="AX1290">
        <v>0</v>
      </c>
      <c s="6" r="AY1290">
        <v>0</v>
      </c>
      <c s="6" r="AZ1290">
        <v>0</v>
      </c>
      <c s="6" r="BA1290">
        <v>0</v>
      </c>
      <c s="6" r="BB1290">
        <v>0</v>
      </c>
      <c s="6" r="BC1290">
        <v>0</v>
      </c>
      <c s="6" r="BD1290">
        <v>0</v>
      </c>
      <c s="6" r="BE1290">
        <v>0</v>
      </c>
      <c s="6" r="BF1290">
        <v>0</v>
      </c>
      <c s="6" r="BG1290">
        <v>0</v>
      </c>
      <c s="6" r="BH1290">
        <v>0</v>
      </c>
      <c s="6" r="BI1290">
        <v>0</v>
      </c>
      <c s="6" r="BJ1290">
        <v>0</v>
      </c>
      <c s="6" r="BK1290">
        <v>0</v>
      </c>
      <c s="6" r="BL1290">
        <v>0</v>
      </c>
      <c s="6" r="BM1290">
        <v>0</v>
      </c>
      <c s="6" r="BN1290">
        <v>0</v>
      </c>
      <c s="6" r="BO1290">
        <v>0</v>
      </c>
      <c s="6" r="BP1290">
        <v>0</v>
      </c>
      <c s="6" r="BQ1290">
        <v>0</v>
      </c>
      <c t="str" s="6" r="BR1290">
        <f>HYPERLINK("http://www.d20pfsrd.com/magic/all-spells/d/darkvision#TOC-Darkvision-Communal","Darkvision, Communal")</f>
        <v>Darkvision, Communal</v>
      </c>
      <c s="6" r="BS1290">
        <v>1313</v>
      </c>
      <c t="s" s="6" r="BT1290">
        <v>92</v>
      </c>
      <c s="6" r="BY1290">
        <v>0</v>
      </c>
    </row>
    <row customHeight="1" r="1291" ht="14.25">
      <c t="s" s="6" r="A1291">
        <v>9313</v>
      </c>
      <c t="s" s="6" r="B1291">
        <v>493</v>
      </c>
      <c t="s" s="6" r="D1291">
        <v>62</v>
      </c>
      <c t="s" s="6" r="E1291">
        <v>9314</v>
      </c>
      <c t="s" s="6" r="F1291">
        <v>81</v>
      </c>
      <c t="s" s="6" r="G1291">
        <v>106</v>
      </c>
      <c s="6" r="H1291">
        <v>0</v>
      </c>
      <c t="s" s="6" r="I1291">
        <v>120</v>
      </c>
      <c t="s" s="6" r="L1291">
        <v>9315</v>
      </c>
      <c t="s" s="6" r="M1291">
        <v>5005</v>
      </c>
      <c s="6" r="N1291">
        <v>0</v>
      </c>
      <c s="6" r="O1291">
        <v>0</v>
      </c>
      <c t="s" s="6" r="P1291">
        <v>9316</v>
      </c>
      <c t="s" s="6" r="Q1291">
        <v>145</v>
      </c>
      <c t="s" s="6" r="R1291">
        <v>9317</v>
      </c>
      <c t="s" s="6" r="S1291">
        <v>9318</v>
      </c>
      <c t="s" s="6" r="T1291">
        <v>9149</v>
      </c>
      <c t="s" s="6" r="U1291">
        <v>9319</v>
      </c>
      <c s="6" r="V1291">
        <v>1</v>
      </c>
      <c s="6" r="W1291">
        <v>1</v>
      </c>
      <c s="6" r="X1291">
        <v>0</v>
      </c>
      <c s="6" r="Y1291">
        <v>0</v>
      </c>
      <c s="6" r="Z1291">
        <v>0</v>
      </c>
      <c t="s" s="6" r="AA1291">
        <v>92</v>
      </c>
      <c t="s" s="6" r="AB1291">
        <v>92</v>
      </c>
      <c s="6" r="AC1291">
        <v>3</v>
      </c>
      <c t="s" s="6" r="AD1291">
        <v>92</v>
      </c>
      <c t="s" s="6" r="AE1291">
        <v>92</v>
      </c>
      <c t="s" s="6" r="AF1291">
        <v>92</v>
      </c>
      <c s="6" r="AG1291">
        <v>3</v>
      </c>
      <c t="s" s="6" r="AH1291">
        <v>92</v>
      </c>
      <c t="s" s="6" r="AI1291">
        <v>92</v>
      </c>
      <c t="s" s="6" r="AJ1291">
        <v>92</v>
      </c>
      <c s="6" r="AK1291">
        <v>3</v>
      </c>
      <c s="6" r="AL1291">
        <v>3</v>
      </c>
      <c t="s" s="6" r="AM1291">
        <v>92</v>
      </c>
      <c t="s" s="6" r="AN1291">
        <v>92</v>
      </c>
      <c s="6" r="AP1291">
        <v>3</v>
      </c>
      <c t="s" s="6" r="AR1291">
        <v>9320</v>
      </c>
      <c s="6" r="AS1291">
        <v>0</v>
      </c>
      <c s="6" r="AT1291">
        <v>0</v>
      </c>
      <c s="6" r="AU1291">
        <v>0</v>
      </c>
      <c s="6" r="AV1291">
        <v>0</v>
      </c>
      <c s="6" r="AW1291">
        <v>0</v>
      </c>
      <c s="6" r="AX1291">
        <v>0</v>
      </c>
      <c s="6" r="AY1291">
        <v>0</v>
      </c>
      <c s="6" r="AZ1291">
        <v>0</v>
      </c>
      <c s="6" r="BA1291">
        <v>0</v>
      </c>
      <c s="6" r="BB1291">
        <v>0</v>
      </c>
      <c s="6" r="BC1291">
        <v>0</v>
      </c>
      <c s="6" r="BD1291">
        <v>0</v>
      </c>
      <c s="6" r="BE1291">
        <v>0</v>
      </c>
      <c s="6" r="BF1291">
        <v>0</v>
      </c>
      <c s="6" r="BG1291">
        <v>0</v>
      </c>
      <c s="6" r="BH1291">
        <v>0</v>
      </c>
      <c s="6" r="BI1291">
        <v>0</v>
      </c>
      <c s="6" r="BJ1291">
        <v>0</v>
      </c>
      <c s="6" r="BK1291">
        <v>1</v>
      </c>
      <c s="6" r="BL1291">
        <v>0</v>
      </c>
      <c s="6" r="BM1291">
        <v>0</v>
      </c>
      <c s="6" r="BN1291">
        <v>0</v>
      </c>
      <c s="6" r="BO1291">
        <v>0</v>
      </c>
      <c s="6" r="BP1291">
        <v>0</v>
      </c>
      <c s="6" r="BQ1291">
        <v>0</v>
      </c>
      <c t="str" s="6" r="BR1291">
        <f>HYPERLINK("http://www.d20pfsrd.com/magic/all-spells/d/daybreak-arrow","Daybreak Arrow")</f>
        <v>Daybreak Arrow</v>
      </c>
      <c s="6" r="BS1291">
        <v>1314</v>
      </c>
      <c t="s" s="6" r="BT1291">
        <v>92</v>
      </c>
      <c t="s" s="6" r="BW1291">
        <v>9321</v>
      </c>
      <c s="6" r="BY1291">
        <v>1</v>
      </c>
    </row>
    <row customHeight="1" r="1292" ht="14.25">
      <c t="s" s="6" r="A1292">
        <v>9322</v>
      </c>
      <c t="s" s="6" r="B1292">
        <v>227</v>
      </c>
      <c t="s" s="6" r="D1292">
        <v>50</v>
      </c>
      <c t="s" s="6" r="E1292">
        <v>9323</v>
      </c>
      <c t="s" s="6" r="F1292">
        <v>81</v>
      </c>
      <c t="s" s="6" r="G1292">
        <v>106</v>
      </c>
      <c s="6" r="H1292">
        <v>0</v>
      </c>
      <c t="s" s="6" r="I1292">
        <v>155</v>
      </c>
      <c t="s" s="6" r="L1292">
        <v>156</v>
      </c>
      <c t="s" s="6" r="M1292">
        <v>2718</v>
      </c>
      <c s="6" r="N1292">
        <v>0</v>
      </c>
      <c s="6" r="O1292">
        <v>0</v>
      </c>
      <c t="s" s="6" r="R1292">
        <v>9324</v>
      </c>
      <c t="s" s="6" r="S1292">
        <v>9325</v>
      </c>
      <c t="s" s="6" r="T1292">
        <v>9149</v>
      </c>
      <c t="s" s="6" r="U1292">
        <v>9326</v>
      </c>
      <c s="6" r="V1292">
        <v>1</v>
      </c>
      <c s="6" r="W1292">
        <v>1</v>
      </c>
      <c s="6" r="X1292">
        <v>0</v>
      </c>
      <c s="6" r="Y1292">
        <v>0</v>
      </c>
      <c s="6" r="Z1292">
        <v>0</v>
      </c>
      <c t="s" s="6" r="AA1292">
        <v>92</v>
      </c>
      <c t="s" s="6" r="AB1292">
        <v>92</v>
      </c>
      <c s="6" r="AC1292">
        <v>3</v>
      </c>
      <c t="s" s="6" r="AD1292">
        <v>92</v>
      </c>
      <c t="s" s="6" r="AE1292">
        <v>92</v>
      </c>
      <c t="s" s="6" r="AF1292">
        <v>92</v>
      </c>
      <c s="6" r="AG1292">
        <v>3</v>
      </c>
      <c t="s" s="6" r="AH1292">
        <v>92</v>
      </c>
      <c t="s" s="6" r="AI1292">
        <v>92</v>
      </c>
      <c t="s" s="6" r="AJ1292">
        <v>92</v>
      </c>
      <c s="6" r="AK1292">
        <v>3</v>
      </c>
      <c s="6" r="AL1292">
        <v>3</v>
      </c>
      <c s="6" r="AM1292">
        <v>3</v>
      </c>
      <c t="s" s="6" r="AN1292">
        <v>92</v>
      </c>
      <c s="6" r="AP1292">
        <v>3</v>
      </c>
      <c t="s" s="6" r="AR1292">
        <v>9327</v>
      </c>
      <c s="6" r="AS1292">
        <v>0</v>
      </c>
      <c s="6" r="AT1292">
        <v>0</v>
      </c>
      <c s="6" r="AU1292">
        <v>0</v>
      </c>
      <c s="6" r="AV1292">
        <v>0</v>
      </c>
      <c s="6" r="AW1292">
        <v>0</v>
      </c>
      <c s="6" r="AX1292">
        <v>0</v>
      </c>
      <c s="6" r="AY1292">
        <v>1</v>
      </c>
      <c s="6" r="AZ1292">
        <v>0</v>
      </c>
      <c s="6" r="BA1292">
        <v>0</v>
      </c>
      <c s="6" r="BB1292">
        <v>0</v>
      </c>
      <c s="6" r="BC1292">
        <v>0</v>
      </c>
      <c s="6" r="BD1292">
        <v>0</v>
      </c>
      <c s="6" r="BE1292">
        <v>0</v>
      </c>
      <c s="6" r="BF1292">
        <v>0</v>
      </c>
      <c s="6" r="BG1292">
        <v>0</v>
      </c>
      <c s="6" r="BH1292">
        <v>0</v>
      </c>
      <c s="6" r="BI1292">
        <v>0</v>
      </c>
      <c s="6" r="BJ1292">
        <v>0</v>
      </c>
      <c s="6" r="BK1292">
        <v>0</v>
      </c>
      <c s="6" r="BL1292">
        <v>0</v>
      </c>
      <c s="6" r="BM1292">
        <v>0</v>
      </c>
      <c s="6" r="BN1292">
        <v>0</v>
      </c>
      <c s="6" r="BO1292">
        <v>0</v>
      </c>
      <c s="6" r="BP1292">
        <v>0</v>
      </c>
      <c s="6" r="BQ1292">
        <v>0</v>
      </c>
      <c t="str" s="6" r="BR1292">
        <f>HYPERLINK("http://www.d20pfsrd.com/magic/all-spells/d/deadly-juggernaut","Deadly Juggernaut")</f>
        <v>Deadly Juggernaut</v>
      </c>
      <c s="6" r="BS1292">
        <v>1315</v>
      </c>
      <c t="s" s="6" r="BT1292">
        <v>92</v>
      </c>
      <c s="6" r="BY1292">
        <v>0</v>
      </c>
    </row>
    <row customHeight="1" r="1293" ht="14.25">
      <c t="s" s="6" r="A1293">
        <v>9328</v>
      </c>
      <c t="s" s="6" r="B1293">
        <v>174</v>
      </c>
      <c t="s" s="6" r="E1293">
        <v>9329</v>
      </c>
      <c t="s" s="6" r="F1293">
        <v>272</v>
      </c>
      <c t="s" s="6" r="G1293">
        <v>106</v>
      </c>
      <c s="6" r="H1293">
        <v>0</v>
      </c>
      <c t="s" s="6" r="I1293">
        <v>155</v>
      </c>
      <c t="s" s="6" r="L1293">
        <v>156</v>
      </c>
      <c t="s" s="6" r="M1293">
        <v>209</v>
      </c>
      <c s="6" r="N1293">
        <v>0</v>
      </c>
      <c s="6" r="O1293">
        <v>0</v>
      </c>
      <c t="s" s="6" r="R1293">
        <v>9330</v>
      </c>
      <c t="s" s="6" r="S1293">
        <v>9331</v>
      </c>
      <c t="s" s="6" r="T1293">
        <v>9149</v>
      </c>
      <c t="s" s="6" r="U1293">
        <v>9332</v>
      </c>
      <c s="6" r="V1293">
        <v>1</v>
      </c>
      <c s="6" r="W1293">
        <v>1</v>
      </c>
      <c s="6" r="X1293">
        <v>0</v>
      </c>
      <c s="6" r="Y1293">
        <v>0</v>
      </c>
      <c s="6" r="Z1293">
        <v>0</v>
      </c>
      <c t="s" s="6" r="AA1293">
        <v>92</v>
      </c>
      <c t="s" s="6" r="AB1293">
        <v>92</v>
      </c>
      <c s="6" r="AC1293">
        <v>1</v>
      </c>
      <c s="6" r="AD1293">
        <v>1</v>
      </c>
      <c s="6" r="AE1293">
        <v>1</v>
      </c>
      <c s="6" r="AF1293">
        <v>1</v>
      </c>
      <c t="s" s="6" r="AG1293">
        <v>92</v>
      </c>
      <c t="s" s="6" r="AH1293">
        <v>92</v>
      </c>
      <c t="s" s="6" r="AI1293">
        <v>92</v>
      </c>
      <c t="s" s="6" r="AJ1293">
        <v>92</v>
      </c>
      <c s="6" r="AK1293">
        <v>1</v>
      </c>
      <c s="6" r="AL1293">
        <v>1</v>
      </c>
      <c t="s" s="6" r="AM1293">
        <v>92</v>
      </c>
      <c t="s" s="6" r="AN1293">
        <v>92</v>
      </c>
      <c s="6" r="AP1293">
        <v>1</v>
      </c>
      <c t="s" s="6" r="AR1293">
        <v>9333</v>
      </c>
      <c s="6" r="AS1293">
        <v>0</v>
      </c>
      <c s="6" r="AT1293">
        <v>0</v>
      </c>
      <c s="6" r="AU1293">
        <v>0</v>
      </c>
      <c s="6" r="AV1293">
        <v>0</v>
      </c>
      <c s="6" r="AW1293">
        <v>0</v>
      </c>
      <c s="6" r="AX1293">
        <v>0</v>
      </c>
      <c s="6" r="AY1293">
        <v>0</v>
      </c>
      <c s="6" r="AZ1293">
        <v>0</v>
      </c>
      <c s="6" r="BA1293">
        <v>0</v>
      </c>
      <c s="6" r="BB1293">
        <v>0</v>
      </c>
      <c s="6" r="BC1293">
        <v>0</v>
      </c>
      <c s="6" r="BD1293">
        <v>0</v>
      </c>
      <c s="6" r="BE1293">
        <v>0</v>
      </c>
      <c s="6" r="BF1293">
        <v>0</v>
      </c>
      <c s="6" r="BG1293">
        <v>0</v>
      </c>
      <c s="6" r="BH1293">
        <v>0</v>
      </c>
      <c s="6" r="BI1293">
        <v>0</v>
      </c>
      <c s="6" r="BJ1293">
        <v>0</v>
      </c>
      <c s="6" r="BK1293">
        <v>0</v>
      </c>
      <c s="6" r="BL1293">
        <v>0</v>
      </c>
      <c s="6" r="BM1293">
        <v>0</v>
      </c>
      <c s="6" r="BN1293">
        <v>0</v>
      </c>
      <c s="6" r="BO1293">
        <v>0</v>
      </c>
      <c s="6" r="BP1293">
        <v>0</v>
      </c>
      <c s="6" r="BQ1293">
        <v>0</v>
      </c>
      <c t="str" s="6" r="BR1293">
        <f>HYPERLINK("http://www.d20pfsrd.com/magic/all-spells/d/deadeye's-lore","Deadeye's Lore")</f>
        <v>Deadeye's Lore</v>
      </c>
      <c s="6" r="BS1293">
        <v>1316</v>
      </c>
      <c t="s" s="6" r="BT1293">
        <v>92</v>
      </c>
      <c s="6" r="BY1293">
        <v>0</v>
      </c>
    </row>
    <row customHeight="1" r="1294" ht="14.25">
      <c t="s" s="6" r="A1294">
        <v>9334</v>
      </c>
      <c t="s" s="6" r="B1294">
        <v>115</v>
      </c>
      <c t="s" s="6" r="C1294">
        <v>116</v>
      </c>
      <c t="s" s="6" r="E1294">
        <v>9335</v>
      </c>
      <c t="s" s="6" r="F1294">
        <v>81</v>
      </c>
      <c t="s" s="6" r="G1294">
        <v>119</v>
      </c>
      <c s="6" r="H1294">
        <v>0</v>
      </c>
      <c t="s" s="6" r="I1294">
        <v>97</v>
      </c>
      <c t="s" s="6" r="L1294">
        <v>1235</v>
      </c>
      <c t="s" s="6" r="M1294">
        <v>9336</v>
      </c>
      <c s="6" r="N1294">
        <v>1</v>
      </c>
      <c s="6" r="O1294">
        <v>0</v>
      </c>
      <c t="s" s="6" r="P1294">
        <v>86</v>
      </c>
      <c t="s" s="6" r="Q1294">
        <v>188</v>
      </c>
      <c t="s" s="6" r="R1294">
        <v>9337</v>
      </c>
      <c t="s" s="6" r="S1294">
        <v>9338</v>
      </c>
      <c t="s" s="6" r="T1294">
        <v>9149</v>
      </c>
      <c t="s" s="6" r="U1294">
        <v>9339</v>
      </c>
      <c s="6" r="V1294">
        <v>1</v>
      </c>
      <c s="6" r="W1294">
        <v>1</v>
      </c>
      <c s="6" r="X1294">
        <v>0</v>
      </c>
      <c s="6" r="Y1294">
        <v>0</v>
      </c>
      <c s="6" r="Z1294">
        <v>1</v>
      </c>
      <c t="s" s="6" r="AA1294">
        <v>92</v>
      </c>
      <c t="s" s="6" r="AB1294">
        <v>92</v>
      </c>
      <c s="6" r="AC1294">
        <v>4</v>
      </c>
      <c t="s" s="6" r="AD1294">
        <v>92</v>
      </c>
      <c t="s" s="6" r="AE1294">
        <v>92</v>
      </c>
      <c t="s" s="6" r="AF1294">
        <v>92</v>
      </c>
      <c t="s" s="6" r="AG1294">
        <v>92</v>
      </c>
      <c t="s" s="6" r="AH1294">
        <v>92</v>
      </c>
      <c t="s" s="6" r="AI1294">
        <v>92</v>
      </c>
      <c s="6" r="AJ1294">
        <v>4</v>
      </c>
      <c t="s" s="6" r="AK1294">
        <v>92</v>
      </c>
      <c s="6" r="AL1294">
        <v>4</v>
      </c>
      <c t="s" s="6" r="AM1294">
        <v>92</v>
      </c>
      <c t="s" s="6" r="AN1294">
        <v>92</v>
      </c>
      <c s="6" r="AP1294">
        <v>4</v>
      </c>
      <c t="s" s="6" r="AR1294">
        <v>9340</v>
      </c>
      <c s="6" r="AS1294">
        <v>0</v>
      </c>
      <c s="6" r="AT1294">
        <v>0</v>
      </c>
      <c s="6" r="AU1294">
        <v>0</v>
      </c>
      <c s="6" r="AV1294">
        <v>0</v>
      </c>
      <c s="6" r="AW1294">
        <v>0</v>
      </c>
      <c s="6" r="AX1294">
        <v>0</v>
      </c>
      <c s="6" r="AY1294">
        <v>0</v>
      </c>
      <c s="6" r="AZ1294">
        <v>0</v>
      </c>
      <c s="6" r="BA1294">
        <v>0</v>
      </c>
      <c s="6" r="BB1294">
        <v>0</v>
      </c>
      <c s="6" r="BC1294">
        <v>0</v>
      </c>
      <c s="6" r="BD1294">
        <v>0</v>
      </c>
      <c s="6" r="BE1294">
        <v>0</v>
      </c>
      <c s="6" r="BF1294">
        <v>0</v>
      </c>
      <c s="6" r="BG1294">
        <v>0</v>
      </c>
      <c s="6" r="BH1294">
        <v>0</v>
      </c>
      <c s="6" r="BI1294">
        <v>0</v>
      </c>
      <c s="6" r="BJ1294">
        <v>0</v>
      </c>
      <c s="6" r="BK1294">
        <v>0</v>
      </c>
      <c s="6" r="BL1294">
        <v>0</v>
      </c>
      <c s="6" r="BM1294">
        <v>0</v>
      </c>
      <c s="6" r="BN1294">
        <v>0</v>
      </c>
      <c s="6" r="BO1294">
        <v>0</v>
      </c>
      <c s="6" r="BP1294">
        <v>0</v>
      </c>
      <c s="6" r="BQ1294">
        <v>0</v>
      </c>
      <c t="str" s="6" r="BR1294">
        <f>HYPERLINK("http://www.d20pfsrd.com/magic/all-spells/d/debilitating-portent","Debilitating Portent")</f>
        <v>Debilitating Portent</v>
      </c>
      <c s="6" r="BS1294">
        <v>1317</v>
      </c>
      <c t="s" s="6" r="BT1294">
        <v>92</v>
      </c>
      <c s="6" r="BY1294">
        <v>0</v>
      </c>
    </row>
    <row customHeight="1" r="1295" ht="14.25">
      <c t="s" s="6" r="A1295">
        <v>9341</v>
      </c>
      <c t="s" s="6" r="B1295">
        <v>78</v>
      </c>
      <c t="s" s="6" r="C1295">
        <v>598</v>
      </c>
      <c t="s" s="6" r="E1295">
        <v>9342</v>
      </c>
      <c t="s" s="6" r="F1295">
        <v>81</v>
      </c>
      <c t="s" s="6" r="G1295">
        <v>119</v>
      </c>
      <c s="6" r="H1295">
        <v>0</v>
      </c>
      <c t="s" s="6" r="I1295">
        <v>120</v>
      </c>
      <c t="s" s="6" r="L1295">
        <v>9190</v>
      </c>
      <c t="s" s="6" r="M1295">
        <v>209</v>
      </c>
      <c s="6" r="N1295">
        <v>0</v>
      </c>
      <c s="6" r="O1295">
        <v>0</v>
      </c>
      <c t="s" s="6" r="P1295">
        <v>1227</v>
      </c>
      <c t="s" s="6" r="Q1295">
        <v>123</v>
      </c>
      <c t="s" s="6" r="R1295">
        <v>9343</v>
      </c>
      <c t="s" s="6" r="S1295">
        <v>9344</v>
      </c>
      <c t="s" s="6" r="T1295">
        <v>9149</v>
      </c>
      <c t="s" s="6" r="U1295">
        <v>9345</v>
      </c>
      <c s="6" r="V1295">
        <v>1</v>
      </c>
      <c s="6" r="W1295">
        <v>1</v>
      </c>
      <c s="6" r="X1295">
        <v>0</v>
      </c>
      <c s="6" r="Y1295">
        <v>0</v>
      </c>
      <c s="6" r="Z1295">
        <v>1</v>
      </c>
      <c t="s" s="6" r="AA1295">
        <v>92</v>
      </c>
      <c t="s" s="6" r="AB1295">
        <v>92</v>
      </c>
      <c s="6" r="AC1295">
        <v>3</v>
      </c>
      <c s="6" r="AD1295">
        <v>3</v>
      </c>
      <c s="6" r="AE1295">
        <v>3</v>
      </c>
      <c s="6" r="AF1295">
        <v>3</v>
      </c>
      <c s="6" r="AG1295">
        <v>3</v>
      </c>
      <c s="6" r="AH1295">
        <v>3</v>
      </c>
      <c t="s" s="6" r="AI1295">
        <v>92</v>
      </c>
      <c s="6" r="AJ1295">
        <v>3</v>
      </c>
      <c s="6" r="AK1295">
        <v>3</v>
      </c>
      <c s="6" r="AL1295">
        <v>3</v>
      </c>
      <c t="s" s="6" r="AM1295">
        <v>92</v>
      </c>
      <c t="s" s="6" r="AN1295">
        <v>92</v>
      </c>
      <c s="6" r="AP1295">
        <v>3</v>
      </c>
      <c t="s" s="6" r="AR1295">
        <v>9346</v>
      </c>
      <c s="6" r="AS1295">
        <v>0</v>
      </c>
      <c s="6" r="AT1295">
        <v>0</v>
      </c>
      <c s="6" r="AU1295">
        <v>0</v>
      </c>
      <c s="6" r="AV1295">
        <v>0</v>
      </c>
      <c s="6" r="AW1295">
        <v>0</v>
      </c>
      <c s="6" r="AX1295">
        <v>0</v>
      </c>
      <c s="6" r="AY1295">
        <v>0</v>
      </c>
      <c s="6" r="AZ1295">
        <v>0</v>
      </c>
      <c s="6" r="BA1295">
        <v>0</v>
      </c>
      <c s="6" r="BB1295">
        <v>0</v>
      </c>
      <c s="6" r="BC1295">
        <v>0</v>
      </c>
      <c s="6" r="BD1295">
        <v>0</v>
      </c>
      <c s="6" r="BE1295">
        <v>0</v>
      </c>
      <c s="6" r="BF1295">
        <v>0</v>
      </c>
      <c s="6" r="BG1295">
        <v>0</v>
      </c>
      <c s="6" r="BH1295">
        <v>0</v>
      </c>
      <c s="6" r="BI1295">
        <v>0</v>
      </c>
      <c s="6" r="BJ1295">
        <v>0</v>
      </c>
      <c s="6" r="BK1295">
        <v>0</v>
      </c>
      <c s="6" r="BL1295">
        <v>0</v>
      </c>
      <c s="6" r="BM1295">
        <v>0</v>
      </c>
      <c s="6" r="BN1295">
        <v>0</v>
      </c>
      <c s="6" r="BO1295">
        <v>0</v>
      </c>
      <c s="6" r="BP1295">
        <v>0</v>
      </c>
      <c s="6" r="BQ1295">
        <v>0</v>
      </c>
      <c t="str" s="6" r="BR1295">
        <f>HYPERLINK("http://www.d20pfsrd.com/magic/all-spells/d/delay-poison#TOC-Delay-Poison-Communal","Delay Poison, Communal")</f>
        <v>Delay Poison, Communal</v>
      </c>
      <c s="6" r="BS1295">
        <v>1318</v>
      </c>
      <c t="s" s="6" r="BT1295">
        <v>92</v>
      </c>
      <c s="6" r="BY1295">
        <v>0</v>
      </c>
    </row>
    <row customHeight="1" r="1296" ht="14.25">
      <c t="s" s="6" r="A1296">
        <v>9347</v>
      </c>
      <c t="s" s="6" r="B1296">
        <v>131</v>
      </c>
      <c t="s" s="6" r="E1296">
        <v>4080</v>
      </c>
      <c t="s" s="6" r="F1296">
        <v>81</v>
      </c>
      <c t="s" s="6" r="G1296">
        <v>9348</v>
      </c>
      <c s="6" r="H1296">
        <v>0</v>
      </c>
      <c t="s" s="6" r="I1296">
        <v>107</v>
      </c>
      <c t="s" s="6" r="L1296">
        <v>9302</v>
      </c>
      <c t="s" s="6" r="M1296">
        <v>109</v>
      </c>
      <c s="6" r="N1296">
        <v>0</v>
      </c>
      <c s="6" r="O1296">
        <v>0</v>
      </c>
      <c t="s" s="6" r="P1296">
        <v>535</v>
      </c>
      <c t="s" s="6" r="Q1296">
        <v>536</v>
      </c>
      <c t="s" s="6" r="R1296">
        <v>9349</v>
      </c>
      <c t="s" s="6" r="S1296">
        <v>9350</v>
      </c>
      <c t="s" s="6" r="T1296">
        <v>9149</v>
      </c>
      <c t="s" s="6" r="U1296">
        <v>9351</v>
      </c>
      <c s="6" r="V1296">
        <v>1</v>
      </c>
      <c s="6" r="W1296">
        <v>1</v>
      </c>
      <c s="6" r="X1296">
        <v>1</v>
      </c>
      <c s="6" r="Y1296">
        <v>0</v>
      </c>
      <c s="6" r="Z1296">
        <v>0</v>
      </c>
      <c s="6" r="AA1296">
        <v>2</v>
      </c>
      <c s="6" r="AB1296">
        <v>2</v>
      </c>
      <c t="s" s="6" r="AC1296">
        <v>92</v>
      </c>
      <c t="s" s="6" r="AD1296">
        <v>92</v>
      </c>
      <c t="s" s="6" r="AE1296">
        <v>92</v>
      </c>
      <c t="s" s="6" r="AF1296">
        <v>92</v>
      </c>
      <c t="s" s="6" r="AG1296">
        <v>92</v>
      </c>
      <c t="s" s="6" r="AH1296">
        <v>92</v>
      </c>
      <c t="s" s="6" r="AI1296">
        <v>92</v>
      </c>
      <c s="6" r="AJ1296">
        <v>2</v>
      </c>
      <c t="s" s="6" r="AK1296">
        <v>92</v>
      </c>
      <c t="s" s="6" r="AL1296">
        <v>92</v>
      </c>
      <c t="s" s="6" r="AM1296">
        <v>92</v>
      </c>
      <c t="s" s="6" r="AN1296">
        <v>92</v>
      </c>
      <c s="6" r="AP1296">
        <v>2</v>
      </c>
      <c t="s" s="6" r="AR1296">
        <v>9352</v>
      </c>
      <c s="6" r="AS1296">
        <v>0</v>
      </c>
      <c s="6" r="AT1296">
        <v>0</v>
      </c>
      <c s="6" r="AU1296">
        <v>0</v>
      </c>
      <c s="6" r="AV1296">
        <v>0</v>
      </c>
      <c s="6" r="AW1296">
        <v>0</v>
      </c>
      <c s="6" r="AX1296">
        <v>0</v>
      </c>
      <c s="6" r="AY1296">
        <v>0</v>
      </c>
      <c s="6" r="AZ1296">
        <v>0</v>
      </c>
      <c s="6" r="BA1296">
        <v>0</v>
      </c>
      <c s="6" r="BB1296">
        <v>0</v>
      </c>
      <c s="6" r="BC1296">
        <v>0</v>
      </c>
      <c s="6" r="BD1296">
        <v>0</v>
      </c>
      <c s="6" r="BE1296">
        <v>0</v>
      </c>
      <c s="6" r="BF1296">
        <v>0</v>
      </c>
      <c s="6" r="BG1296">
        <v>0</v>
      </c>
      <c s="6" r="BH1296">
        <v>0</v>
      </c>
      <c s="6" r="BI1296">
        <v>0</v>
      </c>
      <c s="6" r="BJ1296">
        <v>0</v>
      </c>
      <c s="6" r="BK1296">
        <v>0</v>
      </c>
      <c s="6" r="BL1296">
        <v>0</v>
      </c>
      <c s="6" r="BM1296">
        <v>0</v>
      </c>
      <c s="6" r="BN1296">
        <v>0</v>
      </c>
      <c s="6" r="BO1296">
        <v>0</v>
      </c>
      <c s="6" r="BP1296">
        <v>0</v>
      </c>
      <c s="6" r="BQ1296">
        <v>0</v>
      </c>
      <c t="str" s="6" r="BR1296">
        <f>HYPERLINK("http://www.d20pfsrd.com/magic/all-spells/d/destabilize-powder","Destabilize Powder")</f>
        <v>Destabilize Powder</v>
      </c>
      <c s="6" r="BS1296">
        <v>1319</v>
      </c>
      <c t="s" s="6" r="BT1296">
        <v>92</v>
      </c>
      <c s="6" r="BY1296">
        <v>0</v>
      </c>
    </row>
    <row customHeight="1" r="1297" ht="14.25">
      <c t="s" s="6" r="A1297">
        <v>9353</v>
      </c>
      <c t="s" s="6" r="B1297">
        <v>493</v>
      </c>
      <c t="s" s="6" r="D1297">
        <v>62</v>
      </c>
      <c t="s" s="6" r="E1297">
        <v>9354</v>
      </c>
      <c t="s" s="6" r="F1297">
        <v>272</v>
      </c>
      <c t="s" s="6" r="G1297">
        <v>106</v>
      </c>
      <c s="6" r="H1297">
        <v>0</v>
      </c>
      <c t="s" s="6" r="I1297">
        <v>120</v>
      </c>
      <c t="s" s="6" r="J1297">
        <v>9355</v>
      </c>
      <c t="s" s="6" r="L1297">
        <v>1137</v>
      </c>
      <c t="s" s="6" r="M1297">
        <v>5005</v>
      </c>
      <c s="6" r="N1297">
        <v>0</v>
      </c>
      <c s="6" r="O1297">
        <v>0</v>
      </c>
      <c t="s" s="6" r="P1297">
        <v>86</v>
      </c>
      <c t="s" s="6" r="Q1297">
        <v>87</v>
      </c>
      <c t="s" s="6" r="R1297">
        <v>9356</v>
      </c>
      <c t="s" s="6" r="S1297">
        <v>9357</v>
      </c>
      <c t="s" s="6" r="T1297">
        <v>9149</v>
      </c>
      <c t="s" s="6" r="U1297">
        <v>9358</v>
      </c>
      <c s="6" r="V1297">
        <v>1</v>
      </c>
      <c s="6" r="W1297">
        <v>1</v>
      </c>
      <c s="6" r="X1297">
        <v>0</v>
      </c>
      <c s="6" r="Y1297">
        <v>0</v>
      </c>
      <c s="6" r="Z1297">
        <v>0</v>
      </c>
      <c t="s" s="6" r="AA1297">
        <v>92</v>
      </c>
      <c t="s" s="6" r="AB1297">
        <v>92</v>
      </c>
      <c s="6" r="AC1297">
        <v>3</v>
      </c>
      <c t="s" s="6" r="AD1297">
        <v>92</v>
      </c>
      <c t="s" s="6" r="AE1297">
        <v>92</v>
      </c>
      <c s="6" r="AF1297">
        <v>2</v>
      </c>
      <c t="s" s="6" r="AG1297">
        <v>92</v>
      </c>
      <c t="s" s="6" r="AH1297">
        <v>92</v>
      </c>
      <c t="s" s="6" r="AI1297">
        <v>92</v>
      </c>
      <c t="s" s="6" r="AJ1297">
        <v>92</v>
      </c>
      <c s="6" r="AK1297">
        <v>2</v>
      </c>
      <c s="6" r="AL1297">
        <v>3</v>
      </c>
      <c t="s" s="6" r="AM1297">
        <v>92</v>
      </c>
      <c t="s" s="6" r="AN1297">
        <v>92</v>
      </c>
      <c s="6" r="AP1297">
        <v>3</v>
      </c>
      <c t="s" s="6" r="AR1297">
        <v>9359</v>
      </c>
      <c s="6" r="AS1297">
        <v>0</v>
      </c>
      <c s="6" r="AT1297">
        <v>0</v>
      </c>
      <c s="6" r="AU1297">
        <v>0</v>
      </c>
      <c s="6" r="AV1297">
        <v>0</v>
      </c>
      <c s="6" r="AW1297">
        <v>0</v>
      </c>
      <c s="6" r="AX1297">
        <v>0</v>
      </c>
      <c s="6" r="AY1297">
        <v>0</v>
      </c>
      <c s="6" r="AZ1297">
        <v>0</v>
      </c>
      <c s="6" r="BA1297">
        <v>0</v>
      </c>
      <c s="6" r="BB1297">
        <v>0</v>
      </c>
      <c s="6" r="BC1297">
        <v>0</v>
      </c>
      <c s="6" r="BD1297">
        <v>0</v>
      </c>
      <c s="6" r="BE1297">
        <v>0</v>
      </c>
      <c s="6" r="BF1297">
        <v>0</v>
      </c>
      <c s="6" r="BG1297">
        <v>0</v>
      </c>
      <c s="6" r="BH1297">
        <v>0</v>
      </c>
      <c s="6" r="BI1297">
        <v>0</v>
      </c>
      <c s="6" r="BJ1297">
        <v>0</v>
      </c>
      <c s="6" r="BK1297">
        <v>1</v>
      </c>
      <c s="6" r="BL1297">
        <v>0</v>
      </c>
      <c s="6" r="BM1297">
        <v>0</v>
      </c>
      <c s="6" r="BN1297">
        <v>0</v>
      </c>
      <c s="6" r="BO1297">
        <v>0</v>
      </c>
      <c s="6" r="BP1297">
        <v>0</v>
      </c>
      <c s="6" r="BQ1297">
        <v>0</v>
      </c>
      <c t="str" s="6" r="BR1297">
        <f>HYPERLINK("http://www.d20pfsrd.com/magic/all-spells/d/discovery-torch","Discovery Torch")</f>
        <v>Discovery Torch</v>
      </c>
      <c s="6" r="BS1297">
        <v>1320</v>
      </c>
      <c t="s" s="6" r="BT1297">
        <v>92</v>
      </c>
      <c s="6" r="BY1297">
        <v>0</v>
      </c>
    </row>
    <row customHeight="1" r="1298" ht="14.25">
      <c t="s" s="6" r="A1298">
        <v>9360</v>
      </c>
      <c t="s" s="6" r="B1298">
        <v>131</v>
      </c>
      <c t="s" s="6" r="D1298">
        <v>59</v>
      </c>
      <c t="s" s="6" r="E1298">
        <v>5295</v>
      </c>
      <c t="s" s="6" r="F1298">
        <v>81</v>
      </c>
      <c t="s" s="6" r="G1298">
        <v>106</v>
      </c>
      <c s="6" r="H1298">
        <v>0</v>
      </c>
      <c t="s" s="6" r="I1298">
        <v>120</v>
      </c>
      <c t="s" s="6" r="L1298">
        <v>9361</v>
      </c>
      <c t="s" s="6" r="M1298">
        <v>6116</v>
      </c>
      <c s="6" r="N1298">
        <v>0</v>
      </c>
      <c s="6" r="O1298">
        <v>0</v>
      </c>
      <c t="s" s="6" r="P1298">
        <v>86</v>
      </c>
      <c t="s" s="6" r="Q1298">
        <v>87</v>
      </c>
      <c t="s" s="6" r="R1298">
        <v>9362</v>
      </c>
      <c t="s" s="6" r="S1298">
        <v>9363</v>
      </c>
      <c t="s" s="6" r="T1298">
        <v>9149</v>
      </c>
      <c t="s" s="6" r="U1298">
        <v>9364</v>
      </c>
      <c s="6" r="V1298">
        <v>1</v>
      </c>
      <c s="6" r="W1298">
        <v>1</v>
      </c>
      <c s="6" r="X1298">
        <v>0</v>
      </c>
      <c s="6" r="Y1298">
        <v>0</v>
      </c>
      <c s="6" r="Z1298">
        <v>0</v>
      </c>
      <c t="s" s="6" r="AA1298">
        <v>92</v>
      </c>
      <c t="s" s="6" r="AB1298">
        <v>92</v>
      </c>
      <c t="s" s="6" r="AC1298">
        <v>92</v>
      </c>
      <c t="s" s="6" r="AD1298">
        <v>92</v>
      </c>
      <c t="s" s="6" r="AE1298">
        <v>92</v>
      </c>
      <c t="s" s="6" r="AF1298">
        <v>92</v>
      </c>
      <c s="6" r="AG1298">
        <v>2</v>
      </c>
      <c t="s" s="6" r="AH1298">
        <v>92</v>
      </c>
      <c t="s" s="6" r="AI1298">
        <v>92</v>
      </c>
      <c t="s" s="6" r="AJ1298">
        <v>92</v>
      </c>
      <c t="s" s="6" r="AK1298">
        <v>92</v>
      </c>
      <c t="s" s="6" r="AL1298">
        <v>92</v>
      </c>
      <c t="s" s="6" r="AM1298">
        <v>92</v>
      </c>
      <c t="s" s="6" r="AN1298">
        <v>92</v>
      </c>
      <c s="6" r="AP1298">
        <v>2</v>
      </c>
      <c t="s" s="6" r="AR1298">
        <v>9365</v>
      </c>
      <c s="6" r="AS1298">
        <v>0</v>
      </c>
      <c s="6" r="AT1298">
        <v>0</v>
      </c>
      <c s="6" r="AU1298">
        <v>0</v>
      </c>
      <c s="6" r="AV1298">
        <v>0</v>
      </c>
      <c s="6" r="AW1298">
        <v>0</v>
      </c>
      <c s="6" r="AX1298">
        <v>0</v>
      </c>
      <c s="6" r="AY1298">
        <v>0</v>
      </c>
      <c s="6" r="AZ1298">
        <v>0</v>
      </c>
      <c s="6" r="BA1298">
        <v>0</v>
      </c>
      <c s="6" r="BB1298">
        <v>0</v>
      </c>
      <c s="6" r="BC1298">
        <v>0</v>
      </c>
      <c s="6" r="BD1298">
        <v>0</v>
      </c>
      <c s="6" r="BE1298">
        <v>0</v>
      </c>
      <c s="6" r="BF1298">
        <v>0</v>
      </c>
      <c s="6" r="BG1298">
        <v>0</v>
      </c>
      <c s="6" r="BH1298">
        <v>1</v>
      </c>
      <c s="6" r="BI1298">
        <v>0</v>
      </c>
      <c s="6" r="BJ1298">
        <v>0</v>
      </c>
      <c s="6" r="BK1298">
        <v>0</v>
      </c>
      <c s="6" r="BL1298">
        <v>0</v>
      </c>
      <c s="6" r="BM1298">
        <v>0</v>
      </c>
      <c s="6" r="BN1298">
        <v>0</v>
      </c>
      <c s="6" r="BO1298">
        <v>0</v>
      </c>
      <c s="6" r="BP1298">
        <v>0</v>
      </c>
      <c s="6" r="BQ1298">
        <v>0</v>
      </c>
      <c t="str" s="6" r="BR1298">
        <f>HYPERLINK("http://www.d20pfsrd.com/magic/all-spells/d/divine-arrow","Divine Arrow")</f>
        <v>Divine Arrow</v>
      </c>
      <c s="6" r="BS1298">
        <v>1321</v>
      </c>
      <c t="s" s="6" r="BT1298">
        <v>92</v>
      </c>
      <c s="6" r="BY1298">
        <v>0</v>
      </c>
    </row>
    <row customHeight="1" r="1299" ht="14.25">
      <c t="s" s="6" r="A1299">
        <v>9366</v>
      </c>
      <c t="s" s="6" r="B1299">
        <v>131</v>
      </c>
      <c t="s" s="6" r="C1299">
        <v>152</v>
      </c>
      <c t="s" s="6" r="E1299">
        <v>9367</v>
      </c>
      <c t="s" s="6" r="F1299">
        <v>81</v>
      </c>
      <c t="s" s="6" r="G1299">
        <v>9368</v>
      </c>
      <c s="6" r="H1299">
        <v>0</v>
      </c>
      <c t="s" s="6" r="I1299">
        <v>155</v>
      </c>
      <c t="s" s="6" r="L1299">
        <v>156</v>
      </c>
      <c t="s" s="6" r="M1299">
        <v>99</v>
      </c>
      <c s="6" r="N1299">
        <v>0</v>
      </c>
      <c s="6" r="O1299">
        <v>0</v>
      </c>
      <c t="s" s="6" r="R1299">
        <v>9369</v>
      </c>
      <c t="s" s="6" r="S1299">
        <v>9370</v>
      </c>
      <c t="s" s="6" r="T1299">
        <v>9149</v>
      </c>
      <c t="s" s="6" r="U1299">
        <v>9371</v>
      </c>
      <c s="6" r="V1299">
        <v>1</v>
      </c>
      <c s="6" r="W1299">
        <v>1</v>
      </c>
      <c s="6" r="X1299">
        <v>1</v>
      </c>
      <c s="6" r="Y1299">
        <v>0</v>
      </c>
      <c s="6" r="Z1299">
        <v>0</v>
      </c>
      <c t="s" s="6" r="AA1299">
        <v>92</v>
      </c>
      <c t="s" s="6" r="AB1299">
        <v>92</v>
      </c>
      <c s="6" r="AC1299">
        <v>6</v>
      </c>
      <c s="6" r="AD1299">
        <v>6</v>
      </c>
      <c t="s" s="6" r="AE1299">
        <v>92</v>
      </c>
      <c t="s" s="6" r="AF1299">
        <v>92</v>
      </c>
      <c t="s" s="6" r="AG1299">
        <v>92</v>
      </c>
      <c s="6" r="AH1299">
        <v>5</v>
      </c>
      <c t="s" s="6" r="AI1299">
        <v>92</v>
      </c>
      <c s="6" r="AJ1299">
        <v>6</v>
      </c>
      <c t="s" s="6" r="AK1299">
        <v>92</v>
      </c>
      <c s="6" r="AL1299">
        <v>6</v>
      </c>
      <c t="s" s="6" r="AM1299">
        <v>92</v>
      </c>
      <c t="s" s="6" r="AN1299">
        <v>92</v>
      </c>
      <c s="6" r="AP1299">
        <v>6</v>
      </c>
      <c t="s" s="6" r="AR1299">
        <v>9372</v>
      </c>
      <c s="6" r="AS1299">
        <v>0</v>
      </c>
      <c s="6" r="AT1299">
        <v>0</v>
      </c>
      <c s="6" r="AU1299">
        <v>0</v>
      </c>
      <c s="6" r="AV1299">
        <v>0</v>
      </c>
      <c s="6" r="AW1299">
        <v>0</v>
      </c>
      <c s="6" r="AX1299">
        <v>0</v>
      </c>
      <c s="6" r="AY1299">
        <v>0</v>
      </c>
      <c s="6" r="AZ1299">
        <v>0</v>
      </c>
      <c s="6" r="BA1299">
        <v>0</v>
      </c>
      <c s="6" r="BB1299">
        <v>0</v>
      </c>
      <c s="6" r="BC1299">
        <v>0</v>
      </c>
      <c s="6" r="BD1299">
        <v>0</v>
      </c>
      <c s="6" r="BE1299">
        <v>0</v>
      </c>
      <c s="6" r="BF1299">
        <v>0</v>
      </c>
      <c s="6" r="BG1299">
        <v>0</v>
      </c>
      <c s="6" r="BH1299">
        <v>0</v>
      </c>
      <c s="6" r="BI1299">
        <v>0</v>
      </c>
      <c s="6" r="BJ1299">
        <v>0</v>
      </c>
      <c s="6" r="BK1299">
        <v>0</v>
      </c>
      <c s="6" r="BL1299">
        <v>0</v>
      </c>
      <c s="6" r="BM1299">
        <v>0</v>
      </c>
      <c s="6" r="BN1299">
        <v>0</v>
      </c>
      <c s="6" r="BO1299">
        <v>0</v>
      </c>
      <c s="6" r="BP1299">
        <v>0</v>
      </c>
      <c s="6" r="BQ1299">
        <v>0</v>
      </c>
      <c t="str" s="6" r="BR1299">
        <f>HYPERLINK("http://www.d20pfsrd.com/magic/all-spells/d/dust-form","Dust Form")</f>
        <v>Dust Form</v>
      </c>
      <c s="6" r="BS1299">
        <v>1322</v>
      </c>
      <c t="s" s="6" r="BT1299">
        <v>92</v>
      </c>
      <c s="6" r="BY1299">
        <v>0</v>
      </c>
    </row>
    <row customHeight="1" r="1300" ht="14.25">
      <c t="s" s="6" r="A1300">
        <v>9373</v>
      </c>
      <c t="s" s="6" r="B1300">
        <v>131</v>
      </c>
      <c t="s" s="6" r="E1300">
        <v>9374</v>
      </c>
      <c t="s" s="6" r="F1300">
        <v>81</v>
      </c>
      <c t="s" s="6" r="G1300">
        <v>106</v>
      </c>
      <c s="6" r="H1300">
        <v>0</v>
      </c>
      <c t="s" s="6" r="I1300">
        <v>155</v>
      </c>
      <c t="s" s="6" r="L1300">
        <v>156</v>
      </c>
      <c t="s" s="6" r="M1300">
        <v>2718</v>
      </c>
      <c s="6" r="N1300">
        <v>0</v>
      </c>
      <c s="6" r="O1300">
        <v>0</v>
      </c>
      <c t="s" s="6" r="R1300">
        <v>9375</v>
      </c>
      <c t="s" s="6" r="S1300">
        <v>9376</v>
      </c>
      <c t="s" s="6" r="T1300">
        <v>9149</v>
      </c>
      <c t="s" s="6" r="U1300">
        <v>9377</v>
      </c>
      <c s="6" r="V1300">
        <v>1</v>
      </c>
      <c s="6" r="W1300">
        <v>1</v>
      </c>
      <c s="6" r="X1300">
        <v>0</v>
      </c>
      <c s="6" r="Y1300">
        <v>0</v>
      </c>
      <c s="6" r="Z1300">
        <v>0</v>
      </c>
      <c t="s" s="6" r="AA1300">
        <v>92</v>
      </c>
      <c t="s" s="6" r="AB1300">
        <v>92</v>
      </c>
      <c s="6" r="AC1300">
        <v>2</v>
      </c>
      <c t="s" s="6" r="AD1300">
        <v>92</v>
      </c>
      <c s="6" r="AE1300">
        <v>2</v>
      </c>
      <c t="s" s="6" r="AF1300">
        <v>92</v>
      </c>
      <c s="6" r="AG1300">
        <v>2</v>
      </c>
      <c t="s" s="6" r="AH1300">
        <v>92</v>
      </c>
      <c t="s" s="6" r="AI1300">
        <v>92</v>
      </c>
      <c t="s" s="6" r="AJ1300">
        <v>92</v>
      </c>
      <c s="6" r="AK1300">
        <v>2</v>
      </c>
      <c s="6" r="AL1300">
        <v>2</v>
      </c>
      <c t="s" s="6" r="AM1300">
        <v>92</v>
      </c>
      <c s="6" r="AN1300">
        <v>2</v>
      </c>
      <c s="6" r="AP1300">
        <v>2</v>
      </c>
      <c t="s" s="6" r="AR1300">
        <v>9378</v>
      </c>
      <c s="6" r="AS1300">
        <v>0</v>
      </c>
      <c s="6" r="AT1300">
        <v>0</v>
      </c>
      <c s="6" r="AU1300">
        <v>0</v>
      </c>
      <c s="6" r="AV1300">
        <v>0</v>
      </c>
      <c s="6" r="AW1300">
        <v>0</v>
      </c>
      <c s="6" r="AX1300">
        <v>0</v>
      </c>
      <c s="6" r="AY1300">
        <v>0</v>
      </c>
      <c s="6" r="AZ1300">
        <v>0</v>
      </c>
      <c s="6" r="BA1300">
        <v>0</v>
      </c>
      <c s="6" r="BB1300">
        <v>0</v>
      </c>
      <c s="6" r="BC1300">
        <v>0</v>
      </c>
      <c s="6" r="BD1300">
        <v>0</v>
      </c>
      <c s="6" r="BE1300">
        <v>0</v>
      </c>
      <c s="6" r="BF1300">
        <v>0</v>
      </c>
      <c s="6" r="BG1300">
        <v>0</v>
      </c>
      <c s="6" r="BH1300">
        <v>0</v>
      </c>
      <c s="6" r="BI1300">
        <v>0</v>
      </c>
      <c s="6" r="BJ1300">
        <v>0</v>
      </c>
      <c s="6" r="BK1300">
        <v>0</v>
      </c>
      <c s="6" r="BL1300">
        <v>0</v>
      </c>
      <c s="6" r="BM1300">
        <v>0</v>
      </c>
      <c s="6" r="BN1300">
        <v>0</v>
      </c>
      <c s="6" r="BO1300">
        <v>0</v>
      </c>
      <c s="6" r="BP1300">
        <v>0</v>
      </c>
      <c s="6" r="BQ1300">
        <v>0</v>
      </c>
      <c t="str" s="6" r="BR1300">
        <f>HYPERLINK("http://www.d20pfsrd.com/magic/all-spells/e/effortless-armor","Effortless Armor")</f>
        <v>Effortless Armor</v>
      </c>
      <c s="6" r="BS1300">
        <v>1323</v>
      </c>
      <c t="s" s="6" r="BT1300">
        <v>92</v>
      </c>
      <c s="6" r="BY1300">
        <v>0</v>
      </c>
    </row>
    <row customHeight="1" r="1301" ht="14.25">
      <c t="s" s="6" r="A1301">
        <v>9379</v>
      </c>
      <c t="s" s="6" r="B1301">
        <v>162</v>
      </c>
      <c t="s" s="6" r="E1301">
        <v>9380</v>
      </c>
      <c t="s" s="6" r="F1301">
        <v>81</v>
      </c>
      <c t="s" s="6" r="G1301">
        <v>106</v>
      </c>
      <c s="6" r="H1301">
        <v>0</v>
      </c>
      <c t="s" s="6" r="I1301">
        <v>120</v>
      </c>
      <c t="s" s="6" r="L1301">
        <v>9190</v>
      </c>
      <c t="s" s="6" r="M1301">
        <v>379</v>
      </c>
      <c s="6" r="N1301">
        <v>0</v>
      </c>
      <c s="6" r="O1301">
        <v>0</v>
      </c>
      <c t="s" s="6" r="P1301">
        <v>421</v>
      </c>
      <c t="s" s="6" r="Q1301">
        <v>123</v>
      </c>
      <c t="s" s="6" r="R1301">
        <v>9381</v>
      </c>
      <c t="s" s="6" r="S1301">
        <v>9382</v>
      </c>
      <c t="s" s="6" r="T1301">
        <v>9149</v>
      </c>
      <c t="s" s="6" r="U1301">
        <v>9383</v>
      </c>
      <c s="6" r="V1301">
        <v>1</v>
      </c>
      <c s="6" r="W1301">
        <v>1</v>
      </c>
      <c s="6" r="X1301">
        <v>0</v>
      </c>
      <c s="6" r="Y1301">
        <v>0</v>
      </c>
      <c s="6" r="Z1301">
        <v>0</v>
      </c>
      <c s="6" r="AA1301">
        <v>2</v>
      </c>
      <c s="6" r="AB1301">
        <v>2</v>
      </c>
      <c s="6" r="AC1301">
        <v>2</v>
      </c>
      <c s="6" r="AD1301">
        <v>2</v>
      </c>
      <c s="6" r="AE1301">
        <v>2</v>
      </c>
      <c t="s" s="6" r="AF1301">
        <v>92</v>
      </c>
      <c s="6" r="AG1301">
        <v>2</v>
      </c>
      <c s="6" r="AH1301">
        <v>3</v>
      </c>
      <c t="s" s="6" r="AI1301">
        <v>92</v>
      </c>
      <c t="s" s="6" r="AJ1301">
        <v>92</v>
      </c>
      <c t="s" s="6" r="AK1301">
        <v>92</v>
      </c>
      <c s="6" r="AL1301">
        <v>2</v>
      </c>
      <c t="s" s="6" r="AM1301">
        <v>92</v>
      </c>
      <c t="s" s="6" r="AN1301">
        <v>92</v>
      </c>
      <c s="6" r="AP1301">
        <v>2</v>
      </c>
      <c t="s" s="6" r="AR1301">
        <v>9384</v>
      </c>
      <c s="6" r="AS1301">
        <v>0</v>
      </c>
      <c s="6" r="AT1301">
        <v>0</v>
      </c>
      <c s="6" r="AU1301">
        <v>0</v>
      </c>
      <c s="6" r="AV1301">
        <v>0</v>
      </c>
      <c s="6" r="AW1301">
        <v>0</v>
      </c>
      <c s="6" r="AX1301">
        <v>0</v>
      </c>
      <c s="6" r="AY1301">
        <v>0</v>
      </c>
      <c s="6" r="AZ1301">
        <v>0</v>
      </c>
      <c s="6" r="BA1301">
        <v>0</v>
      </c>
      <c s="6" r="BB1301">
        <v>0</v>
      </c>
      <c s="6" r="BC1301">
        <v>0</v>
      </c>
      <c s="6" r="BD1301">
        <v>0</v>
      </c>
      <c s="6" r="BE1301">
        <v>0</v>
      </c>
      <c s="6" r="BF1301">
        <v>0</v>
      </c>
      <c s="6" r="BG1301">
        <v>0</v>
      </c>
      <c s="6" r="BH1301">
        <v>0</v>
      </c>
      <c s="6" r="BI1301">
        <v>0</v>
      </c>
      <c s="6" r="BJ1301">
        <v>0</v>
      </c>
      <c s="6" r="BK1301">
        <v>0</v>
      </c>
      <c s="6" r="BL1301">
        <v>0</v>
      </c>
      <c s="6" r="BM1301">
        <v>0</v>
      </c>
      <c s="6" r="BN1301">
        <v>0</v>
      </c>
      <c s="6" r="BO1301">
        <v>0</v>
      </c>
      <c s="6" r="BP1301">
        <v>0</v>
      </c>
      <c s="6" r="BQ1301">
        <v>0</v>
      </c>
      <c t="str" s="6" r="BR1301">
        <f>HYPERLINK("http://www.d20pfsrd.com/magic/all-spells/e/endure-elements#TOC-Endure-Elements-Communal","Endure Elements, Communal")</f>
        <v>Endure Elements, Communal</v>
      </c>
      <c s="6" r="BS1301">
        <v>1324</v>
      </c>
      <c t="s" s="6" r="BT1301">
        <v>92</v>
      </c>
      <c s="6" r="BY1301">
        <v>0</v>
      </c>
    </row>
    <row customHeight="1" r="1302" ht="14.25">
      <c t="s" s="6" r="A1302">
        <v>9385</v>
      </c>
      <c t="s" s="6" r="B1302">
        <v>131</v>
      </c>
      <c t="s" s="6" r="D1302">
        <v>9386</v>
      </c>
      <c t="s" s="6" r="E1302">
        <v>6091</v>
      </c>
      <c t="s" s="6" r="F1302">
        <v>311</v>
      </c>
      <c t="s" s="6" r="G1302">
        <v>9387</v>
      </c>
      <c s="6" r="H1302">
        <v>0</v>
      </c>
      <c t="s" s="6" r="I1302">
        <v>107</v>
      </c>
      <c t="s" s="6" r="L1302">
        <v>9388</v>
      </c>
      <c t="s" s="6" r="M1302">
        <v>7232</v>
      </c>
      <c s="6" r="N1302">
        <v>0</v>
      </c>
      <c s="6" r="O1302">
        <v>0</v>
      </c>
      <c t="s" s="6" r="P1302">
        <v>9316</v>
      </c>
      <c t="s" s="6" r="Q1302">
        <v>9389</v>
      </c>
      <c t="s" s="6" r="R1302">
        <v>9390</v>
      </c>
      <c t="s" s="6" r="S1302">
        <v>9391</v>
      </c>
      <c t="s" s="6" r="T1302">
        <v>9149</v>
      </c>
      <c t="s" s="6" r="U1302">
        <v>9392</v>
      </c>
      <c s="6" r="V1302">
        <v>1</v>
      </c>
      <c s="6" r="W1302">
        <v>1</v>
      </c>
      <c s="6" r="X1302">
        <v>1</v>
      </c>
      <c s="6" r="Y1302">
        <v>0</v>
      </c>
      <c s="6" r="Z1302">
        <v>0</v>
      </c>
      <c s="6" r="AA1302">
        <v>5</v>
      </c>
      <c s="6" r="AB1302">
        <v>5</v>
      </c>
      <c t="s" s="6" r="AC1302">
        <v>92</v>
      </c>
      <c t="s" s="6" r="AD1302">
        <v>92</v>
      </c>
      <c t="s" s="6" r="AE1302">
        <v>92</v>
      </c>
      <c t="s" s="6" r="AF1302">
        <v>92</v>
      </c>
      <c t="s" s="6" r="AG1302">
        <v>92</v>
      </c>
      <c t="s" s="6" r="AH1302">
        <v>92</v>
      </c>
      <c s="6" r="AI1302">
        <v>5</v>
      </c>
      <c t="s" s="6" r="AJ1302">
        <v>92</v>
      </c>
      <c t="s" s="6" r="AK1302">
        <v>92</v>
      </c>
      <c t="s" s="6" r="AL1302">
        <v>92</v>
      </c>
      <c t="s" s="6" r="AM1302">
        <v>92</v>
      </c>
      <c t="s" s="6" r="AN1302">
        <v>92</v>
      </c>
      <c s="6" r="AP1302">
        <v>5</v>
      </c>
      <c t="s" s="6" r="AR1302">
        <v>9393</v>
      </c>
      <c s="6" r="AS1302">
        <v>0</v>
      </c>
      <c s="6" r="AT1302">
        <v>0</v>
      </c>
      <c s="6" r="AU1302">
        <v>0</v>
      </c>
      <c s="6" r="AV1302">
        <v>0</v>
      </c>
      <c s="6" r="AW1302">
        <v>0</v>
      </c>
      <c s="6" r="AX1302">
        <v>0</v>
      </c>
      <c s="6" r="AY1302">
        <v>0</v>
      </c>
      <c s="6" r="AZ1302">
        <v>0</v>
      </c>
      <c s="6" r="BA1302">
        <v>0</v>
      </c>
      <c s="6" r="BB1302">
        <v>0</v>
      </c>
      <c s="6" r="BC1302">
        <v>0</v>
      </c>
      <c s="6" r="BD1302">
        <v>0</v>
      </c>
      <c s="6" r="BE1302">
        <v>0</v>
      </c>
      <c s="6" r="BF1302">
        <v>0</v>
      </c>
      <c s="6" r="BG1302">
        <v>0</v>
      </c>
      <c s="6" r="BH1302">
        <v>0</v>
      </c>
      <c s="6" r="BI1302">
        <v>0</v>
      </c>
      <c s="6" r="BJ1302">
        <v>0</v>
      </c>
      <c s="6" r="BK1302">
        <v>0</v>
      </c>
      <c s="6" r="BL1302">
        <v>0</v>
      </c>
      <c s="6" r="BM1302">
        <v>0</v>
      </c>
      <c s="6" r="BN1302">
        <v>0</v>
      </c>
      <c s="6" r="BO1302">
        <v>0</v>
      </c>
      <c s="6" r="BP1302">
        <v>0</v>
      </c>
      <c s="6" r="BQ1302">
        <v>0</v>
      </c>
      <c t="str" s="6" r="BR1302">
        <f>HYPERLINK("http://www.d20pfsrd.com/magic/all-spells/e/energy-siege-shot","Energy Siege Shot")</f>
        <v>Energy Siege Shot</v>
      </c>
      <c s="6" r="BS1302">
        <v>1325</v>
      </c>
      <c t="s" s="6" r="BT1302">
        <v>92</v>
      </c>
      <c s="6" r="BY1302">
        <v>0</v>
      </c>
    </row>
    <row customHeight="1" r="1303" ht="14.25">
      <c t="s" s="6" r="A1303">
        <v>9394</v>
      </c>
      <c t="s" s="6" r="B1303">
        <v>493</v>
      </c>
      <c t="s" s="6" r="D1303">
        <v>9386</v>
      </c>
      <c t="s" s="6" r="E1303">
        <v>9395</v>
      </c>
      <c t="s" s="6" r="F1303">
        <v>311</v>
      </c>
      <c t="s" s="6" r="G1303">
        <v>9387</v>
      </c>
      <c s="6" r="H1303">
        <v>0</v>
      </c>
      <c t="s" s="6" r="I1303">
        <v>107</v>
      </c>
      <c t="s" s="6" r="L1303">
        <v>9396</v>
      </c>
      <c t="s" s="6" r="M1303">
        <v>7232</v>
      </c>
      <c s="6" r="N1303">
        <v>0</v>
      </c>
      <c s="6" r="O1303">
        <v>0</v>
      </c>
      <c t="s" s="6" r="P1303">
        <v>9316</v>
      </c>
      <c t="s" s="6" r="Q1303">
        <v>9389</v>
      </c>
      <c t="s" s="6" r="R1303">
        <v>9397</v>
      </c>
      <c t="s" s="6" r="S1303">
        <v>9398</v>
      </c>
      <c t="s" s="6" r="T1303">
        <v>9149</v>
      </c>
      <c t="s" s="6" r="U1303">
        <v>9399</v>
      </c>
      <c s="6" r="V1303">
        <v>1</v>
      </c>
      <c s="6" r="W1303">
        <v>1</v>
      </c>
      <c s="6" r="X1303">
        <v>1</v>
      </c>
      <c s="6" r="Y1303">
        <v>0</v>
      </c>
      <c s="6" r="Z1303">
        <v>0</v>
      </c>
      <c s="6" r="AA1303">
        <v>6</v>
      </c>
      <c s="6" r="AB1303">
        <v>6</v>
      </c>
      <c t="s" s="6" r="AC1303">
        <v>92</v>
      </c>
      <c t="s" s="6" r="AD1303">
        <v>92</v>
      </c>
      <c t="s" s="6" r="AE1303">
        <v>92</v>
      </c>
      <c t="s" s="6" r="AF1303">
        <v>92</v>
      </c>
      <c t="s" s="6" r="AG1303">
        <v>92</v>
      </c>
      <c t="s" s="6" r="AH1303">
        <v>92</v>
      </c>
      <c s="6" r="AI1303">
        <v>6</v>
      </c>
      <c t="s" s="6" r="AJ1303">
        <v>92</v>
      </c>
      <c t="s" s="6" r="AK1303">
        <v>92</v>
      </c>
      <c t="s" s="6" r="AL1303">
        <v>92</v>
      </c>
      <c t="s" s="6" r="AM1303">
        <v>92</v>
      </c>
      <c t="s" s="6" r="AN1303">
        <v>92</v>
      </c>
      <c s="6" r="AP1303">
        <v>6</v>
      </c>
      <c t="s" s="6" r="AR1303">
        <v>9400</v>
      </c>
      <c s="6" r="AS1303">
        <v>0</v>
      </c>
      <c s="6" r="AT1303">
        <v>0</v>
      </c>
      <c s="6" r="AU1303">
        <v>0</v>
      </c>
      <c s="6" r="AV1303">
        <v>0</v>
      </c>
      <c s="6" r="AW1303">
        <v>0</v>
      </c>
      <c s="6" r="AX1303">
        <v>0</v>
      </c>
      <c s="6" r="AY1303">
        <v>0</v>
      </c>
      <c s="6" r="AZ1303">
        <v>0</v>
      </c>
      <c s="6" r="BA1303">
        <v>0</v>
      </c>
      <c s="6" r="BB1303">
        <v>0</v>
      </c>
      <c s="6" r="BC1303">
        <v>0</v>
      </c>
      <c s="6" r="BD1303">
        <v>0</v>
      </c>
      <c s="6" r="BE1303">
        <v>0</v>
      </c>
      <c s="6" r="BF1303">
        <v>0</v>
      </c>
      <c s="6" r="BG1303">
        <v>0</v>
      </c>
      <c s="6" r="BH1303">
        <v>0</v>
      </c>
      <c s="6" r="BI1303">
        <v>0</v>
      </c>
      <c s="6" r="BJ1303">
        <v>0</v>
      </c>
      <c s="6" r="BK1303">
        <v>0</v>
      </c>
      <c s="6" r="BL1303">
        <v>0</v>
      </c>
      <c s="6" r="BM1303">
        <v>0</v>
      </c>
      <c s="6" r="BN1303">
        <v>0</v>
      </c>
      <c s="6" r="BO1303">
        <v>0</v>
      </c>
      <c s="6" r="BP1303">
        <v>0</v>
      </c>
      <c s="6" r="BQ1303">
        <v>0</v>
      </c>
      <c t="str" s="6" r="BR1303">
        <f>HYPERLINK("http://www.d20pfsrd.com/magic/all-spells/e/energy-siege-shot#TOC-Energy-Siege-Shot-Greater","Energy Siege Shot, Greater")</f>
        <v>Energy Siege Shot, Greater</v>
      </c>
      <c s="6" r="BS1303">
        <v>1326</v>
      </c>
      <c t="s" s="6" r="BT1303">
        <v>92</v>
      </c>
      <c s="6" r="BY1303">
        <v>0</v>
      </c>
    </row>
    <row customHeight="1" r="1304" ht="14.25">
      <c t="s" s="6" r="A1304">
        <v>9401</v>
      </c>
      <c t="s" s="6" r="B1304">
        <v>131</v>
      </c>
      <c t="s" s="6" r="E1304">
        <v>2346</v>
      </c>
      <c t="s" s="6" r="F1304">
        <v>272</v>
      </c>
      <c t="s" s="6" r="G1304">
        <v>9402</v>
      </c>
      <c s="6" r="H1304">
        <v>1</v>
      </c>
      <c t="s" s="6" r="I1304">
        <v>120</v>
      </c>
      <c t="s" s="6" r="L1304">
        <v>9403</v>
      </c>
      <c t="s" s="6" r="M1304">
        <v>109</v>
      </c>
      <c s="6" r="N1304">
        <v>0</v>
      </c>
      <c s="6" r="O1304">
        <v>0</v>
      </c>
      <c t="s" s="6" r="P1304">
        <v>86</v>
      </c>
      <c t="s" s="6" r="Q1304">
        <v>87</v>
      </c>
      <c t="s" s="6" r="R1304">
        <v>9404</v>
      </c>
      <c t="s" s="6" r="S1304">
        <v>9405</v>
      </c>
      <c t="s" s="6" r="T1304">
        <v>9149</v>
      </c>
      <c t="s" s="6" r="U1304">
        <v>9406</v>
      </c>
      <c s="6" r="V1304">
        <v>1</v>
      </c>
      <c s="6" r="W1304">
        <v>1</v>
      </c>
      <c s="6" r="X1304">
        <v>1</v>
      </c>
      <c s="6" r="Y1304">
        <v>0</v>
      </c>
      <c s="6" r="Z1304">
        <v>0</v>
      </c>
      <c s="6" r="AA1304">
        <v>1</v>
      </c>
      <c s="6" r="AB1304">
        <v>1</v>
      </c>
      <c t="s" s="6" r="AC1304">
        <v>92</v>
      </c>
      <c t="s" s="6" r="AD1304">
        <v>92</v>
      </c>
      <c t="s" s="6" r="AE1304">
        <v>92</v>
      </c>
      <c t="s" s="6" r="AF1304">
        <v>92</v>
      </c>
      <c t="s" s="6" r="AG1304">
        <v>92</v>
      </c>
      <c t="s" s="6" r="AH1304">
        <v>92</v>
      </c>
      <c t="s" s="6" r="AI1304">
        <v>92</v>
      </c>
      <c t="s" s="6" r="AJ1304">
        <v>92</v>
      </c>
      <c t="s" s="6" r="AK1304">
        <v>92</v>
      </c>
      <c t="s" s="6" r="AL1304">
        <v>92</v>
      </c>
      <c t="s" s="6" r="AM1304">
        <v>92</v>
      </c>
      <c t="s" s="6" r="AN1304">
        <v>92</v>
      </c>
      <c s="6" r="AP1304">
        <v>1</v>
      </c>
      <c t="s" s="6" r="AR1304">
        <v>9407</v>
      </c>
      <c s="6" r="AS1304">
        <v>0</v>
      </c>
      <c s="6" r="AT1304">
        <v>0</v>
      </c>
      <c s="6" r="AU1304">
        <v>0</v>
      </c>
      <c s="6" r="AV1304">
        <v>0</v>
      </c>
      <c s="6" r="AW1304">
        <v>0</v>
      </c>
      <c s="6" r="AX1304">
        <v>0</v>
      </c>
      <c s="6" r="AY1304">
        <v>0</v>
      </c>
      <c s="6" r="AZ1304">
        <v>0</v>
      </c>
      <c s="6" r="BA1304">
        <v>0</v>
      </c>
      <c s="6" r="BB1304">
        <v>0</v>
      </c>
      <c s="6" r="BC1304">
        <v>0</v>
      </c>
      <c s="6" r="BD1304">
        <v>0</v>
      </c>
      <c s="6" r="BE1304">
        <v>0</v>
      </c>
      <c s="6" r="BF1304">
        <v>0</v>
      </c>
      <c s="6" r="BG1304">
        <v>0</v>
      </c>
      <c s="6" r="BH1304">
        <v>0</v>
      </c>
      <c s="6" r="BI1304">
        <v>0</v>
      </c>
      <c s="6" r="BJ1304">
        <v>0</v>
      </c>
      <c s="6" r="BK1304">
        <v>0</v>
      </c>
      <c s="6" r="BL1304">
        <v>0</v>
      </c>
      <c s="6" r="BM1304">
        <v>0</v>
      </c>
      <c s="6" r="BN1304">
        <v>0</v>
      </c>
      <c s="6" r="BO1304">
        <v>0</v>
      </c>
      <c s="6" r="BP1304">
        <v>0</v>
      </c>
      <c s="6" r="BQ1304">
        <v>0</v>
      </c>
      <c t="str" s="6" r="BR1304">
        <f>HYPERLINK("http://www.d20pfsrd.com/magic/all-spells/f/fabricate-bullets","Fabricate Bullets")</f>
        <v>Fabricate Bullets</v>
      </c>
      <c s="6" r="BS1304">
        <v>1327</v>
      </c>
      <c s="6" r="BT1304">
        <v>2</v>
      </c>
      <c s="6" r="BY1304">
        <v>0</v>
      </c>
    </row>
    <row customHeight="1" r="1305" ht="14.25">
      <c t="s" s="6" r="A1305">
        <v>9408</v>
      </c>
      <c t="s" s="6" r="B1305">
        <v>78</v>
      </c>
      <c t="s" s="6" r="C1305">
        <v>79</v>
      </c>
      <c t="s" s="6" r="D1305">
        <v>57</v>
      </c>
      <c t="s" s="6" r="E1305">
        <v>320</v>
      </c>
      <c t="s" s="6" r="F1305">
        <v>81</v>
      </c>
      <c t="s" s="6" r="G1305">
        <v>9409</v>
      </c>
      <c s="6" r="H1305">
        <v>0</v>
      </c>
      <c t="s" s="6" r="I1305">
        <v>107</v>
      </c>
      <c t="s" s="6" r="K1305">
        <v>9410</v>
      </c>
      <c t="s" s="6" r="M1305">
        <v>483</v>
      </c>
      <c s="6" r="N1305">
        <v>1</v>
      </c>
      <c s="6" r="O1305">
        <v>0</v>
      </c>
      <c t="s" s="6" r="P1305">
        <v>86</v>
      </c>
      <c t="s" s="6" r="Q1305">
        <v>188</v>
      </c>
      <c t="s" s="6" r="R1305">
        <v>9411</v>
      </c>
      <c t="s" s="6" r="S1305">
        <v>9412</v>
      </c>
      <c t="s" s="6" r="T1305">
        <v>9149</v>
      </c>
      <c t="s" s="6" r="U1305">
        <v>9413</v>
      </c>
      <c s="6" r="V1305">
        <v>1</v>
      </c>
      <c s="6" r="W1305">
        <v>1</v>
      </c>
      <c s="6" r="X1305">
        <v>1</v>
      </c>
      <c s="6" r="Y1305">
        <v>0</v>
      </c>
      <c s="6" r="Z1305">
        <v>0</v>
      </c>
      <c s="6" r="AA1305">
        <v>2</v>
      </c>
      <c s="6" r="AB1305">
        <v>2</v>
      </c>
      <c t="s" s="6" r="AC1305">
        <v>92</v>
      </c>
      <c t="s" s="6" r="AD1305">
        <v>92</v>
      </c>
      <c t="s" s="6" r="AE1305">
        <v>92</v>
      </c>
      <c t="s" s="6" r="AF1305">
        <v>92</v>
      </c>
      <c t="s" s="6" r="AG1305">
        <v>92</v>
      </c>
      <c t="s" s="6" r="AH1305">
        <v>92</v>
      </c>
      <c t="s" s="6" r="AI1305">
        <v>92</v>
      </c>
      <c t="s" s="6" r="AJ1305">
        <v>92</v>
      </c>
      <c t="s" s="6" r="AK1305">
        <v>92</v>
      </c>
      <c t="s" s="6" r="AL1305">
        <v>92</v>
      </c>
      <c t="s" s="6" r="AM1305">
        <v>92</v>
      </c>
      <c t="s" s="6" r="AN1305">
        <v>92</v>
      </c>
      <c s="6" r="AP1305">
        <v>2</v>
      </c>
      <c t="s" s="6" r="AR1305">
        <v>9414</v>
      </c>
      <c s="6" r="AS1305">
        <v>0</v>
      </c>
      <c s="6" r="AT1305">
        <v>0</v>
      </c>
      <c s="6" r="AU1305">
        <v>0</v>
      </c>
      <c s="6" r="AV1305">
        <v>0</v>
      </c>
      <c s="6" r="AW1305">
        <v>0</v>
      </c>
      <c s="6" r="AX1305">
        <v>0</v>
      </c>
      <c s="6" r="AY1305">
        <v>0</v>
      </c>
      <c s="6" r="AZ1305">
        <v>0</v>
      </c>
      <c s="6" r="BA1305">
        <v>0</v>
      </c>
      <c s="6" r="BB1305">
        <v>0</v>
      </c>
      <c s="6" r="BC1305">
        <v>0</v>
      </c>
      <c s="6" r="BD1305">
        <v>0</v>
      </c>
      <c s="6" r="BE1305">
        <v>0</v>
      </c>
      <c s="6" r="BF1305">
        <v>1</v>
      </c>
      <c s="6" r="BG1305">
        <v>0</v>
      </c>
      <c s="6" r="BH1305">
        <v>0</v>
      </c>
      <c s="6" r="BI1305">
        <v>0</v>
      </c>
      <c s="6" r="BJ1305">
        <v>0</v>
      </c>
      <c s="6" r="BK1305">
        <v>0</v>
      </c>
      <c s="6" r="BL1305">
        <v>0</v>
      </c>
      <c s="6" r="BM1305">
        <v>0</v>
      </c>
      <c s="6" r="BN1305">
        <v>0</v>
      </c>
      <c s="6" r="BO1305">
        <v>0</v>
      </c>
      <c s="6" r="BP1305">
        <v>0</v>
      </c>
      <c s="6" r="BQ1305">
        <v>0</v>
      </c>
      <c t="str" s="6" r="BR1305">
        <f>HYPERLINK("http://www.d20pfsrd.com/magic/all-spells/f/fiery-shuriken","Fiery Shuriken")</f>
        <v>Fiery Shuriken</v>
      </c>
      <c s="6" r="BS1305">
        <v>1328</v>
      </c>
      <c t="s" s="6" r="BT1305">
        <v>92</v>
      </c>
      <c s="6" r="BY1305">
        <v>0</v>
      </c>
    </row>
    <row customHeight="1" r="1306" ht="14.25">
      <c t="s" s="6" r="A1306">
        <v>9415</v>
      </c>
      <c t="s" s="6" r="B1306">
        <v>174</v>
      </c>
      <c t="s" s="6" r="E1306">
        <v>9416</v>
      </c>
      <c t="s" s="6" r="F1306">
        <v>81</v>
      </c>
      <c t="s" s="6" r="G1306">
        <v>119</v>
      </c>
      <c s="6" r="H1306">
        <v>0</v>
      </c>
      <c t="s" s="6" r="I1306">
        <v>155</v>
      </c>
      <c t="s" s="6" r="L1306">
        <v>156</v>
      </c>
      <c t="s" s="6" r="M1306">
        <v>109</v>
      </c>
      <c s="6" r="N1306">
        <v>0</v>
      </c>
      <c s="6" r="O1306">
        <v>0</v>
      </c>
      <c t="s" s="6" r="P1306">
        <v>86</v>
      </c>
      <c t="s" s="6" r="Q1306">
        <v>87</v>
      </c>
      <c t="s" s="6" r="R1306">
        <v>9417</v>
      </c>
      <c t="s" s="6" r="S1306">
        <v>9418</v>
      </c>
      <c t="s" s="6" r="T1306">
        <v>9149</v>
      </c>
      <c t="s" s="6" r="U1306">
        <v>9419</v>
      </c>
      <c s="6" r="V1306">
        <v>1</v>
      </c>
      <c s="6" r="W1306">
        <v>1</v>
      </c>
      <c s="6" r="X1306">
        <v>0</v>
      </c>
      <c s="6" r="Y1306">
        <v>0</v>
      </c>
      <c s="6" r="Z1306">
        <v>1</v>
      </c>
      <c t="s" s="6" r="AA1306">
        <v>92</v>
      </c>
      <c t="s" s="6" r="AB1306">
        <v>92</v>
      </c>
      <c t="s" s="6" r="AC1306">
        <v>92</v>
      </c>
      <c t="s" s="6" r="AD1306">
        <v>92</v>
      </c>
      <c s="6" r="AE1306">
        <v>4</v>
      </c>
      <c t="s" s="6" r="AF1306">
        <v>92</v>
      </c>
      <c t="s" s="6" r="AG1306">
        <v>92</v>
      </c>
      <c t="s" s="6" r="AH1306">
        <v>92</v>
      </c>
      <c t="s" s="6" r="AI1306">
        <v>92</v>
      </c>
      <c t="s" s="6" r="AJ1306">
        <v>92</v>
      </c>
      <c s="6" r="AK1306">
        <v>4</v>
      </c>
      <c t="s" s="6" r="AL1306">
        <v>92</v>
      </c>
      <c t="s" s="6" r="AM1306">
        <v>92</v>
      </c>
      <c t="s" s="6" r="AN1306">
        <v>92</v>
      </c>
      <c s="6" r="AP1306">
        <v>4</v>
      </c>
      <c t="s" s="6" r="AR1306">
        <v>9420</v>
      </c>
      <c s="6" r="AS1306">
        <v>0</v>
      </c>
      <c s="6" r="AT1306">
        <v>0</v>
      </c>
      <c s="6" r="AU1306">
        <v>0</v>
      </c>
      <c s="6" r="AV1306">
        <v>0</v>
      </c>
      <c s="6" r="AW1306">
        <v>0</v>
      </c>
      <c s="6" r="AX1306">
        <v>0</v>
      </c>
      <c s="6" r="AY1306">
        <v>0</v>
      </c>
      <c s="6" r="AZ1306">
        <v>0</v>
      </c>
      <c s="6" r="BA1306">
        <v>0</v>
      </c>
      <c s="6" r="BB1306">
        <v>0</v>
      </c>
      <c s="6" r="BC1306">
        <v>0</v>
      </c>
      <c s="6" r="BD1306">
        <v>0</v>
      </c>
      <c s="6" r="BE1306">
        <v>0</v>
      </c>
      <c s="6" r="BF1306">
        <v>0</v>
      </c>
      <c s="6" r="BG1306">
        <v>0</v>
      </c>
      <c s="6" r="BH1306">
        <v>0</v>
      </c>
      <c s="6" r="BI1306">
        <v>0</v>
      </c>
      <c s="6" r="BJ1306">
        <v>0</v>
      </c>
      <c s="6" r="BK1306">
        <v>0</v>
      </c>
      <c s="6" r="BL1306">
        <v>0</v>
      </c>
      <c s="6" r="BM1306">
        <v>0</v>
      </c>
      <c s="6" r="BN1306">
        <v>0</v>
      </c>
      <c s="6" r="BO1306">
        <v>0</v>
      </c>
      <c s="6" r="BP1306">
        <v>0</v>
      </c>
      <c s="6" r="BQ1306">
        <v>0</v>
      </c>
      <c t="str" s="6" r="BR1306">
        <f>HYPERLINK("http://www.d20pfsrd.com/magic/all-spells/f/find-quarry","Find Quarry")</f>
        <v>Find Quarry</v>
      </c>
      <c s="6" r="BS1306">
        <v>1329</v>
      </c>
      <c t="s" s="6" r="BT1306">
        <v>92</v>
      </c>
      <c s="6" r="BY1306">
        <v>0</v>
      </c>
    </row>
    <row customHeight="1" r="1307" ht="14.25">
      <c t="s" s="6" r="A1307">
        <v>9421</v>
      </c>
      <c t="s" s="6" r="B1307">
        <v>131</v>
      </c>
      <c t="s" s="6" r="E1307">
        <v>6274</v>
      </c>
      <c t="s" s="6" r="F1307">
        <v>81</v>
      </c>
      <c t="s" s="6" r="G1307">
        <v>9422</v>
      </c>
      <c s="6" r="H1307">
        <v>0</v>
      </c>
      <c t="s" s="6" r="I1307">
        <v>107</v>
      </c>
      <c t="s" s="6" r="L1307">
        <v>9423</v>
      </c>
      <c t="s" s="6" r="M1307">
        <v>109</v>
      </c>
      <c s="6" r="N1307">
        <v>0</v>
      </c>
      <c s="6" r="O1307">
        <v>0</v>
      </c>
      <c t="s" s="6" r="P1307">
        <v>9424</v>
      </c>
      <c t="s" s="6" r="Q1307">
        <v>4427</v>
      </c>
      <c t="s" s="6" r="R1307">
        <v>9425</v>
      </c>
      <c t="s" s="6" r="S1307">
        <v>9426</v>
      </c>
      <c t="s" s="6" r="T1307">
        <v>9149</v>
      </c>
      <c t="s" s="6" r="U1307">
        <v>9427</v>
      </c>
      <c s="6" r="V1307">
        <v>1</v>
      </c>
      <c s="6" r="W1307">
        <v>1</v>
      </c>
      <c s="6" r="X1307">
        <v>1</v>
      </c>
      <c s="6" r="Y1307">
        <v>0</v>
      </c>
      <c s="6" r="Z1307">
        <v>0</v>
      </c>
      <c s="6" r="AA1307">
        <v>3</v>
      </c>
      <c s="6" r="AB1307">
        <v>3</v>
      </c>
      <c t="s" s="6" r="AC1307">
        <v>92</v>
      </c>
      <c t="s" s="6" r="AD1307">
        <v>92</v>
      </c>
      <c t="s" s="6" r="AE1307">
        <v>92</v>
      </c>
      <c t="s" s="6" r="AF1307">
        <v>92</v>
      </c>
      <c t="s" s="6" r="AG1307">
        <v>92</v>
      </c>
      <c t="s" s="6" r="AH1307">
        <v>92</v>
      </c>
      <c t="s" s="6" r="AI1307">
        <v>92</v>
      </c>
      <c s="6" r="AJ1307">
        <v>3</v>
      </c>
      <c t="s" s="6" r="AK1307">
        <v>92</v>
      </c>
      <c t="s" s="6" r="AL1307">
        <v>92</v>
      </c>
      <c t="s" s="6" r="AM1307">
        <v>92</v>
      </c>
      <c t="s" s="6" r="AN1307">
        <v>92</v>
      </c>
      <c s="6" r="AP1307">
        <v>3</v>
      </c>
      <c t="s" s="6" r="AR1307">
        <v>9428</v>
      </c>
      <c s="6" r="AS1307">
        <v>0</v>
      </c>
      <c s="6" r="AT1307">
        <v>0</v>
      </c>
      <c s="6" r="AU1307">
        <v>0</v>
      </c>
      <c s="6" r="AV1307">
        <v>0</v>
      </c>
      <c s="6" r="AW1307">
        <v>0</v>
      </c>
      <c s="6" r="AX1307">
        <v>0</v>
      </c>
      <c s="6" r="AY1307">
        <v>0</v>
      </c>
      <c s="6" r="AZ1307">
        <v>0</v>
      </c>
      <c s="6" r="BA1307">
        <v>0</v>
      </c>
      <c s="6" r="BB1307">
        <v>0</v>
      </c>
      <c s="6" r="BC1307">
        <v>0</v>
      </c>
      <c s="6" r="BD1307">
        <v>0</v>
      </c>
      <c s="6" r="BE1307">
        <v>0</v>
      </c>
      <c s="6" r="BF1307">
        <v>0</v>
      </c>
      <c s="6" r="BG1307">
        <v>0</v>
      </c>
      <c s="6" r="BH1307">
        <v>0</v>
      </c>
      <c s="6" r="BI1307">
        <v>0</v>
      </c>
      <c s="6" r="BJ1307">
        <v>0</v>
      </c>
      <c s="6" r="BK1307">
        <v>0</v>
      </c>
      <c s="6" r="BL1307">
        <v>0</v>
      </c>
      <c s="6" r="BM1307">
        <v>0</v>
      </c>
      <c s="6" r="BN1307">
        <v>0</v>
      </c>
      <c s="6" r="BO1307">
        <v>0</v>
      </c>
      <c s="6" r="BP1307">
        <v>0</v>
      </c>
      <c s="6" r="BQ1307">
        <v>0</v>
      </c>
      <c t="str" s="6" r="BR1307">
        <f>HYPERLINK("http://www.d20pfsrd.com/magic/all-spells/f/flash-fire","Flash Fire")</f>
        <v>Flash Fire</v>
      </c>
      <c s="6" r="BS1307">
        <v>1330</v>
      </c>
      <c t="s" s="6" r="BT1307">
        <v>92</v>
      </c>
      <c s="6" r="BY1307">
        <v>0</v>
      </c>
    </row>
    <row customHeight="1" r="1308" ht="14.25">
      <c t="s" s="6" r="A1308">
        <v>9429</v>
      </c>
      <c t="s" s="6" r="B1308">
        <v>162</v>
      </c>
      <c t="s" s="6" r="E1308">
        <v>4295</v>
      </c>
      <c t="s" s="6" r="F1308">
        <v>272</v>
      </c>
      <c t="s" s="6" r="G1308">
        <v>9430</v>
      </c>
      <c s="6" r="H1308">
        <v>0</v>
      </c>
      <c t="s" s="6" r="I1308">
        <v>107</v>
      </c>
      <c t="s" s="6" r="L1308">
        <v>9431</v>
      </c>
      <c t="s" s="6" r="M1308">
        <v>2718</v>
      </c>
      <c s="6" r="N1308">
        <v>0</v>
      </c>
      <c s="6" r="O1308">
        <v>0</v>
      </c>
      <c t="s" s="6" r="P1308">
        <v>86</v>
      </c>
      <c t="s" s="6" r="Q1308">
        <v>87</v>
      </c>
      <c t="s" s="6" r="R1308">
        <v>9432</v>
      </c>
      <c t="s" s="6" r="S1308">
        <v>9433</v>
      </c>
      <c t="s" s="6" r="T1308">
        <v>9149</v>
      </c>
      <c t="s" s="6" r="U1308">
        <v>9434</v>
      </c>
      <c s="6" r="V1308">
        <v>1</v>
      </c>
      <c s="6" r="W1308">
        <v>1</v>
      </c>
      <c s="6" r="X1308">
        <v>1</v>
      </c>
      <c s="6" r="Y1308">
        <v>0</v>
      </c>
      <c s="6" r="Z1308">
        <v>0</v>
      </c>
      <c t="s" s="6" r="AA1308">
        <v>92</v>
      </c>
      <c t="s" s="6" r="AB1308">
        <v>92</v>
      </c>
      <c t="s" s="6" r="AC1308">
        <v>92</v>
      </c>
      <c s="6" r="AD1308">
        <v>2</v>
      </c>
      <c s="6" r="AE1308">
        <v>2</v>
      </c>
      <c t="s" s="6" r="AF1308">
        <v>92</v>
      </c>
      <c t="s" s="6" r="AG1308">
        <v>92</v>
      </c>
      <c t="s" s="6" r="AH1308">
        <v>92</v>
      </c>
      <c t="s" s="6" r="AI1308">
        <v>92</v>
      </c>
      <c t="s" s="6" r="AJ1308">
        <v>92</v>
      </c>
      <c t="s" s="6" r="AK1308">
        <v>92</v>
      </c>
      <c t="s" s="6" r="AL1308">
        <v>92</v>
      </c>
      <c t="s" s="6" r="AM1308">
        <v>92</v>
      </c>
      <c t="s" s="6" r="AN1308">
        <v>92</v>
      </c>
      <c s="6" r="AP1308">
        <v>2</v>
      </c>
      <c t="s" s="6" r="AR1308">
        <v>9435</v>
      </c>
      <c s="6" r="AS1308">
        <v>0</v>
      </c>
      <c s="6" r="AT1308">
        <v>0</v>
      </c>
      <c s="6" r="AU1308">
        <v>0</v>
      </c>
      <c s="6" r="AV1308">
        <v>0</v>
      </c>
      <c s="6" r="AW1308">
        <v>0</v>
      </c>
      <c s="6" r="AX1308">
        <v>0</v>
      </c>
      <c s="6" r="AY1308">
        <v>0</v>
      </c>
      <c s="6" r="AZ1308">
        <v>0</v>
      </c>
      <c s="6" r="BA1308">
        <v>0</v>
      </c>
      <c s="6" r="BB1308">
        <v>0</v>
      </c>
      <c s="6" r="BC1308">
        <v>0</v>
      </c>
      <c s="6" r="BD1308">
        <v>0</v>
      </c>
      <c s="6" r="BE1308">
        <v>0</v>
      </c>
      <c s="6" r="BF1308">
        <v>0</v>
      </c>
      <c s="6" r="BG1308">
        <v>0</v>
      </c>
      <c s="6" r="BH1308">
        <v>0</v>
      </c>
      <c s="6" r="BI1308">
        <v>0</v>
      </c>
      <c s="6" r="BJ1308">
        <v>0</v>
      </c>
      <c s="6" r="BK1308">
        <v>0</v>
      </c>
      <c s="6" r="BL1308">
        <v>0</v>
      </c>
      <c s="6" r="BM1308">
        <v>0</v>
      </c>
      <c s="6" r="BN1308">
        <v>0</v>
      </c>
      <c s="6" r="BO1308">
        <v>0</v>
      </c>
      <c s="6" r="BP1308">
        <v>0</v>
      </c>
      <c s="6" r="BQ1308">
        <v>0</v>
      </c>
      <c t="str" s="6" r="BR1308">
        <f>HYPERLINK("http://www.d20pfsrd.com/magic/all-spells/f/forest-friend","Forest Friend")</f>
        <v>Forest Friend</v>
      </c>
      <c s="6" r="BS1308">
        <v>1331</v>
      </c>
      <c t="s" s="6" r="BT1308">
        <v>92</v>
      </c>
      <c s="6" r="BY1308">
        <v>0</v>
      </c>
    </row>
    <row customHeight="1" r="1309" ht="14.25">
      <c t="s" s="6" r="A1309">
        <v>9436</v>
      </c>
      <c t="s" s="6" r="B1309">
        <v>131</v>
      </c>
      <c t="s" s="6" r="C1309">
        <v>152</v>
      </c>
      <c t="s" s="6" r="E1309">
        <v>6647</v>
      </c>
      <c t="s" s="6" r="F1309">
        <v>9437</v>
      </c>
      <c t="s" s="6" r="G1309">
        <v>9438</v>
      </c>
      <c s="6" r="H1309">
        <v>0</v>
      </c>
      <c t="s" s="6" r="I1309">
        <v>155</v>
      </c>
      <c t="s" s="6" r="L1309">
        <v>156</v>
      </c>
      <c t="s" s="6" r="M1309">
        <v>2718</v>
      </c>
      <c s="6" r="N1309">
        <v>0</v>
      </c>
      <c s="6" r="O1309">
        <v>0</v>
      </c>
      <c t="s" s="6" r="R1309">
        <v>9439</v>
      </c>
      <c t="s" s="6" r="S1309">
        <v>9440</v>
      </c>
      <c t="s" s="6" r="T1309">
        <v>9149</v>
      </c>
      <c t="s" s="6" r="U1309">
        <v>9441</v>
      </c>
      <c s="6" r="V1309">
        <v>1</v>
      </c>
      <c s="6" r="W1309">
        <v>1</v>
      </c>
      <c s="6" r="X1309">
        <v>1</v>
      </c>
      <c s="6" r="Y1309">
        <v>0</v>
      </c>
      <c s="6" r="Z1309">
        <v>0</v>
      </c>
      <c s="6" r="AA1309">
        <v>8</v>
      </c>
      <c s="6" r="AB1309">
        <v>8</v>
      </c>
      <c s="6" r="AC1309">
        <v>8</v>
      </c>
      <c s="6" r="AD1309">
        <v>8</v>
      </c>
      <c t="s" s="6" r="AE1309">
        <v>92</v>
      </c>
      <c t="s" s="6" r="AF1309">
        <v>92</v>
      </c>
      <c t="s" s="6" r="AG1309">
        <v>92</v>
      </c>
      <c t="s" s="6" r="AH1309">
        <v>92</v>
      </c>
      <c t="s" s="6" r="AI1309">
        <v>92</v>
      </c>
      <c s="6" r="AJ1309">
        <v>8</v>
      </c>
      <c t="s" s="6" r="AK1309">
        <v>92</v>
      </c>
      <c s="6" r="AL1309">
        <v>8</v>
      </c>
      <c t="s" s="6" r="AM1309">
        <v>92</v>
      </c>
      <c t="s" s="6" r="AN1309">
        <v>92</v>
      </c>
      <c s="6" r="AP1309">
        <v>8</v>
      </c>
      <c t="s" s="6" r="AR1309">
        <v>9442</v>
      </c>
      <c s="6" r="AS1309">
        <v>0</v>
      </c>
      <c s="6" r="AT1309">
        <v>0</v>
      </c>
      <c s="6" r="AU1309">
        <v>0</v>
      </c>
      <c s="6" r="AV1309">
        <v>0</v>
      </c>
      <c s="6" r="AW1309">
        <v>0</v>
      </c>
      <c s="6" r="AX1309">
        <v>0</v>
      </c>
      <c s="6" r="AY1309">
        <v>0</v>
      </c>
      <c s="6" r="AZ1309">
        <v>0</v>
      </c>
      <c s="6" r="BA1309">
        <v>0</v>
      </c>
      <c s="6" r="BB1309">
        <v>0</v>
      </c>
      <c s="6" r="BC1309">
        <v>0</v>
      </c>
      <c s="6" r="BD1309">
        <v>0</v>
      </c>
      <c s="6" r="BE1309">
        <v>0</v>
      </c>
      <c s="6" r="BF1309">
        <v>0</v>
      </c>
      <c s="6" r="BG1309">
        <v>0</v>
      </c>
      <c s="6" r="BH1309">
        <v>0</v>
      </c>
      <c s="6" r="BI1309">
        <v>0</v>
      </c>
      <c s="6" r="BJ1309">
        <v>0</v>
      </c>
      <c s="6" r="BK1309">
        <v>0</v>
      </c>
      <c s="6" r="BL1309">
        <v>0</v>
      </c>
      <c s="6" r="BM1309">
        <v>0</v>
      </c>
      <c s="6" r="BN1309">
        <v>0</v>
      </c>
      <c s="6" r="BO1309">
        <v>0</v>
      </c>
      <c s="6" r="BP1309">
        <v>0</v>
      </c>
      <c s="6" r="BQ1309">
        <v>0</v>
      </c>
      <c t="str" s="6" r="BR1309">
        <f>HYPERLINK("http://www.d20pfsrd.com/magic/all-spells/f/frightful-aspect","Frightful Aspect")</f>
        <v>Frightful Aspect</v>
      </c>
      <c s="6" r="BS1309">
        <v>1332</v>
      </c>
      <c t="s" s="6" r="BT1309">
        <v>92</v>
      </c>
      <c s="6" r="BY1309">
        <v>0</v>
      </c>
    </row>
    <row customHeight="1" r="1310" ht="14.25">
      <c t="s" s="6" r="A1310">
        <v>9443</v>
      </c>
      <c t="s" s="6" r="B1310">
        <v>493</v>
      </c>
      <c t="s" s="6" r="D1310">
        <v>47</v>
      </c>
      <c t="s" s="6" r="E1310">
        <v>8491</v>
      </c>
      <c t="s" s="6" r="F1310">
        <v>81</v>
      </c>
      <c t="s" s="6" r="G1310">
        <v>106</v>
      </c>
      <c s="6" r="H1310">
        <v>0</v>
      </c>
      <c t="s" s="6" r="I1310">
        <v>107</v>
      </c>
      <c t="s" s="6" r="J1310">
        <v>9444</v>
      </c>
      <c t="s" s="6" r="M1310">
        <v>9445</v>
      </c>
      <c s="6" r="N1310">
        <v>0</v>
      </c>
      <c s="6" r="O1310">
        <v>0</v>
      </c>
      <c t="s" s="6" r="P1310">
        <v>1254</v>
      </c>
      <c t="s" s="6" r="Q1310">
        <v>188</v>
      </c>
      <c t="s" s="6" r="R1310">
        <v>9446</v>
      </c>
      <c t="s" s="6" r="S1310">
        <v>9447</v>
      </c>
      <c t="s" s="6" r="T1310">
        <v>9149</v>
      </c>
      <c t="s" s="6" r="U1310">
        <v>9448</v>
      </c>
      <c s="6" r="V1310">
        <v>1</v>
      </c>
      <c s="6" r="W1310">
        <v>1</v>
      </c>
      <c s="6" r="X1310">
        <v>0</v>
      </c>
      <c s="6" r="Y1310">
        <v>0</v>
      </c>
      <c s="6" r="Z1310">
        <v>0</v>
      </c>
      <c s="6" r="AA1310">
        <v>2</v>
      </c>
      <c s="6" r="AB1310">
        <v>2</v>
      </c>
      <c t="s" s="6" r="AC1310">
        <v>92</v>
      </c>
      <c s="6" r="AD1310">
        <v>2</v>
      </c>
      <c t="s" s="6" r="AE1310">
        <v>92</v>
      </c>
      <c t="s" s="6" r="AF1310">
        <v>92</v>
      </c>
      <c t="s" s="6" r="AG1310">
        <v>92</v>
      </c>
      <c t="s" s="6" r="AH1310">
        <v>92</v>
      </c>
      <c t="s" s="6" r="AI1310">
        <v>92</v>
      </c>
      <c s="6" r="AJ1310">
        <v>2</v>
      </c>
      <c t="s" s="6" r="AK1310">
        <v>92</v>
      </c>
      <c t="s" s="6" r="AL1310">
        <v>92</v>
      </c>
      <c t="s" s="6" r="AM1310">
        <v>92</v>
      </c>
      <c t="s" s="6" r="AN1310">
        <v>92</v>
      </c>
      <c s="6" r="AP1310">
        <v>2</v>
      </c>
      <c t="s" s="6" r="AR1310">
        <v>9449</v>
      </c>
      <c s="6" r="AS1310">
        <v>0</v>
      </c>
      <c s="6" r="AT1310">
        <v>0</v>
      </c>
      <c s="6" r="AU1310">
        <v>0</v>
      </c>
      <c s="6" r="AV1310">
        <v>1</v>
      </c>
      <c s="6" r="AW1310">
        <v>0</v>
      </c>
      <c s="6" r="AX1310">
        <v>0</v>
      </c>
      <c s="6" r="AY1310">
        <v>0</v>
      </c>
      <c s="6" r="AZ1310">
        <v>0</v>
      </c>
      <c s="6" r="BA1310">
        <v>0</v>
      </c>
      <c s="6" r="BB1310">
        <v>0</v>
      </c>
      <c s="6" r="BC1310">
        <v>0</v>
      </c>
      <c s="6" r="BD1310">
        <v>0</v>
      </c>
      <c s="6" r="BE1310">
        <v>0</v>
      </c>
      <c s="6" r="BF1310">
        <v>0</v>
      </c>
      <c s="6" r="BG1310">
        <v>0</v>
      </c>
      <c s="6" r="BH1310">
        <v>0</v>
      </c>
      <c s="6" r="BI1310">
        <v>0</v>
      </c>
      <c s="6" r="BJ1310">
        <v>0</v>
      </c>
      <c s="6" r="BK1310">
        <v>0</v>
      </c>
      <c s="6" r="BL1310">
        <v>0</v>
      </c>
      <c s="6" r="BM1310">
        <v>0</v>
      </c>
      <c s="6" r="BN1310">
        <v>0</v>
      </c>
      <c s="6" r="BO1310">
        <v>0</v>
      </c>
      <c s="6" r="BP1310">
        <v>0</v>
      </c>
      <c s="6" r="BQ1310">
        <v>0</v>
      </c>
      <c t="str" s="6" r="BR1310">
        <f>HYPERLINK("http://www.d20pfsrd.com/magic/all-spells/f/frost-fall","Frost Fall")</f>
        <v>Frost Fall</v>
      </c>
      <c s="6" r="BS1310">
        <v>1333</v>
      </c>
      <c t="s" s="6" r="BT1310">
        <v>92</v>
      </c>
      <c s="6" r="BY1310">
        <v>0</v>
      </c>
    </row>
    <row customHeight="1" r="1311" ht="14.25">
      <c t="s" s="6" r="A1311">
        <v>9450</v>
      </c>
      <c t="s" s="6" r="B1311">
        <v>579</v>
      </c>
      <c t="s" s="6" r="C1311">
        <v>580</v>
      </c>
      <c t="s" s="6" r="E1311">
        <v>3339</v>
      </c>
      <c t="s" s="6" r="F1311">
        <v>81</v>
      </c>
      <c t="s" s="6" r="G1311">
        <v>2086</v>
      </c>
      <c s="6" r="H1311">
        <v>0</v>
      </c>
      <c t="s" s="6" r="I1311">
        <v>9451</v>
      </c>
      <c t="s" s="6" r="L1311">
        <v>9452</v>
      </c>
      <c t="s" s="6" r="M1311">
        <v>483</v>
      </c>
      <c s="6" r="N1311">
        <v>1</v>
      </c>
      <c s="6" r="O1311">
        <v>0</v>
      </c>
      <c t="s" s="6" r="R1311">
        <v>9453</v>
      </c>
      <c t="s" s="6" r="S1311">
        <v>9454</v>
      </c>
      <c t="s" s="6" r="T1311">
        <v>9149</v>
      </c>
      <c t="s" s="6" r="U1311">
        <v>9455</v>
      </c>
      <c s="6" r="V1311">
        <v>0</v>
      </c>
      <c s="6" r="W1311">
        <v>1</v>
      </c>
      <c s="6" r="X1311">
        <v>0</v>
      </c>
      <c s="6" r="Y1311">
        <v>0</v>
      </c>
      <c s="6" r="Z1311">
        <v>0</v>
      </c>
      <c s="6" r="AA1311">
        <v>0</v>
      </c>
      <c s="6" r="AB1311">
        <v>0</v>
      </c>
      <c t="s" s="6" r="AC1311">
        <v>92</v>
      </c>
      <c t="s" s="6" r="AD1311">
        <v>92</v>
      </c>
      <c t="s" s="6" r="AE1311">
        <v>92</v>
      </c>
      <c s="6" r="AF1311">
        <v>0</v>
      </c>
      <c t="s" s="6" r="AG1311">
        <v>92</v>
      </c>
      <c t="s" s="6" r="AH1311">
        <v>92</v>
      </c>
      <c t="s" s="6" r="AI1311">
        <v>92</v>
      </c>
      <c t="s" s="6" r="AJ1311">
        <v>92</v>
      </c>
      <c t="s" s="6" r="AK1311">
        <v>92</v>
      </c>
      <c t="s" s="6" r="AL1311">
        <v>92</v>
      </c>
      <c t="s" s="6" r="AM1311">
        <v>92</v>
      </c>
      <c t="s" s="6" r="AN1311">
        <v>92</v>
      </c>
      <c s="6" r="AP1311">
        <v>0</v>
      </c>
      <c t="s" s="6" r="AR1311">
        <v>9456</v>
      </c>
      <c s="6" r="AS1311">
        <v>0</v>
      </c>
      <c s="6" r="AT1311">
        <v>0</v>
      </c>
      <c s="6" r="AU1311">
        <v>0</v>
      </c>
      <c s="6" r="AV1311">
        <v>0</v>
      </c>
      <c s="6" r="AW1311">
        <v>0</v>
      </c>
      <c s="6" r="AX1311">
        <v>0</v>
      </c>
      <c s="6" r="AY1311">
        <v>0</v>
      </c>
      <c s="6" r="AZ1311">
        <v>0</v>
      </c>
      <c s="6" r="BA1311">
        <v>0</v>
      </c>
      <c s="6" r="BB1311">
        <v>0</v>
      </c>
      <c s="6" r="BC1311">
        <v>0</v>
      </c>
      <c s="6" r="BD1311">
        <v>0</v>
      </c>
      <c s="6" r="BE1311">
        <v>0</v>
      </c>
      <c s="6" r="BF1311">
        <v>0</v>
      </c>
      <c s="6" r="BG1311">
        <v>0</v>
      </c>
      <c s="6" r="BH1311">
        <v>0</v>
      </c>
      <c s="6" r="BI1311">
        <v>0</v>
      </c>
      <c s="6" r="BJ1311">
        <v>0</v>
      </c>
      <c s="6" r="BK1311">
        <v>0</v>
      </c>
      <c s="6" r="BL1311">
        <v>0</v>
      </c>
      <c s="6" r="BM1311">
        <v>0</v>
      </c>
      <c s="6" r="BN1311">
        <v>0</v>
      </c>
      <c s="6" r="BO1311">
        <v>0</v>
      </c>
      <c s="6" r="BP1311">
        <v>0</v>
      </c>
      <c s="6" r="BQ1311">
        <v>0</v>
      </c>
      <c t="str" s="6" r="BR1311">
        <f>HYPERLINK("http://www.d20pfsrd.com/magic/all-spells/h/haunted-fey-aspect","Haunted Fey Aspect")</f>
        <v>Haunted Fey Aspect</v>
      </c>
      <c s="6" r="BS1311">
        <v>1334</v>
      </c>
      <c t="s" s="6" r="BT1311">
        <v>92</v>
      </c>
      <c s="6" r="BY1311">
        <v>0</v>
      </c>
    </row>
    <row customHeight="1" r="1312" ht="14.25">
      <c t="s" s="6" r="A1312">
        <v>9457</v>
      </c>
      <c t="s" s="6" r="B1312">
        <v>227</v>
      </c>
      <c t="s" s="6" r="E1312">
        <v>6274</v>
      </c>
      <c t="s" s="6" r="F1312">
        <v>81</v>
      </c>
      <c t="s" s="6" r="G1312">
        <v>9458</v>
      </c>
      <c s="6" r="H1312">
        <v>0</v>
      </c>
      <c t="s" s="6" r="I1312">
        <v>120</v>
      </c>
      <c t="s" s="6" r="L1312">
        <v>420</v>
      </c>
      <c t="s" s="6" r="M1312">
        <v>6116</v>
      </c>
      <c s="6" r="N1312">
        <v>0</v>
      </c>
      <c s="6" r="O1312">
        <v>0</v>
      </c>
      <c t="s" s="6" r="P1312">
        <v>86</v>
      </c>
      <c t="s" s="6" r="Q1312">
        <v>188</v>
      </c>
      <c t="s" s="6" r="R1312">
        <v>9459</v>
      </c>
      <c t="s" s="6" r="S1312">
        <v>9460</v>
      </c>
      <c t="s" s="6" r="T1312">
        <v>9149</v>
      </c>
      <c t="s" s="6" r="U1312">
        <v>9461</v>
      </c>
      <c s="6" r="V1312">
        <v>1</v>
      </c>
      <c s="6" r="W1312">
        <v>1</v>
      </c>
      <c s="6" r="X1312">
        <v>1</v>
      </c>
      <c s="6" r="Y1312">
        <v>0</v>
      </c>
      <c s="6" r="Z1312">
        <v>0</v>
      </c>
      <c s="6" r="AA1312">
        <v>3</v>
      </c>
      <c s="6" r="AB1312">
        <v>3</v>
      </c>
      <c t="s" s="6" r="AC1312">
        <v>92</v>
      </c>
      <c t="s" s="6" r="AD1312">
        <v>92</v>
      </c>
      <c t="s" s="6" r="AE1312">
        <v>92</v>
      </c>
      <c t="s" s="6" r="AF1312">
        <v>92</v>
      </c>
      <c t="s" s="6" r="AG1312">
        <v>92</v>
      </c>
      <c t="s" s="6" r="AH1312">
        <v>92</v>
      </c>
      <c t="s" s="6" r="AI1312">
        <v>92</v>
      </c>
      <c s="6" r="AJ1312">
        <v>3</v>
      </c>
      <c t="s" s="6" r="AK1312">
        <v>92</v>
      </c>
      <c t="s" s="6" r="AL1312">
        <v>92</v>
      </c>
      <c t="s" s="6" r="AM1312">
        <v>92</v>
      </c>
      <c t="s" s="6" r="AN1312">
        <v>92</v>
      </c>
      <c s="6" r="AP1312">
        <v>3</v>
      </c>
      <c t="s" s="6" r="AR1312">
        <v>9462</v>
      </c>
      <c s="6" r="AS1312">
        <v>0</v>
      </c>
      <c s="6" r="AT1312">
        <v>0</v>
      </c>
      <c s="6" r="AU1312">
        <v>0</v>
      </c>
      <c s="6" r="AV1312">
        <v>0</v>
      </c>
      <c s="6" r="AW1312">
        <v>0</v>
      </c>
      <c s="6" r="AX1312">
        <v>0</v>
      </c>
      <c s="6" r="AY1312">
        <v>0</v>
      </c>
      <c s="6" r="AZ1312">
        <v>0</v>
      </c>
      <c s="6" r="BA1312">
        <v>0</v>
      </c>
      <c s="6" r="BB1312">
        <v>0</v>
      </c>
      <c s="6" r="BC1312">
        <v>0</v>
      </c>
      <c s="6" r="BD1312">
        <v>0</v>
      </c>
      <c s="6" r="BE1312">
        <v>0</v>
      </c>
      <c s="6" r="BF1312">
        <v>0</v>
      </c>
      <c s="6" r="BG1312">
        <v>0</v>
      </c>
      <c s="6" r="BH1312">
        <v>0</v>
      </c>
      <c s="6" r="BI1312">
        <v>0</v>
      </c>
      <c s="6" r="BJ1312">
        <v>0</v>
      </c>
      <c s="6" r="BK1312">
        <v>0</v>
      </c>
      <c s="6" r="BL1312">
        <v>0</v>
      </c>
      <c s="6" r="BM1312">
        <v>0</v>
      </c>
      <c s="6" r="BN1312">
        <v>0</v>
      </c>
      <c s="6" r="BO1312">
        <v>0</v>
      </c>
      <c s="6" r="BP1312">
        <v>0</v>
      </c>
      <c s="6" r="BQ1312">
        <v>0</v>
      </c>
      <c t="str" s="6" r="BR1312">
        <f>HYPERLINK("http://www.d20pfsrd.com/magic/all-spells/h/healing-thief","Healing Thief")</f>
        <v>Healing Thief</v>
      </c>
      <c s="6" r="BS1312">
        <v>1335</v>
      </c>
      <c t="s" s="6" r="BT1312">
        <v>92</v>
      </c>
      <c t="s" s="6" r="BW1312">
        <v>9463</v>
      </c>
      <c t="s" s="6" r="BX1312">
        <v>9464</v>
      </c>
      <c s="6" r="BY1312">
        <v>1</v>
      </c>
    </row>
    <row customHeight="1" r="1313" ht="14.25">
      <c t="s" s="6" r="A1313">
        <v>9465</v>
      </c>
      <c t="s" s="6" r="B1313">
        <v>115</v>
      </c>
      <c t="s" s="6" r="C1313">
        <v>116</v>
      </c>
      <c t="s" s="6" r="D1313">
        <v>117</v>
      </c>
      <c t="s" s="6" r="E1313">
        <v>2334</v>
      </c>
      <c t="s" s="6" r="F1313">
        <v>311</v>
      </c>
      <c t="s" s="6" r="G1313">
        <v>106</v>
      </c>
      <c s="6" r="H1313">
        <v>0</v>
      </c>
      <c t="s" s="6" r="I1313">
        <v>107</v>
      </c>
      <c t="s" s="6" r="L1313">
        <v>2241</v>
      </c>
      <c t="s" s="6" r="M1313">
        <v>9466</v>
      </c>
      <c s="6" r="N1313">
        <v>0</v>
      </c>
      <c s="6" r="O1313">
        <v>0</v>
      </c>
      <c t="s" s="6" r="P1313">
        <v>421</v>
      </c>
      <c t="s" s="6" r="Q1313">
        <v>123</v>
      </c>
      <c t="s" s="6" r="R1313">
        <v>9467</v>
      </c>
      <c t="s" s="6" r="S1313">
        <v>9468</v>
      </c>
      <c t="s" s="6" r="T1313">
        <v>9149</v>
      </c>
      <c t="s" s="6" r="U1313">
        <v>9469</v>
      </c>
      <c s="6" r="V1313">
        <v>1</v>
      </c>
      <c s="6" r="W1313">
        <v>1</v>
      </c>
      <c s="6" r="X1313">
        <v>0</v>
      </c>
      <c s="6" r="Y1313">
        <v>0</v>
      </c>
      <c s="6" r="Z1313">
        <v>0</v>
      </c>
      <c s="6" r="AA1313">
        <v>9</v>
      </c>
      <c s="6" r="AB1313">
        <v>9</v>
      </c>
      <c t="s" s="6" r="AC1313">
        <v>92</v>
      </c>
      <c t="s" s="6" r="AD1313">
        <v>92</v>
      </c>
      <c t="s" s="6" r="AE1313">
        <v>92</v>
      </c>
      <c t="s" s="6" r="AF1313">
        <v>92</v>
      </c>
      <c t="s" s="6" r="AG1313">
        <v>92</v>
      </c>
      <c t="s" s="6" r="AH1313">
        <v>92</v>
      </c>
      <c t="s" s="6" r="AI1313">
        <v>92</v>
      </c>
      <c s="6" r="AJ1313">
        <v>9</v>
      </c>
      <c t="s" s="6" r="AK1313">
        <v>92</v>
      </c>
      <c t="s" s="6" r="AL1313">
        <v>92</v>
      </c>
      <c t="s" s="6" r="AM1313">
        <v>92</v>
      </c>
      <c t="s" s="6" r="AN1313">
        <v>92</v>
      </c>
      <c s="6" r="AP1313">
        <v>9</v>
      </c>
      <c t="s" s="6" r="AR1313">
        <v>9470</v>
      </c>
      <c s="6" r="AS1313">
        <v>0</v>
      </c>
      <c s="6" r="AT1313">
        <v>0</v>
      </c>
      <c s="6" r="AU1313">
        <v>0</v>
      </c>
      <c s="6" r="AV1313">
        <v>0</v>
      </c>
      <c s="6" r="AW1313">
        <v>0</v>
      </c>
      <c s="6" r="AX1313">
        <v>0</v>
      </c>
      <c s="6" r="AY1313">
        <v>0</v>
      </c>
      <c s="6" r="AZ1313">
        <v>0</v>
      </c>
      <c s="6" r="BA1313">
        <v>0</v>
      </c>
      <c s="6" r="BB1313">
        <v>0</v>
      </c>
      <c s="6" r="BC1313">
        <v>0</v>
      </c>
      <c s="6" r="BD1313">
        <v>0</v>
      </c>
      <c s="6" r="BE1313">
        <v>0</v>
      </c>
      <c s="6" r="BF1313">
        <v>0</v>
      </c>
      <c s="6" r="BG1313">
        <v>0</v>
      </c>
      <c s="6" r="BH1313">
        <v>0</v>
      </c>
      <c s="6" r="BI1313">
        <v>0</v>
      </c>
      <c s="6" r="BJ1313">
        <v>0</v>
      </c>
      <c s="6" r="BK1313">
        <v>0</v>
      </c>
      <c s="6" r="BL1313">
        <v>1</v>
      </c>
      <c s="6" r="BM1313">
        <v>0</v>
      </c>
      <c s="6" r="BN1313">
        <v>0</v>
      </c>
      <c s="6" r="BO1313">
        <v>0</v>
      </c>
      <c s="6" r="BP1313">
        <v>0</v>
      </c>
      <c s="6" r="BQ1313">
        <v>0</v>
      </c>
      <c t="str" s="6" r="BR1313">
        <f>HYPERLINK("http://www.d20pfsrd.com/magic/all-spells/h/heroic-invocation","Heroic Invocation")</f>
        <v>Heroic Invocation</v>
      </c>
      <c s="6" r="BS1313">
        <v>1336</v>
      </c>
      <c t="s" s="6" r="BT1313">
        <v>92</v>
      </c>
      <c s="6" r="BY1313">
        <v>0</v>
      </c>
    </row>
    <row customHeight="1" r="1314" ht="14.25">
      <c t="s" s="6" r="A1314">
        <v>9471</v>
      </c>
      <c t="s" s="6" r="B1314">
        <v>78</v>
      </c>
      <c t="s" s="6" r="C1314">
        <v>1356</v>
      </c>
      <c t="s" s="6" r="E1314">
        <v>2873</v>
      </c>
      <c t="s" s="6" r="F1314">
        <v>81</v>
      </c>
      <c t="s" s="6" r="G1314">
        <v>9472</v>
      </c>
      <c s="6" r="H1314">
        <v>0</v>
      </c>
      <c t="s" s="6" r="I1314">
        <v>107</v>
      </c>
      <c t="s" s="6" r="L1314">
        <v>9473</v>
      </c>
      <c t="s" s="6" r="M1314">
        <v>6116</v>
      </c>
      <c s="6" r="N1314">
        <v>0</v>
      </c>
      <c s="6" r="O1314">
        <v>0</v>
      </c>
      <c t="s" s="6" r="P1314">
        <v>221</v>
      </c>
      <c t="s" s="6" r="Q1314">
        <v>188</v>
      </c>
      <c t="s" s="6" r="R1314">
        <v>9474</v>
      </c>
      <c t="s" s="6" r="S1314">
        <v>9475</v>
      </c>
      <c t="s" s="6" r="T1314">
        <v>9149</v>
      </c>
      <c t="s" s="6" r="U1314">
        <v>9476</v>
      </c>
      <c s="6" r="V1314">
        <v>1</v>
      </c>
      <c s="6" r="W1314">
        <v>1</v>
      </c>
      <c s="6" r="X1314">
        <v>1</v>
      </c>
      <c s="6" r="Y1314">
        <v>0</v>
      </c>
      <c s="6" r="Z1314">
        <v>0</v>
      </c>
      <c s="6" r="AA1314">
        <v>5</v>
      </c>
      <c s="6" r="AB1314">
        <v>5</v>
      </c>
      <c t="s" s="6" r="AC1314">
        <v>92</v>
      </c>
      <c t="s" s="6" r="AD1314">
        <v>92</v>
      </c>
      <c t="s" s="6" r="AE1314">
        <v>92</v>
      </c>
      <c t="s" s="6" r="AF1314">
        <v>92</v>
      </c>
      <c t="s" s="6" r="AG1314">
        <v>92</v>
      </c>
      <c t="s" s="6" r="AH1314">
        <v>92</v>
      </c>
      <c s="6" r="AI1314">
        <v>4</v>
      </c>
      <c s="6" r="AJ1314">
        <v>5</v>
      </c>
      <c t="s" s="6" r="AK1314">
        <v>92</v>
      </c>
      <c t="s" s="6" r="AL1314">
        <v>92</v>
      </c>
      <c t="s" s="6" r="AM1314">
        <v>92</v>
      </c>
      <c t="s" s="6" r="AN1314">
        <v>92</v>
      </c>
      <c s="6" r="AP1314">
        <v>5</v>
      </c>
      <c t="s" s="6" r="AR1314">
        <v>9477</v>
      </c>
      <c s="6" r="AS1314">
        <v>0</v>
      </c>
      <c s="6" r="AT1314">
        <v>0</v>
      </c>
      <c s="6" r="AU1314">
        <v>0</v>
      </c>
      <c s="6" r="AV1314">
        <v>0</v>
      </c>
      <c s="6" r="AW1314">
        <v>0</v>
      </c>
      <c s="6" r="AX1314">
        <v>0</v>
      </c>
      <c s="6" r="AY1314">
        <v>0</v>
      </c>
      <c s="6" r="AZ1314">
        <v>0</v>
      </c>
      <c s="6" r="BA1314">
        <v>0</v>
      </c>
      <c s="6" r="BB1314">
        <v>0</v>
      </c>
      <c s="6" r="BC1314">
        <v>0</v>
      </c>
      <c s="6" r="BD1314">
        <v>0</v>
      </c>
      <c s="6" r="BE1314">
        <v>0</v>
      </c>
      <c s="6" r="BF1314">
        <v>0</v>
      </c>
      <c s="6" r="BG1314">
        <v>0</v>
      </c>
      <c s="6" r="BH1314">
        <v>0</v>
      </c>
      <c s="6" r="BI1314">
        <v>0</v>
      </c>
      <c s="6" r="BJ1314">
        <v>0</v>
      </c>
      <c s="6" r="BK1314">
        <v>0</v>
      </c>
      <c s="6" r="BL1314">
        <v>0</v>
      </c>
      <c s="6" r="BM1314">
        <v>0</v>
      </c>
      <c s="6" r="BN1314">
        <v>0</v>
      </c>
      <c s="6" r="BO1314">
        <v>0</v>
      </c>
      <c s="6" r="BP1314">
        <v>0</v>
      </c>
      <c s="6" r="BQ1314">
        <v>0</v>
      </c>
      <c t="str" s="6" r="BR1314">
        <f>HYPERLINK("http://www.d20pfsrd.com/magic/all-spells/h/hostile-juxtaposition","Hostile Juxtaposition")</f>
        <v>Hostile Juxtaposition</v>
      </c>
      <c s="6" r="BS1314">
        <v>1337</v>
      </c>
      <c t="s" s="6" r="BT1314">
        <v>92</v>
      </c>
      <c s="6" r="BY1314">
        <v>0</v>
      </c>
    </row>
    <row customHeight="1" r="1315" ht="14.25">
      <c t="s" s="6" r="A1315">
        <v>9478</v>
      </c>
      <c t="s" s="6" r="B1315">
        <v>78</v>
      </c>
      <c t="s" s="6" r="C1315">
        <v>1356</v>
      </c>
      <c t="s" s="6" r="E1315">
        <v>9479</v>
      </c>
      <c t="s" s="6" r="F1315">
        <v>81</v>
      </c>
      <c t="s" s="6" r="G1315">
        <v>9472</v>
      </c>
      <c s="6" r="H1315">
        <v>0</v>
      </c>
      <c t="s" s="6" r="I1315">
        <v>107</v>
      </c>
      <c t="s" s="6" r="L1315">
        <v>9480</v>
      </c>
      <c t="s" s="6" r="M1315">
        <v>6116</v>
      </c>
      <c s="6" r="N1315">
        <v>0</v>
      </c>
      <c s="6" r="O1315">
        <v>0</v>
      </c>
      <c t="s" s="6" r="P1315">
        <v>221</v>
      </c>
      <c t="s" s="6" r="Q1315">
        <v>188</v>
      </c>
      <c t="s" s="6" r="R1315">
        <v>9481</v>
      </c>
      <c t="s" s="6" r="S1315">
        <v>9482</v>
      </c>
      <c t="s" s="6" r="T1315">
        <v>9149</v>
      </c>
      <c t="s" s="6" r="U1315">
        <v>9483</v>
      </c>
      <c s="6" r="V1315">
        <v>1</v>
      </c>
      <c s="6" r="W1315">
        <v>1</v>
      </c>
      <c s="6" r="X1315">
        <v>1</v>
      </c>
      <c s="6" r="Y1315">
        <v>0</v>
      </c>
      <c s="6" r="Z1315">
        <v>0</v>
      </c>
      <c s="6" r="AA1315">
        <v>7</v>
      </c>
      <c s="6" r="AB1315">
        <v>7</v>
      </c>
      <c t="s" s="6" r="AC1315">
        <v>92</v>
      </c>
      <c t="s" s="6" r="AD1315">
        <v>92</v>
      </c>
      <c t="s" s="6" r="AE1315">
        <v>92</v>
      </c>
      <c t="s" s="6" r="AF1315">
        <v>92</v>
      </c>
      <c t="s" s="6" r="AG1315">
        <v>92</v>
      </c>
      <c t="s" s="6" r="AH1315">
        <v>92</v>
      </c>
      <c s="6" r="AI1315">
        <v>6</v>
      </c>
      <c s="6" r="AJ1315">
        <v>7</v>
      </c>
      <c t="s" s="6" r="AK1315">
        <v>92</v>
      </c>
      <c t="s" s="6" r="AL1315">
        <v>92</v>
      </c>
      <c t="s" s="6" r="AM1315">
        <v>92</v>
      </c>
      <c t="s" s="6" r="AN1315">
        <v>92</v>
      </c>
      <c s="6" r="AP1315">
        <v>7</v>
      </c>
      <c t="s" s="6" r="AR1315">
        <v>9484</v>
      </c>
      <c s="6" r="AS1315">
        <v>0</v>
      </c>
      <c s="6" r="AT1315">
        <v>0</v>
      </c>
      <c s="6" r="AU1315">
        <v>0</v>
      </c>
      <c s="6" r="AV1315">
        <v>0</v>
      </c>
      <c s="6" r="AW1315">
        <v>0</v>
      </c>
      <c s="6" r="AX1315">
        <v>0</v>
      </c>
      <c s="6" r="AY1315">
        <v>0</v>
      </c>
      <c s="6" r="AZ1315">
        <v>0</v>
      </c>
      <c s="6" r="BA1315">
        <v>0</v>
      </c>
      <c s="6" r="BB1315">
        <v>0</v>
      </c>
      <c s="6" r="BC1315">
        <v>0</v>
      </c>
      <c s="6" r="BD1315">
        <v>0</v>
      </c>
      <c s="6" r="BE1315">
        <v>0</v>
      </c>
      <c s="6" r="BF1315">
        <v>0</v>
      </c>
      <c s="6" r="BG1315">
        <v>0</v>
      </c>
      <c s="6" r="BH1315">
        <v>0</v>
      </c>
      <c s="6" r="BI1315">
        <v>0</v>
      </c>
      <c s="6" r="BJ1315">
        <v>0</v>
      </c>
      <c s="6" r="BK1315">
        <v>0</v>
      </c>
      <c s="6" r="BL1315">
        <v>0</v>
      </c>
      <c s="6" r="BM1315">
        <v>0</v>
      </c>
      <c s="6" r="BN1315">
        <v>0</v>
      </c>
      <c s="6" r="BO1315">
        <v>0</v>
      </c>
      <c s="6" r="BP1315">
        <v>0</v>
      </c>
      <c s="6" r="BQ1315">
        <v>0</v>
      </c>
      <c t="str" s="6" r="BR1315">
        <f>HYPERLINK("http://www.d20pfsrd.com/magic/all-spells/h/hostile-juxtaposition#TOC-Hostile-Juxtaposition-Greater","Hostile Juxtaposition, Greater")</f>
        <v>Hostile Juxtaposition, Greater</v>
      </c>
      <c s="6" r="BS1315">
        <v>1338</v>
      </c>
      <c t="s" s="6" r="BT1315">
        <v>92</v>
      </c>
      <c s="6" r="BY1315">
        <v>0</v>
      </c>
    </row>
    <row customHeight="1" r="1316" ht="14.25">
      <c t="s" s="6" r="A1316">
        <v>9485</v>
      </c>
      <c t="s" s="6" r="B1316">
        <v>131</v>
      </c>
      <c t="s" s="6" r="E1316">
        <v>6274</v>
      </c>
      <c t="s" s="6" r="F1316">
        <v>81</v>
      </c>
      <c t="s" s="6" r="G1316">
        <v>9486</v>
      </c>
      <c s="6" r="H1316">
        <v>0</v>
      </c>
      <c t="s" s="6" r="I1316">
        <v>107</v>
      </c>
      <c t="s" s="6" r="L1316">
        <v>1235</v>
      </c>
      <c t="s" s="6" r="M1316">
        <v>99</v>
      </c>
      <c s="6" r="N1316">
        <v>0</v>
      </c>
      <c s="6" r="O1316">
        <v>0</v>
      </c>
      <c t="s" s="6" r="P1316">
        <v>221</v>
      </c>
      <c t="s" s="6" r="Q1316">
        <v>188</v>
      </c>
      <c t="s" s="6" r="R1316">
        <v>9487</v>
      </c>
      <c t="s" s="6" r="S1316">
        <v>9488</v>
      </c>
      <c t="s" s="6" r="T1316">
        <v>9149</v>
      </c>
      <c t="s" s="6" r="U1316">
        <v>9489</v>
      </c>
      <c s="6" r="V1316">
        <v>1</v>
      </c>
      <c s="6" r="W1316">
        <v>1</v>
      </c>
      <c s="6" r="X1316">
        <v>1</v>
      </c>
      <c s="6" r="Y1316">
        <v>0</v>
      </c>
      <c s="6" r="Z1316">
        <v>0</v>
      </c>
      <c s="6" r="AA1316">
        <v>3</v>
      </c>
      <c s="6" r="AB1316">
        <v>3</v>
      </c>
      <c t="s" s="6" r="AC1316">
        <v>92</v>
      </c>
      <c t="s" s="6" r="AD1316">
        <v>92</v>
      </c>
      <c t="s" s="6" r="AE1316">
        <v>92</v>
      </c>
      <c t="s" s="6" r="AF1316">
        <v>92</v>
      </c>
      <c t="s" s="6" r="AG1316">
        <v>92</v>
      </c>
      <c t="s" s="6" r="AH1316">
        <v>92</v>
      </c>
      <c t="s" s="6" r="AI1316">
        <v>92</v>
      </c>
      <c s="6" r="AJ1316">
        <v>3</v>
      </c>
      <c t="s" s="6" r="AK1316">
        <v>92</v>
      </c>
      <c t="s" s="6" r="AL1316">
        <v>92</v>
      </c>
      <c t="s" s="6" r="AM1316">
        <v>92</v>
      </c>
      <c t="s" s="6" r="AN1316">
        <v>92</v>
      </c>
      <c s="6" r="AP1316">
        <v>3</v>
      </c>
      <c t="s" s="6" r="AR1316">
        <v>9490</v>
      </c>
      <c s="6" r="AS1316">
        <v>0</v>
      </c>
      <c s="6" r="AT1316">
        <v>0</v>
      </c>
      <c s="6" r="AU1316">
        <v>0</v>
      </c>
      <c s="6" r="AV1316">
        <v>0</v>
      </c>
      <c s="6" r="AW1316">
        <v>0</v>
      </c>
      <c s="6" r="AX1316">
        <v>0</v>
      </c>
      <c s="6" r="AY1316">
        <v>0</v>
      </c>
      <c s="6" r="AZ1316">
        <v>0</v>
      </c>
      <c s="6" r="BA1316">
        <v>0</v>
      </c>
      <c s="6" r="BB1316">
        <v>0</v>
      </c>
      <c s="6" r="BC1316">
        <v>0</v>
      </c>
      <c s="6" r="BD1316">
        <v>0</v>
      </c>
      <c s="6" r="BE1316">
        <v>0</v>
      </c>
      <c s="6" r="BF1316">
        <v>0</v>
      </c>
      <c s="6" r="BG1316">
        <v>0</v>
      </c>
      <c s="6" r="BH1316">
        <v>0</v>
      </c>
      <c s="6" r="BI1316">
        <v>0</v>
      </c>
      <c s="6" r="BJ1316">
        <v>0</v>
      </c>
      <c s="6" r="BK1316">
        <v>0</v>
      </c>
      <c s="6" r="BL1316">
        <v>0</v>
      </c>
      <c s="6" r="BM1316">
        <v>0</v>
      </c>
      <c s="6" r="BN1316">
        <v>0</v>
      </c>
      <c s="6" r="BO1316">
        <v>0</v>
      </c>
      <c s="6" r="BP1316">
        <v>0</v>
      </c>
      <c s="6" r="BQ1316">
        <v>0</v>
      </c>
      <c t="str" s="6" r="BR1316">
        <f>HYPERLINK("http://www.d20pfsrd.com/magic/all-spells/h/hostile-levitation","Hostile Levitation")</f>
        <v>Hostile Levitation</v>
      </c>
      <c s="6" r="BS1316">
        <v>1339</v>
      </c>
      <c t="s" s="6" r="BT1316">
        <v>92</v>
      </c>
      <c s="6" r="BY1316">
        <v>0</v>
      </c>
    </row>
    <row customHeight="1" r="1317" ht="14.25">
      <c t="s" s="6" r="A1317">
        <v>9491</v>
      </c>
      <c t="s" s="6" r="B1317">
        <v>579</v>
      </c>
      <c t="s" s="6" r="C1317">
        <v>2047</v>
      </c>
      <c t="s" s="6" r="E1317">
        <v>9492</v>
      </c>
      <c t="s" s="6" r="F1317">
        <v>81</v>
      </c>
      <c t="s" s="6" r="G1317">
        <v>106</v>
      </c>
      <c s="6" r="H1317">
        <v>0</v>
      </c>
      <c t="s" s="6" r="I1317">
        <v>155</v>
      </c>
      <c t="s" s="6" r="L1317">
        <v>156</v>
      </c>
      <c t="s" s="6" r="M1317">
        <v>2718</v>
      </c>
      <c s="6" r="N1317">
        <v>0</v>
      </c>
      <c s="6" r="O1317">
        <v>0</v>
      </c>
      <c t="s" s="6" r="P1317">
        <v>9493</v>
      </c>
      <c t="s" s="6" r="Q1317">
        <v>87</v>
      </c>
      <c t="s" s="6" r="R1317">
        <v>9494</v>
      </c>
      <c t="s" s="6" r="S1317">
        <v>9495</v>
      </c>
      <c t="s" s="6" r="T1317">
        <v>9149</v>
      </c>
      <c t="s" s="6" r="U1317">
        <v>9496</v>
      </c>
      <c s="6" r="V1317">
        <v>1</v>
      </c>
      <c s="6" r="W1317">
        <v>1</v>
      </c>
      <c s="6" r="X1317">
        <v>0</v>
      </c>
      <c s="6" r="Y1317">
        <v>0</v>
      </c>
      <c s="6" r="Z1317">
        <v>0</v>
      </c>
      <c s="6" r="AA1317">
        <v>1</v>
      </c>
      <c s="6" r="AB1317">
        <v>1</v>
      </c>
      <c t="s" s="6" r="AC1317">
        <v>92</v>
      </c>
      <c t="s" s="6" r="AD1317">
        <v>92</v>
      </c>
      <c t="s" s="6" r="AE1317">
        <v>92</v>
      </c>
      <c t="s" s="6" r="AF1317">
        <v>92</v>
      </c>
      <c t="s" s="6" r="AG1317">
        <v>92</v>
      </c>
      <c s="6" r="AH1317">
        <v>1</v>
      </c>
      <c t="s" s="6" r="AI1317">
        <v>92</v>
      </c>
      <c t="s" s="6" r="AJ1317">
        <v>92</v>
      </c>
      <c t="s" s="6" r="AK1317">
        <v>92</v>
      </c>
      <c t="s" s="6" r="AL1317">
        <v>92</v>
      </c>
      <c t="s" s="6" r="AM1317">
        <v>92</v>
      </c>
      <c s="6" r="AN1317">
        <v>1</v>
      </c>
      <c s="6" r="AP1317">
        <v>1</v>
      </c>
      <c t="s" s="6" r="AR1317">
        <v>9497</v>
      </c>
      <c s="6" r="AS1317">
        <v>0</v>
      </c>
      <c s="6" r="AT1317">
        <v>0</v>
      </c>
      <c s="6" r="AU1317">
        <v>0</v>
      </c>
      <c s="6" r="AV1317">
        <v>0</v>
      </c>
      <c s="6" r="AW1317">
        <v>0</v>
      </c>
      <c s="6" r="AX1317">
        <v>0</v>
      </c>
      <c s="6" r="AY1317">
        <v>0</v>
      </c>
      <c s="6" r="AZ1317">
        <v>0</v>
      </c>
      <c s="6" r="BA1317">
        <v>0</v>
      </c>
      <c s="6" r="BB1317">
        <v>0</v>
      </c>
      <c s="6" r="BC1317">
        <v>0</v>
      </c>
      <c s="6" r="BD1317">
        <v>0</v>
      </c>
      <c s="6" r="BE1317">
        <v>0</v>
      </c>
      <c s="6" r="BF1317">
        <v>0</v>
      </c>
      <c s="6" r="BG1317">
        <v>0</v>
      </c>
      <c s="6" r="BH1317">
        <v>0</v>
      </c>
      <c s="6" r="BI1317">
        <v>0</v>
      </c>
      <c s="6" r="BJ1317">
        <v>0</v>
      </c>
      <c s="6" r="BK1317">
        <v>0</v>
      </c>
      <c s="6" r="BL1317">
        <v>0</v>
      </c>
      <c s="6" r="BM1317">
        <v>0</v>
      </c>
      <c s="6" r="BN1317">
        <v>0</v>
      </c>
      <c s="6" r="BO1317">
        <v>0</v>
      </c>
      <c s="6" r="BP1317">
        <v>0</v>
      </c>
      <c s="6" r="BQ1317">
        <v>0</v>
      </c>
      <c t="str" s="6" r="BR1317">
        <f>HYPERLINK("http://www.d20pfsrd.com/magic/all-spells/i/illusion-of-calm","Illusion of Calm")</f>
        <v>Illusion of Calm</v>
      </c>
      <c s="6" r="BS1317">
        <v>1340</v>
      </c>
      <c t="s" s="6" r="BT1317">
        <v>92</v>
      </c>
      <c s="6" r="BY1317">
        <v>0</v>
      </c>
    </row>
    <row customHeight="1" r="1318" ht="14.25">
      <c t="s" s="6" r="A1318">
        <v>9498</v>
      </c>
      <c t="s" s="6" r="B1318">
        <v>131</v>
      </c>
      <c t="s" s="6" r="E1318">
        <v>142</v>
      </c>
      <c t="s" s="6" r="F1318">
        <v>81</v>
      </c>
      <c t="s" s="6" r="G1318">
        <v>106</v>
      </c>
      <c s="6" r="H1318">
        <v>0</v>
      </c>
      <c t="s" s="6" r="I1318">
        <v>120</v>
      </c>
      <c t="s" s="6" r="L1318">
        <v>545</v>
      </c>
      <c t="s" s="6" r="M1318">
        <v>9499</v>
      </c>
      <c s="6" r="N1318">
        <v>0</v>
      </c>
      <c s="6" r="O1318">
        <v>0</v>
      </c>
      <c t="s" s="6" r="P1318">
        <v>9500</v>
      </c>
      <c t="s" s="6" r="Q1318">
        <v>9501</v>
      </c>
      <c t="s" s="6" r="R1318">
        <v>9502</v>
      </c>
      <c t="s" s="6" r="S1318">
        <v>9503</v>
      </c>
      <c t="s" s="6" r="T1318">
        <v>9149</v>
      </c>
      <c t="s" s="6" r="U1318">
        <v>9504</v>
      </c>
      <c s="6" r="V1318">
        <v>1</v>
      </c>
      <c s="6" r="W1318">
        <v>1</v>
      </c>
      <c s="6" r="X1318">
        <v>0</v>
      </c>
      <c s="6" r="Y1318">
        <v>0</v>
      </c>
      <c s="6" r="Z1318">
        <v>0</v>
      </c>
      <c t="s" s="6" r="AA1318">
        <v>92</v>
      </c>
      <c t="s" s="6" r="AB1318">
        <v>92</v>
      </c>
      <c s="6" r="AC1318">
        <v>2</v>
      </c>
      <c t="s" s="6" r="AD1318">
        <v>92</v>
      </c>
      <c t="s" s="6" r="AE1318">
        <v>92</v>
      </c>
      <c t="s" s="6" r="AF1318">
        <v>92</v>
      </c>
      <c t="s" s="6" r="AG1318">
        <v>92</v>
      </c>
      <c t="s" s="6" r="AH1318">
        <v>92</v>
      </c>
      <c t="s" s="6" r="AI1318">
        <v>92</v>
      </c>
      <c t="s" s="6" r="AJ1318">
        <v>92</v>
      </c>
      <c s="6" r="AK1318">
        <v>2</v>
      </c>
      <c s="6" r="AL1318">
        <v>2</v>
      </c>
      <c t="s" s="6" r="AM1318">
        <v>92</v>
      </c>
      <c t="s" s="6" r="AN1318">
        <v>92</v>
      </c>
      <c s="6" r="AP1318">
        <v>2</v>
      </c>
      <c t="s" s="6" r="AR1318">
        <v>9505</v>
      </c>
      <c s="6" r="AS1318">
        <v>0</v>
      </c>
      <c s="6" r="AT1318">
        <v>0</v>
      </c>
      <c s="6" r="AU1318">
        <v>0</v>
      </c>
      <c s="6" r="AV1318">
        <v>0</v>
      </c>
      <c s="6" r="AW1318">
        <v>0</v>
      </c>
      <c s="6" r="AX1318">
        <v>0</v>
      </c>
      <c s="6" r="AY1318">
        <v>0</v>
      </c>
      <c s="6" r="AZ1318">
        <v>0</v>
      </c>
      <c s="6" r="BA1318">
        <v>0</v>
      </c>
      <c s="6" r="BB1318">
        <v>0</v>
      </c>
      <c s="6" r="BC1318">
        <v>0</v>
      </c>
      <c s="6" r="BD1318">
        <v>0</v>
      </c>
      <c s="6" r="BE1318">
        <v>0</v>
      </c>
      <c s="6" r="BF1318">
        <v>0</v>
      </c>
      <c s="6" r="BG1318">
        <v>0</v>
      </c>
      <c s="6" r="BH1318">
        <v>0</v>
      </c>
      <c s="6" r="BI1318">
        <v>0</v>
      </c>
      <c s="6" r="BJ1318">
        <v>0</v>
      </c>
      <c s="6" r="BK1318">
        <v>0</v>
      </c>
      <c s="6" r="BL1318">
        <v>0</v>
      </c>
      <c s="6" r="BM1318">
        <v>0</v>
      </c>
      <c s="6" r="BN1318">
        <v>0</v>
      </c>
      <c s="6" r="BO1318">
        <v>0</v>
      </c>
      <c s="6" r="BP1318">
        <v>0</v>
      </c>
      <c s="6" r="BQ1318">
        <v>0</v>
      </c>
      <c t="str" s="6" r="BR1318">
        <f>HYPERLINK("http://www.d20pfsrd.com/magic/all-spells/i/instrument-of-agony","Instrument of Agony")</f>
        <v>Instrument of Agony</v>
      </c>
      <c s="6" r="BS1318">
        <v>1341</v>
      </c>
      <c t="s" s="6" r="BT1318">
        <v>92</v>
      </c>
      <c s="6" r="BY1318">
        <v>0</v>
      </c>
    </row>
    <row customHeight="1" r="1319" ht="14.25">
      <c t="s" s="6" r="A1319">
        <v>9506</v>
      </c>
      <c t="s" s="6" r="B1319">
        <v>493</v>
      </c>
      <c t="s" s="6" r="D1319">
        <v>53</v>
      </c>
      <c t="s" s="6" r="E1319">
        <v>3656</v>
      </c>
      <c t="s" s="6" r="F1319">
        <v>81</v>
      </c>
      <c t="s" s="6" r="G1319">
        <v>119</v>
      </c>
      <c s="6" r="H1319">
        <v>0</v>
      </c>
      <c t="s" s="6" r="I1319">
        <v>97</v>
      </c>
      <c t="s" s="6" r="L1319">
        <v>1235</v>
      </c>
      <c t="s" s="6" r="M1319">
        <v>9336</v>
      </c>
      <c s="6" r="N1319">
        <v>1</v>
      </c>
      <c s="6" r="O1319">
        <v>0</v>
      </c>
      <c t="s" s="6" r="P1319">
        <v>86</v>
      </c>
      <c t="s" s="6" r="Q1319">
        <v>188</v>
      </c>
      <c t="s" s="6" r="R1319">
        <v>9507</v>
      </c>
      <c t="s" s="6" r="S1319">
        <v>9508</v>
      </c>
      <c t="s" s="6" r="T1319">
        <v>9149</v>
      </c>
      <c t="s" s="6" r="U1319">
        <v>9509</v>
      </c>
      <c s="6" r="V1319">
        <v>1</v>
      </c>
      <c s="6" r="W1319">
        <v>1</v>
      </c>
      <c s="6" r="X1319">
        <v>0</v>
      </c>
      <c s="6" r="Y1319">
        <v>0</v>
      </c>
      <c s="6" r="Z1319">
        <v>1</v>
      </c>
      <c t="s" s="6" r="AA1319">
        <v>92</v>
      </c>
      <c t="s" s="6" r="AB1319">
        <v>92</v>
      </c>
      <c s="6" r="AC1319">
        <v>7</v>
      </c>
      <c t="s" s="6" r="AD1319">
        <v>92</v>
      </c>
      <c t="s" s="6" r="AE1319">
        <v>92</v>
      </c>
      <c t="s" s="6" r="AF1319">
        <v>92</v>
      </c>
      <c t="s" s="6" r="AG1319">
        <v>92</v>
      </c>
      <c t="s" s="6" r="AH1319">
        <v>92</v>
      </c>
      <c t="s" s="6" r="AI1319">
        <v>92</v>
      </c>
      <c t="s" s="6" r="AJ1319">
        <v>92</v>
      </c>
      <c t="s" s="6" r="AK1319">
        <v>92</v>
      </c>
      <c s="6" r="AL1319">
        <v>7</v>
      </c>
      <c t="s" s="6" r="AM1319">
        <v>92</v>
      </c>
      <c t="s" s="6" r="AN1319">
        <v>92</v>
      </c>
      <c s="6" r="AP1319">
        <v>7</v>
      </c>
      <c t="s" s="6" r="AR1319">
        <v>9510</v>
      </c>
      <c s="6" r="AS1319">
        <v>0</v>
      </c>
      <c s="6" r="AT1319">
        <v>0</v>
      </c>
      <c s="6" r="AU1319">
        <v>0</v>
      </c>
      <c s="6" r="AV1319">
        <v>0</v>
      </c>
      <c s="6" r="AW1319">
        <v>0</v>
      </c>
      <c s="6" r="AX1319">
        <v>0</v>
      </c>
      <c s="6" r="AY1319">
        <v>0</v>
      </c>
      <c s="6" r="AZ1319">
        <v>0</v>
      </c>
      <c s="6" r="BA1319">
        <v>0</v>
      </c>
      <c s="6" r="BB1319">
        <v>1</v>
      </c>
      <c s="6" r="BC1319">
        <v>0</v>
      </c>
      <c s="6" r="BD1319">
        <v>0</v>
      </c>
      <c s="6" r="BE1319">
        <v>0</v>
      </c>
      <c s="6" r="BF1319">
        <v>0</v>
      </c>
      <c s="6" r="BG1319">
        <v>0</v>
      </c>
      <c s="6" r="BH1319">
        <v>0</v>
      </c>
      <c s="6" r="BI1319">
        <v>0</v>
      </c>
      <c s="6" r="BJ1319">
        <v>0</v>
      </c>
      <c s="6" r="BK1319">
        <v>0</v>
      </c>
      <c s="6" r="BL1319">
        <v>0</v>
      </c>
      <c s="6" r="BM1319">
        <v>0</v>
      </c>
      <c s="6" r="BN1319">
        <v>0</v>
      </c>
      <c s="6" r="BO1319">
        <v>0</v>
      </c>
      <c s="6" r="BP1319">
        <v>0</v>
      </c>
      <c s="6" r="BQ1319">
        <v>0</v>
      </c>
      <c t="str" s="6" r="BR1319">
        <f>HYPERLINK("http://www.d20pfsrd.com/magic/all-spells/j/jolting-portent","Jolting Portent")</f>
        <v>Jolting Portent</v>
      </c>
      <c s="6" r="BS1319">
        <v>1342</v>
      </c>
      <c t="s" s="6" r="BT1319">
        <v>92</v>
      </c>
      <c s="6" r="BY1319">
        <v>0</v>
      </c>
    </row>
    <row customHeight="1" r="1320" ht="14.25">
      <c t="s" s="6" r="A1320">
        <v>9511</v>
      </c>
      <c t="s" s="6" r="B1320">
        <v>493</v>
      </c>
      <c t="s" s="6" r="D1320">
        <v>62</v>
      </c>
      <c t="s" s="6" r="E1320">
        <v>5410</v>
      </c>
      <c t="s" s="6" r="F1320">
        <v>81</v>
      </c>
      <c t="s" s="6" r="G1320">
        <v>106</v>
      </c>
      <c s="6" r="H1320">
        <v>0</v>
      </c>
      <c t="s" s="6" r="I1320">
        <v>155</v>
      </c>
      <c t="s" s="6" r="J1320">
        <v>5269</v>
      </c>
      <c t="s" s="6" r="M1320">
        <v>9512</v>
      </c>
      <c s="6" r="N1320">
        <v>0</v>
      </c>
      <c s="6" r="O1320">
        <v>0</v>
      </c>
      <c t="s" s="6" r="R1320">
        <v>9513</v>
      </c>
      <c t="s" s="6" r="S1320">
        <v>9514</v>
      </c>
      <c t="s" s="6" r="T1320">
        <v>9149</v>
      </c>
      <c t="s" s="6" r="U1320">
        <v>9515</v>
      </c>
      <c s="6" r="V1320">
        <v>1</v>
      </c>
      <c s="6" r="W1320">
        <v>1</v>
      </c>
      <c s="6" r="X1320">
        <v>0</v>
      </c>
      <c s="6" r="Y1320">
        <v>0</v>
      </c>
      <c s="6" r="Z1320">
        <v>0</v>
      </c>
      <c t="s" s="6" r="AA1320">
        <v>92</v>
      </c>
      <c t="s" s="6" r="AB1320">
        <v>92</v>
      </c>
      <c t="s" s="6" r="AC1320">
        <v>92</v>
      </c>
      <c t="s" s="6" r="AD1320">
        <v>92</v>
      </c>
      <c t="s" s="6" r="AE1320">
        <v>92</v>
      </c>
      <c t="s" s="6" r="AF1320">
        <v>92</v>
      </c>
      <c t="s" s="6" r="AG1320">
        <v>92</v>
      </c>
      <c t="s" s="6" r="AH1320">
        <v>92</v>
      </c>
      <c t="s" s="6" r="AI1320">
        <v>92</v>
      </c>
      <c t="s" s="6" r="AJ1320">
        <v>92</v>
      </c>
      <c s="6" r="AK1320">
        <v>4</v>
      </c>
      <c t="s" s="6" r="AL1320">
        <v>92</v>
      </c>
      <c t="s" s="6" r="AM1320">
        <v>92</v>
      </c>
      <c t="s" s="6" r="AN1320">
        <v>92</v>
      </c>
      <c s="6" r="AP1320">
        <v>4</v>
      </c>
      <c t="s" s="6" r="AR1320">
        <v>9516</v>
      </c>
      <c s="6" r="AS1320">
        <v>0</v>
      </c>
      <c s="6" r="AT1320">
        <v>0</v>
      </c>
      <c s="6" r="AU1320">
        <v>0</v>
      </c>
      <c s="6" r="AV1320">
        <v>0</v>
      </c>
      <c s="6" r="AW1320">
        <v>0</v>
      </c>
      <c s="6" r="AX1320">
        <v>0</v>
      </c>
      <c s="6" r="AY1320">
        <v>0</v>
      </c>
      <c s="6" r="AZ1320">
        <v>0</v>
      </c>
      <c s="6" r="BA1320">
        <v>0</v>
      </c>
      <c s="6" r="BB1320">
        <v>0</v>
      </c>
      <c s="6" r="BC1320">
        <v>0</v>
      </c>
      <c s="6" r="BD1320">
        <v>0</v>
      </c>
      <c s="6" r="BE1320">
        <v>0</v>
      </c>
      <c s="6" r="BF1320">
        <v>0</v>
      </c>
      <c s="6" r="BG1320">
        <v>0</v>
      </c>
      <c s="6" r="BH1320">
        <v>0</v>
      </c>
      <c s="6" r="BI1320">
        <v>0</v>
      </c>
      <c s="6" r="BJ1320">
        <v>0</v>
      </c>
      <c s="6" r="BK1320">
        <v>1</v>
      </c>
      <c s="6" r="BL1320">
        <v>0</v>
      </c>
      <c s="6" r="BM1320">
        <v>0</v>
      </c>
      <c s="6" r="BN1320">
        <v>0</v>
      </c>
      <c s="6" r="BO1320">
        <v>0</v>
      </c>
      <c s="6" r="BP1320">
        <v>0</v>
      </c>
      <c s="6" r="BQ1320">
        <v>0</v>
      </c>
      <c t="str" s="6" r="BR1320">
        <f>HYPERLINK("http://www.d20pfsrd.com/magic/all-spells/j/judgment-light","Judgment Light")</f>
        <v>Judgment Light</v>
      </c>
      <c s="6" r="BS1320">
        <v>1343</v>
      </c>
      <c t="s" s="6" r="BT1320">
        <v>92</v>
      </c>
      <c s="6" r="BY1320">
        <v>0</v>
      </c>
    </row>
    <row customHeight="1" r="1321" ht="14.25">
      <c t="s" s="6" r="A1321">
        <v>9517</v>
      </c>
      <c t="s" s="6" r="B1321">
        <v>131</v>
      </c>
      <c t="s" s="6" r="E1321">
        <v>9518</v>
      </c>
      <c t="s" s="6" r="F1321">
        <v>81</v>
      </c>
      <c t="s" s="6" r="G1321">
        <v>106</v>
      </c>
      <c s="6" r="H1321">
        <v>0</v>
      </c>
      <c t="s" s="6" r="I1321">
        <v>120</v>
      </c>
      <c t="s" s="6" r="L1321">
        <v>9519</v>
      </c>
      <c t="s" s="6" r="M1321">
        <v>99</v>
      </c>
      <c s="6" r="N1321">
        <v>0</v>
      </c>
      <c s="6" r="O1321">
        <v>0</v>
      </c>
      <c t="s" s="6" r="P1321">
        <v>144</v>
      </c>
      <c t="s" s="6" r="Q1321">
        <v>145</v>
      </c>
      <c t="s" s="6" r="R1321">
        <v>9520</v>
      </c>
      <c t="s" s="6" r="S1321">
        <v>9521</v>
      </c>
      <c t="s" s="6" r="T1321">
        <v>9149</v>
      </c>
      <c t="s" s="6" r="U1321">
        <v>9522</v>
      </c>
      <c s="6" r="V1321">
        <v>1</v>
      </c>
      <c s="6" r="W1321">
        <v>1</v>
      </c>
      <c s="6" r="X1321">
        <v>0</v>
      </c>
      <c s="6" r="Y1321">
        <v>0</v>
      </c>
      <c s="6" r="Z1321">
        <v>0</v>
      </c>
      <c s="6" r="AA1321">
        <v>1</v>
      </c>
      <c s="6" r="AB1321">
        <v>1</v>
      </c>
      <c t="s" s="6" r="AC1321">
        <v>92</v>
      </c>
      <c t="s" s="6" r="AD1321">
        <v>92</v>
      </c>
      <c t="s" s="6" r="AE1321">
        <v>92</v>
      </c>
      <c s="6" r="AF1321">
        <v>1</v>
      </c>
      <c t="s" s="6" r="AG1321">
        <v>92</v>
      </c>
      <c t="s" s="6" r="AH1321">
        <v>92</v>
      </c>
      <c s="6" r="AI1321">
        <v>1</v>
      </c>
      <c s="6" r="AJ1321">
        <v>1</v>
      </c>
      <c t="s" s="6" r="AK1321">
        <v>92</v>
      </c>
      <c t="s" s="6" r="AL1321">
        <v>92</v>
      </c>
      <c t="s" s="6" r="AM1321">
        <v>92</v>
      </c>
      <c s="6" r="AN1321">
        <v>1</v>
      </c>
      <c s="6" r="AP1321">
        <v>1</v>
      </c>
      <c t="s" s="6" r="AR1321">
        <v>9523</v>
      </c>
      <c s="6" r="AS1321">
        <v>0</v>
      </c>
      <c s="6" r="AT1321">
        <v>0</v>
      </c>
      <c s="6" r="AU1321">
        <v>0</v>
      </c>
      <c s="6" r="AV1321">
        <v>0</v>
      </c>
      <c s="6" r="AW1321">
        <v>0</v>
      </c>
      <c s="6" r="AX1321">
        <v>0</v>
      </c>
      <c s="6" r="AY1321">
        <v>0</v>
      </c>
      <c s="6" r="AZ1321">
        <v>0</v>
      </c>
      <c s="6" r="BA1321">
        <v>0</v>
      </c>
      <c s="6" r="BB1321">
        <v>0</v>
      </c>
      <c s="6" r="BC1321">
        <v>0</v>
      </c>
      <c s="6" r="BD1321">
        <v>0</v>
      </c>
      <c s="6" r="BE1321">
        <v>0</v>
      </c>
      <c s="6" r="BF1321">
        <v>0</v>
      </c>
      <c s="6" r="BG1321">
        <v>0</v>
      </c>
      <c s="6" r="BH1321">
        <v>0</v>
      </c>
      <c s="6" r="BI1321">
        <v>0</v>
      </c>
      <c s="6" r="BJ1321">
        <v>0</v>
      </c>
      <c s="6" r="BK1321">
        <v>0</v>
      </c>
      <c s="6" r="BL1321">
        <v>0</v>
      </c>
      <c s="6" r="BM1321">
        <v>0</v>
      </c>
      <c s="6" r="BN1321">
        <v>0</v>
      </c>
      <c s="6" r="BO1321">
        <v>0</v>
      </c>
      <c s="6" r="BP1321">
        <v>0</v>
      </c>
      <c s="6" r="BQ1321">
        <v>0</v>
      </c>
      <c t="str" s="6" r="BR1321">
        <f>HYPERLINK("http://www.d20pfsrd.com/magic/all-spells/j/jury-rig","Jury-Rig")</f>
        <v>Jury-Rig</v>
      </c>
      <c s="6" r="BS1321">
        <v>1344</v>
      </c>
      <c t="s" s="6" r="BT1321">
        <v>92</v>
      </c>
      <c s="6" r="BY1321">
        <v>0</v>
      </c>
    </row>
    <row customHeight="1" r="1322" ht="14.25">
      <c t="s" s="6" r="A1322">
        <v>9524</v>
      </c>
      <c t="s" s="6" r="B1322">
        <v>131</v>
      </c>
      <c t="s" s="6" r="E1322">
        <v>9255</v>
      </c>
      <c t="s" s="6" r="F1322">
        <v>81</v>
      </c>
      <c t="s" s="6" r="G1322">
        <v>9525</v>
      </c>
      <c s="6" r="H1322">
        <v>0</v>
      </c>
      <c t="s" s="6" r="I1322">
        <v>120</v>
      </c>
      <c t="s" s="6" r="L1322">
        <v>420</v>
      </c>
      <c t="s" s="6" r="M1322">
        <v>99</v>
      </c>
      <c s="6" r="N1322">
        <v>0</v>
      </c>
      <c s="6" r="O1322">
        <v>0</v>
      </c>
      <c t="s" s="6" r="P1322">
        <v>5197</v>
      </c>
      <c t="s" s="6" r="Q1322">
        <v>536</v>
      </c>
      <c t="s" s="6" r="R1322">
        <v>9526</v>
      </c>
      <c t="s" s="6" r="S1322">
        <v>9527</v>
      </c>
      <c t="s" s="6" r="T1322">
        <v>9149</v>
      </c>
      <c t="s" s="6" r="U1322">
        <v>9528</v>
      </c>
      <c s="6" r="V1322">
        <v>1</v>
      </c>
      <c s="6" r="W1322">
        <v>1</v>
      </c>
      <c s="6" r="X1322">
        <v>1</v>
      </c>
      <c s="6" r="Y1322">
        <v>0</v>
      </c>
      <c s="6" r="Z1322">
        <v>0</v>
      </c>
      <c s="6" r="AA1322">
        <v>2</v>
      </c>
      <c s="6" r="AB1322">
        <v>2</v>
      </c>
      <c t="s" s="6" r="AC1322">
        <v>92</v>
      </c>
      <c t="s" s="6" r="AD1322">
        <v>92</v>
      </c>
      <c t="s" s="6" r="AE1322">
        <v>92</v>
      </c>
      <c t="s" s="6" r="AF1322">
        <v>92</v>
      </c>
      <c t="s" s="6" r="AG1322">
        <v>92</v>
      </c>
      <c s="6" r="AH1322">
        <v>2</v>
      </c>
      <c t="s" s="6" r="AI1322">
        <v>92</v>
      </c>
      <c t="s" s="6" r="AJ1322">
        <v>92</v>
      </c>
      <c t="s" s="6" r="AK1322">
        <v>92</v>
      </c>
      <c t="s" s="6" r="AL1322">
        <v>92</v>
      </c>
      <c t="s" s="6" r="AM1322">
        <v>92</v>
      </c>
      <c t="s" s="6" r="AN1322">
        <v>92</v>
      </c>
      <c s="6" r="AP1322">
        <v>2</v>
      </c>
      <c t="s" s="6" r="AR1322">
        <v>9529</v>
      </c>
      <c s="6" r="AS1322">
        <v>0</v>
      </c>
      <c s="6" r="AT1322">
        <v>0</v>
      </c>
      <c s="6" r="AU1322">
        <v>0</v>
      </c>
      <c s="6" r="AV1322">
        <v>0</v>
      </c>
      <c s="6" r="AW1322">
        <v>0</v>
      </c>
      <c s="6" r="AX1322">
        <v>0</v>
      </c>
      <c s="6" r="AY1322">
        <v>0</v>
      </c>
      <c s="6" r="AZ1322">
        <v>0</v>
      </c>
      <c s="6" r="BA1322">
        <v>0</v>
      </c>
      <c s="6" r="BB1322">
        <v>0</v>
      </c>
      <c s="6" r="BC1322">
        <v>0</v>
      </c>
      <c s="6" r="BD1322">
        <v>0</v>
      </c>
      <c s="6" r="BE1322">
        <v>0</v>
      </c>
      <c s="6" r="BF1322">
        <v>0</v>
      </c>
      <c s="6" r="BG1322">
        <v>0</v>
      </c>
      <c s="6" r="BH1322">
        <v>0</v>
      </c>
      <c s="6" r="BI1322">
        <v>0</v>
      </c>
      <c s="6" r="BJ1322">
        <v>0</v>
      </c>
      <c s="6" r="BK1322">
        <v>0</v>
      </c>
      <c s="6" r="BL1322">
        <v>0</v>
      </c>
      <c s="6" r="BM1322">
        <v>0</v>
      </c>
      <c s="6" r="BN1322">
        <v>0</v>
      </c>
      <c s="6" r="BO1322">
        <v>0</v>
      </c>
      <c s="6" r="BP1322">
        <v>0</v>
      </c>
      <c s="6" r="BQ1322">
        <v>0</v>
      </c>
      <c t="str" s="6" r="BR1322">
        <f>HYPERLINK("http://www.d20pfsrd.com/magic/all-spells/k/kinetic-reverberation","Kinetic Reverberation")</f>
        <v>Kinetic Reverberation</v>
      </c>
      <c s="6" r="BS1322">
        <v>1345</v>
      </c>
      <c t="s" s="6" r="BT1322">
        <v>92</v>
      </c>
      <c s="6" r="BY1322">
        <v>0</v>
      </c>
    </row>
    <row customHeight="1" r="1323" ht="14.25">
      <c t="s" s="6" r="A1323">
        <v>9530</v>
      </c>
      <c t="s" s="6" r="B1323">
        <v>115</v>
      </c>
      <c t="s" s="6" r="C1323">
        <v>116</v>
      </c>
      <c t="s" s="6" r="D1323">
        <v>117</v>
      </c>
      <c t="s" s="6" r="E1323">
        <v>5657</v>
      </c>
      <c t="s" s="6" r="F1323">
        <v>81</v>
      </c>
      <c t="s" s="6" r="G1323">
        <v>106</v>
      </c>
      <c s="6" r="H1323">
        <v>0</v>
      </c>
      <c t="s" s="6" r="I1323">
        <v>155</v>
      </c>
      <c t="s" s="6" r="L1323">
        <v>156</v>
      </c>
      <c t="s" s="6" r="M1323">
        <v>99</v>
      </c>
      <c s="6" r="N1323">
        <v>0</v>
      </c>
      <c s="6" r="O1323">
        <v>0</v>
      </c>
      <c t="s" s="6" r="P1323">
        <v>9531</v>
      </c>
      <c t="s" s="6" r="Q1323">
        <v>188</v>
      </c>
      <c t="s" s="6" r="R1323">
        <v>9532</v>
      </c>
      <c t="s" s="6" r="S1323">
        <v>9533</v>
      </c>
      <c t="s" s="6" r="T1323">
        <v>9149</v>
      </c>
      <c t="s" s="6" r="U1323">
        <v>9534</v>
      </c>
      <c s="6" r="V1323">
        <v>1</v>
      </c>
      <c s="6" r="W1323">
        <v>1</v>
      </c>
      <c s="6" r="X1323">
        <v>0</v>
      </c>
      <c s="6" r="Y1323">
        <v>0</v>
      </c>
      <c s="6" r="Z1323">
        <v>0</v>
      </c>
      <c t="s" s="6" r="AA1323">
        <v>92</v>
      </c>
      <c t="s" s="6" r="AB1323">
        <v>92</v>
      </c>
      <c t="s" s="6" r="AC1323">
        <v>92</v>
      </c>
      <c t="s" s="6" r="AD1323">
        <v>92</v>
      </c>
      <c t="s" s="6" r="AE1323">
        <v>92</v>
      </c>
      <c t="s" s="6" r="AF1323">
        <v>92</v>
      </c>
      <c t="s" s="6" r="AG1323">
        <v>92</v>
      </c>
      <c s="6" r="AH1323">
        <v>5</v>
      </c>
      <c t="s" s="6" r="AI1323">
        <v>92</v>
      </c>
      <c t="s" s="6" r="AJ1323">
        <v>92</v>
      </c>
      <c t="s" s="6" r="AK1323">
        <v>92</v>
      </c>
      <c t="s" s="6" r="AL1323">
        <v>92</v>
      </c>
      <c t="s" s="6" r="AM1323">
        <v>92</v>
      </c>
      <c t="s" s="6" r="AN1323">
        <v>92</v>
      </c>
      <c s="6" r="AP1323">
        <v>5</v>
      </c>
      <c t="s" s="6" r="AR1323">
        <v>9535</v>
      </c>
      <c s="6" r="AS1323">
        <v>0</v>
      </c>
      <c s="6" r="AT1323">
        <v>0</v>
      </c>
      <c s="6" r="AU1323">
        <v>0</v>
      </c>
      <c s="6" r="AV1323">
        <v>0</v>
      </c>
      <c s="6" r="AW1323">
        <v>0</v>
      </c>
      <c s="6" r="AX1323">
        <v>0</v>
      </c>
      <c s="6" r="AY1323">
        <v>0</v>
      </c>
      <c s="6" r="AZ1323">
        <v>0</v>
      </c>
      <c s="6" r="BA1323">
        <v>0</v>
      </c>
      <c s="6" r="BB1323">
        <v>0</v>
      </c>
      <c s="6" r="BC1323">
        <v>0</v>
      </c>
      <c s="6" r="BD1323">
        <v>0</v>
      </c>
      <c s="6" r="BE1323">
        <v>0</v>
      </c>
      <c s="6" r="BF1323">
        <v>0</v>
      </c>
      <c s="6" r="BG1323">
        <v>0</v>
      </c>
      <c s="6" r="BH1323">
        <v>0</v>
      </c>
      <c s="6" r="BI1323">
        <v>0</v>
      </c>
      <c s="6" r="BJ1323">
        <v>0</v>
      </c>
      <c s="6" r="BK1323">
        <v>0</v>
      </c>
      <c s="6" r="BL1323">
        <v>1</v>
      </c>
      <c s="6" r="BM1323">
        <v>0</v>
      </c>
      <c s="6" r="BN1323">
        <v>0</v>
      </c>
      <c s="6" r="BO1323">
        <v>0</v>
      </c>
      <c s="6" r="BP1323">
        <v>0</v>
      </c>
      <c s="6" r="BQ1323">
        <v>0</v>
      </c>
      <c t="str" s="6" r="BR1323">
        <f>HYPERLINK("http://www.d20pfsrd.com/magic/all-spells/l/languid-bomb-admixture","Languid Bomb Admixture")</f>
        <v>Languid Bomb Admixture</v>
      </c>
      <c s="6" r="BS1323">
        <v>1346</v>
      </c>
      <c t="s" s="6" r="BT1323">
        <v>92</v>
      </c>
      <c s="6" r="BY1323">
        <v>0</v>
      </c>
    </row>
    <row customHeight="1" r="1324" ht="14.25">
      <c t="s" s="6" r="A1324">
        <v>9536</v>
      </c>
      <c t="s" s="6" r="B1324">
        <v>131</v>
      </c>
      <c t="s" s="6" r="E1324">
        <v>5039</v>
      </c>
      <c t="s" s="6" r="F1324">
        <v>1743</v>
      </c>
      <c t="s" s="6" r="G1324">
        <v>251</v>
      </c>
      <c s="6" r="H1324">
        <v>0</v>
      </c>
      <c t="s" s="6" r="I1324">
        <v>107</v>
      </c>
      <c t="s" s="6" r="L1324">
        <v>1235</v>
      </c>
      <c t="s" s="6" r="M1324">
        <v>109</v>
      </c>
      <c s="6" r="N1324">
        <v>0</v>
      </c>
      <c s="6" r="O1324">
        <v>0</v>
      </c>
      <c t="s" s="6" r="P1324">
        <v>421</v>
      </c>
      <c t="s" s="6" r="Q1324">
        <v>123</v>
      </c>
      <c t="s" s="6" r="R1324">
        <v>5040</v>
      </c>
      <c t="s" s="6" r="S1324">
        <v>9537</v>
      </c>
      <c t="s" s="6" r="T1324">
        <v>9149</v>
      </c>
      <c t="s" s="6" r="U1324">
        <v>9538</v>
      </c>
      <c s="6" r="V1324">
        <v>1</v>
      </c>
      <c s="6" r="W1324">
        <v>0</v>
      </c>
      <c s="6" r="X1324">
        <v>0</v>
      </c>
      <c s="6" r="Y1324">
        <v>0</v>
      </c>
      <c s="6" r="Z1324">
        <v>0</v>
      </c>
      <c s="6" r="AA1324">
        <v>1</v>
      </c>
      <c s="6" r="AB1324">
        <v>1</v>
      </c>
      <c s="6" r="AC1324">
        <v>1</v>
      </c>
      <c s="6" r="AD1324">
        <v>1</v>
      </c>
      <c s="6" r="AE1324">
        <v>1</v>
      </c>
      <c s="6" r="AF1324">
        <v>1</v>
      </c>
      <c s="6" r="AG1324">
        <v>1</v>
      </c>
      <c t="s" s="6" r="AH1324">
        <v>92</v>
      </c>
      <c t="s" s="6" r="AI1324">
        <v>92</v>
      </c>
      <c t="s" s="6" r="AJ1324">
        <v>92</v>
      </c>
      <c t="s" s="6" r="AK1324">
        <v>92</v>
      </c>
      <c s="6" r="AL1324">
        <v>1</v>
      </c>
      <c t="s" s="6" r="AM1324">
        <v>92</v>
      </c>
      <c t="s" s="6" r="AN1324">
        <v>92</v>
      </c>
      <c s="6" r="AP1324">
        <v>1</v>
      </c>
      <c t="s" s="6" r="AR1324">
        <v>9539</v>
      </c>
      <c s="6" r="AS1324">
        <v>0</v>
      </c>
      <c s="6" r="AT1324">
        <v>0</v>
      </c>
      <c s="6" r="AU1324">
        <v>0</v>
      </c>
      <c s="6" r="AV1324">
        <v>0</v>
      </c>
      <c s="6" r="AW1324">
        <v>0</v>
      </c>
      <c s="6" r="AX1324">
        <v>0</v>
      </c>
      <c s="6" r="AY1324">
        <v>0</v>
      </c>
      <c s="6" r="AZ1324">
        <v>0</v>
      </c>
      <c s="6" r="BA1324">
        <v>0</v>
      </c>
      <c s="6" r="BB1324">
        <v>0</v>
      </c>
      <c s="6" r="BC1324">
        <v>0</v>
      </c>
      <c s="6" r="BD1324">
        <v>0</v>
      </c>
      <c s="6" r="BE1324">
        <v>0</v>
      </c>
      <c s="6" r="BF1324">
        <v>0</v>
      </c>
      <c s="6" r="BG1324">
        <v>0</v>
      </c>
      <c s="6" r="BH1324">
        <v>0</v>
      </c>
      <c s="6" r="BI1324">
        <v>0</v>
      </c>
      <c s="6" r="BJ1324">
        <v>0</v>
      </c>
      <c s="6" r="BK1324">
        <v>0</v>
      </c>
      <c s="6" r="BL1324">
        <v>0</v>
      </c>
      <c s="6" r="BM1324">
        <v>0</v>
      </c>
      <c s="6" r="BN1324">
        <v>0</v>
      </c>
      <c s="6" r="BO1324">
        <v>0</v>
      </c>
      <c s="6" r="BP1324">
        <v>0</v>
      </c>
      <c s="6" r="BQ1324">
        <v>0</v>
      </c>
      <c t="str" s="6" r="BR1324">
        <f>HYPERLINK("http://www.d20pfsrd.com/magic/all-spells/l/liberating-command","Liberating Command")</f>
        <v>Liberating Command</v>
      </c>
      <c s="6" r="BS1324">
        <v>1347</v>
      </c>
      <c t="s" s="6" r="BT1324">
        <v>92</v>
      </c>
      <c s="6" r="BY1324">
        <v>0</v>
      </c>
    </row>
    <row customHeight="1" r="1325" ht="14.25">
      <c t="s" s="6" r="A1325">
        <v>9540</v>
      </c>
      <c t="s" s="6" r="B1325">
        <v>78</v>
      </c>
      <c t="s" s="6" r="C1325">
        <v>598</v>
      </c>
      <c t="s" s="6" r="E1325">
        <v>6383</v>
      </c>
      <c t="s" s="6" r="F1325">
        <v>81</v>
      </c>
      <c t="s" s="6" r="G1325">
        <v>106</v>
      </c>
      <c s="6" r="H1325">
        <v>0</v>
      </c>
      <c t="s" s="6" r="I1325">
        <v>155</v>
      </c>
      <c t="s" s="6" r="L1325">
        <v>156</v>
      </c>
      <c t="s" s="6" r="M1325">
        <v>99</v>
      </c>
      <c s="6" r="N1325">
        <v>0</v>
      </c>
      <c s="6" r="O1325">
        <v>0</v>
      </c>
      <c t="s" s="6" r="R1325">
        <v>9541</v>
      </c>
      <c t="s" s="6" r="S1325">
        <v>9542</v>
      </c>
      <c t="s" s="6" r="T1325">
        <v>9149</v>
      </c>
      <c t="s" s="6" r="U1325">
        <v>9543</v>
      </c>
      <c s="6" r="V1325">
        <v>1</v>
      </c>
      <c s="6" r="W1325">
        <v>1</v>
      </c>
      <c s="6" r="X1325">
        <v>0</v>
      </c>
      <c s="6" r="Y1325">
        <v>0</v>
      </c>
      <c s="6" r="Z1325">
        <v>0</v>
      </c>
      <c t="s" s="6" r="AA1325">
        <v>92</v>
      </c>
      <c t="s" s="6" r="AB1325">
        <v>92</v>
      </c>
      <c t="s" s="6" r="AC1325">
        <v>92</v>
      </c>
      <c t="s" s="6" r="AD1325">
        <v>92</v>
      </c>
      <c t="s" s="6" r="AE1325">
        <v>92</v>
      </c>
      <c t="s" s="6" r="AF1325">
        <v>92</v>
      </c>
      <c t="s" s="6" r="AG1325">
        <v>92</v>
      </c>
      <c t="s" s="6" r="AH1325">
        <v>92</v>
      </c>
      <c s="6" r="AI1325">
        <v>1</v>
      </c>
      <c t="s" s="6" r="AJ1325">
        <v>92</v>
      </c>
      <c t="s" s="6" r="AK1325">
        <v>92</v>
      </c>
      <c t="s" s="6" r="AL1325">
        <v>92</v>
      </c>
      <c t="s" s="6" r="AM1325">
        <v>92</v>
      </c>
      <c t="s" s="6" r="AN1325">
        <v>92</v>
      </c>
      <c s="6" r="AP1325">
        <v>1</v>
      </c>
      <c t="s" s="6" r="AR1325">
        <v>9544</v>
      </c>
      <c s="6" r="AS1325">
        <v>0</v>
      </c>
      <c s="6" r="AT1325">
        <v>0</v>
      </c>
      <c s="6" r="AU1325">
        <v>0</v>
      </c>
      <c s="6" r="AV1325">
        <v>0</v>
      </c>
      <c s="6" r="AW1325">
        <v>0</v>
      </c>
      <c s="6" r="AX1325">
        <v>0</v>
      </c>
      <c s="6" r="AY1325">
        <v>0</v>
      </c>
      <c s="6" r="AZ1325">
        <v>0</v>
      </c>
      <c s="6" r="BA1325">
        <v>0</v>
      </c>
      <c s="6" r="BB1325">
        <v>0</v>
      </c>
      <c s="6" r="BC1325">
        <v>0</v>
      </c>
      <c s="6" r="BD1325">
        <v>0</v>
      </c>
      <c s="6" r="BE1325">
        <v>0</v>
      </c>
      <c s="6" r="BF1325">
        <v>0</v>
      </c>
      <c s="6" r="BG1325">
        <v>0</v>
      </c>
      <c s="6" r="BH1325">
        <v>0</v>
      </c>
      <c s="6" r="BI1325">
        <v>0</v>
      </c>
      <c s="6" r="BJ1325">
        <v>0</v>
      </c>
      <c s="6" r="BK1325">
        <v>0</v>
      </c>
      <c s="6" r="BL1325">
        <v>0</v>
      </c>
      <c s="6" r="BM1325">
        <v>0</v>
      </c>
      <c s="6" r="BN1325">
        <v>0</v>
      </c>
      <c s="6" r="BO1325">
        <v>0</v>
      </c>
      <c s="6" r="BP1325">
        <v>0</v>
      </c>
      <c s="6" r="BQ1325">
        <v>0</v>
      </c>
      <c t="str" s="6" r="BR1325">
        <f>HYPERLINK("http://www.d20pfsrd.com/magic/all-spells/l/life-conduit","Life Conduit")</f>
        <v>Life Conduit</v>
      </c>
      <c s="6" r="BS1325">
        <v>1348</v>
      </c>
      <c t="s" s="6" r="BT1325">
        <v>92</v>
      </c>
      <c s="6" r="BY1325">
        <v>0</v>
      </c>
    </row>
    <row customHeight="1" r="1326" ht="14.25">
      <c t="s" s="6" r="A1326">
        <v>9545</v>
      </c>
      <c t="s" s="6" r="B1326">
        <v>78</v>
      </c>
      <c t="s" s="6" r="C1326">
        <v>598</v>
      </c>
      <c t="s" s="6" r="E1326">
        <v>6395</v>
      </c>
      <c t="s" s="6" r="F1326">
        <v>81</v>
      </c>
      <c t="s" s="6" r="G1326">
        <v>106</v>
      </c>
      <c s="6" r="H1326">
        <v>0</v>
      </c>
      <c t="s" s="6" r="I1326">
        <v>155</v>
      </c>
      <c t="s" s="6" r="L1326">
        <v>156</v>
      </c>
      <c t="s" s="6" r="M1326">
        <v>99</v>
      </c>
      <c s="6" r="N1326">
        <v>0</v>
      </c>
      <c s="6" r="O1326">
        <v>0</v>
      </c>
      <c t="s" s="6" r="R1326">
        <v>9546</v>
      </c>
      <c t="s" s="6" r="S1326">
        <v>9547</v>
      </c>
      <c t="s" s="6" r="T1326">
        <v>9149</v>
      </c>
      <c t="s" s="6" r="U1326">
        <v>9548</v>
      </c>
      <c s="6" r="V1326">
        <v>1</v>
      </c>
      <c s="6" r="W1326">
        <v>1</v>
      </c>
      <c s="6" r="X1326">
        <v>0</v>
      </c>
      <c s="6" r="Y1326">
        <v>0</v>
      </c>
      <c s="6" r="Z1326">
        <v>0</v>
      </c>
      <c t="s" s="6" r="AA1326">
        <v>92</v>
      </c>
      <c t="s" s="6" r="AB1326">
        <v>92</v>
      </c>
      <c t="s" s="6" r="AC1326">
        <v>92</v>
      </c>
      <c t="s" s="6" r="AD1326">
        <v>92</v>
      </c>
      <c t="s" s="6" r="AE1326">
        <v>92</v>
      </c>
      <c t="s" s="6" r="AF1326">
        <v>92</v>
      </c>
      <c t="s" s="6" r="AG1326">
        <v>92</v>
      </c>
      <c t="s" s="6" r="AH1326">
        <v>92</v>
      </c>
      <c s="6" r="AI1326">
        <v>5</v>
      </c>
      <c t="s" s="6" r="AJ1326">
        <v>92</v>
      </c>
      <c t="s" s="6" r="AK1326">
        <v>92</v>
      </c>
      <c t="s" s="6" r="AL1326">
        <v>92</v>
      </c>
      <c t="s" s="6" r="AM1326">
        <v>92</v>
      </c>
      <c t="s" s="6" r="AN1326">
        <v>92</v>
      </c>
      <c s="6" r="AP1326">
        <v>5</v>
      </c>
      <c t="s" s="6" r="AR1326">
        <v>9549</v>
      </c>
      <c s="6" r="AS1326">
        <v>0</v>
      </c>
      <c s="6" r="AT1326">
        <v>0</v>
      </c>
      <c s="6" r="AU1326">
        <v>0</v>
      </c>
      <c s="6" r="AV1326">
        <v>0</v>
      </c>
      <c s="6" r="AW1326">
        <v>0</v>
      </c>
      <c s="6" r="AX1326">
        <v>0</v>
      </c>
      <c s="6" r="AY1326">
        <v>0</v>
      </c>
      <c s="6" r="AZ1326">
        <v>0</v>
      </c>
      <c s="6" r="BA1326">
        <v>0</v>
      </c>
      <c s="6" r="BB1326">
        <v>0</v>
      </c>
      <c s="6" r="BC1326">
        <v>0</v>
      </c>
      <c s="6" r="BD1326">
        <v>0</v>
      </c>
      <c s="6" r="BE1326">
        <v>0</v>
      </c>
      <c s="6" r="BF1326">
        <v>0</v>
      </c>
      <c s="6" r="BG1326">
        <v>0</v>
      </c>
      <c s="6" r="BH1326">
        <v>0</v>
      </c>
      <c s="6" r="BI1326">
        <v>0</v>
      </c>
      <c s="6" r="BJ1326">
        <v>0</v>
      </c>
      <c s="6" r="BK1326">
        <v>0</v>
      </c>
      <c s="6" r="BL1326">
        <v>0</v>
      </c>
      <c s="6" r="BM1326">
        <v>0</v>
      </c>
      <c s="6" r="BN1326">
        <v>0</v>
      </c>
      <c s="6" r="BO1326">
        <v>0</v>
      </c>
      <c s="6" r="BP1326">
        <v>0</v>
      </c>
      <c s="6" r="BQ1326">
        <v>0</v>
      </c>
      <c t="str" s="6" r="BR1326">
        <f>HYPERLINK("http://www.d20pfsrd.com/magic/all-spells/l/life-conduit#TOC-Life-Conduit-Greater","Life Conduit, Greater")</f>
        <v>Life Conduit, Greater</v>
      </c>
      <c s="6" r="BS1326">
        <v>1349</v>
      </c>
      <c t="s" s="6" r="BT1326">
        <v>92</v>
      </c>
      <c s="6" r="BY1326">
        <v>0</v>
      </c>
    </row>
    <row customHeight="1" r="1327" ht="14.25">
      <c t="s" s="6" r="A1327">
        <v>9550</v>
      </c>
      <c t="s" s="6" r="B1327">
        <v>78</v>
      </c>
      <c t="s" s="6" r="C1327">
        <v>598</v>
      </c>
      <c t="s" s="6" r="E1327">
        <v>5808</v>
      </c>
      <c t="s" s="6" r="F1327">
        <v>81</v>
      </c>
      <c t="s" s="6" r="G1327">
        <v>106</v>
      </c>
      <c s="6" r="H1327">
        <v>0</v>
      </c>
      <c t="s" s="6" r="I1327">
        <v>155</v>
      </c>
      <c t="s" s="6" r="L1327">
        <v>156</v>
      </c>
      <c t="s" s="6" r="M1327">
        <v>99</v>
      </c>
      <c s="6" r="N1327">
        <v>0</v>
      </c>
      <c s="6" r="O1327">
        <v>0</v>
      </c>
      <c t="s" s="6" r="R1327">
        <v>9551</v>
      </c>
      <c t="s" s="6" r="S1327">
        <v>9552</v>
      </c>
      <c t="s" s="6" r="T1327">
        <v>9149</v>
      </c>
      <c t="s" s="6" r="U1327">
        <v>9553</v>
      </c>
      <c s="6" r="V1327">
        <v>1</v>
      </c>
      <c s="6" r="W1327">
        <v>1</v>
      </c>
      <c s="6" r="X1327">
        <v>0</v>
      </c>
      <c s="6" r="Y1327">
        <v>0</v>
      </c>
      <c s="6" r="Z1327">
        <v>0</v>
      </c>
      <c t="s" s="6" r="AA1327">
        <v>92</v>
      </c>
      <c t="s" s="6" r="AB1327">
        <v>92</v>
      </c>
      <c t="s" s="6" r="AC1327">
        <v>92</v>
      </c>
      <c t="s" s="6" r="AD1327">
        <v>92</v>
      </c>
      <c t="s" s="6" r="AE1327">
        <v>92</v>
      </c>
      <c t="s" s="6" r="AF1327">
        <v>92</v>
      </c>
      <c t="s" s="6" r="AG1327">
        <v>92</v>
      </c>
      <c t="s" s="6" r="AH1327">
        <v>92</v>
      </c>
      <c s="6" r="AI1327">
        <v>3</v>
      </c>
      <c t="s" s="6" r="AJ1327">
        <v>92</v>
      </c>
      <c t="s" s="6" r="AK1327">
        <v>92</v>
      </c>
      <c t="s" s="6" r="AL1327">
        <v>92</v>
      </c>
      <c t="s" s="6" r="AM1327">
        <v>92</v>
      </c>
      <c t="s" s="6" r="AN1327">
        <v>92</v>
      </c>
      <c s="6" r="AP1327">
        <v>3</v>
      </c>
      <c t="s" s="6" r="AR1327">
        <v>9554</v>
      </c>
      <c s="6" r="AS1327">
        <v>0</v>
      </c>
      <c s="6" r="AT1327">
        <v>0</v>
      </c>
      <c s="6" r="AU1327">
        <v>0</v>
      </c>
      <c s="6" r="AV1327">
        <v>0</v>
      </c>
      <c s="6" r="AW1327">
        <v>0</v>
      </c>
      <c s="6" r="AX1327">
        <v>0</v>
      </c>
      <c s="6" r="AY1327">
        <v>0</v>
      </c>
      <c s="6" r="AZ1327">
        <v>0</v>
      </c>
      <c s="6" r="BA1327">
        <v>0</v>
      </c>
      <c s="6" r="BB1327">
        <v>0</v>
      </c>
      <c s="6" r="BC1327">
        <v>0</v>
      </c>
      <c s="6" r="BD1327">
        <v>0</v>
      </c>
      <c s="6" r="BE1327">
        <v>0</v>
      </c>
      <c s="6" r="BF1327">
        <v>0</v>
      </c>
      <c s="6" r="BG1327">
        <v>0</v>
      </c>
      <c s="6" r="BH1327">
        <v>0</v>
      </c>
      <c s="6" r="BI1327">
        <v>0</v>
      </c>
      <c s="6" r="BJ1327">
        <v>0</v>
      </c>
      <c s="6" r="BK1327">
        <v>0</v>
      </c>
      <c s="6" r="BL1327">
        <v>0</v>
      </c>
      <c s="6" r="BM1327">
        <v>0</v>
      </c>
      <c s="6" r="BN1327">
        <v>0</v>
      </c>
      <c s="6" r="BO1327">
        <v>0</v>
      </c>
      <c s="6" r="BP1327">
        <v>0</v>
      </c>
      <c s="6" r="BQ1327">
        <v>0</v>
      </c>
      <c t="str" s="6" r="BR1327">
        <f>HYPERLINK("http://www.d20pfsrd.com/magic/all-spells/l/life-conduit#TOC-Life-Conduit-Improved","Life Conduit, Improved")</f>
        <v>Life Conduit, Improved</v>
      </c>
      <c s="6" r="BS1327">
        <v>1350</v>
      </c>
      <c t="s" s="6" r="BT1327">
        <v>92</v>
      </c>
      <c s="6" r="BY1327">
        <v>0</v>
      </c>
    </row>
    <row customHeight="1" r="1328" ht="14.25">
      <c t="s" s="6" r="A1328">
        <v>9555</v>
      </c>
      <c t="s" s="6" r="B1328">
        <v>493</v>
      </c>
      <c t="s" s="6" r="D1328">
        <v>53</v>
      </c>
      <c t="s" s="6" r="E1328">
        <v>5195</v>
      </c>
      <c t="s" s="6" r="F1328">
        <v>81</v>
      </c>
      <c t="s" s="6" r="G1328">
        <v>106</v>
      </c>
      <c s="6" r="H1328">
        <v>0</v>
      </c>
      <c t="s" s="6" r="I1328">
        <v>155</v>
      </c>
      <c t="s" s="6" r="L1328">
        <v>156</v>
      </c>
      <c t="s" s="6" r="M1328">
        <v>99</v>
      </c>
      <c s="6" r="N1328">
        <v>0</v>
      </c>
      <c s="6" r="O1328">
        <v>0</v>
      </c>
      <c t="s" s="6" r="P1328">
        <v>9233</v>
      </c>
      <c t="s" s="6" r="Q1328">
        <v>9233</v>
      </c>
      <c t="s" s="6" r="R1328">
        <v>9556</v>
      </c>
      <c t="s" s="6" r="S1328">
        <v>9557</v>
      </c>
      <c t="s" s="6" r="T1328">
        <v>9149</v>
      </c>
      <c t="s" s="6" r="U1328">
        <v>9558</v>
      </c>
      <c s="6" r="V1328">
        <v>1</v>
      </c>
      <c s="6" r="W1328">
        <v>1</v>
      </c>
      <c s="6" r="X1328">
        <v>0</v>
      </c>
      <c s="6" r="Y1328">
        <v>0</v>
      </c>
      <c s="6" r="Z1328">
        <v>0</v>
      </c>
      <c t="s" s="6" r="AA1328">
        <v>92</v>
      </c>
      <c t="s" s="6" r="AB1328">
        <v>92</v>
      </c>
      <c t="s" s="6" r="AC1328">
        <v>92</v>
      </c>
      <c t="s" s="6" r="AD1328">
        <v>92</v>
      </c>
      <c t="s" s="6" r="AE1328">
        <v>92</v>
      </c>
      <c t="s" s="6" r="AF1328">
        <v>92</v>
      </c>
      <c t="s" s="6" r="AG1328">
        <v>92</v>
      </c>
      <c s="6" r="AH1328">
        <v>3</v>
      </c>
      <c t="s" s="6" r="AI1328">
        <v>92</v>
      </c>
      <c t="s" s="6" r="AJ1328">
        <v>92</v>
      </c>
      <c t="s" s="6" r="AK1328">
        <v>92</v>
      </c>
      <c t="s" s="6" r="AL1328">
        <v>92</v>
      </c>
      <c t="s" s="6" r="AM1328">
        <v>92</v>
      </c>
      <c t="s" s="6" r="AN1328">
        <v>92</v>
      </c>
      <c s="6" r="AP1328">
        <v>3</v>
      </c>
      <c t="s" s="6" r="AR1328">
        <v>9559</v>
      </c>
      <c s="6" r="AS1328">
        <v>0</v>
      </c>
      <c s="6" r="AT1328">
        <v>0</v>
      </c>
      <c s="6" r="AU1328">
        <v>0</v>
      </c>
      <c s="6" r="AV1328">
        <v>0</v>
      </c>
      <c s="6" r="AW1328">
        <v>0</v>
      </c>
      <c s="6" r="AX1328">
        <v>0</v>
      </c>
      <c s="6" r="AY1328">
        <v>0</v>
      </c>
      <c s="6" r="AZ1328">
        <v>0</v>
      </c>
      <c s="6" r="BA1328">
        <v>0</v>
      </c>
      <c s="6" r="BB1328">
        <v>1</v>
      </c>
      <c s="6" r="BC1328">
        <v>0</v>
      </c>
      <c s="6" r="BD1328">
        <v>0</v>
      </c>
      <c s="6" r="BE1328">
        <v>0</v>
      </c>
      <c s="6" r="BF1328">
        <v>0</v>
      </c>
      <c s="6" r="BG1328">
        <v>0</v>
      </c>
      <c s="6" r="BH1328">
        <v>0</v>
      </c>
      <c s="6" r="BI1328">
        <v>0</v>
      </c>
      <c s="6" r="BJ1328">
        <v>0</v>
      </c>
      <c s="6" r="BK1328">
        <v>0</v>
      </c>
      <c s="6" r="BL1328">
        <v>0</v>
      </c>
      <c s="6" r="BM1328">
        <v>0</v>
      </c>
      <c s="6" r="BN1328">
        <v>0</v>
      </c>
      <c s="6" r="BO1328">
        <v>0</v>
      </c>
      <c s="6" r="BP1328">
        <v>0</v>
      </c>
      <c s="6" r="BQ1328">
        <v>0</v>
      </c>
      <c t="str" s="6" r="BR1328">
        <f>HYPERLINK("http://www.d20pfsrd.com/magic/all-spells/l/lightning-lash-bomb-admixture","Lightning Lash Bomb Admixture")</f>
        <v>Lightning Lash Bomb Admixture</v>
      </c>
      <c s="6" r="BS1328">
        <v>1351</v>
      </c>
      <c t="s" s="6" r="BT1328">
        <v>92</v>
      </c>
      <c s="6" r="BY1328">
        <v>0</v>
      </c>
    </row>
    <row customHeight="1" r="1329" ht="14.25">
      <c t="s" s="6" r="A1329">
        <v>9560</v>
      </c>
      <c t="s" s="6" r="B1329">
        <v>131</v>
      </c>
      <c t="s" s="6" r="E1329">
        <v>5574</v>
      </c>
      <c t="s" s="6" r="F1329">
        <v>5881</v>
      </c>
      <c t="s" s="6" r="G1329">
        <v>119</v>
      </c>
      <c s="6" r="H1329">
        <v>0</v>
      </c>
      <c t="s" s="6" r="I1329">
        <v>155</v>
      </c>
      <c t="s" s="6" r="L1329">
        <v>156</v>
      </c>
      <c t="s" s="6" r="M1329">
        <v>272</v>
      </c>
      <c s="6" r="N1329">
        <v>0</v>
      </c>
      <c s="6" r="O1329">
        <v>0</v>
      </c>
      <c t="s" s="6" r="P1329">
        <v>87</v>
      </c>
      <c t="s" s="6" r="Q1329">
        <v>188</v>
      </c>
      <c t="s" s="6" r="R1329">
        <v>9561</v>
      </c>
      <c t="s" s="6" r="S1329">
        <v>9562</v>
      </c>
      <c t="s" s="6" r="T1329">
        <v>9149</v>
      </c>
      <c t="s" s="6" r="U1329">
        <v>9563</v>
      </c>
      <c s="6" r="V1329">
        <v>1</v>
      </c>
      <c s="6" r="W1329">
        <v>1</v>
      </c>
      <c s="6" r="X1329">
        <v>0</v>
      </c>
      <c s="6" r="Y1329">
        <v>0</v>
      </c>
      <c s="6" r="Z1329">
        <v>1</v>
      </c>
      <c t="s" s="6" r="AA1329">
        <v>92</v>
      </c>
      <c t="s" s="6" r="AB1329">
        <v>92</v>
      </c>
      <c t="s" s="6" r="AC1329">
        <v>92</v>
      </c>
      <c t="s" s="6" r="AD1329">
        <v>92</v>
      </c>
      <c t="s" s="6" r="AE1329">
        <v>92</v>
      </c>
      <c t="s" s="6" r="AF1329">
        <v>92</v>
      </c>
      <c s="6" r="AG1329">
        <v>2</v>
      </c>
      <c t="s" s="6" r="AH1329">
        <v>92</v>
      </c>
      <c t="s" s="6" r="AI1329">
        <v>92</v>
      </c>
      <c t="s" s="6" r="AJ1329">
        <v>92</v>
      </c>
      <c s="6" r="AK1329">
        <v>2</v>
      </c>
      <c t="s" s="6" r="AL1329">
        <v>92</v>
      </c>
      <c s="6" r="AM1329">
        <v>2</v>
      </c>
      <c t="s" s="6" r="AN1329">
        <v>92</v>
      </c>
      <c s="6" r="AP1329">
        <v>2</v>
      </c>
      <c t="s" s="6" r="AR1329">
        <v>9564</v>
      </c>
      <c s="6" r="AS1329">
        <v>0</v>
      </c>
      <c s="6" r="AT1329">
        <v>0</v>
      </c>
      <c s="6" r="AU1329">
        <v>0</v>
      </c>
      <c s="6" r="AV1329">
        <v>0</v>
      </c>
      <c s="6" r="AW1329">
        <v>0</v>
      </c>
      <c s="6" r="AX1329">
        <v>0</v>
      </c>
      <c s="6" r="AY1329">
        <v>0</v>
      </c>
      <c s="6" r="AZ1329">
        <v>0</v>
      </c>
      <c s="6" r="BA1329">
        <v>0</v>
      </c>
      <c s="6" r="BB1329">
        <v>0</v>
      </c>
      <c s="6" r="BC1329">
        <v>0</v>
      </c>
      <c s="6" r="BD1329">
        <v>0</v>
      </c>
      <c s="6" r="BE1329">
        <v>0</v>
      </c>
      <c s="6" r="BF1329">
        <v>0</v>
      </c>
      <c s="6" r="BG1329">
        <v>0</v>
      </c>
      <c s="6" r="BH1329">
        <v>0</v>
      </c>
      <c s="6" r="BI1329">
        <v>0</v>
      </c>
      <c s="6" r="BJ1329">
        <v>0</v>
      </c>
      <c s="6" r="BK1329">
        <v>0</v>
      </c>
      <c s="6" r="BL1329">
        <v>0</v>
      </c>
      <c s="6" r="BM1329">
        <v>0</v>
      </c>
      <c s="6" r="BN1329">
        <v>0</v>
      </c>
      <c s="6" r="BO1329">
        <v>0</v>
      </c>
      <c s="6" r="BP1329">
        <v>0</v>
      </c>
      <c s="6" r="BQ1329">
        <v>0</v>
      </c>
      <c t="str" s="6" r="BR1329">
        <f>HYPERLINK("http://www.d20pfsrd.com/magic/all-spells/l/litany-of-defense","Litany of Defense")</f>
        <v>Litany of Defense</v>
      </c>
      <c s="6" r="BS1329">
        <v>1352</v>
      </c>
      <c t="s" s="6" r="BT1329">
        <v>92</v>
      </c>
      <c s="6" r="BY1329">
        <v>0</v>
      </c>
    </row>
    <row customHeight="1" r="1330" ht="14.25">
      <c t="s" s="6" r="A1330">
        <v>9565</v>
      </c>
      <c t="s" s="6" r="B1330">
        <v>115</v>
      </c>
      <c t="s" s="6" r="C1330">
        <v>729</v>
      </c>
      <c t="s" s="6" r="D1330">
        <v>2922</v>
      </c>
      <c t="s" s="6" r="E1330">
        <v>9566</v>
      </c>
      <c t="s" s="6" r="F1330">
        <v>5881</v>
      </c>
      <c t="s" s="6" r="G1330">
        <v>119</v>
      </c>
      <c s="6" r="H1330">
        <v>0</v>
      </c>
      <c t="s" s="6" r="I1330">
        <v>107</v>
      </c>
      <c t="s" s="6" r="L1330">
        <v>1235</v>
      </c>
      <c t="s" s="6" r="M1330">
        <v>272</v>
      </c>
      <c s="6" r="N1330">
        <v>0</v>
      </c>
      <c s="6" r="O1330">
        <v>0</v>
      </c>
      <c t="s" s="6" r="P1330">
        <v>87</v>
      </c>
      <c t="s" s="6" r="Q1330">
        <v>188</v>
      </c>
      <c t="s" s="6" r="R1330">
        <v>9567</v>
      </c>
      <c t="s" s="6" r="S1330">
        <v>9568</v>
      </c>
      <c t="s" s="6" r="T1330">
        <v>9149</v>
      </c>
      <c t="s" s="6" r="U1330">
        <v>9569</v>
      </c>
      <c s="6" r="V1330">
        <v>1</v>
      </c>
      <c s="6" r="W1330">
        <v>1</v>
      </c>
      <c s="6" r="X1330">
        <v>0</v>
      </c>
      <c s="6" r="Y1330">
        <v>0</v>
      </c>
      <c s="6" r="Z1330">
        <v>1</v>
      </c>
      <c t="s" s="6" r="AA1330">
        <v>92</v>
      </c>
      <c t="s" s="6" r="AB1330">
        <v>92</v>
      </c>
      <c t="s" s="6" r="AC1330">
        <v>92</v>
      </c>
      <c t="s" s="6" r="AD1330">
        <v>92</v>
      </c>
      <c t="s" s="6" r="AE1330">
        <v>92</v>
      </c>
      <c t="s" s="6" r="AF1330">
        <v>92</v>
      </c>
      <c s="6" r="AG1330">
        <v>2</v>
      </c>
      <c t="s" s="6" r="AH1330">
        <v>92</v>
      </c>
      <c t="s" s="6" r="AI1330">
        <v>92</v>
      </c>
      <c t="s" s="6" r="AJ1330">
        <v>92</v>
      </c>
      <c s="6" r="AK1330">
        <v>3</v>
      </c>
      <c t="s" s="6" r="AL1330">
        <v>92</v>
      </c>
      <c s="6" r="AM1330">
        <v>2</v>
      </c>
      <c t="s" s="6" r="AN1330">
        <v>92</v>
      </c>
      <c s="6" r="AP1330">
        <v>2</v>
      </c>
      <c t="s" s="6" r="AR1330">
        <v>9570</v>
      </c>
      <c s="6" r="AS1330">
        <v>0</v>
      </c>
      <c s="6" r="AT1330">
        <v>0</v>
      </c>
      <c s="6" r="AU1330">
        <v>0</v>
      </c>
      <c s="6" r="AV1330">
        <v>0</v>
      </c>
      <c s="6" r="AW1330">
        <v>0</v>
      </c>
      <c s="6" r="AX1330">
        <v>0</v>
      </c>
      <c s="6" r="AY1330">
        <v>0</v>
      </c>
      <c s="6" r="AZ1330">
        <v>0</v>
      </c>
      <c s="6" r="BA1330">
        <v>0</v>
      </c>
      <c s="6" r="BB1330">
        <v>0</v>
      </c>
      <c s="6" r="BC1330">
        <v>0</v>
      </c>
      <c s="6" r="BD1330">
        <v>0</v>
      </c>
      <c s="6" r="BE1330">
        <v>0</v>
      </c>
      <c s="6" r="BF1330">
        <v>0</v>
      </c>
      <c s="6" r="BG1330">
        <v>0</v>
      </c>
      <c s="6" r="BH1330">
        <v>0</v>
      </c>
      <c s="6" r="BI1330">
        <v>1</v>
      </c>
      <c s="6" r="BJ1330">
        <v>0</v>
      </c>
      <c s="6" r="BK1330">
        <v>0</v>
      </c>
      <c s="6" r="BL1330">
        <v>0</v>
      </c>
      <c s="6" r="BM1330">
        <v>0</v>
      </c>
      <c s="6" r="BN1330">
        <v>0</v>
      </c>
      <c s="6" r="BO1330">
        <v>0</v>
      </c>
      <c s="6" r="BP1330">
        <v>0</v>
      </c>
      <c s="6" r="BQ1330">
        <v>0</v>
      </c>
      <c t="str" s="6" r="BR1330">
        <f>HYPERLINK("http://www.d20pfsrd.com/magic/all-spells/l/litany-of-eloquence","Litany of Eloquence")</f>
        <v>Litany of Eloquence</v>
      </c>
      <c s="6" r="BS1330">
        <v>1353</v>
      </c>
      <c t="s" s="6" r="BT1330">
        <v>92</v>
      </c>
      <c s="6" r="BY1330">
        <v>0</v>
      </c>
    </row>
    <row customHeight="1" r="1331" ht="14.25">
      <c t="s" s="6" r="A1331">
        <v>9571</v>
      </c>
      <c t="s" s="6" r="B1331">
        <v>78</v>
      </c>
      <c t="s" s="6" r="C1331">
        <v>3188</v>
      </c>
      <c t="s" s="6" r="D1331">
        <v>2922</v>
      </c>
      <c t="s" s="6" r="E1331">
        <v>9566</v>
      </c>
      <c t="s" s="6" r="F1331">
        <v>5881</v>
      </c>
      <c t="s" s="6" r="G1331">
        <v>119</v>
      </c>
      <c s="6" r="H1331">
        <v>0</v>
      </c>
      <c t="s" s="6" r="I1331">
        <v>107</v>
      </c>
      <c t="s" s="6" r="L1331">
        <v>1235</v>
      </c>
      <c t="s" s="6" r="M1331">
        <v>272</v>
      </c>
      <c s="6" r="N1331">
        <v>0</v>
      </c>
      <c s="6" r="O1331">
        <v>0</v>
      </c>
      <c t="s" s="6" r="P1331">
        <v>221</v>
      </c>
      <c t="s" s="6" r="Q1331">
        <v>188</v>
      </c>
      <c t="s" s="6" r="R1331">
        <v>9572</v>
      </c>
      <c t="s" s="6" r="S1331">
        <v>9573</v>
      </c>
      <c t="s" s="6" r="T1331">
        <v>9149</v>
      </c>
      <c t="s" s="6" r="U1331">
        <v>9574</v>
      </c>
      <c s="6" r="V1331">
        <v>1</v>
      </c>
      <c s="6" r="W1331">
        <v>1</v>
      </c>
      <c s="6" r="X1331">
        <v>0</v>
      </c>
      <c s="6" r="Y1331">
        <v>0</v>
      </c>
      <c s="6" r="Z1331">
        <v>1</v>
      </c>
      <c t="s" s="6" r="AA1331">
        <v>92</v>
      </c>
      <c t="s" s="6" r="AB1331">
        <v>92</v>
      </c>
      <c t="s" s="6" r="AC1331">
        <v>92</v>
      </c>
      <c t="s" s="6" r="AD1331">
        <v>92</v>
      </c>
      <c t="s" s="6" r="AE1331">
        <v>92</v>
      </c>
      <c t="s" s="6" r="AF1331">
        <v>92</v>
      </c>
      <c s="6" r="AG1331">
        <v>2</v>
      </c>
      <c t="s" s="6" r="AH1331">
        <v>92</v>
      </c>
      <c t="s" s="6" r="AI1331">
        <v>92</v>
      </c>
      <c t="s" s="6" r="AJ1331">
        <v>92</v>
      </c>
      <c s="6" r="AK1331">
        <v>3</v>
      </c>
      <c t="s" s="6" r="AL1331">
        <v>92</v>
      </c>
      <c s="6" r="AM1331">
        <v>2</v>
      </c>
      <c t="s" s="6" r="AN1331">
        <v>92</v>
      </c>
      <c s="6" r="AP1331">
        <v>2</v>
      </c>
      <c t="s" s="6" r="AR1331">
        <v>9575</v>
      </c>
      <c s="6" r="AS1331">
        <v>0</v>
      </c>
      <c s="6" r="AT1331">
        <v>0</v>
      </c>
      <c s="6" r="AU1331">
        <v>0</v>
      </c>
      <c s="6" r="AV1331">
        <v>0</v>
      </c>
      <c s="6" r="AW1331">
        <v>0</v>
      </c>
      <c s="6" r="AX1331">
        <v>0</v>
      </c>
      <c s="6" r="AY1331">
        <v>0</v>
      </c>
      <c s="6" r="AZ1331">
        <v>0</v>
      </c>
      <c s="6" r="BA1331">
        <v>0</v>
      </c>
      <c s="6" r="BB1331">
        <v>0</v>
      </c>
      <c s="6" r="BC1331">
        <v>0</v>
      </c>
      <c s="6" r="BD1331">
        <v>0</v>
      </c>
      <c s="6" r="BE1331">
        <v>0</v>
      </c>
      <c s="6" r="BF1331">
        <v>0</v>
      </c>
      <c s="6" r="BG1331">
        <v>0</v>
      </c>
      <c s="6" r="BH1331">
        <v>0</v>
      </c>
      <c s="6" r="BI1331">
        <v>1</v>
      </c>
      <c s="6" r="BJ1331">
        <v>0</v>
      </c>
      <c s="6" r="BK1331">
        <v>0</v>
      </c>
      <c s="6" r="BL1331">
        <v>0</v>
      </c>
      <c s="6" r="BM1331">
        <v>0</v>
      </c>
      <c s="6" r="BN1331">
        <v>0</v>
      </c>
      <c s="6" r="BO1331">
        <v>0</v>
      </c>
      <c s="6" r="BP1331">
        <v>0</v>
      </c>
      <c s="6" r="BQ1331">
        <v>0</v>
      </c>
      <c t="str" s="6" r="BR1331">
        <f>HYPERLINK("http://www.d20pfsrd.com/magic/all-spells/l/litany-of-entanglement","Litany of Entanglement")</f>
        <v>Litany of Entanglement</v>
      </c>
      <c s="6" r="BS1331">
        <v>1354</v>
      </c>
      <c t="s" s="6" r="BT1331">
        <v>92</v>
      </c>
      <c s="6" r="BY1331">
        <v>0</v>
      </c>
    </row>
    <row customHeight="1" r="1332" ht="14.25">
      <c t="s" s="6" r="A1332">
        <v>9576</v>
      </c>
      <c t="s" s="6" r="B1332">
        <v>78</v>
      </c>
      <c t="s" s="6" r="C1332">
        <v>1356</v>
      </c>
      <c t="s" s="6" r="D1332">
        <v>2922</v>
      </c>
      <c t="s" s="6" r="E1332">
        <v>9577</v>
      </c>
      <c t="s" s="6" r="F1332">
        <v>5881</v>
      </c>
      <c t="s" s="6" r="G1332">
        <v>119</v>
      </c>
      <c s="6" r="H1332">
        <v>0</v>
      </c>
      <c t="s" s="6" r="I1332">
        <v>107</v>
      </c>
      <c t="s" s="6" r="L1332">
        <v>9578</v>
      </c>
      <c t="s" s="6" r="M1332">
        <v>109</v>
      </c>
      <c s="6" r="N1332">
        <v>0</v>
      </c>
      <c s="6" r="O1332">
        <v>0</v>
      </c>
      <c t="s" s="6" r="P1332">
        <v>87</v>
      </c>
      <c t="s" s="6" r="Q1332">
        <v>188</v>
      </c>
      <c t="s" s="6" r="R1332">
        <v>9579</v>
      </c>
      <c t="s" s="6" r="S1332">
        <v>9580</v>
      </c>
      <c t="s" s="6" r="T1332">
        <v>9149</v>
      </c>
      <c t="s" s="6" r="U1332">
        <v>9581</v>
      </c>
      <c s="6" r="V1332">
        <v>1</v>
      </c>
      <c s="6" r="W1332">
        <v>1</v>
      </c>
      <c s="6" r="X1332">
        <v>0</v>
      </c>
      <c s="6" r="Y1332">
        <v>0</v>
      </c>
      <c s="6" r="Z1332">
        <v>1</v>
      </c>
      <c t="s" s="6" r="AA1332">
        <v>92</v>
      </c>
      <c t="s" s="6" r="AB1332">
        <v>92</v>
      </c>
      <c t="s" s="6" r="AC1332">
        <v>92</v>
      </c>
      <c t="s" s="6" r="AD1332">
        <v>92</v>
      </c>
      <c t="s" s="6" r="AE1332">
        <v>92</v>
      </c>
      <c t="s" s="6" r="AF1332">
        <v>92</v>
      </c>
      <c s="6" r="AG1332">
        <v>3</v>
      </c>
      <c t="s" s="6" r="AH1332">
        <v>92</v>
      </c>
      <c t="s" s="6" r="AI1332">
        <v>92</v>
      </c>
      <c t="s" s="6" r="AJ1332">
        <v>92</v>
      </c>
      <c s="6" r="AK1332">
        <v>4</v>
      </c>
      <c t="s" s="6" r="AL1332">
        <v>92</v>
      </c>
      <c s="6" r="AM1332">
        <v>3</v>
      </c>
      <c t="s" s="6" r="AN1332">
        <v>92</v>
      </c>
      <c s="6" r="AP1332">
        <v>3</v>
      </c>
      <c t="s" s="6" r="AR1332">
        <v>9582</v>
      </c>
      <c s="6" r="AS1332">
        <v>0</v>
      </c>
      <c s="6" r="AT1332">
        <v>0</v>
      </c>
      <c s="6" r="AU1332">
        <v>0</v>
      </c>
      <c s="6" r="AV1332">
        <v>0</v>
      </c>
      <c s="6" r="AW1332">
        <v>0</v>
      </c>
      <c s="6" r="AX1332">
        <v>0</v>
      </c>
      <c s="6" r="AY1332">
        <v>0</v>
      </c>
      <c s="6" r="AZ1332">
        <v>0</v>
      </c>
      <c s="6" r="BA1332">
        <v>0</v>
      </c>
      <c s="6" r="BB1332">
        <v>0</v>
      </c>
      <c s="6" r="BC1332">
        <v>0</v>
      </c>
      <c s="6" r="BD1332">
        <v>0</v>
      </c>
      <c s="6" r="BE1332">
        <v>0</v>
      </c>
      <c s="6" r="BF1332">
        <v>0</v>
      </c>
      <c s="6" r="BG1332">
        <v>0</v>
      </c>
      <c s="6" r="BH1332">
        <v>0</v>
      </c>
      <c s="6" r="BI1332">
        <v>1</v>
      </c>
      <c s="6" r="BJ1332">
        <v>0</v>
      </c>
      <c s="6" r="BK1332">
        <v>0</v>
      </c>
      <c s="6" r="BL1332">
        <v>0</v>
      </c>
      <c s="6" r="BM1332">
        <v>0</v>
      </c>
      <c s="6" r="BN1332">
        <v>0</v>
      </c>
      <c s="6" r="BO1332">
        <v>0</v>
      </c>
      <c s="6" r="BP1332">
        <v>0</v>
      </c>
      <c s="6" r="BQ1332">
        <v>0</v>
      </c>
      <c t="str" s="6" r="BR1332">
        <f>HYPERLINK("http://www.d20pfsrd.com/magic/all-spells/l/litany-of-escape","Litany of Escape")</f>
        <v>Litany of Escape</v>
      </c>
      <c s="6" r="BS1332">
        <v>1355</v>
      </c>
      <c t="s" s="6" r="BT1332">
        <v>92</v>
      </c>
      <c s="6" r="BY1332">
        <v>0</v>
      </c>
    </row>
    <row customHeight="1" r="1333" ht="14.25">
      <c t="s" s="6" r="A1333">
        <v>9583</v>
      </c>
      <c t="s" s="6" r="B1333">
        <v>115</v>
      </c>
      <c t="s" s="6" r="C1333">
        <v>729</v>
      </c>
      <c t="s" s="6" r="D1333">
        <v>2922</v>
      </c>
      <c t="s" s="6" r="E1333">
        <v>9584</v>
      </c>
      <c t="s" s="6" r="F1333">
        <v>5881</v>
      </c>
      <c t="s" s="6" r="G1333">
        <v>119</v>
      </c>
      <c s="6" r="H1333">
        <v>0</v>
      </c>
      <c t="s" s="6" r="I1333">
        <v>107</v>
      </c>
      <c t="s" s="6" r="L1333">
        <v>1235</v>
      </c>
      <c t="s" s="6" r="M1333">
        <v>9585</v>
      </c>
      <c s="6" r="N1333">
        <v>0</v>
      </c>
      <c s="6" r="O1333">
        <v>0</v>
      </c>
      <c t="s" s="6" r="P1333">
        <v>9586</v>
      </c>
      <c t="s" s="6" r="Q1333">
        <v>188</v>
      </c>
      <c t="s" s="6" r="R1333">
        <v>9587</v>
      </c>
      <c t="s" s="6" r="S1333">
        <v>9588</v>
      </c>
      <c t="s" s="6" r="T1333">
        <v>9149</v>
      </c>
      <c t="s" s="6" r="U1333">
        <v>9589</v>
      </c>
      <c s="6" r="V1333">
        <v>1</v>
      </c>
      <c s="6" r="W1333">
        <v>1</v>
      </c>
      <c s="6" r="X1333">
        <v>0</v>
      </c>
      <c s="6" r="Y1333">
        <v>0</v>
      </c>
      <c s="6" r="Z1333">
        <v>1</v>
      </c>
      <c t="s" s="6" r="AA1333">
        <v>92</v>
      </c>
      <c t="s" s="6" r="AB1333">
        <v>92</v>
      </c>
      <c t="s" s="6" r="AC1333">
        <v>92</v>
      </c>
      <c t="s" s="6" r="AD1333">
        <v>92</v>
      </c>
      <c t="s" s="6" r="AE1333">
        <v>92</v>
      </c>
      <c t="s" s="6" r="AF1333">
        <v>92</v>
      </c>
      <c t="s" s="6" r="AG1333">
        <v>92</v>
      </c>
      <c t="s" s="6" r="AH1333">
        <v>92</v>
      </c>
      <c t="s" s="6" r="AI1333">
        <v>92</v>
      </c>
      <c t="s" s="6" r="AJ1333">
        <v>92</v>
      </c>
      <c s="6" r="AK1333">
        <v>6</v>
      </c>
      <c t="s" s="6" r="AL1333">
        <v>92</v>
      </c>
      <c s="6" r="AM1333">
        <v>4</v>
      </c>
      <c t="s" s="6" r="AN1333">
        <v>92</v>
      </c>
      <c t="s" s="6" r="AP1333">
        <v>92</v>
      </c>
      <c t="s" s="6" r="AR1333">
        <v>9590</v>
      </c>
      <c s="6" r="AS1333">
        <v>0</v>
      </c>
      <c s="6" r="AT1333">
        <v>0</v>
      </c>
      <c s="6" r="AU1333">
        <v>0</v>
      </c>
      <c s="6" r="AV1333">
        <v>0</v>
      </c>
      <c s="6" r="AW1333">
        <v>0</v>
      </c>
      <c s="6" r="AX1333">
        <v>0</v>
      </c>
      <c s="6" r="AY1333">
        <v>0</v>
      </c>
      <c s="6" r="AZ1333">
        <v>0</v>
      </c>
      <c s="6" r="BA1333">
        <v>0</v>
      </c>
      <c s="6" r="BB1333">
        <v>0</v>
      </c>
      <c s="6" r="BC1333">
        <v>0</v>
      </c>
      <c s="6" r="BD1333">
        <v>0</v>
      </c>
      <c s="6" r="BE1333">
        <v>0</v>
      </c>
      <c s="6" r="BF1333">
        <v>0</v>
      </c>
      <c s="6" r="BG1333">
        <v>0</v>
      </c>
      <c s="6" r="BH1333">
        <v>0</v>
      </c>
      <c s="6" r="BI1333">
        <v>1</v>
      </c>
      <c s="6" r="BJ1333">
        <v>0</v>
      </c>
      <c s="6" r="BK1333">
        <v>0</v>
      </c>
      <c s="6" r="BL1333">
        <v>0</v>
      </c>
      <c s="6" r="BM1333">
        <v>0</v>
      </c>
      <c s="6" r="BN1333">
        <v>0</v>
      </c>
      <c s="6" r="BO1333">
        <v>0</v>
      </c>
      <c s="6" r="BP1333">
        <v>0</v>
      </c>
      <c s="6" r="BQ1333">
        <v>0</v>
      </c>
      <c t="str" s="6" r="BR1333">
        <f>HYPERLINK("http://www.d20pfsrd.com/magic/all-spells/l/litany-of-madness","Litany of Madness")</f>
        <v>Litany of Madness</v>
      </c>
      <c s="6" r="BS1333">
        <v>1356</v>
      </c>
      <c t="s" s="6" r="BT1333">
        <v>92</v>
      </c>
      <c s="6" r="BY1333">
        <v>0</v>
      </c>
    </row>
    <row customHeight="1" r="1334" ht="14.25">
      <c t="s" s="6" r="A1334">
        <v>9591</v>
      </c>
      <c t="s" s="6" r="B1334">
        <v>493</v>
      </c>
      <c t="s" s="6" r="D1334">
        <v>9592</v>
      </c>
      <c t="s" s="6" r="E1334">
        <v>6442</v>
      </c>
      <c t="s" s="6" r="F1334">
        <v>5881</v>
      </c>
      <c t="s" s="6" r="G1334">
        <v>119</v>
      </c>
      <c s="6" r="H1334">
        <v>0</v>
      </c>
      <c t="s" s="6" r="I1334">
        <v>107</v>
      </c>
      <c t="s" s="6" r="L1334">
        <v>1235</v>
      </c>
      <c t="s" s="6" r="M1334">
        <v>272</v>
      </c>
      <c s="6" r="N1334">
        <v>0</v>
      </c>
      <c s="6" r="O1334">
        <v>0</v>
      </c>
      <c t="s" s="6" r="P1334">
        <v>87</v>
      </c>
      <c t="s" s="6" r="Q1334">
        <v>188</v>
      </c>
      <c t="s" s="6" r="R1334">
        <v>9593</v>
      </c>
      <c t="s" s="6" r="S1334">
        <v>9594</v>
      </c>
      <c t="s" s="6" r="T1334">
        <v>9149</v>
      </c>
      <c t="s" s="6" r="U1334">
        <v>9595</v>
      </c>
      <c s="6" r="V1334">
        <v>1</v>
      </c>
      <c s="6" r="W1334">
        <v>1</v>
      </c>
      <c s="6" r="X1334">
        <v>0</v>
      </c>
      <c s="6" r="Y1334">
        <v>0</v>
      </c>
      <c s="6" r="Z1334">
        <v>1</v>
      </c>
      <c t="s" s="6" r="AA1334">
        <v>92</v>
      </c>
      <c t="s" s="6" r="AB1334">
        <v>92</v>
      </c>
      <c t="s" s="6" r="AC1334">
        <v>92</v>
      </c>
      <c t="s" s="6" r="AD1334">
        <v>92</v>
      </c>
      <c t="s" s="6" r="AE1334">
        <v>92</v>
      </c>
      <c t="s" s="6" r="AF1334">
        <v>92</v>
      </c>
      <c s="6" r="AG1334">
        <v>2</v>
      </c>
      <c t="s" s="6" r="AH1334">
        <v>92</v>
      </c>
      <c t="s" s="6" r="AI1334">
        <v>92</v>
      </c>
      <c t="s" s="6" r="AJ1334">
        <v>92</v>
      </c>
      <c s="6" r="AK1334">
        <v>3</v>
      </c>
      <c t="s" s="6" r="AL1334">
        <v>92</v>
      </c>
      <c t="s" s="6" r="AM1334">
        <v>92</v>
      </c>
      <c t="s" s="6" r="AN1334">
        <v>92</v>
      </c>
      <c s="6" r="AP1334">
        <v>2</v>
      </c>
      <c t="s" s="6" r="AR1334">
        <v>9596</v>
      </c>
      <c s="6" r="AS1334">
        <v>0</v>
      </c>
      <c s="6" r="AT1334">
        <v>0</v>
      </c>
      <c s="6" r="AU1334">
        <v>0</v>
      </c>
      <c s="6" r="AV1334">
        <v>0</v>
      </c>
      <c s="6" r="AW1334">
        <v>0</v>
      </c>
      <c s="6" r="AX1334">
        <v>0</v>
      </c>
      <c s="6" r="AY1334">
        <v>0</v>
      </c>
      <c s="6" r="AZ1334">
        <v>0</v>
      </c>
      <c s="6" r="BA1334">
        <v>0</v>
      </c>
      <c s="6" r="BB1334">
        <v>0</v>
      </c>
      <c s="6" r="BC1334">
        <v>0</v>
      </c>
      <c s="6" r="BD1334">
        <v>0</v>
      </c>
      <c s="6" r="BE1334">
        <v>0</v>
      </c>
      <c s="6" r="BF1334">
        <v>0</v>
      </c>
      <c s="6" r="BG1334">
        <v>0</v>
      </c>
      <c s="6" r="BH1334">
        <v>1</v>
      </c>
      <c s="6" r="BI1334">
        <v>1</v>
      </c>
      <c s="6" r="BJ1334">
        <v>0</v>
      </c>
      <c s="6" r="BK1334">
        <v>0</v>
      </c>
      <c s="6" r="BL1334">
        <v>0</v>
      </c>
      <c s="6" r="BM1334">
        <v>0</v>
      </c>
      <c s="6" r="BN1334">
        <v>0</v>
      </c>
      <c s="6" r="BO1334">
        <v>0</v>
      </c>
      <c s="6" r="BP1334">
        <v>0</v>
      </c>
      <c s="6" r="BQ1334">
        <v>0</v>
      </c>
      <c t="str" s="6" r="BR1334">
        <f>HYPERLINK("http://www.d20pfsrd.com/magic/all-spells/l/litany-of-righteousness","Litany of Righteousness")</f>
        <v>Litany of Righteousness</v>
      </c>
      <c s="6" r="BS1334">
        <v>1357</v>
      </c>
      <c t="s" s="6" r="BT1334">
        <v>92</v>
      </c>
      <c s="6" r="BY1334">
        <v>0</v>
      </c>
    </row>
    <row customHeight="1" r="1335" ht="14.25">
      <c t="s" s="6" r="A1335">
        <v>9597</v>
      </c>
      <c t="s" s="6" r="B1335">
        <v>174</v>
      </c>
      <c t="s" s="6" r="E1335">
        <v>9577</v>
      </c>
      <c t="s" s="6" r="F1335">
        <v>5881</v>
      </c>
      <c t="s" s="6" r="G1335">
        <v>119</v>
      </c>
      <c s="6" r="H1335">
        <v>0</v>
      </c>
      <c t="s" s="6" r="I1335">
        <v>155</v>
      </c>
      <c t="s" s="6" r="L1335">
        <v>156</v>
      </c>
      <c t="s" s="6" r="M1335">
        <v>272</v>
      </c>
      <c s="6" r="N1335">
        <v>0</v>
      </c>
      <c s="6" r="O1335">
        <v>0</v>
      </c>
      <c t="s" s="6" r="P1335">
        <v>87</v>
      </c>
      <c t="s" s="6" r="Q1335">
        <v>188</v>
      </c>
      <c t="s" s="6" r="R1335">
        <v>9598</v>
      </c>
      <c t="s" s="6" r="S1335">
        <v>9599</v>
      </c>
      <c t="s" s="6" r="T1335">
        <v>9149</v>
      </c>
      <c t="s" s="6" r="U1335">
        <v>9600</v>
      </c>
      <c s="6" r="V1335">
        <v>1</v>
      </c>
      <c s="6" r="W1335">
        <v>1</v>
      </c>
      <c s="6" r="X1335">
        <v>0</v>
      </c>
      <c s="6" r="Y1335">
        <v>0</v>
      </c>
      <c s="6" r="Z1335">
        <v>1</v>
      </c>
      <c t="s" s="6" r="AA1335">
        <v>92</v>
      </c>
      <c t="s" s="6" r="AB1335">
        <v>92</v>
      </c>
      <c t="s" s="6" r="AC1335">
        <v>92</v>
      </c>
      <c t="s" s="6" r="AD1335">
        <v>92</v>
      </c>
      <c t="s" s="6" r="AE1335">
        <v>92</v>
      </c>
      <c t="s" s="6" r="AF1335">
        <v>92</v>
      </c>
      <c s="6" r="AG1335">
        <v>3</v>
      </c>
      <c t="s" s="6" r="AH1335">
        <v>92</v>
      </c>
      <c t="s" s="6" r="AI1335">
        <v>92</v>
      </c>
      <c t="s" s="6" r="AJ1335">
        <v>92</v>
      </c>
      <c s="6" r="AK1335">
        <v>4</v>
      </c>
      <c t="s" s="6" r="AL1335">
        <v>92</v>
      </c>
      <c s="6" r="AM1335">
        <v>3</v>
      </c>
      <c t="s" s="6" r="AN1335">
        <v>92</v>
      </c>
      <c s="6" r="AP1335">
        <v>3</v>
      </c>
      <c t="s" s="6" r="AR1335">
        <v>9601</v>
      </c>
      <c s="6" r="AS1335">
        <v>0</v>
      </c>
      <c s="6" r="AT1335">
        <v>0</v>
      </c>
      <c s="6" r="AU1335">
        <v>0</v>
      </c>
      <c s="6" r="AV1335">
        <v>0</v>
      </c>
      <c s="6" r="AW1335">
        <v>0</v>
      </c>
      <c s="6" r="AX1335">
        <v>0</v>
      </c>
      <c s="6" r="AY1335">
        <v>0</v>
      </c>
      <c s="6" r="AZ1335">
        <v>0</v>
      </c>
      <c s="6" r="BA1335">
        <v>0</v>
      </c>
      <c s="6" r="BB1335">
        <v>0</v>
      </c>
      <c s="6" r="BC1335">
        <v>0</v>
      </c>
      <c s="6" r="BD1335">
        <v>0</v>
      </c>
      <c s="6" r="BE1335">
        <v>0</v>
      </c>
      <c s="6" r="BF1335">
        <v>0</v>
      </c>
      <c s="6" r="BG1335">
        <v>0</v>
      </c>
      <c s="6" r="BH1335">
        <v>0</v>
      </c>
      <c s="6" r="BI1335">
        <v>0</v>
      </c>
      <c s="6" r="BJ1335">
        <v>0</v>
      </c>
      <c s="6" r="BK1335">
        <v>0</v>
      </c>
      <c s="6" r="BL1335">
        <v>0</v>
      </c>
      <c s="6" r="BM1335">
        <v>0</v>
      </c>
      <c s="6" r="BN1335">
        <v>0</v>
      </c>
      <c s="6" r="BO1335">
        <v>0</v>
      </c>
      <c s="6" r="BP1335">
        <v>0</v>
      </c>
      <c s="6" r="BQ1335">
        <v>0</v>
      </c>
      <c t="str" s="6" r="BR1335">
        <f>HYPERLINK("http://www.d20pfsrd.com/magic/all-spells/l/litany-of-sight","Litany of Sight")</f>
        <v>Litany of Sight</v>
      </c>
      <c s="6" r="BS1335">
        <v>1358</v>
      </c>
      <c t="s" s="6" r="BT1335">
        <v>92</v>
      </c>
      <c s="6" r="BY1335">
        <v>0</v>
      </c>
    </row>
    <row customHeight="1" r="1336" ht="14.25">
      <c t="s" s="6" r="A1336">
        <v>9602</v>
      </c>
      <c t="s" s="6" r="B1336">
        <v>115</v>
      </c>
      <c t="s" s="6" r="C1336">
        <v>116</v>
      </c>
      <c t="s" s="6" r="D1336">
        <v>841</v>
      </c>
      <c t="s" s="6" r="E1336">
        <v>9603</v>
      </c>
      <c t="s" s="6" r="F1336">
        <v>5881</v>
      </c>
      <c t="s" s="6" r="G1336">
        <v>119</v>
      </c>
      <c s="6" r="H1336">
        <v>0</v>
      </c>
      <c t="s" s="6" r="I1336">
        <v>107</v>
      </c>
      <c t="s" s="6" r="L1336">
        <v>1235</v>
      </c>
      <c t="s" s="6" r="M1336">
        <v>272</v>
      </c>
      <c s="6" r="N1336">
        <v>0</v>
      </c>
      <c s="6" r="O1336">
        <v>0</v>
      </c>
      <c t="s" s="6" r="P1336">
        <v>87</v>
      </c>
      <c t="s" s="6" r="Q1336">
        <v>188</v>
      </c>
      <c t="s" s="6" r="R1336">
        <v>9604</v>
      </c>
      <c t="s" s="6" r="S1336">
        <v>9605</v>
      </c>
      <c t="s" s="6" r="T1336">
        <v>9149</v>
      </c>
      <c t="s" s="6" r="U1336">
        <v>9606</v>
      </c>
      <c s="6" r="V1336">
        <v>1</v>
      </c>
      <c s="6" r="W1336">
        <v>1</v>
      </c>
      <c s="6" r="X1336">
        <v>0</v>
      </c>
      <c s="6" r="Y1336">
        <v>0</v>
      </c>
      <c s="6" r="Z1336">
        <v>1</v>
      </c>
      <c t="s" s="6" r="AA1336">
        <v>92</v>
      </c>
      <c t="s" s="6" r="AB1336">
        <v>92</v>
      </c>
      <c t="s" s="6" r="AC1336">
        <v>92</v>
      </c>
      <c t="s" s="6" r="AD1336">
        <v>92</v>
      </c>
      <c t="s" s="6" r="AE1336">
        <v>92</v>
      </c>
      <c t="s" s="6" r="AF1336">
        <v>92</v>
      </c>
      <c s="6" r="AG1336">
        <v>1</v>
      </c>
      <c t="s" s="6" r="AH1336">
        <v>92</v>
      </c>
      <c t="s" s="6" r="AI1336">
        <v>92</v>
      </c>
      <c t="s" s="6" r="AJ1336">
        <v>92</v>
      </c>
      <c s="6" r="AK1336">
        <v>1</v>
      </c>
      <c t="s" s="6" r="AL1336">
        <v>92</v>
      </c>
      <c s="6" r="AM1336">
        <v>1</v>
      </c>
      <c t="s" s="6" r="AN1336">
        <v>92</v>
      </c>
      <c s="6" r="AP1336">
        <v>1</v>
      </c>
      <c t="s" s="6" r="AR1336">
        <v>9607</v>
      </c>
      <c s="6" r="AS1336">
        <v>0</v>
      </c>
      <c s="6" r="AT1336">
        <v>0</v>
      </c>
      <c s="6" r="AU1336">
        <v>0</v>
      </c>
      <c s="6" r="AV1336">
        <v>0</v>
      </c>
      <c s="6" r="AW1336">
        <v>0</v>
      </c>
      <c s="6" r="AX1336">
        <v>0</v>
      </c>
      <c s="6" r="AY1336">
        <v>0</v>
      </c>
      <c s="6" r="AZ1336">
        <v>0</v>
      </c>
      <c s="6" r="BA1336">
        <v>0</v>
      </c>
      <c s="6" r="BB1336">
        <v>0</v>
      </c>
      <c s="6" r="BC1336">
        <v>0</v>
      </c>
      <c s="6" r="BD1336">
        <v>0</v>
      </c>
      <c s="6" r="BE1336">
        <v>0</v>
      </c>
      <c s="6" r="BF1336">
        <v>0</v>
      </c>
      <c s="6" r="BG1336">
        <v>0</v>
      </c>
      <c s="6" r="BH1336">
        <v>0</v>
      </c>
      <c s="6" r="BI1336">
        <v>1</v>
      </c>
      <c s="6" r="BJ1336">
        <v>0</v>
      </c>
      <c s="6" r="BK1336">
        <v>0</v>
      </c>
      <c s="6" r="BL1336">
        <v>1</v>
      </c>
      <c s="6" r="BM1336">
        <v>0</v>
      </c>
      <c s="6" r="BN1336">
        <v>0</v>
      </c>
      <c s="6" r="BO1336">
        <v>0</v>
      </c>
      <c s="6" r="BP1336">
        <v>0</v>
      </c>
      <c s="6" r="BQ1336">
        <v>0</v>
      </c>
      <c t="str" s="6" r="BR1336">
        <f>HYPERLINK("http://www.d20pfsrd.com/magic/all-spells/l/litany-of-sloth","Litany of Sloth")</f>
        <v>Litany of Sloth</v>
      </c>
      <c s="6" r="BS1336">
        <v>1359</v>
      </c>
      <c t="s" s="6" r="BT1336">
        <v>92</v>
      </c>
      <c s="6" r="BY1336">
        <v>0</v>
      </c>
    </row>
    <row customHeight="1" r="1337" ht="14.25">
      <c t="s" s="6" r="A1337">
        <v>9608</v>
      </c>
      <c t="s" s="6" r="B1337">
        <v>493</v>
      </c>
      <c t="s" s="6" r="D1337">
        <v>9609</v>
      </c>
      <c t="s" s="6" r="E1337">
        <v>6401</v>
      </c>
      <c t="s" s="6" r="F1337">
        <v>5881</v>
      </c>
      <c t="s" s="6" r="G1337">
        <v>119</v>
      </c>
      <c s="6" r="H1337">
        <v>0</v>
      </c>
      <c t="s" s="6" r="I1337">
        <v>107</v>
      </c>
      <c t="s" s="6" r="L1337">
        <v>1235</v>
      </c>
      <c t="s" s="6" r="M1337">
        <v>272</v>
      </c>
      <c s="6" r="N1337">
        <v>0</v>
      </c>
      <c s="6" r="O1337">
        <v>0</v>
      </c>
      <c t="s" s="6" r="P1337">
        <v>187</v>
      </c>
      <c t="s" s="6" r="Q1337">
        <v>188</v>
      </c>
      <c t="s" s="6" r="R1337">
        <v>9610</v>
      </c>
      <c t="s" s="6" r="S1337">
        <v>9611</v>
      </c>
      <c t="s" s="6" r="T1337">
        <v>9149</v>
      </c>
      <c t="s" s="6" r="U1337">
        <v>9612</v>
      </c>
      <c s="6" r="V1337">
        <v>1</v>
      </c>
      <c s="6" r="W1337">
        <v>1</v>
      </c>
      <c s="6" r="X1337">
        <v>0</v>
      </c>
      <c s="6" r="Y1337">
        <v>0</v>
      </c>
      <c s="6" r="Z1337">
        <v>1</v>
      </c>
      <c t="s" s="6" r="AA1337">
        <v>92</v>
      </c>
      <c t="s" s="6" r="AB1337">
        <v>92</v>
      </c>
      <c t="s" s="6" r="AC1337">
        <v>92</v>
      </c>
      <c t="s" s="6" r="AD1337">
        <v>92</v>
      </c>
      <c t="s" s="6" r="AE1337">
        <v>92</v>
      </c>
      <c t="s" s="6" r="AF1337">
        <v>92</v>
      </c>
      <c s="6" r="AG1337">
        <v>4</v>
      </c>
      <c t="s" s="6" r="AH1337">
        <v>92</v>
      </c>
      <c t="s" s="6" r="AI1337">
        <v>92</v>
      </c>
      <c t="s" s="6" r="AJ1337">
        <v>92</v>
      </c>
      <c s="6" r="AK1337">
        <v>5</v>
      </c>
      <c t="s" s="6" r="AL1337">
        <v>92</v>
      </c>
      <c s="6" r="AM1337">
        <v>4</v>
      </c>
      <c t="s" s="6" r="AN1337">
        <v>92</v>
      </c>
      <c s="6" r="AP1337">
        <v>4</v>
      </c>
      <c t="s" s="6" r="AR1337">
        <v>9613</v>
      </c>
      <c s="6" r="AS1337">
        <v>0</v>
      </c>
      <c s="6" r="AT1337">
        <v>0</v>
      </c>
      <c s="6" r="AU1337">
        <v>0</v>
      </c>
      <c s="6" r="AV1337">
        <v>0</v>
      </c>
      <c s="6" r="AW1337">
        <v>0</v>
      </c>
      <c s="6" r="AX1337">
        <v>0</v>
      </c>
      <c s="6" r="AY1337">
        <v>0</v>
      </c>
      <c s="6" r="AZ1337">
        <v>0</v>
      </c>
      <c s="6" r="BA1337">
        <v>0</v>
      </c>
      <c s="6" r="BB1337">
        <v>0</v>
      </c>
      <c s="6" r="BC1337">
        <v>0</v>
      </c>
      <c s="6" r="BD1337">
        <v>0</v>
      </c>
      <c s="6" r="BE1337">
        <v>0</v>
      </c>
      <c s="6" r="BF1337">
        <v>0</v>
      </c>
      <c s="6" r="BG1337">
        <v>0</v>
      </c>
      <c s="6" r="BH1337">
        <v>0</v>
      </c>
      <c s="6" r="BI1337">
        <v>1</v>
      </c>
      <c s="6" r="BJ1337">
        <v>0</v>
      </c>
      <c s="6" r="BK1337">
        <v>0</v>
      </c>
      <c s="6" r="BL1337">
        <v>0</v>
      </c>
      <c s="6" r="BM1337">
        <v>0</v>
      </c>
      <c s="6" r="BN1337">
        <v>0</v>
      </c>
      <c s="6" r="BO1337">
        <v>0</v>
      </c>
      <c s="6" r="BP1337">
        <v>1</v>
      </c>
      <c s="6" r="BQ1337">
        <v>0</v>
      </c>
      <c t="str" s="6" r="BR1337">
        <f>HYPERLINK("http://www.d20pfsrd.com/magic/all-spells/l/litany-of-thunder","Litany of Thunder")</f>
        <v>Litany of Thunder</v>
      </c>
      <c s="6" r="BS1337">
        <v>1360</v>
      </c>
      <c t="s" s="6" r="BT1337">
        <v>92</v>
      </c>
      <c s="6" r="BY1337">
        <v>0</v>
      </c>
    </row>
    <row customHeight="1" r="1338" ht="14.25">
      <c t="s" s="6" r="A1338">
        <v>9614</v>
      </c>
      <c t="s" s="6" r="B1338">
        <v>131</v>
      </c>
      <c t="s" s="6" r="D1338">
        <v>2922</v>
      </c>
      <c t="s" s="6" r="E1338">
        <v>6401</v>
      </c>
      <c t="s" s="6" r="F1338">
        <v>5881</v>
      </c>
      <c t="s" s="6" r="G1338">
        <v>119</v>
      </c>
      <c s="6" r="H1338">
        <v>0</v>
      </c>
      <c t="s" s="6" r="I1338">
        <v>107</v>
      </c>
      <c t="s" s="6" r="L1338">
        <v>1235</v>
      </c>
      <c t="s" s="6" r="M1338">
        <v>109</v>
      </c>
      <c s="6" r="N1338">
        <v>0</v>
      </c>
      <c s="6" r="O1338">
        <v>0</v>
      </c>
      <c t="s" s="6" r="P1338">
        <v>87</v>
      </c>
      <c t="s" s="6" r="Q1338">
        <v>188</v>
      </c>
      <c t="s" s="6" r="R1338">
        <v>9615</v>
      </c>
      <c t="s" s="6" r="S1338">
        <v>9616</v>
      </c>
      <c t="s" s="6" r="T1338">
        <v>9149</v>
      </c>
      <c t="s" s="6" r="U1338">
        <v>9617</v>
      </c>
      <c s="6" r="V1338">
        <v>1</v>
      </c>
      <c s="6" r="W1338">
        <v>1</v>
      </c>
      <c s="6" r="X1338">
        <v>0</v>
      </c>
      <c s="6" r="Y1338">
        <v>0</v>
      </c>
      <c s="6" r="Z1338">
        <v>1</v>
      </c>
      <c t="s" s="6" r="AA1338">
        <v>92</v>
      </c>
      <c t="s" s="6" r="AB1338">
        <v>92</v>
      </c>
      <c t="s" s="6" r="AC1338">
        <v>92</v>
      </c>
      <c t="s" s="6" r="AD1338">
        <v>92</v>
      </c>
      <c t="s" s="6" r="AE1338">
        <v>92</v>
      </c>
      <c t="s" s="6" r="AF1338">
        <v>92</v>
      </c>
      <c s="6" r="AG1338">
        <v>4</v>
      </c>
      <c t="s" s="6" r="AH1338">
        <v>92</v>
      </c>
      <c t="s" s="6" r="AI1338">
        <v>92</v>
      </c>
      <c t="s" s="6" r="AJ1338">
        <v>92</v>
      </c>
      <c s="6" r="AK1338">
        <v>5</v>
      </c>
      <c t="s" s="6" r="AL1338">
        <v>92</v>
      </c>
      <c s="6" r="AM1338">
        <v>4</v>
      </c>
      <c t="s" s="6" r="AN1338">
        <v>92</v>
      </c>
      <c s="6" r="AP1338">
        <v>4</v>
      </c>
      <c t="s" s="6" r="AR1338">
        <v>9618</v>
      </c>
      <c s="6" r="AS1338">
        <v>0</v>
      </c>
      <c s="6" r="AT1338">
        <v>0</v>
      </c>
      <c s="6" r="AU1338">
        <v>0</v>
      </c>
      <c s="6" r="AV1338">
        <v>0</v>
      </c>
      <c s="6" r="AW1338">
        <v>0</v>
      </c>
      <c s="6" r="AX1338">
        <v>0</v>
      </c>
      <c s="6" r="AY1338">
        <v>0</v>
      </c>
      <c s="6" r="AZ1338">
        <v>0</v>
      </c>
      <c s="6" r="BA1338">
        <v>0</v>
      </c>
      <c s="6" r="BB1338">
        <v>0</v>
      </c>
      <c s="6" r="BC1338">
        <v>0</v>
      </c>
      <c s="6" r="BD1338">
        <v>0</v>
      </c>
      <c s="6" r="BE1338">
        <v>0</v>
      </c>
      <c s="6" r="BF1338">
        <v>0</v>
      </c>
      <c s="6" r="BG1338">
        <v>0</v>
      </c>
      <c s="6" r="BH1338">
        <v>0</v>
      </c>
      <c s="6" r="BI1338">
        <v>1</v>
      </c>
      <c s="6" r="BJ1338">
        <v>0</v>
      </c>
      <c s="6" r="BK1338">
        <v>0</v>
      </c>
      <c s="6" r="BL1338">
        <v>0</v>
      </c>
      <c s="6" r="BM1338">
        <v>0</v>
      </c>
      <c s="6" r="BN1338">
        <v>0</v>
      </c>
      <c s="6" r="BO1338">
        <v>0</v>
      </c>
      <c s="6" r="BP1338">
        <v>0</v>
      </c>
      <c s="6" r="BQ1338">
        <v>0</v>
      </c>
      <c t="str" s="6" r="BR1338">
        <f>HYPERLINK("http://www.d20pfsrd.com/magic/all-spells/l/litany-of-vengeance","Litany of Vengeance")</f>
        <v>Litany of Vengeance</v>
      </c>
      <c s="6" r="BS1338">
        <v>1361</v>
      </c>
      <c t="s" s="6" r="BT1338">
        <v>92</v>
      </c>
      <c s="6" r="BY1338">
        <v>0</v>
      </c>
    </row>
    <row customHeight="1" r="1339" ht="14.25">
      <c t="s" s="6" r="A1339">
        <v>9619</v>
      </c>
      <c t="s" s="6" r="B1339">
        <v>131</v>
      </c>
      <c t="s" s="6" r="E1339">
        <v>9566</v>
      </c>
      <c t="s" s="6" r="F1339">
        <v>5881</v>
      </c>
      <c t="s" s="6" r="G1339">
        <v>119</v>
      </c>
      <c s="6" r="H1339">
        <v>0</v>
      </c>
      <c t="s" s="6" r="I1339">
        <v>155</v>
      </c>
      <c t="s" s="6" r="L1339">
        <v>156</v>
      </c>
      <c t="s" s="6" r="M1339">
        <v>272</v>
      </c>
      <c s="6" r="N1339">
        <v>0</v>
      </c>
      <c s="6" r="O1339">
        <v>0</v>
      </c>
      <c t="s" s="6" r="R1339">
        <v>9620</v>
      </c>
      <c t="s" s="6" r="S1339">
        <v>9621</v>
      </c>
      <c t="s" s="6" r="T1339">
        <v>9149</v>
      </c>
      <c t="s" s="6" r="U1339">
        <v>9622</v>
      </c>
      <c s="6" r="V1339">
        <v>1</v>
      </c>
      <c s="6" r="W1339">
        <v>1</v>
      </c>
      <c s="6" r="X1339">
        <v>0</v>
      </c>
      <c s="6" r="Y1339">
        <v>0</v>
      </c>
      <c s="6" r="Z1339">
        <v>1</v>
      </c>
      <c t="s" s="6" r="AA1339">
        <v>92</v>
      </c>
      <c t="s" s="6" r="AB1339">
        <v>92</v>
      </c>
      <c t="s" s="6" r="AC1339">
        <v>92</v>
      </c>
      <c t="s" s="6" r="AD1339">
        <v>92</v>
      </c>
      <c t="s" s="6" r="AE1339">
        <v>92</v>
      </c>
      <c t="s" s="6" r="AF1339">
        <v>92</v>
      </c>
      <c s="6" r="AG1339">
        <v>2</v>
      </c>
      <c t="s" s="6" r="AH1339">
        <v>92</v>
      </c>
      <c t="s" s="6" r="AI1339">
        <v>92</v>
      </c>
      <c t="s" s="6" r="AJ1339">
        <v>92</v>
      </c>
      <c s="6" r="AK1339">
        <v>3</v>
      </c>
      <c t="s" s="6" r="AL1339">
        <v>92</v>
      </c>
      <c s="6" r="AM1339">
        <v>2</v>
      </c>
      <c t="s" s="6" r="AN1339">
        <v>92</v>
      </c>
      <c s="6" r="AP1339">
        <v>2</v>
      </c>
      <c t="s" s="6" r="AR1339">
        <v>9623</v>
      </c>
      <c s="6" r="AS1339">
        <v>0</v>
      </c>
      <c s="6" r="AT1339">
        <v>0</v>
      </c>
      <c s="6" r="AU1339">
        <v>0</v>
      </c>
      <c s="6" r="AV1339">
        <v>0</v>
      </c>
      <c s="6" r="AW1339">
        <v>0</v>
      </c>
      <c s="6" r="AX1339">
        <v>0</v>
      </c>
      <c s="6" r="AY1339">
        <v>0</v>
      </c>
      <c s="6" r="AZ1339">
        <v>0</v>
      </c>
      <c s="6" r="BA1339">
        <v>0</v>
      </c>
      <c s="6" r="BB1339">
        <v>0</v>
      </c>
      <c s="6" r="BC1339">
        <v>0</v>
      </c>
      <c s="6" r="BD1339">
        <v>0</v>
      </c>
      <c s="6" r="BE1339">
        <v>0</v>
      </c>
      <c s="6" r="BF1339">
        <v>0</v>
      </c>
      <c s="6" r="BG1339">
        <v>0</v>
      </c>
      <c s="6" r="BH1339">
        <v>0</v>
      </c>
      <c s="6" r="BI1339">
        <v>0</v>
      </c>
      <c s="6" r="BJ1339">
        <v>0</v>
      </c>
      <c s="6" r="BK1339">
        <v>0</v>
      </c>
      <c s="6" r="BL1339">
        <v>0</v>
      </c>
      <c s="6" r="BM1339">
        <v>0</v>
      </c>
      <c s="6" r="BN1339">
        <v>0</v>
      </c>
      <c s="6" r="BO1339">
        <v>0</v>
      </c>
      <c s="6" r="BP1339">
        <v>0</v>
      </c>
      <c s="6" r="BQ1339">
        <v>0</v>
      </c>
      <c t="str" s="6" r="BR1339">
        <f>HYPERLINK("http://www.d20pfsrd.com/magic/all-spells/l/litany-of-warding","Litany of Warding")</f>
        <v>Litany of Warding</v>
      </c>
      <c s="6" r="BS1339">
        <v>1362</v>
      </c>
      <c t="s" s="6" r="BT1339">
        <v>92</v>
      </c>
      <c s="6" r="BY1339">
        <v>0</v>
      </c>
    </row>
    <row customHeight="1" r="1340" ht="14.25">
      <c t="s" s="6" r="A1340">
        <v>9624</v>
      </c>
      <c t="s" s="6" r="B1340">
        <v>227</v>
      </c>
      <c t="s" s="6" r="D1340">
        <v>2922</v>
      </c>
      <c t="s" s="6" r="E1340">
        <v>9625</v>
      </c>
      <c t="s" s="6" r="F1340">
        <v>5881</v>
      </c>
      <c t="s" s="6" r="G1340">
        <v>119</v>
      </c>
      <c s="6" r="H1340">
        <v>0</v>
      </c>
      <c t="s" s="6" r="I1340">
        <v>107</v>
      </c>
      <c t="s" s="6" r="L1340">
        <v>1235</v>
      </c>
      <c t="s" s="6" r="M1340">
        <v>272</v>
      </c>
      <c s="6" r="N1340">
        <v>0</v>
      </c>
      <c s="6" r="O1340">
        <v>0</v>
      </c>
      <c t="s" s="6" r="P1340">
        <v>87</v>
      </c>
      <c t="s" s="6" r="Q1340">
        <v>188</v>
      </c>
      <c t="s" s="6" r="R1340">
        <v>9626</v>
      </c>
      <c t="s" s="6" r="S1340">
        <v>9627</v>
      </c>
      <c t="s" s="6" r="T1340">
        <v>9149</v>
      </c>
      <c t="s" s="6" r="U1340">
        <v>9628</v>
      </c>
      <c s="6" r="V1340">
        <v>1</v>
      </c>
      <c s="6" r="W1340">
        <v>1</v>
      </c>
      <c s="6" r="X1340">
        <v>0</v>
      </c>
      <c s="6" r="Y1340">
        <v>0</v>
      </c>
      <c s="6" r="Z1340">
        <v>1</v>
      </c>
      <c t="s" s="6" r="AA1340">
        <v>92</v>
      </c>
      <c t="s" s="6" r="AB1340">
        <v>92</v>
      </c>
      <c t="s" s="6" r="AC1340">
        <v>92</v>
      </c>
      <c t="s" s="6" r="AD1340">
        <v>92</v>
      </c>
      <c t="s" s="6" r="AE1340">
        <v>92</v>
      </c>
      <c t="s" s="6" r="AF1340">
        <v>92</v>
      </c>
      <c t="s" s="6" r="AG1340">
        <v>92</v>
      </c>
      <c t="s" s="6" r="AH1340">
        <v>92</v>
      </c>
      <c t="s" s="6" r="AI1340">
        <v>92</v>
      </c>
      <c t="s" s="6" r="AJ1340">
        <v>92</v>
      </c>
      <c s="6" r="AK1340">
        <v>1</v>
      </c>
      <c t="s" s="6" r="AL1340">
        <v>92</v>
      </c>
      <c s="6" r="AM1340">
        <v>1</v>
      </c>
      <c t="s" s="6" r="AN1340">
        <v>92</v>
      </c>
      <c s="6" r="AP1340">
        <v>1</v>
      </c>
      <c t="s" s="6" r="AR1340">
        <v>9629</v>
      </c>
      <c s="6" r="AS1340">
        <v>0</v>
      </c>
      <c s="6" r="AT1340">
        <v>0</v>
      </c>
      <c s="6" r="AU1340">
        <v>0</v>
      </c>
      <c s="6" r="AV1340">
        <v>0</v>
      </c>
      <c s="6" r="AW1340">
        <v>0</v>
      </c>
      <c s="6" r="AX1340">
        <v>0</v>
      </c>
      <c s="6" r="AY1340">
        <v>0</v>
      </c>
      <c s="6" r="AZ1340">
        <v>0</v>
      </c>
      <c s="6" r="BA1340">
        <v>0</v>
      </c>
      <c s="6" r="BB1340">
        <v>0</v>
      </c>
      <c s="6" r="BC1340">
        <v>0</v>
      </c>
      <c s="6" r="BD1340">
        <v>0</v>
      </c>
      <c s="6" r="BE1340">
        <v>0</v>
      </c>
      <c s="6" r="BF1340">
        <v>0</v>
      </c>
      <c s="6" r="BG1340">
        <v>0</v>
      </c>
      <c s="6" r="BH1340">
        <v>0</v>
      </c>
      <c s="6" r="BI1340">
        <v>1</v>
      </c>
      <c s="6" r="BJ1340">
        <v>0</v>
      </c>
      <c s="6" r="BK1340">
        <v>0</v>
      </c>
      <c s="6" r="BL1340">
        <v>0</v>
      </c>
      <c s="6" r="BM1340">
        <v>0</v>
      </c>
      <c s="6" r="BN1340">
        <v>0</v>
      </c>
      <c s="6" r="BO1340">
        <v>0</v>
      </c>
      <c s="6" r="BP1340">
        <v>0</v>
      </c>
      <c s="6" r="BQ1340">
        <v>0</v>
      </c>
      <c t="str" s="6" r="BR1340">
        <f>HYPERLINK("http://www.d20pfsrd.com/magic/all-spells/l/litany-of-weakness","Litany of Weakness")</f>
        <v>Litany of Weakness</v>
      </c>
      <c s="6" r="BS1340">
        <v>1363</v>
      </c>
      <c t="s" s="6" r="BT1340">
        <v>92</v>
      </c>
      <c s="6" r="BY1340">
        <v>0</v>
      </c>
    </row>
    <row customHeight="1" r="1341" ht="14.25">
      <c t="s" s="6" r="A1341">
        <v>9630</v>
      </c>
      <c t="s" s="6" r="B1341">
        <v>174</v>
      </c>
      <c t="s" s="6" r="E1341">
        <v>9631</v>
      </c>
      <c t="s" s="6" r="F1341">
        <v>81</v>
      </c>
      <c t="s" s="6" r="G1341">
        <v>9632</v>
      </c>
      <c s="6" r="H1341">
        <v>0</v>
      </c>
      <c t="s" s="6" r="I1341">
        <v>155</v>
      </c>
      <c t="s" s="6" r="L1341">
        <v>156</v>
      </c>
      <c t="s" s="6" r="M1341">
        <v>2718</v>
      </c>
      <c s="6" r="N1341">
        <v>0</v>
      </c>
      <c s="6" r="O1341">
        <v>0</v>
      </c>
      <c t="s" s="6" r="R1341">
        <v>9633</v>
      </c>
      <c t="s" s="6" r="S1341">
        <v>9634</v>
      </c>
      <c t="s" s="6" r="T1341">
        <v>9149</v>
      </c>
      <c t="s" s="6" r="U1341">
        <v>9635</v>
      </c>
      <c s="6" r="V1341">
        <v>1</v>
      </c>
      <c s="6" r="W1341">
        <v>1</v>
      </c>
      <c s="6" r="X1341">
        <v>1</v>
      </c>
      <c s="6" r="Y1341">
        <v>0</v>
      </c>
      <c s="6" r="Z1341">
        <v>1</v>
      </c>
      <c s="6" r="AA1341">
        <v>3</v>
      </c>
      <c s="6" r="AB1341">
        <v>3</v>
      </c>
      <c t="s" s="6" r="AC1341">
        <v>92</v>
      </c>
      <c t="s" s="6" r="AD1341">
        <v>92</v>
      </c>
      <c s="6" r="AE1341">
        <v>2</v>
      </c>
      <c t="s" s="6" r="AF1341">
        <v>92</v>
      </c>
      <c t="s" s="6" r="AG1341">
        <v>92</v>
      </c>
      <c t="s" s="6" r="AH1341">
        <v>92</v>
      </c>
      <c t="s" s="6" r="AI1341">
        <v>92</v>
      </c>
      <c s="6" r="AJ1341">
        <v>3</v>
      </c>
      <c s="6" r="AK1341">
        <v>3</v>
      </c>
      <c t="s" s="6" r="AL1341">
        <v>92</v>
      </c>
      <c t="s" s="6" r="AM1341">
        <v>92</v>
      </c>
      <c s="6" r="AN1341">
        <v>3</v>
      </c>
      <c s="6" r="AP1341">
        <v>3</v>
      </c>
      <c t="s" s="6" r="AR1341">
        <v>9636</v>
      </c>
      <c s="6" r="AS1341">
        <v>0</v>
      </c>
      <c s="6" r="AT1341">
        <v>0</v>
      </c>
      <c s="6" r="AU1341">
        <v>0</v>
      </c>
      <c s="6" r="AV1341">
        <v>0</v>
      </c>
      <c s="6" r="AW1341">
        <v>0</v>
      </c>
      <c s="6" r="AX1341">
        <v>0</v>
      </c>
      <c s="6" r="AY1341">
        <v>0</v>
      </c>
      <c s="6" r="AZ1341">
        <v>0</v>
      </c>
      <c s="6" r="BA1341">
        <v>0</v>
      </c>
      <c s="6" r="BB1341">
        <v>0</v>
      </c>
      <c s="6" r="BC1341">
        <v>0</v>
      </c>
      <c s="6" r="BD1341">
        <v>0</v>
      </c>
      <c s="6" r="BE1341">
        <v>0</v>
      </c>
      <c s="6" r="BF1341">
        <v>0</v>
      </c>
      <c s="6" r="BG1341">
        <v>0</v>
      </c>
      <c s="6" r="BH1341">
        <v>0</v>
      </c>
      <c s="6" r="BI1341">
        <v>0</v>
      </c>
      <c s="6" r="BJ1341">
        <v>0</v>
      </c>
      <c s="6" r="BK1341">
        <v>0</v>
      </c>
      <c s="6" r="BL1341">
        <v>0</v>
      </c>
      <c s="6" r="BM1341">
        <v>0</v>
      </c>
      <c s="6" r="BN1341">
        <v>0</v>
      </c>
      <c s="6" r="BO1341">
        <v>0</v>
      </c>
      <c s="6" r="BP1341">
        <v>0</v>
      </c>
      <c s="6" r="BQ1341">
        <v>0</v>
      </c>
      <c t="str" s="6" r="BR1341">
        <f>HYPERLINK("http://www.d20pfsrd.com/magic/all-spells/l/locate-weakness","Locate Weakness")</f>
        <v>Locate Weakness</v>
      </c>
      <c s="6" r="BS1341">
        <v>1364</v>
      </c>
      <c t="s" s="6" r="BT1341">
        <v>92</v>
      </c>
      <c s="6" r="BY1341">
        <v>0</v>
      </c>
    </row>
    <row customHeight="1" r="1342" ht="14.25">
      <c t="s" s="6" r="A1342">
        <v>9637</v>
      </c>
      <c t="s" s="6" r="B1342">
        <v>115</v>
      </c>
      <c t="s" s="6" r="C1342">
        <v>116</v>
      </c>
      <c t="s" s="6" r="D1342">
        <v>117</v>
      </c>
      <c t="s" s="6" r="E1342">
        <v>9638</v>
      </c>
      <c t="s" s="6" r="F1342">
        <v>81</v>
      </c>
      <c t="s" s="6" r="G1342">
        <v>106</v>
      </c>
      <c s="6" r="H1342">
        <v>0</v>
      </c>
      <c t="s" s="6" r="I1342">
        <v>107</v>
      </c>
      <c t="s" s="6" r="L1342">
        <v>1235</v>
      </c>
      <c t="s" s="6" r="M1342">
        <v>99</v>
      </c>
      <c s="6" r="N1342">
        <v>0</v>
      </c>
      <c s="6" r="O1342">
        <v>0</v>
      </c>
      <c t="s" s="6" r="P1342">
        <v>221</v>
      </c>
      <c t="s" s="6" r="Q1342">
        <v>188</v>
      </c>
      <c t="s" s="6" r="R1342">
        <v>9639</v>
      </c>
      <c t="s" s="6" r="S1342">
        <v>9640</v>
      </c>
      <c t="s" s="6" r="T1342">
        <v>9149</v>
      </c>
      <c t="s" s="6" r="U1342">
        <v>9641</v>
      </c>
      <c s="6" r="V1342">
        <v>1</v>
      </c>
      <c s="6" r="W1342">
        <v>1</v>
      </c>
      <c s="6" r="X1342">
        <v>0</v>
      </c>
      <c s="6" r="Y1342">
        <v>0</v>
      </c>
      <c s="6" r="Z1342">
        <v>0</v>
      </c>
      <c s="6" r="AA1342">
        <v>1</v>
      </c>
      <c s="6" r="AB1342">
        <v>1</v>
      </c>
      <c t="s" s="6" r="AC1342">
        <v>92</v>
      </c>
      <c t="s" s="6" r="AD1342">
        <v>92</v>
      </c>
      <c t="s" s="6" r="AE1342">
        <v>92</v>
      </c>
      <c s="6" r="AF1342">
        <v>1</v>
      </c>
      <c t="s" s="6" r="AG1342">
        <v>92</v>
      </c>
      <c t="s" s="6" r="AH1342">
        <v>92</v>
      </c>
      <c t="s" s="6" r="AI1342">
        <v>92</v>
      </c>
      <c s="6" r="AJ1342">
        <v>1</v>
      </c>
      <c s="6" r="AK1342">
        <v>1</v>
      </c>
      <c t="s" s="6" r="AL1342">
        <v>92</v>
      </c>
      <c t="s" s="6" r="AM1342">
        <v>92</v>
      </c>
      <c s="6" r="AN1342">
        <v>1</v>
      </c>
      <c s="6" r="AP1342">
        <v>1</v>
      </c>
      <c t="s" s="6" r="AR1342">
        <v>9642</v>
      </c>
      <c s="6" r="AS1342">
        <v>0</v>
      </c>
      <c s="6" r="AT1342">
        <v>0</v>
      </c>
      <c s="6" r="AU1342">
        <v>0</v>
      </c>
      <c s="6" r="AV1342">
        <v>0</v>
      </c>
      <c s="6" r="AW1342">
        <v>0</v>
      </c>
      <c s="6" r="AX1342">
        <v>0</v>
      </c>
      <c s="6" r="AY1342">
        <v>0</v>
      </c>
      <c s="6" r="AZ1342">
        <v>0</v>
      </c>
      <c s="6" r="BA1342">
        <v>0</v>
      </c>
      <c s="6" r="BB1342">
        <v>0</v>
      </c>
      <c s="6" r="BC1342">
        <v>0</v>
      </c>
      <c s="6" r="BD1342">
        <v>0</v>
      </c>
      <c s="6" r="BE1342">
        <v>0</v>
      </c>
      <c s="6" r="BF1342">
        <v>0</v>
      </c>
      <c s="6" r="BG1342">
        <v>0</v>
      </c>
      <c s="6" r="BH1342">
        <v>0</v>
      </c>
      <c s="6" r="BI1342">
        <v>0</v>
      </c>
      <c s="6" r="BJ1342">
        <v>0</v>
      </c>
      <c s="6" r="BK1342">
        <v>0</v>
      </c>
      <c s="6" r="BL1342">
        <v>1</v>
      </c>
      <c s="6" r="BM1342">
        <v>0</v>
      </c>
      <c s="6" r="BN1342">
        <v>0</v>
      </c>
      <c s="6" r="BO1342">
        <v>0</v>
      </c>
      <c s="6" r="BP1342">
        <v>0</v>
      </c>
      <c s="6" r="BQ1342">
        <v>0</v>
      </c>
      <c t="str" s="6" r="BR1342">
        <f>HYPERLINK("http://www.d20pfsrd.com/magic/all-spells/l/lock-gaze","Lock Gaze")</f>
        <v>Lock Gaze</v>
      </c>
      <c s="6" r="BS1342">
        <v>1365</v>
      </c>
      <c t="s" s="6" r="BT1342">
        <v>92</v>
      </c>
      <c s="6" r="BY1342">
        <v>0</v>
      </c>
    </row>
    <row customHeight="1" r="1343" ht="14.25">
      <c t="s" s="6" r="A1343">
        <v>9643</v>
      </c>
      <c t="s" s="6" r="B1343">
        <v>131</v>
      </c>
      <c t="s" s="6" r="E1343">
        <v>9644</v>
      </c>
      <c t="s" s="6" r="F1343">
        <v>81</v>
      </c>
      <c t="s" s="6" r="G1343">
        <v>9645</v>
      </c>
      <c s="6" r="H1343">
        <v>0</v>
      </c>
      <c t="s" s="6" r="I1343">
        <v>155</v>
      </c>
      <c t="s" s="6" r="L1343">
        <v>156</v>
      </c>
      <c t="s" s="6" r="M1343">
        <v>2718</v>
      </c>
      <c s="6" r="N1343">
        <v>0</v>
      </c>
      <c s="6" r="O1343">
        <v>0</v>
      </c>
      <c t="s" s="6" r="R1343">
        <v>9646</v>
      </c>
      <c t="s" s="6" r="S1343">
        <v>9647</v>
      </c>
      <c t="s" s="6" r="T1343">
        <v>9149</v>
      </c>
      <c t="s" s="6" r="U1343">
        <v>9648</v>
      </c>
      <c s="6" r="V1343">
        <v>1</v>
      </c>
      <c s="6" r="W1343">
        <v>1</v>
      </c>
      <c s="6" r="X1343">
        <v>1</v>
      </c>
      <c s="6" r="Y1343">
        <v>0</v>
      </c>
      <c s="6" r="Z1343">
        <v>1</v>
      </c>
      <c s="6" r="AA1343">
        <v>1</v>
      </c>
      <c s="6" r="AB1343">
        <v>1</v>
      </c>
      <c t="s" s="6" r="AC1343">
        <v>92</v>
      </c>
      <c t="s" s="6" r="AD1343">
        <v>92</v>
      </c>
      <c s="6" r="AE1343">
        <v>1</v>
      </c>
      <c t="s" s="6" r="AF1343">
        <v>92</v>
      </c>
      <c s="6" r="AG1343">
        <v>1</v>
      </c>
      <c s="6" r="AH1343">
        <v>1</v>
      </c>
      <c t="s" s="6" r="AI1343">
        <v>92</v>
      </c>
      <c t="s" s="6" r="AJ1343">
        <v>92</v>
      </c>
      <c s="6" r="AK1343">
        <v>1</v>
      </c>
      <c t="s" s="6" r="AL1343">
        <v>92</v>
      </c>
      <c s="6" r="AM1343">
        <v>1</v>
      </c>
      <c s="6" r="AN1343">
        <v>1</v>
      </c>
      <c s="6" r="AP1343">
        <v>1</v>
      </c>
      <c t="s" s="6" r="AR1343">
        <v>9649</v>
      </c>
      <c s="6" r="AS1343">
        <v>0</v>
      </c>
      <c s="6" r="AT1343">
        <v>0</v>
      </c>
      <c s="6" r="AU1343">
        <v>0</v>
      </c>
      <c s="6" r="AV1343">
        <v>0</v>
      </c>
      <c s="6" r="AW1343">
        <v>0</v>
      </c>
      <c s="6" r="AX1343">
        <v>0</v>
      </c>
      <c s="6" r="AY1343">
        <v>0</v>
      </c>
      <c s="6" r="AZ1343">
        <v>0</v>
      </c>
      <c s="6" r="BA1343">
        <v>0</v>
      </c>
      <c s="6" r="BB1343">
        <v>0</v>
      </c>
      <c s="6" r="BC1343">
        <v>0</v>
      </c>
      <c s="6" r="BD1343">
        <v>0</v>
      </c>
      <c s="6" r="BE1343">
        <v>0</v>
      </c>
      <c s="6" r="BF1343">
        <v>0</v>
      </c>
      <c s="6" r="BG1343">
        <v>0</v>
      </c>
      <c s="6" r="BH1343">
        <v>0</v>
      </c>
      <c s="6" r="BI1343">
        <v>0</v>
      </c>
      <c s="6" r="BJ1343">
        <v>0</v>
      </c>
      <c s="6" r="BK1343">
        <v>0</v>
      </c>
      <c s="6" r="BL1343">
        <v>0</v>
      </c>
      <c s="6" r="BM1343">
        <v>0</v>
      </c>
      <c s="6" r="BN1343">
        <v>0</v>
      </c>
      <c s="6" r="BO1343">
        <v>0</v>
      </c>
      <c s="6" r="BP1343">
        <v>0</v>
      </c>
      <c s="6" r="BQ1343">
        <v>0</v>
      </c>
      <c t="str" s="6" r="BR1343">
        <f>HYPERLINK("http://www.d20pfsrd.com/magic/all-spells/l/longshot","Longshot")</f>
        <v>Longshot</v>
      </c>
      <c s="6" r="BS1343">
        <v>1366</v>
      </c>
      <c t="s" s="6" r="BT1343">
        <v>92</v>
      </c>
      <c s="6" r="BY1343">
        <v>0</v>
      </c>
    </row>
    <row customHeight="1" r="1344" ht="14.25">
      <c t="s" s="6" r="A1344">
        <v>9650</v>
      </c>
      <c t="s" s="6" r="B1344">
        <v>131</v>
      </c>
      <c t="s" s="6" r="E1344">
        <v>9651</v>
      </c>
      <c t="s" s="6" r="F1344">
        <v>81</v>
      </c>
      <c t="s" s="6" r="G1344">
        <v>119</v>
      </c>
      <c s="6" r="H1344">
        <v>0</v>
      </c>
      <c t="s" s="6" r="I1344">
        <v>120</v>
      </c>
      <c t="s" s="6" r="L1344">
        <v>9652</v>
      </c>
      <c t="s" s="6" r="M1344">
        <v>9499</v>
      </c>
      <c s="6" r="N1344">
        <v>0</v>
      </c>
      <c s="6" r="O1344">
        <v>0</v>
      </c>
      <c t="s" s="6" r="P1344">
        <v>144</v>
      </c>
      <c t="s" s="6" r="Q1344">
        <v>145</v>
      </c>
      <c t="s" s="6" r="R1344">
        <v>9653</v>
      </c>
      <c t="s" s="6" r="S1344">
        <v>9654</v>
      </c>
      <c t="s" s="6" r="T1344">
        <v>9149</v>
      </c>
      <c t="s" s="6" r="U1344">
        <v>9655</v>
      </c>
      <c s="6" r="V1344">
        <v>1</v>
      </c>
      <c s="6" r="W1344">
        <v>1</v>
      </c>
      <c s="6" r="X1344">
        <v>0</v>
      </c>
      <c s="6" r="Y1344">
        <v>0</v>
      </c>
      <c s="6" r="Z1344">
        <v>1</v>
      </c>
      <c s="6" r="AA1344">
        <v>2</v>
      </c>
      <c s="6" r="AB1344">
        <v>2</v>
      </c>
      <c s="6" r="AC1344">
        <v>2</v>
      </c>
      <c t="s" s="6" r="AD1344">
        <v>92</v>
      </c>
      <c t="s" s="6" r="AE1344">
        <v>92</v>
      </c>
      <c t="s" s="6" r="AF1344">
        <v>92</v>
      </c>
      <c s="6" r="AG1344">
        <v>2</v>
      </c>
      <c t="s" s="6" r="AH1344">
        <v>92</v>
      </c>
      <c t="s" s="6" r="AI1344">
        <v>92</v>
      </c>
      <c t="s" s="6" r="AJ1344">
        <v>92</v>
      </c>
      <c s="6" r="AK1344">
        <v>2</v>
      </c>
      <c s="6" r="AL1344">
        <v>2</v>
      </c>
      <c s="6" r="AM1344">
        <v>2</v>
      </c>
      <c t="s" s="6" r="AN1344">
        <v>92</v>
      </c>
      <c s="6" r="AP1344">
        <v>2</v>
      </c>
      <c t="s" s="6" r="AR1344">
        <v>9656</v>
      </c>
      <c s="6" r="AS1344">
        <v>0</v>
      </c>
      <c s="6" r="AT1344">
        <v>0</v>
      </c>
      <c s="6" r="AU1344">
        <v>0</v>
      </c>
      <c s="6" r="AV1344">
        <v>0</v>
      </c>
      <c s="6" r="AW1344">
        <v>0</v>
      </c>
      <c s="6" r="AX1344">
        <v>0</v>
      </c>
      <c s="6" r="AY1344">
        <v>0</v>
      </c>
      <c s="6" r="AZ1344">
        <v>0</v>
      </c>
      <c s="6" r="BA1344">
        <v>0</v>
      </c>
      <c s="6" r="BB1344">
        <v>0</v>
      </c>
      <c s="6" r="BC1344">
        <v>0</v>
      </c>
      <c s="6" r="BD1344">
        <v>0</v>
      </c>
      <c s="6" r="BE1344">
        <v>0</v>
      </c>
      <c s="6" r="BF1344">
        <v>0</v>
      </c>
      <c s="6" r="BG1344">
        <v>0</v>
      </c>
      <c s="6" r="BH1344">
        <v>0</v>
      </c>
      <c s="6" r="BI1344">
        <v>0</v>
      </c>
      <c s="6" r="BJ1344">
        <v>0</v>
      </c>
      <c s="6" r="BK1344">
        <v>0</v>
      </c>
      <c s="6" r="BL1344">
        <v>0</v>
      </c>
      <c s="6" r="BM1344">
        <v>0</v>
      </c>
      <c s="6" r="BN1344">
        <v>0</v>
      </c>
      <c s="6" r="BO1344">
        <v>0</v>
      </c>
      <c s="6" r="BP1344">
        <v>0</v>
      </c>
      <c s="6" r="BQ1344">
        <v>0</v>
      </c>
      <c t="str" s="6" r="BR1344">
        <f>HYPERLINK("http://www.d20pfsrd.com/magic/all-spells/m/magic-siege-engine","Magic Siege Engine")</f>
        <v>Magic Siege Engine</v>
      </c>
      <c s="6" r="BS1344">
        <v>1367</v>
      </c>
      <c t="s" s="6" r="BT1344">
        <v>92</v>
      </c>
      <c s="6" r="BY1344">
        <v>0</v>
      </c>
    </row>
    <row customHeight="1" r="1345" ht="14.25">
      <c t="s" s="6" r="A1345">
        <v>9657</v>
      </c>
      <c t="s" s="6" r="B1345">
        <v>131</v>
      </c>
      <c t="s" s="6" r="E1345">
        <v>9658</v>
      </c>
      <c t="s" s="6" r="F1345">
        <v>81</v>
      </c>
      <c t="s" s="6" r="G1345">
        <v>9659</v>
      </c>
      <c s="6" r="H1345">
        <v>0</v>
      </c>
      <c t="s" s="6" r="I1345">
        <v>107</v>
      </c>
      <c t="s" s="6" r="L1345">
        <v>9652</v>
      </c>
      <c t="s" s="6" r="M1345">
        <v>209</v>
      </c>
      <c s="6" r="N1345">
        <v>0</v>
      </c>
      <c s="6" r="O1345">
        <v>0</v>
      </c>
      <c t="s" s="6" r="P1345">
        <v>144</v>
      </c>
      <c t="s" s="6" r="Q1345">
        <v>145</v>
      </c>
      <c t="s" s="6" r="R1345">
        <v>9660</v>
      </c>
      <c t="s" s="6" r="S1345">
        <v>9661</v>
      </c>
      <c t="s" s="6" r="T1345">
        <v>9149</v>
      </c>
      <c t="s" s="6" r="U1345">
        <v>9662</v>
      </c>
      <c s="6" r="V1345">
        <v>1</v>
      </c>
      <c s="6" r="W1345">
        <v>1</v>
      </c>
      <c s="6" r="X1345">
        <v>1</v>
      </c>
      <c s="6" r="Y1345">
        <v>0</v>
      </c>
      <c s="6" r="Z1345">
        <v>1</v>
      </c>
      <c s="6" r="AA1345">
        <v>4</v>
      </c>
      <c s="6" r="AB1345">
        <v>4</v>
      </c>
      <c s="6" r="AC1345">
        <v>5</v>
      </c>
      <c t="s" s="6" r="AD1345">
        <v>92</v>
      </c>
      <c t="s" s="6" r="AE1345">
        <v>92</v>
      </c>
      <c t="s" s="6" r="AF1345">
        <v>92</v>
      </c>
      <c s="6" r="AG1345">
        <v>4</v>
      </c>
      <c t="s" s="6" r="AH1345">
        <v>92</v>
      </c>
      <c t="s" s="6" r="AI1345">
        <v>92</v>
      </c>
      <c t="s" s="6" r="AJ1345">
        <v>92</v>
      </c>
      <c s="6" r="AK1345">
        <v>4</v>
      </c>
      <c s="6" r="AL1345">
        <v>5</v>
      </c>
      <c s="6" r="AM1345">
        <v>4</v>
      </c>
      <c t="s" s="6" r="AN1345">
        <v>92</v>
      </c>
      <c s="6" r="AP1345">
        <v>4</v>
      </c>
      <c t="s" s="6" r="AR1345">
        <v>9663</v>
      </c>
      <c s="6" r="AS1345">
        <v>0</v>
      </c>
      <c s="6" r="AT1345">
        <v>0</v>
      </c>
      <c s="6" r="AU1345">
        <v>0</v>
      </c>
      <c s="6" r="AV1345">
        <v>0</v>
      </c>
      <c s="6" r="AW1345">
        <v>0</v>
      </c>
      <c s="6" r="AX1345">
        <v>0</v>
      </c>
      <c s="6" r="AY1345">
        <v>0</v>
      </c>
      <c s="6" r="AZ1345">
        <v>0</v>
      </c>
      <c s="6" r="BA1345">
        <v>0</v>
      </c>
      <c s="6" r="BB1345">
        <v>0</v>
      </c>
      <c s="6" r="BC1345">
        <v>0</v>
      </c>
      <c s="6" r="BD1345">
        <v>0</v>
      </c>
      <c s="6" r="BE1345">
        <v>0</v>
      </c>
      <c s="6" r="BF1345">
        <v>0</v>
      </c>
      <c s="6" r="BG1345">
        <v>0</v>
      </c>
      <c s="6" r="BH1345">
        <v>0</v>
      </c>
      <c s="6" r="BI1345">
        <v>0</v>
      </c>
      <c s="6" r="BJ1345">
        <v>0</v>
      </c>
      <c s="6" r="BK1345">
        <v>0</v>
      </c>
      <c s="6" r="BL1345">
        <v>0</v>
      </c>
      <c s="6" r="BM1345">
        <v>0</v>
      </c>
      <c s="6" r="BN1345">
        <v>0</v>
      </c>
      <c s="6" r="BO1345">
        <v>0</v>
      </c>
      <c s="6" r="BP1345">
        <v>0</v>
      </c>
      <c s="6" r="BQ1345">
        <v>0</v>
      </c>
      <c t="str" s="6" r="BR1345">
        <f>HYPERLINK("http://www.d20pfsrd.com/magic/all-spells/m/magic-siege-engine#TOC-Magic-Siege-Engine-Greater","Magic Siege Engine, Greater")</f>
        <v>Magic Siege Engine, Greater</v>
      </c>
      <c s="6" r="BS1345">
        <v>1368</v>
      </c>
      <c t="s" s="6" r="BT1345">
        <v>92</v>
      </c>
      <c s="6" r="BY1345">
        <v>0</v>
      </c>
    </row>
    <row customHeight="1" r="1346" ht="14.25">
      <c t="s" s="6" r="A1346">
        <v>9664</v>
      </c>
      <c t="s" s="6" r="B1346">
        <v>579</v>
      </c>
      <c t="s" s="6" r="C1346">
        <v>580</v>
      </c>
      <c t="s" s="6" r="E1346">
        <v>9665</v>
      </c>
      <c t="s" s="6" r="F1346">
        <v>81</v>
      </c>
      <c t="s" s="6" r="G1346">
        <v>6217</v>
      </c>
      <c s="6" r="H1346">
        <v>0</v>
      </c>
      <c t="s" s="6" r="I1346">
        <v>120</v>
      </c>
      <c t="s" s="6" r="L1346">
        <v>9666</v>
      </c>
      <c t="s" s="6" r="M1346">
        <v>5196</v>
      </c>
      <c s="6" r="N1346">
        <v>1</v>
      </c>
      <c s="6" r="O1346">
        <v>0</v>
      </c>
      <c t="s" s="6" r="P1346">
        <v>201</v>
      </c>
      <c t="s" s="6" r="Q1346">
        <v>87</v>
      </c>
      <c t="s" s="6" r="R1346">
        <v>9667</v>
      </c>
      <c t="s" s="6" r="S1346">
        <v>9668</v>
      </c>
      <c t="s" s="6" r="T1346">
        <v>9149</v>
      </c>
      <c t="s" s="6" r="U1346">
        <v>9669</v>
      </c>
      <c s="6" r="V1346">
        <v>1</v>
      </c>
      <c s="6" r="W1346">
        <v>1</v>
      </c>
      <c s="6" r="X1346">
        <v>1</v>
      </c>
      <c s="6" r="Y1346">
        <v>0</v>
      </c>
      <c s="6" r="Z1346">
        <v>0</v>
      </c>
      <c t="s" s="6" r="AA1346">
        <v>92</v>
      </c>
      <c t="s" s="6" r="AB1346">
        <v>92</v>
      </c>
      <c t="s" s="6" r="AC1346">
        <v>92</v>
      </c>
      <c t="s" s="6" r="AD1346">
        <v>92</v>
      </c>
      <c t="s" s="6" r="AE1346">
        <v>92</v>
      </c>
      <c t="s" s="6" r="AF1346">
        <v>92</v>
      </c>
      <c t="s" s="6" r="AG1346">
        <v>92</v>
      </c>
      <c t="s" s="6" r="AH1346">
        <v>92</v>
      </c>
      <c t="s" s="6" r="AI1346">
        <v>92</v>
      </c>
      <c s="6" r="AJ1346">
        <v>2</v>
      </c>
      <c t="s" s="6" r="AK1346">
        <v>92</v>
      </c>
      <c t="s" s="6" r="AL1346">
        <v>92</v>
      </c>
      <c t="s" s="6" r="AM1346">
        <v>92</v>
      </c>
      <c t="s" s="6" r="AN1346">
        <v>92</v>
      </c>
      <c s="6" r="AP1346">
        <v>2</v>
      </c>
      <c t="s" s="6" r="AR1346">
        <v>9670</v>
      </c>
      <c s="6" r="AS1346">
        <v>0</v>
      </c>
      <c s="6" r="AT1346">
        <v>0</v>
      </c>
      <c s="6" r="AU1346">
        <v>0</v>
      </c>
      <c s="6" r="AV1346">
        <v>0</v>
      </c>
      <c s="6" r="AW1346">
        <v>0</v>
      </c>
      <c s="6" r="AX1346">
        <v>0</v>
      </c>
      <c s="6" r="AY1346">
        <v>0</v>
      </c>
      <c s="6" r="AZ1346">
        <v>0</v>
      </c>
      <c s="6" r="BA1346">
        <v>0</v>
      </c>
      <c s="6" r="BB1346">
        <v>0</v>
      </c>
      <c s="6" r="BC1346">
        <v>0</v>
      </c>
      <c s="6" r="BD1346">
        <v>0</v>
      </c>
      <c s="6" r="BE1346">
        <v>0</v>
      </c>
      <c s="6" r="BF1346">
        <v>0</v>
      </c>
      <c s="6" r="BG1346">
        <v>0</v>
      </c>
      <c s="6" r="BH1346">
        <v>0</v>
      </c>
      <c s="6" r="BI1346">
        <v>0</v>
      </c>
      <c s="6" r="BJ1346">
        <v>0</v>
      </c>
      <c s="6" r="BK1346">
        <v>0</v>
      </c>
      <c s="6" r="BL1346">
        <v>0</v>
      </c>
      <c s="6" r="BM1346">
        <v>0</v>
      </c>
      <c s="6" r="BN1346">
        <v>0</v>
      </c>
      <c s="6" r="BO1346">
        <v>0</v>
      </c>
      <c s="6" r="BP1346">
        <v>0</v>
      </c>
      <c s="6" r="BQ1346">
        <v>0</v>
      </c>
      <c t="str" s="6" r="BR1346">
        <f>HYPERLINK("http://www.d20pfsrd.com/magic/all-spells/m/mask-dweomer#TOC-Mask-Dweomer-Communal","Mask Dweomer, Communal")</f>
        <v>Mask Dweomer, Communal</v>
      </c>
      <c s="6" r="BS1346">
        <v>1369</v>
      </c>
      <c t="s" s="6" r="BT1346">
        <v>92</v>
      </c>
      <c s="6" r="BY1346">
        <v>0</v>
      </c>
    </row>
    <row customHeight="1" r="1347" ht="14.25">
      <c t="s" s="6" r="A1347">
        <v>9671</v>
      </c>
      <c t="s" s="6" r="B1347">
        <v>162</v>
      </c>
      <c t="s" s="6" r="E1347">
        <v>2334</v>
      </c>
      <c t="s" s="6" r="F1347">
        <v>81</v>
      </c>
      <c t="s" s="6" r="G1347">
        <v>106</v>
      </c>
      <c s="6" r="H1347">
        <v>0</v>
      </c>
      <c t="s" s="6" r="I1347">
        <v>107</v>
      </c>
      <c t="s" s="6" r="L1347">
        <v>1235</v>
      </c>
      <c t="s" s="6" r="M1347">
        <v>379</v>
      </c>
      <c s="6" r="N1347">
        <v>0</v>
      </c>
      <c s="6" r="O1347">
        <v>0</v>
      </c>
      <c t="s" s="6" r="P1347">
        <v>421</v>
      </c>
      <c t="s" s="6" r="Q1347">
        <v>123</v>
      </c>
      <c t="s" s="6" r="R1347">
        <v>9672</v>
      </c>
      <c t="s" s="6" r="S1347">
        <v>9673</v>
      </c>
      <c t="s" s="6" r="T1347">
        <v>9149</v>
      </c>
      <c t="s" s="6" r="U1347">
        <v>9674</v>
      </c>
      <c s="6" r="V1347">
        <v>1</v>
      </c>
      <c s="6" r="W1347">
        <v>1</v>
      </c>
      <c s="6" r="X1347">
        <v>0</v>
      </c>
      <c s="6" r="Y1347">
        <v>0</v>
      </c>
      <c s="6" r="Z1347">
        <v>0</v>
      </c>
      <c s="6" r="AA1347">
        <v>9</v>
      </c>
      <c s="6" r="AB1347">
        <v>9</v>
      </c>
      <c t="s" s="6" r="AC1347">
        <v>92</v>
      </c>
      <c t="s" s="6" r="AD1347">
        <v>92</v>
      </c>
      <c t="s" s="6" r="AE1347">
        <v>92</v>
      </c>
      <c t="s" s="6" r="AF1347">
        <v>92</v>
      </c>
      <c t="s" s="6" r="AG1347">
        <v>92</v>
      </c>
      <c t="s" s="6" r="AH1347">
        <v>92</v>
      </c>
      <c t="s" s="6" r="AI1347">
        <v>92</v>
      </c>
      <c s="6" r="AJ1347">
        <v>9</v>
      </c>
      <c t="s" s="6" r="AK1347">
        <v>92</v>
      </c>
      <c t="s" s="6" r="AL1347">
        <v>92</v>
      </c>
      <c t="s" s="6" r="AM1347">
        <v>92</v>
      </c>
      <c t="s" s="6" r="AN1347">
        <v>92</v>
      </c>
      <c s="6" r="AP1347">
        <v>9</v>
      </c>
      <c t="s" s="6" r="AR1347">
        <v>9675</v>
      </c>
      <c s="6" r="AS1347">
        <v>0</v>
      </c>
      <c s="6" r="AT1347">
        <v>0</v>
      </c>
      <c s="6" r="AU1347">
        <v>0</v>
      </c>
      <c s="6" r="AV1347">
        <v>0</v>
      </c>
      <c s="6" r="AW1347">
        <v>0</v>
      </c>
      <c s="6" r="AX1347">
        <v>0</v>
      </c>
      <c s="6" r="AY1347">
        <v>0</v>
      </c>
      <c s="6" r="AZ1347">
        <v>0</v>
      </c>
      <c s="6" r="BA1347">
        <v>0</v>
      </c>
      <c s="6" r="BB1347">
        <v>0</v>
      </c>
      <c s="6" r="BC1347">
        <v>0</v>
      </c>
      <c s="6" r="BD1347">
        <v>0</v>
      </c>
      <c s="6" r="BE1347">
        <v>0</v>
      </c>
      <c s="6" r="BF1347">
        <v>0</v>
      </c>
      <c s="6" r="BG1347">
        <v>0</v>
      </c>
      <c s="6" r="BH1347">
        <v>0</v>
      </c>
      <c s="6" r="BI1347">
        <v>0</v>
      </c>
      <c s="6" r="BJ1347">
        <v>0</v>
      </c>
      <c s="6" r="BK1347">
        <v>0</v>
      </c>
      <c s="6" r="BL1347">
        <v>0</v>
      </c>
      <c s="6" r="BM1347">
        <v>0</v>
      </c>
      <c s="6" r="BN1347">
        <v>0</v>
      </c>
      <c s="6" r="BO1347">
        <v>0</v>
      </c>
      <c s="6" r="BP1347">
        <v>0</v>
      </c>
      <c s="6" r="BQ1347">
        <v>0</v>
      </c>
      <c t="str" s="6" r="BR1347">
        <f>HYPERLINK("http://www.d20pfsrd.com/magic/all-spells/m/mind-blank#TOC-Mind-Blank-Communal","Mind Blank, Communal")</f>
        <v>Mind Blank, Communal</v>
      </c>
      <c s="6" r="BS1347">
        <v>1370</v>
      </c>
      <c t="s" s="6" r="BT1347">
        <v>92</v>
      </c>
      <c s="6" r="BY1347">
        <v>0</v>
      </c>
    </row>
    <row customHeight="1" r="1348" ht="14.25">
      <c t="s" s="6" r="A1348">
        <v>9676</v>
      </c>
      <c t="s" s="6" r="B1348">
        <v>131</v>
      </c>
      <c t="s" s="6" r="E1348">
        <v>9677</v>
      </c>
      <c t="s" s="6" r="F1348">
        <v>81</v>
      </c>
      <c t="s" s="6" r="G1348">
        <v>9678</v>
      </c>
      <c s="6" r="H1348">
        <v>0</v>
      </c>
      <c t="s" s="6" r="I1348">
        <v>155</v>
      </c>
      <c t="s" s="6" r="L1348">
        <v>156</v>
      </c>
      <c t="s" s="6" r="M1348">
        <v>141</v>
      </c>
      <c s="6" r="N1348">
        <v>0</v>
      </c>
      <c s="6" r="O1348">
        <v>0</v>
      </c>
      <c t="s" s="6" r="R1348">
        <v>9679</v>
      </c>
      <c t="s" s="6" r="S1348">
        <v>9680</v>
      </c>
      <c t="s" s="6" r="T1348">
        <v>9149</v>
      </c>
      <c t="s" s="6" r="U1348">
        <v>9681</v>
      </c>
      <c s="6" r="V1348">
        <v>1</v>
      </c>
      <c s="6" r="W1348">
        <v>1</v>
      </c>
      <c s="6" r="X1348">
        <v>1</v>
      </c>
      <c s="6" r="Y1348">
        <v>0</v>
      </c>
      <c s="6" r="Z1348">
        <v>0</v>
      </c>
      <c s="6" r="AA1348">
        <v>1</v>
      </c>
      <c s="6" r="AB1348">
        <v>1</v>
      </c>
      <c t="s" s="6" r="AC1348">
        <v>92</v>
      </c>
      <c t="s" s="6" r="AD1348">
        <v>92</v>
      </c>
      <c t="s" s="6" r="AE1348">
        <v>92</v>
      </c>
      <c t="s" s="6" r="AF1348">
        <v>92</v>
      </c>
      <c t="s" s="6" r="AG1348">
        <v>92</v>
      </c>
      <c t="s" s="6" r="AH1348">
        <v>92</v>
      </c>
      <c t="s" s="6" r="AI1348">
        <v>92</v>
      </c>
      <c t="s" s="6" r="AJ1348">
        <v>92</v>
      </c>
      <c t="s" s="6" r="AK1348">
        <v>92</v>
      </c>
      <c t="s" s="6" r="AL1348">
        <v>92</v>
      </c>
      <c t="s" s="6" r="AM1348">
        <v>92</v>
      </c>
      <c s="6" r="AN1348">
        <v>1</v>
      </c>
      <c s="6" r="AP1348">
        <v>1</v>
      </c>
      <c t="s" s="6" r="AR1348">
        <v>9682</v>
      </c>
      <c s="6" r="AS1348">
        <v>0</v>
      </c>
      <c s="6" r="AT1348">
        <v>0</v>
      </c>
      <c s="6" r="AU1348">
        <v>0</v>
      </c>
      <c s="6" r="AV1348">
        <v>0</v>
      </c>
      <c s="6" r="AW1348">
        <v>0</v>
      </c>
      <c s="6" r="AX1348">
        <v>0</v>
      </c>
      <c s="6" r="AY1348">
        <v>0</v>
      </c>
      <c s="6" r="AZ1348">
        <v>0</v>
      </c>
      <c s="6" r="BA1348">
        <v>0</v>
      </c>
      <c s="6" r="BB1348">
        <v>0</v>
      </c>
      <c s="6" r="BC1348">
        <v>0</v>
      </c>
      <c s="6" r="BD1348">
        <v>0</v>
      </c>
      <c s="6" r="BE1348">
        <v>0</v>
      </c>
      <c s="6" r="BF1348">
        <v>0</v>
      </c>
      <c s="6" r="BG1348">
        <v>0</v>
      </c>
      <c s="6" r="BH1348">
        <v>0</v>
      </c>
      <c s="6" r="BI1348">
        <v>0</v>
      </c>
      <c s="6" r="BJ1348">
        <v>0</v>
      </c>
      <c s="6" r="BK1348">
        <v>0</v>
      </c>
      <c s="6" r="BL1348">
        <v>0</v>
      </c>
      <c s="6" r="BM1348">
        <v>0</v>
      </c>
      <c s="6" r="BN1348">
        <v>0</v>
      </c>
      <c s="6" r="BO1348">
        <v>0</v>
      </c>
      <c s="6" r="BP1348">
        <v>0</v>
      </c>
      <c s="6" r="BQ1348">
        <v>0</v>
      </c>
      <c t="str" s="6" r="BR1348">
        <f>HYPERLINK("http://www.d20pfsrd.com/magic/all-spells/m/mirror-strike","Mirror Strike")</f>
        <v>Mirror Strike</v>
      </c>
      <c s="6" r="BS1348">
        <v>1371</v>
      </c>
      <c t="s" s="6" r="BT1348">
        <v>92</v>
      </c>
      <c s="6" r="BY1348">
        <v>0</v>
      </c>
    </row>
    <row customHeight="1" r="1349" ht="14.25">
      <c t="s" s="6" r="A1349">
        <v>9683</v>
      </c>
      <c t="s" s="6" r="B1349">
        <v>115</v>
      </c>
      <c t="s" s="6" r="C1349">
        <v>116</v>
      </c>
      <c t="s" s="6" r="D1349">
        <v>117</v>
      </c>
      <c t="s" s="6" r="E1349">
        <v>8711</v>
      </c>
      <c t="s" s="6" r="F1349">
        <v>81</v>
      </c>
      <c t="s" s="6" r="G1349">
        <v>9684</v>
      </c>
      <c s="6" r="H1349">
        <v>0</v>
      </c>
      <c t="s" s="6" r="I1349">
        <v>389</v>
      </c>
      <c t="s" s="6" r="L1349">
        <v>9685</v>
      </c>
      <c t="s" s="6" r="M1349">
        <v>7523</v>
      </c>
      <c s="6" r="N1349">
        <v>0</v>
      </c>
      <c s="6" r="O1349">
        <v>0</v>
      </c>
      <c t="s" s="6" r="P1349">
        <v>86</v>
      </c>
      <c t="s" s="6" r="Q1349">
        <v>123</v>
      </c>
      <c t="s" s="6" r="R1349">
        <v>9686</v>
      </c>
      <c t="s" s="6" r="S1349">
        <v>9687</v>
      </c>
      <c t="s" s="6" r="T1349">
        <v>9149</v>
      </c>
      <c t="s" s="6" r="U1349">
        <v>9688</v>
      </c>
      <c s="6" r="V1349">
        <v>1</v>
      </c>
      <c s="6" r="W1349">
        <v>1</v>
      </c>
      <c s="6" r="X1349">
        <v>1</v>
      </c>
      <c s="6" r="Y1349">
        <v>0</v>
      </c>
      <c s="6" r="Z1349">
        <v>1</v>
      </c>
      <c s="6" r="AA1349">
        <v>1</v>
      </c>
      <c s="6" r="AB1349">
        <v>1</v>
      </c>
      <c s="6" r="AC1349">
        <v>1</v>
      </c>
      <c t="s" s="6" r="AD1349">
        <v>92</v>
      </c>
      <c t="s" s="6" r="AE1349">
        <v>92</v>
      </c>
      <c s="6" r="AF1349">
        <v>1</v>
      </c>
      <c t="s" s="6" r="AG1349">
        <v>92</v>
      </c>
      <c t="s" s="6" r="AH1349">
        <v>92</v>
      </c>
      <c t="s" s="6" r="AI1349">
        <v>92</v>
      </c>
      <c t="s" s="6" r="AJ1349">
        <v>92</v>
      </c>
      <c t="s" s="6" r="AK1349">
        <v>92</v>
      </c>
      <c s="6" r="AL1349">
        <v>1</v>
      </c>
      <c t="s" s="6" r="AM1349">
        <v>92</v>
      </c>
      <c t="s" s="6" r="AN1349">
        <v>92</v>
      </c>
      <c s="6" r="AP1349">
        <v>1</v>
      </c>
      <c t="s" s="6" r="AR1349">
        <v>9689</v>
      </c>
      <c s="6" r="AS1349">
        <v>0</v>
      </c>
      <c s="6" r="AT1349">
        <v>0</v>
      </c>
      <c s="6" r="AU1349">
        <v>0</v>
      </c>
      <c s="6" r="AV1349">
        <v>0</v>
      </c>
      <c s="6" r="AW1349">
        <v>0</v>
      </c>
      <c s="6" r="AX1349">
        <v>0</v>
      </c>
      <c s="6" r="AY1349">
        <v>0</v>
      </c>
      <c s="6" r="AZ1349">
        <v>0</v>
      </c>
      <c s="6" r="BA1349">
        <v>0</v>
      </c>
      <c s="6" r="BB1349">
        <v>0</v>
      </c>
      <c s="6" r="BC1349">
        <v>0</v>
      </c>
      <c s="6" r="BD1349">
        <v>0</v>
      </c>
      <c s="6" r="BE1349">
        <v>0</v>
      </c>
      <c s="6" r="BF1349">
        <v>0</v>
      </c>
      <c s="6" r="BG1349">
        <v>0</v>
      </c>
      <c s="6" r="BH1349">
        <v>0</v>
      </c>
      <c s="6" r="BI1349">
        <v>0</v>
      </c>
      <c s="6" r="BJ1349">
        <v>0</v>
      </c>
      <c s="6" r="BK1349">
        <v>0</v>
      </c>
      <c s="6" r="BL1349">
        <v>1</v>
      </c>
      <c s="6" r="BM1349">
        <v>0</v>
      </c>
      <c s="6" r="BN1349">
        <v>0</v>
      </c>
      <c s="6" r="BO1349">
        <v>0</v>
      </c>
      <c s="6" r="BP1349">
        <v>0</v>
      </c>
      <c s="6" r="BQ1349">
        <v>0</v>
      </c>
      <c t="str" s="6" r="BR1349">
        <f>HYPERLINK("http://www.d20pfsrd.com/magic/all-spells/m/moment-of-greatness","Moment of Greatness")</f>
        <v>Moment of Greatness</v>
      </c>
      <c s="6" r="BS1349">
        <v>1372</v>
      </c>
      <c t="s" s="6" r="BT1349">
        <v>92</v>
      </c>
      <c t="s" s="6" r="BU1349">
        <v>857</v>
      </c>
      <c s="6" r="BY1349">
        <v>0</v>
      </c>
    </row>
    <row customHeight="1" r="1350" ht="14.25">
      <c t="s" s="6" r="A1350">
        <v>9690</v>
      </c>
      <c t="s" s="6" r="B1350">
        <v>78</v>
      </c>
      <c t="s" s="6" r="C1350">
        <v>1042</v>
      </c>
      <c t="s" s="6" r="E1350">
        <v>9691</v>
      </c>
      <c t="s" s="6" r="F1350">
        <v>272</v>
      </c>
      <c t="s" s="6" r="G1350">
        <v>3027</v>
      </c>
      <c s="6" r="H1350">
        <v>0</v>
      </c>
      <c t="s" s="6" r="I1350">
        <v>107</v>
      </c>
      <c t="s" s="6" r="K1350">
        <v>9692</v>
      </c>
      <c t="s" s="6" r="M1350">
        <v>6041</v>
      </c>
      <c s="6" r="N1350">
        <v>1</v>
      </c>
      <c s="6" r="O1350">
        <v>0</v>
      </c>
      <c t="s" s="6" r="P1350">
        <v>86</v>
      </c>
      <c t="s" s="6" r="Q1350">
        <v>87</v>
      </c>
      <c t="s" s="6" r="R1350">
        <v>9693</v>
      </c>
      <c t="s" s="6" r="S1350">
        <v>9694</v>
      </c>
      <c t="s" s="6" r="T1350">
        <v>9149</v>
      </c>
      <c t="s" s="6" r="U1350">
        <v>9695</v>
      </c>
      <c s="6" r="V1350">
        <v>1</v>
      </c>
      <c s="6" r="W1350">
        <v>1</v>
      </c>
      <c s="6" r="X1350">
        <v>1</v>
      </c>
      <c s="6" r="Y1350">
        <v>0</v>
      </c>
      <c s="6" r="Z1350">
        <v>0</v>
      </c>
      <c s="6" r="AA1350">
        <v>2</v>
      </c>
      <c s="6" r="AB1350">
        <v>2</v>
      </c>
      <c t="s" s="6" r="AC1350">
        <v>92</v>
      </c>
      <c t="s" s="6" r="AD1350">
        <v>92</v>
      </c>
      <c t="s" s="6" r="AE1350">
        <v>92</v>
      </c>
      <c t="s" s="6" r="AF1350">
        <v>92</v>
      </c>
      <c t="s" s="6" r="AG1350">
        <v>92</v>
      </c>
      <c t="s" s="6" r="AH1350">
        <v>92</v>
      </c>
      <c s="6" r="AI1350">
        <v>2</v>
      </c>
      <c s="6" r="AJ1350">
        <v>2</v>
      </c>
      <c t="s" s="6" r="AK1350">
        <v>92</v>
      </c>
      <c t="s" s="6" r="AL1350">
        <v>92</v>
      </c>
      <c t="s" s="6" r="AM1350">
        <v>92</v>
      </c>
      <c s="6" r="AN1350">
        <v>2</v>
      </c>
      <c s="6" r="AP1350">
        <v>2</v>
      </c>
      <c t="s" s="6" r="AR1350">
        <v>9696</v>
      </c>
      <c s="6" r="AS1350">
        <v>0</v>
      </c>
      <c s="6" r="AT1350">
        <v>0</v>
      </c>
      <c s="6" r="AU1350">
        <v>0</v>
      </c>
      <c s="6" r="AV1350">
        <v>0</v>
      </c>
      <c s="6" r="AW1350">
        <v>0</v>
      </c>
      <c s="6" r="AX1350">
        <v>0</v>
      </c>
      <c s="6" r="AY1350">
        <v>0</v>
      </c>
      <c s="6" r="AZ1350">
        <v>0</v>
      </c>
      <c s="6" r="BA1350">
        <v>0</v>
      </c>
      <c s="6" r="BB1350">
        <v>0</v>
      </c>
      <c s="6" r="BC1350">
        <v>0</v>
      </c>
      <c s="6" r="BD1350">
        <v>0</v>
      </c>
      <c s="6" r="BE1350">
        <v>0</v>
      </c>
      <c s="6" r="BF1350">
        <v>0</v>
      </c>
      <c s="6" r="BG1350">
        <v>0</v>
      </c>
      <c s="6" r="BH1350">
        <v>0</v>
      </c>
      <c s="6" r="BI1350">
        <v>0</v>
      </c>
      <c s="6" r="BJ1350">
        <v>0</v>
      </c>
      <c s="6" r="BK1350">
        <v>0</v>
      </c>
      <c s="6" r="BL1350">
        <v>0</v>
      </c>
      <c s="6" r="BM1350">
        <v>0</v>
      </c>
      <c s="6" r="BN1350">
        <v>0</v>
      </c>
      <c s="6" r="BO1350">
        <v>0</v>
      </c>
      <c s="6" r="BP1350">
        <v>0</v>
      </c>
      <c s="6" r="BQ1350">
        <v>0</v>
      </c>
      <c t="str" s="6" r="BR1350">
        <f>HYPERLINK("http://www.d20pfsrd.com/magic/all-spells/m/mount#TOC-Mount-Communal","Mount, Communal")</f>
        <v>Mount, Communal</v>
      </c>
      <c s="6" r="BS1350">
        <v>1373</v>
      </c>
      <c t="s" s="6" r="BT1350">
        <v>92</v>
      </c>
      <c s="6" r="BY1350">
        <v>0</v>
      </c>
    </row>
    <row customHeight="1" r="1351" ht="14.25">
      <c t="s" s="6" r="A1351">
        <v>9697</v>
      </c>
      <c t="s" s="6" r="B1351">
        <v>131</v>
      </c>
      <c t="s" s="6" r="E1351">
        <v>6805</v>
      </c>
      <c t="s" s="6" r="F1351">
        <v>81</v>
      </c>
      <c t="s" s="6" r="G1351">
        <v>9698</v>
      </c>
      <c s="6" r="H1351">
        <v>0</v>
      </c>
      <c t="s" s="6" r="I1351">
        <v>120</v>
      </c>
      <c t="s" s="6" r="L1351">
        <v>420</v>
      </c>
      <c t="s" s="6" r="M1351">
        <v>8904</v>
      </c>
      <c s="6" r="N1351">
        <v>0</v>
      </c>
      <c s="6" r="O1351">
        <v>0</v>
      </c>
      <c t="s" s="6" r="R1351">
        <v>9699</v>
      </c>
      <c t="s" s="6" r="S1351">
        <v>9700</v>
      </c>
      <c t="s" s="6" r="T1351">
        <v>9149</v>
      </c>
      <c t="s" s="6" r="U1351">
        <v>9701</v>
      </c>
      <c s="6" r="V1351">
        <v>1</v>
      </c>
      <c s="6" r="W1351">
        <v>1</v>
      </c>
      <c s="6" r="X1351">
        <v>1</v>
      </c>
      <c s="6" r="Y1351">
        <v>0</v>
      </c>
      <c s="6" r="Z1351">
        <v>0</v>
      </c>
      <c t="s" s="6" r="AA1351">
        <v>92</v>
      </c>
      <c t="s" s="6" r="AB1351">
        <v>92</v>
      </c>
      <c t="s" s="6" r="AC1351">
        <v>92</v>
      </c>
      <c t="s" s="6" r="AD1351">
        <v>92</v>
      </c>
      <c t="s" s="6" r="AE1351">
        <v>92</v>
      </c>
      <c t="s" s="6" r="AF1351">
        <v>92</v>
      </c>
      <c t="s" s="6" r="AG1351">
        <v>92</v>
      </c>
      <c s="6" r="AH1351">
        <v>4</v>
      </c>
      <c t="s" s="6" r="AI1351">
        <v>92</v>
      </c>
      <c t="s" s="6" r="AJ1351">
        <v>92</v>
      </c>
      <c t="s" s="6" r="AK1351">
        <v>92</v>
      </c>
      <c t="s" s="6" r="AL1351">
        <v>92</v>
      </c>
      <c t="s" s="6" r="AM1351">
        <v>92</v>
      </c>
      <c t="s" s="6" r="AN1351">
        <v>92</v>
      </c>
      <c s="6" r="AP1351">
        <v>4</v>
      </c>
      <c t="s" s="6" r="AR1351">
        <v>9702</v>
      </c>
      <c s="6" r="AS1351">
        <v>0</v>
      </c>
      <c s="6" r="AT1351">
        <v>0</v>
      </c>
      <c s="6" r="AU1351">
        <v>0</v>
      </c>
      <c s="6" r="AV1351">
        <v>0</v>
      </c>
      <c s="6" r="AW1351">
        <v>0</v>
      </c>
      <c s="6" r="AX1351">
        <v>0</v>
      </c>
      <c s="6" r="AY1351">
        <v>0</v>
      </c>
      <c s="6" r="AZ1351">
        <v>0</v>
      </c>
      <c s="6" r="BA1351">
        <v>0</v>
      </c>
      <c s="6" r="BB1351">
        <v>0</v>
      </c>
      <c s="6" r="BC1351">
        <v>0</v>
      </c>
      <c s="6" r="BD1351">
        <v>0</v>
      </c>
      <c s="6" r="BE1351">
        <v>0</v>
      </c>
      <c s="6" r="BF1351">
        <v>0</v>
      </c>
      <c s="6" r="BG1351">
        <v>0</v>
      </c>
      <c s="6" r="BH1351">
        <v>0</v>
      </c>
      <c s="6" r="BI1351">
        <v>0</v>
      </c>
      <c s="6" r="BJ1351">
        <v>0</v>
      </c>
      <c s="6" r="BK1351">
        <v>0</v>
      </c>
      <c s="6" r="BL1351">
        <v>0</v>
      </c>
      <c s="6" r="BM1351">
        <v>0</v>
      </c>
      <c s="6" r="BN1351">
        <v>0</v>
      </c>
      <c s="6" r="BO1351">
        <v>0</v>
      </c>
      <c s="6" r="BP1351">
        <v>0</v>
      </c>
      <c s="6" r="BQ1351">
        <v>0</v>
      </c>
      <c t="str" s="6" r="BR1351">
        <f>HYPERLINK("http://www.d20pfsrd.com/magic/all-spells/m/mutagenic-touch","Mutagenic Touch")</f>
        <v>Mutagenic Touch</v>
      </c>
      <c s="6" r="BS1351">
        <v>1374</v>
      </c>
      <c t="s" s="6" r="BT1351">
        <v>92</v>
      </c>
      <c s="6" r="BY1351">
        <v>0</v>
      </c>
    </row>
    <row customHeight="1" r="1352" ht="14.25">
      <c t="s" s="6" r="A1352">
        <v>9703</v>
      </c>
      <c t="s" s="6" r="B1352">
        <v>174</v>
      </c>
      <c t="s" s="6" r="E1352">
        <v>9704</v>
      </c>
      <c t="s" s="6" r="F1352">
        <v>81</v>
      </c>
      <c t="s" s="6" r="G1352">
        <v>9705</v>
      </c>
      <c s="6" r="H1352">
        <v>0</v>
      </c>
      <c t="s" s="6" r="I1352">
        <v>120</v>
      </c>
      <c t="s" s="6" r="L1352">
        <v>9706</v>
      </c>
      <c t="s" s="6" r="M1352">
        <v>8817</v>
      </c>
      <c s="6" r="N1352">
        <v>0</v>
      </c>
      <c s="6" r="O1352">
        <v>0</v>
      </c>
      <c t="s" s="6" r="P1352">
        <v>144</v>
      </c>
      <c t="s" s="6" r="Q1352">
        <v>145</v>
      </c>
      <c t="s" s="6" r="R1352">
        <v>9707</v>
      </c>
      <c t="s" s="6" r="S1352">
        <v>9708</v>
      </c>
      <c t="s" s="6" r="T1352">
        <v>9149</v>
      </c>
      <c t="s" s="6" r="U1352">
        <v>9709</v>
      </c>
      <c s="6" r="V1352">
        <v>1</v>
      </c>
      <c s="6" r="W1352">
        <v>1</v>
      </c>
      <c s="6" r="X1352">
        <v>1</v>
      </c>
      <c s="6" r="Y1352">
        <v>0</v>
      </c>
      <c s="6" r="Z1352">
        <v>1</v>
      </c>
      <c s="6" r="AA1352">
        <v>4</v>
      </c>
      <c s="6" r="AB1352">
        <v>4</v>
      </c>
      <c t="s" s="6" r="AC1352">
        <v>92</v>
      </c>
      <c t="s" s="6" r="AD1352">
        <v>92</v>
      </c>
      <c s="6" r="AE1352">
        <v>3</v>
      </c>
      <c t="s" s="6" r="AF1352">
        <v>92</v>
      </c>
      <c t="s" s="6" r="AG1352">
        <v>92</v>
      </c>
      <c t="s" s="6" r="AH1352">
        <v>92</v>
      </c>
      <c t="s" s="6" r="AI1352">
        <v>92</v>
      </c>
      <c s="6" r="AJ1352">
        <v>4</v>
      </c>
      <c s="6" r="AK1352">
        <v>4</v>
      </c>
      <c t="s" s="6" r="AL1352">
        <v>92</v>
      </c>
      <c t="s" s="6" r="AM1352">
        <v>92</v>
      </c>
      <c t="s" s="6" r="AN1352">
        <v>92</v>
      </c>
      <c s="6" r="AP1352">
        <v>4</v>
      </c>
      <c t="s" s="6" r="AR1352">
        <v>9710</v>
      </c>
      <c s="6" r="AS1352">
        <v>0</v>
      </c>
      <c s="6" r="AT1352">
        <v>0</v>
      </c>
      <c s="6" r="AU1352">
        <v>0</v>
      </c>
      <c s="6" r="AV1352">
        <v>0</v>
      </c>
      <c s="6" r="AW1352">
        <v>0</v>
      </c>
      <c s="6" r="AX1352">
        <v>0</v>
      </c>
      <c s="6" r="AY1352">
        <v>0</v>
      </c>
      <c s="6" r="AZ1352">
        <v>0</v>
      </c>
      <c s="6" r="BA1352">
        <v>0</v>
      </c>
      <c s="6" r="BB1352">
        <v>0</v>
      </c>
      <c s="6" r="BC1352">
        <v>0</v>
      </c>
      <c s="6" r="BD1352">
        <v>0</v>
      </c>
      <c s="6" r="BE1352">
        <v>0</v>
      </c>
      <c s="6" r="BF1352">
        <v>0</v>
      </c>
      <c s="6" r="BG1352">
        <v>0</v>
      </c>
      <c s="6" r="BH1352">
        <v>0</v>
      </c>
      <c s="6" r="BI1352">
        <v>0</v>
      </c>
      <c s="6" r="BJ1352">
        <v>0</v>
      </c>
      <c s="6" r="BK1352">
        <v>0</v>
      </c>
      <c s="6" r="BL1352">
        <v>0</v>
      </c>
      <c s="6" r="BM1352">
        <v>0</v>
      </c>
      <c s="6" r="BN1352">
        <v>0</v>
      </c>
      <c s="6" r="BO1352">
        <v>0</v>
      </c>
      <c s="6" r="BP1352">
        <v>0</v>
      </c>
      <c s="6" r="BQ1352">
        <v>0</v>
      </c>
      <c t="str" s="6" r="BR1352">
        <f>HYPERLINK("http://www.d20pfsrd.com/magic/all-spells/n/named-bullet","Named Bullet")</f>
        <v>Named Bullet</v>
      </c>
      <c s="6" r="BS1352">
        <v>1375</v>
      </c>
      <c t="s" s="6" r="BT1352">
        <v>92</v>
      </c>
      <c t="s" s="6" r="BW1352">
        <v>9711</v>
      </c>
      <c t="s" s="6" r="BX1352">
        <v>9712</v>
      </c>
      <c s="6" r="BY1352">
        <v>1</v>
      </c>
    </row>
    <row customHeight="1" r="1353" ht="14.25">
      <c t="s" s="6" r="A1353">
        <v>9713</v>
      </c>
      <c t="s" s="6" r="B1353">
        <v>174</v>
      </c>
      <c t="s" s="6" r="E1353">
        <v>9714</v>
      </c>
      <c t="s" s="6" r="F1353">
        <v>81</v>
      </c>
      <c t="s" s="6" r="G1353">
        <v>9705</v>
      </c>
      <c s="6" r="H1353">
        <v>0</v>
      </c>
      <c t="s" s="6" r="I1353">
        <v>120</v>
      </c>
      <c t="s" s="6" r="L1353">
        <v>9706</v>
      </c>
      <c t="s" s="6" r="M1353">
        <v>8817</v>
      </c>
      <c s="6" r="N1353">
        <v>0</v>
      </c>
      <c s="6" r="O1353">
        <v>0</v>
      </c>
      <c t="s" s="6" r="P1353">
        <v>144</v>
      </c>
      <c t="s" s="6" r="Q1353">
        <v>145</v>
      </c>
      <c t="s" s="6" r="R1353">
        <v>9715</v>
      </c>
      <c t="s" s="6" r="S1353">
        <v>9716</v>
      </c>
      <c t="s" s="6" r="T1353">
        <v>9149</v>
      </c>
      <c t="s" s="6" r="U1353">
        <v>9717</v>
      </c>
      <c s="6" r="V1353">
        <v>1</v>
      </c>
      <c s="6" r="W1353">
        <v>1</v>
      </c>
      <c s="6" r="X1353">
        <v>1</v>
      </c>
      <c s="6" r="Y1353">
        <v>0</v>
      </c>
      <c s="6" r="Z1353">
        <v>1</v>
      </c>
      <c s="6" r="AA1353">
        <v>6</v>
      </c>
      <c s="6" r="AB1353">
        <v>6</v>
      </c>
      <c t="s" s="6" r="AC1353">
        <v>92</v>
      </c>
      <c t="s" s="6" r="AD1353">
        <v>92</v>
      </c>
      <c s="6" r="AE1353">
        <v>4</v>
      </c>
      <c t="s" s="6" r="AF1353">
        <v>92</v>
      </c>
      <c t="s" s="6" r="AG1353">
        <v>92</v>
      </c>
      <c t="s" s="6" r="AH1353">
        <v>92</v>
      </c>
      <c t="s" s="6" r="AI1353">
        <v>92</v>
      </c>
      <c s="6" r="AJ1353">
        <v>6</v>
      </c>
      <c s="6" r="AK1353">
        <v>6</v>
      </c>
      <c t="s" s="6" r="AL1353">
        <v>92</v>
      </c>
      <c t="s" s="6" r="AM1353">
        <v>92</v>
      </c>
      <c t="s" s="6" r="AN1353">
        <v>92</v>
      </c>
      <c s="6" r="AP1353">
        <v>6</v>
      </c>
      <c t="s" s="6" r="AR1353">
        <v>9718</v>
      </c>
      <c s="6" r="AS1353">
        <v>0</v>
      </c>
      <c s="6" r="AT1353">
        <v>0</v>
      </c>
      <c s="6" r="AU1353">
        <v>0</v>
      </c>
      <c s="6" r="AV1353">
        <v>0</v>
      </c>
      <c s="6" r="AW1353">
        <v>0</v>
      </c>
      <c s="6" r="AX1353">
        <v>0</v>
      </c>
      <c s="6" r="AY1353">
        <v>0</v>
      </c>
      <c s="6" r="AZ1353">
        <v>0</v>
      </c>
      <c s="6" r="BA1353">
        <v>0</v>
      </c>
      <c s="6" r="BB1353">
        <v>0</v>
      </c>
      <c s="6" r="BC1353">
        <v>0</v>
      </c>
      <c s="6" r="BD1353">
        <v>0</v>
      </c>
      <c s="6" r="BE1353">
        <v>0</v>
      </c>
      <c s="6" r="BF1353">
        <v>0</v>
      </c>
      <c s="6" r="BG1353">
        <v>0</v>
      </c>
      <c s="6" r="BH1353">
        <v>0</v>
      </c>
      <c s="6" r="BI1353">
        <v>0</v>
      </c>
      <c s="6" r="BJ1353">
        <v>0</v>
      </c>
      <c s="6" r="BK1353">
        <v>0</v>
      </c>
      <c s="6" r="BL1353">
        <v>0</v>
      </c>
      <c s="6" r="BM1353">
        <v>0</v>
      </c>
      <c s="6" r="BN1353">
        <v>0</v>
      </c>
      <c s="6" r="BO1353">
        <v>0</v>
      </c>
      <c s="6" r="BP1353">
        <v>0</v>
      </c>
      <c s="6" r="BQ1353">
        <v>0</v>
      </c>
      <c t="str" s="6" r="BR1353">
        <f>HYPERLINK("http://www.d20pfsrd.com/magic/all-spells/n/named-bullet#TOC-Named-Bullet-Greater","Named Bullet, Greater")</f>
        <v>Named Bullet, Greater</v>
      </c>
      <c s="6" r="BS1353">
        <v>1376</v>
      </c>
      <c t="s" s="6" r="BT1353">
        <v>92</v>
      </c>
      <c s="6" r="BY1353">
        <v>0</v>
      </c>
    </row>
    <row customHeight="1" r="1354" ht="14.25">
      <c t="s" s="6" r="A1354">
        <v>9719</v>
      </c>
      <c t="s" s="6" r="B1354">
        <v>579</v>
      </c>
      <c t="s" s="6" r="E1354">
        <v>9720</v>
      </c>
      <c t="s" s="6" r="F1354">
        <v>81</v>
      </c>
      <c t="s" s="6" r="G1354">
        <v>2086</v>
      </c>
      <c s="6" r="H1354">
        <v>0</v>
      </c>
      <c t="s" s="6" r="I1354">
        <v>107</v>
      </c>
      <c t="s" s="6" r="L1354">
        <v>1235</v>
      </c>
      <c t="s" s="6" r="M1354">
        <v>99</v>
      </c>
      <c s="6" r="N1354">
        <v>0</v>
      </c>
      <c s="6" r="O1354">
        <v>0</v>
      </c>
      <c t="s" s="6" r="P1354">
        <v>221</v>
      </c>
      <c t="s" s="6" r="Q1354">
        <v>188</v>
      </c>
      <c t="s" s="6" r="R1354">
        <v>9721</v>
      </c>
      <c t="s" s="6" r="S1354">
        <v>9722</v>
      </c>
      <c t="s" s="6" r="T1354">
        <v>9149</v>
      </c>
      <c t="s" s="6" r="U1354">
        <v>9723</v>
      </c>
      <c s="6" r="V1354">
        <v>0</v>
      </c>
      <c s="6" r="W1354">
        <v>1</v>
      </c>
      <c s="6" r="X1354">
        <v>0</v>
      </c>
      <c s="6" r="Y1354">
        <v>0</v>
      </c>
      <c s="6" r="Z1354">
        <v>0</v>
      </c>
      <c s="6" r="AA1354">
        <v>1</v>
      </c>
      <c s="6" r="AB1354">
        <v>1</v>
      </c>
      <c t="s" s="6" r="AC1354">
        <v>92</v>
      </c>
      <c t="s" s="6" r="AD1354">
        <v>92</v>
      </c>
      <c t="s" s="6" r="AE1354">
        <v>92</v>
      </c>
      <c s="6" r="AF1354">
        <v>1</v>
      </c>
      <c t="s" s="6" r="AG1354">
        <v>92</v>
      </c>
      <c t="s" s="6" r="AH1354">
        <v>92</v>
      </c>
      <c t="s" s="6" r="AI1354">
        <v>92</v>
      </c>
      <c s="6" r="AJ1354">
        <v>1</v>
      </c>
      <c t="s" s="6" r="AK1354">
        <v>92</v>
      </c>
      <c t="s" s="6" r="AL1354">
        <v>92</v>
      </c>
      <c t="s" s="6" r="AM1354">
        <v>92</v>
      </c>
      <c s="6" r="AN1354">
        <v>1</v>
      </c>
      <c s="6" r="AP1354">
        <v>1</v>
      </c>
      <c t="s" s="6" r="AR1354">
        <v>9724</v>
      </c>
      <c s="6" r="AS1354">
        <v>0</v>
      </c>
      <c s="6" r="AT1354">
        <v>0</v>
      </c>
      <c s="6" r="AU1354">
        <v>0</v>
      </c>
      <c s="6" r="AV1354">
        <v>0</v>
      </c>
      <c s="6" r="AW1354">
        <v>0</v>
      </c>
      <c s="6" r="AX1354">
        <v>0</v>
      </c>
      <c s="6" r="AY1354">
        <v>0</v>
      </c>
      <c s="6" r="AZ1354">
        <v>0</v>
      </c>
      <c s="6" r="BA1354">
        <v>0</v>
      </c>
      <c s="6" r="BB1354">
        <v>0</v>
      </c>
      <c s="6" r="BC1354">
        <v>0</v>
      </c>
      <c s="6" r="BD1354">
        <v>0</v>
      </c>
      <c s="6" r="BE1354">
        <v>0</v>
      </c>
      <c s="6" r="BF1354">
        <v>0</v>
      </c>
      <c s="6" r="BG1354">
        <v>0</v>
      </c>
      <c s="6" r="BH1354">
        <v>0</v>
      </c>
      <c s="6" r="BI1354">
        <v>0</v>
      </c>
      <c s="6" r="BJ1354">
        <v>0</v>
      </c>
      <c s="6" r="BK1354">
        <v>0</v>
      </c>
      <c s="6" r="BL1354">
        <v>0</v>
      </c>
      <c s="6" r="BM1354">
        <v>0</v>
      </c>
      <c s="6" r="BN1354">
        <v>0</v>
      </c>
      <c s="6" r="BO1354">
        <v>0</v>
      </c>
      <c s="6" r="BP1354">
        <v>0</v>
      </c>
      <c s="6" r="BQ1354">
        <v>0</v>
      </c>
      <c t="str" s="6" r="BR1354">
        <f>HYPERLINK("http://www.d20pfsrd.com/magic/all-spells/n/negative-reaction","Negative Reaction")</f>
        <v>Negative Reaction</v>
      </c>
      <c s="6" r="BS1354">
        <v>1377</v>
      </c>
      <c t="s" s="6" r="BT1354">
        <v>92</v>
      </c>
      <c s="6" r="BY1354">
        <v>0</v>
      </c>
    </row>
    <row customHeight="1" r="1355" ht="14.25">
      <c t="s" s="6" r="A1355">
        <v>9725</v>
      </c>
      <c t="s" s="6" r="B1355">
        <v>162</v>
      </c>
      <c t="s" s="6" r="E1355">
        <v>9726</v>
      </c>
      <c t="s" s="6" r="F1355">
        <v>81</v>
      </c>
      <c t="s" s="6" r="G1355">
        <v>9727</v>
      </c>
      <c s="6" r="H1355">
        <v>1</v>
      </c>
      <c t="s" s="6" r="I1355">
        <v>120</v>
      </c>
      <c t="s" s="6" r="L1355">
        <v>9666</v>
      </c>
      <c t="s" s="6" r="M1355">
        <v>209</v>
      </c>
      <c s="6" r="N1355">
        <v>0</v>
      </c>
      <c s="6" r="O1355">
        <v>0</v>
      </c>
      <c t="s" s="6" r="P1355">
        <v>144</v>
      </c>
      <c t="s" s="6" r="Q1355">
        <v>145</v>
      </c>
      <c t="s" s="6" r="R1355">
        <v>9728</v>
      </c>
      <c t="s" s="6" r="S1355">
        <v>9729</v>
      </c>
      <c t="s" s="6" r="T1355">
        <v>9149</v>
      </c>
      <c t="s" s="6" r="U1355">
        <v>9730</v>
      </c>
      <c s="6" r="V1355">
        <v>1</v>
      </c>
      <c s="6" r="W1355">
        <v>1</v>
      </c>
      <c s="6" r="X1355">
        <v>1</v>
      </c>
      <c s="6" r="Y1355">
        <v>0</v>
      </c>
      <c s="6" r="Z1355">
        <v>0</v>
      </c>
      <c s="6" r="AA1355">
        <v>4</v>
      </c>
      <c s="6" r="AB1355">
        <v>4</v>
      </c>
      <c t="s" s="6" r="AC1355">
        <v>92</v>
      </c>
      <c t="s" s="6" r="AD1355">
        <v>92</v>
      </c>
      <c t="s" s="6" r="AE1355">
        <v>92</v>
      </c>
      <c t="s" s="6" r="AF1355">
        <v>92</v>
      </c>
      <c t="s" s="6" r="AG1355">
        <v>92</v>
      </c>
      <c t="s" s="6" r="AH1355">
        <v>92</v>
      </c>
      <c t="s" s="6" r="AI1355">
        <v>92</v>
      </c>
      <c t="s" s="6" r="AJ1355">
        <v>92</v>
      </c>
      <c t="s" s="6" r="AK1355">
        <v>92</v>
      </c>
      <c t="s" s="6" r="AL1355">
        <v>92</v>
      </c>
      <c s="6" r="AM1355">
        <v>4</v>
      </c>
      <c t="s" s="6" r="AN1355">
        <v>92</v>
      </c>
      <c s="6" r="AP1355">
        <v>4</v>
      </c>
      <c t="s" s="6" r="AR1355">
        <v>9731</v>
      </c>
      <c s="6" r="AS1355">
        <v>0</v>
      </c>
      <c s="6" r="AT1355">
        <v>0</v>
      </c>
      <c s="6" r="AU1355">
        <v>0</v>
      </c>
      <c s="6" r="AV1355">
        <v>0</v>
      </c>
      <c s="6" r="AW1355">
        <v>0</v>
      </c>
      <c s="6" r="AX1355">
        <v>0</v>
      </c>
      <c s="6" r="AY1355">
        <v>0</v>
      </c>
      <c s="6" r="AZ1355">
        <v>0</v>
      </c>
      <c s="6" r="BA1355">
        <v>0</v>
      </c>
      <c s="6" r="BB1355">
        <v>0</v>
      </c>
      <c s="6" r="BC1355">
        <v>0</v>
      </c>
      <c s="6" r="BD1355">
        <v>0</v>
      </c>
      <c s="6" r="BE1355">
        <v>0</v>
      </c>
      <c s="6" r="BF1355">
        <v>0</v>
      </c>
      <c s="6" r="BG1355">
        <v>0</v>
      </c>
      <c s="6" r="BH1355">
        <v>0</v>
      </c>
      <c s="6" r="BI1355">
        <v>0</v>
      </c>
      <c s="6" r="BJ1355">
        <v>0</v>
      </c>
      <c s="6" r="BK1355">
        <v>0</v>
      </c>
      <c s="6" r="BL1355">
        <v>0</v>
      </c>
      <c s="6" r="BM1355">
        <v>0</v>
      </c>
      <c s="6" r="BN1355">
        <v>0</v>
      </c>
      <c s="6" r="BO1355">
        <v>0</v>
      </c>
      <c s="6" r="BP1355">
        <v>0</v>
      </c>
      <c s="6" r="BQ1355">
        <v>0</v>
      </c>
      <c t="str" s="6" r="BR1355">
        <f>HYPERLINK("http://www.d20pfsrd.com/magic/all-spells/n/nondetection#TOC-Nondetection-Communal","Nondetection, Communal")</f>
        <v>Nondetection, Communal</v>
      </c>
      <c s="6" r="BS1355">
        <v>1378</v>
      </c>
      <c s="6" r="BT1355">
        <v>25</v>
      </c>
      <c s="6" r="BY1355">
        <v>0</v>
      </c>
    </row>
    <row customHeight="1" r="1356" ht="14.25">
      <c t="s" s="6" r="A1356">
        <v>9732</v>
      </c>
      <c t="s" s="6" r="B1356">
        <v>131</v>
      </c>
      <c t="s" s="6" r="D1356">
        <v>6870</v>
      </c>
      <c t="s" s="6" r="E1356">
        <v>9733</v>
      </c>
      <c t="s" s="6" r="F1356">
        <v>81</v>
      </c>
      <c t="s" s="6" r="G1356">
        <v>9734</v>
      </c>
      <c s="6" r="H1356">
        <v>0</v>
      </c>
      <c t="s" s="6" r="I1356">
        <v>107</v>
      </c>
      <c t="s" s="6" r="J1356">
        <v>720</v>
      </c>
      <c t="s" s="6" r="M1356">
        <v>109</v>
      </c>
      <c s="6" r="N1356">
        <v>0</v>
      </c>
      <c s="6" r="O1356">
        <v>0</v>
      </c>
      <c t="s" s="6" r="P1356">
        <v>5524</v>
      </c>
      <c t="s" s="6" r="Q1356">
        <v>87</v>
      </c>
      <c t="s" s="6" r="R1356">
        <v>9735</v>
      </c>
      <c t="s" s="6" r="S1356">
        <v>9736</v>
      </c>
      <c t="s" s="6" r="T1356">
        <v>9149</v>
      </c>
      <c t="s" s="6" r="U1356">
        <v>9737</v>
      </c>
      <c s="6" r="V1356">
        <v>1</v>
      </c>
      <c s="6" r="W1356">
        <v>1</v>
      </c>
      <c s="6" r="X1356">
        <v>1</v>
      </c>
      <c s="6" r="Y1356">
        <v>0</v>
      </c>
      <c s="6" r="Z1356">
        <v>1</v>
      </c>
      <c s="6" r="AA1356">
        <v>4</v>
      </c>
      <c s="6" r="AB1356">
        <v>4</v>
      </c>
      <c t="s" s="6" r="AC1356">
        <v>92</v>
      </c>
      <c s="6" r="AD1356">
        <v>4</v>
      </c>
      <c t="s" s="6" r="AE1356">
        <v>92</v>
      </c>
      <c t="s" s="6" r="AF1356">
        <v>92</v>
      </c>
      <c t="s" s="6" r="AG1356">
        <v>92</v>
      </c>
      <c t="s" s="6" r="AH1356">
        <v>92</v>
      </c>
      <c s="6" r="AI1356">
        <v>3</v>
      </c>
      <c t="s" s="6" r="AJ1356">
        <v>92</v>
      </c>
      <c t="s" s="6" r="AK1356">
        <v>92</v>
      </c>
      <c t="s" s="6" r="AL1356">
        <v>92</v>
      </c>
      <c t="s" s="6" r="AM1356">
        <v>92</v>
      </c>
      <c t="s" s="6" r="AN1356">
        <v>92</v>
      </c>
      <c s="6" r="AP1356">
        <v>4</v>
      </c>
      <c t="s" s="6" r="AR1356">
        <v>9738</v>
      </c>
      <c s="6" r="AS1356">
        <v>0</v>
      </c>
      <c s="6" r="AT1356">
        <v>0</v>
      </c>
      <c s="6" r="AU1356">
        <v>0</v>
      </c>
      <c s="6" r="AV1356">
        <v>0</v>
      </c>
      <c s="6" r="AW1356">
        <v>0</v>
      </c>
      <c s="6" r="AX1356">
        <v>0</v>
      </c>
      <c s="6" r="AY1356">
        <v>0</v>
      </c>
      <c s="6" r="AZ1356">
        <v>0</v>
      </c>
      <c s="6" r="BA1356">
        <v>1</v>
      </c>
      <c s="6" r="BB1356">
        <v>0</v>
      </c>
      <c s="6" r="BC1356">
        <v>0</v>
      </c>
      <c s="6" r="BD1356">
        <v>0</v>
      </c>
      <c s="6" r="BE1356">
        <v>0</v>
      </c>
      <c s="6" r="BF1356">
        <v>1</v>
      </c>
      <c s="6" r="BG1356">
        <v>0</v>
      </c>
      <c s="6" r="BH1356">
        <v>0</v>
      </c>
      <c s="6" r="BI1356">
        <v>0</v>
      </c>
      <c s="6" r="BJ1356">
        <v>0</v>
      </c>
      <c s="6" r="BK1356">
        <v>0</v>
      </c>
      <c s="6" r="BL1356">
        <v>0</v>
      </c>
      <c s="6" r="BM1356">
        <v>0</v>
      </c>
      <c s="6" r="BN1356">
        <v>0</v>
      </c>
      <c s="6" r="BO1356">
        <v>0</v>
      </c>
      <c s="6" r="BP1356">
        <v>0</v>
      </c>
      <c s="6" r="BQ1356">
        <v>0</v>
      </c>
      <c t="str" s="6" r="BR1356">
        <f>HYPERLINK("http://www.d20pfsrd.com/magic/all-spells/o/obsidian-flow","Obsidian Flow")</f>
        <v>Obsidian Flow</v>
      </c>
      <c s="6" r="BS1356">
        <v>1379</v>
      </c>
      <c t="s" s="6" r="BT1356">
        <v>92</v>
      </c>
      <c s="6" r="BY1356">
        <v>0</v>
      </c>
    </row>
    <row customHeight="1" r="1357" ht="14.25">
      <c t="s" s="6" r="A1357">
        <v>9739</v>
      </c>
      <c t="s" s="6" r="B1357">
        <v>162</v>
      </c>
      <c t="s" s="6" r="E1357">
        <v>7825</v>
      </c>
      <c t="s" s="6" r="F1357">
        <v>81</v>
      </c>
      <c t="s" s="6" r="G1357">
        <v>2086</v>
      </c>
      <c s="6" r="H1357">
        <v>0</v>
      </c>
      <c t="s" s="6" r="I1357">
        <v>107</v>
      </c>
      <c t="s" s="6" r="L1357">
        <v>9740</v>
      </c>
      <c t="s" s="6" r="M1357">
        <v>2718</v>
      </c>
      <c s="6" r="N1357">
        <v>0</v>
      </c>
      <c s="6" r="O1357">
        <v>0</v>
      </c>
      <c t="s" s="6" r="P1357">
        <v>535</v>
      </c>
      <c t="s" s="6" r="Q1357">
        <v>536</v>
      </c>
      <c t="s" s="6" r="R1357">
        <v>9741</v>
      </c>
      <c t="s" s="6" r="S1357">
        <v>9742</v>
      </c>
      <c t="s" s="6" r="T1357">
        <v>9149</v>
      </c>
      <c t="s" s="6" r="U1357">
        <v>9743</v>
      </c>
      <c s="6" r="V1357">
        <v>0</v>
      </c>
      <c s="6" r="W1357">
        <v>1</v>
      </c>
      <c s="6" r="X1357">
        <v>0</v>
      </c>
      <c s="6" r="Y1357">
        <v>0</v>
      </c>
      <c s="6" r="Z1357">
        <v>0</v>
      </c>
      <c s="6" r="AA1357">
        <v>1</v>
      </c>
      <c s="6" r="AB1357">
        <v>1</v>
      </c>
      <c t="s" s="6" r="AC1357">
        <v>92</v>
      </c>
      <c t="s" s="6" r="AD1357">
        <v>92</v>
      </c>
      <c t="s" s="6" r="AE1357">
        <v>92</v>
      </c>
      <c t="s" s="6" r="AF1357">
        <v>92</v>
      </c>
      <c t="s" s="6" r="AG1357">
        <v>92</v>
      </c>
      <c t="s" s="6" r="AH1357">
        <v>92</v>
      </c>
      <c t="s" s="6" r="AI1357">
        <v>92</v>
      </c>
      <c s="6" r="AJ1357">
        <v>1</v>
      </c>
      <c s="6" r="AK1357">
        <v>1</v>
      </c>
      <c t="s" s="6" r="AL1357">
        <v>92</v>
      </c>
      <c t="s" s="6" r="AM1357">
        <v>92</v>
      </c>
      <c t="s" s="6" r="AN1357">
        <v>92</v>
      </c>
      <c s="6" r="AP1357">
        <v>1</v>
      </c>
      <c t="s" s="6" r="AR1357">
        <v>9744</v>
      </c>
      <c s="6" r="AS1357">
        <v>0</v>
      </c>
      <c s="6" r="AT1357">
        <v>0</v>
      </c>
      <c s="6" r="AU1357">
        <v>0</v>
      </c>
      <c s="6" r="AV1357">
        <v>0</v>
      </c>
      <c s="6" r="AW1357">
        <v>0</v>
      </c>
      <c s="6" r="AX1357">
        <v>0</v>
      </c>
      <c s="6" r="AY1357">
        <v>0</v>
      </c>
      <c s="6" r="AZ1357">
        <v>0</v>
      </c>
      <c s="6" r="BA1357">
        <v>0</v>
      </c>
      <c s="6" r="BB1357">
        <v>0</v>
      </c>
      <c s="6" r="BC1357">
        <v>0</v>
      </c>
      <c s="6" r="BD1357">
        <v>0</v>
      </c>
      <c s="6" r="BE1357">
        <v>0</v>
      </c>
      <c s="6" r="BF1357">
        <v>0</v>
      </c>
      <c s="6" r="BG1357">
        <v>0</v>
      </c>
      <c s="6" r="BH1357">
        <v>0</v>
      </c>
      <c s="6" r="BI1357">
        <v>0</v>
      </c>
      <c s="6" r="BJ1357">
        <v>0</v>
      </c>
      <c s="6" r="BK1357">
        <v>0</v>
      </c>
      <c s="6" r="BL1357">
        <v>0</v>
      </c>
      <c s="6" r="BM1357">
        <v>0</v>
      </c>
      <c s="6" r="BN1357">
        <v>0</v>
      </c>
      <c s="6" r="BO1357">
        <v>0</v>
      </c>
      <c s="6" r="BP1357">
        <v>0</v>
      </c>
      <c s="6" r="BQ1357">
        <v>0</v>
      </c>
      <c t="str" s="6" r="BR1357">
        <f>HYPERLINK("http://www.d20pfsrd.com/magic/all-spells/p/peacebond","Peacebond")</f>
        <v>Peacebond</v>
      </c>
      <c s="6" r="BS1357">
        <v>1380</v>
      </c>
      <c t="s" s="6" r="BT1357">
        <v>92</v>
      </c>
      <c s="6" r="BY1357">
        <v>0</v>
      </c>
    </row>
    <row customHeight="1" r="1358" ht="14.25">
      <c t="s" s="6" r="A1358">
        <v>9745</v>
      </c>
      <c t="s" s="6" r="B1358">
        <v>78</v>
      </c>
      <c t="s" s="6" r="C1358">
        <v>79</v>
      </c>
      <c t="s" s="6" r="E1358">
        <v>9746</v>
      </c>
      <c t="s" s="6" r="F1358">
        <v>81</v>
      </c>
      <c t="s" s="6" r="G1358">
        <v>9747</v>
      </c>
      <c s="6" r="H1358">
        <v>0</v>
      </c>
      <c t="s" s="6" r="I1358">
        <v>1052</v>
      </c>
      <c t="s" s="6" r="J1358">
        <v>630</v>
      </c>
      <c t="s" s="6" r="M1358">
        <v>109</v>
      </c>
      <c s="6" r="N1358">
        <v>0</v>
      </c>
      <c s="6" r="O1358">
        <v>0</v>
      </c>
      <c t="s" s="6" r="P1358">
        <v>631</v>
      </c>
      <c t="s" s="6" r="Q1358">
        <v>87</v>
      </c>
      <c t="s" s="6" r="R1358">
        <v>9748</v>
      </c>
      <c t="s" s="6" r="S1358">
        <v>9749</v>
      </c>
      <c t="s" s="6" r="T1358">
        <v>9149</v>
      </c>
      <c t="s" s="6" r="U1358">
        <v>9750</v>
      </c>
      <c s="6" r="V1358">
        <v>1</v>
      </c>
      <c s="6" r="W1358">
        <v>1</v>
      </c>
      <c s="6" r="X1358">
        <v>1</v>
      </c>
      <c s="6" r="Y1358">
        <v>0</v>
      </c>
      <c s="6" r="Z1358">
        <v>0</v>
      </c>
      <c s="6" r="AA1358">
        <v>3</v>
      </c>
      <c s="6" r="AB1358">
        <v>3</v>
      </c>
      <c t="s" s="6" r="AC1358">
        <v>92</v>
      </c>
      <c t="s" s="6" r="AD1358">
        <v>92</v>
      </c>
      <c t="s" s="6" r="AE1358">
        <v>92</v>
      </c>
      <c t="s" s="6" r="AF1358">
        <v>92</v>
      </c>
      <c t="s" s="6" r="AG1358">
        <v>92</v>
      </c>
      <c t="s" s="6" r="AH1358">
        <v>92</v>
      </c>
      <c s="6" r="AI1358">
        <v>3</v>
      </c>
      <c t="s" s="6" r="AJ1358">
        <v>92</v>
      </c>
      <c t="s" s="6" r="AK1358">
        <v>92</v>
      </c>
      <c t="s" s="6" r="AL1358">
        <v>92</v>
      </c>
      <c t="s" s="6" r="AM1358">
        <v>92</v>
      </c>
      <c s="6" r="AN1358">
        <v>4</v>
      </c>
      <c s="6" r="AP1358">
        <v>3</v>
      </c>
      <c t="s" s="6" r="AR1358">
        <v>9751</v>
      </c>
      <c s="6" r="AS1358">
        <v>0</v>
      </c>
      <c s="6" r="AT1358">
        <v>0</v>
      </c>
      <c s="6" r="AU1358">
        <v>0</v>
      </c>
      <c s="6" r="AV1358">
        <v>0</v>
      </c>
      <c s="6" r="AW1358">
        <v>0</v>
      </c>
      <c s="6" r="AX1358">
        <v>0</v>
      </c>
      <c s="6" r="AY1358">
        <v>0</v>
      </c>
      <c s="6" r="AZ1358">
        <v>0</v>
      </c>
      <c s="6" r="BA1358">
        <v>0</v>
      </c>
      <c s="6" r="BB1358">
        <v>0</v>
      </c>
      <c s="6" r="BC1358">
        <v>0</v>
      </c>
      <c s="6" r="BD1358">
        <v>0</v>
      </c>
      <c s="6" r="BE1358">
        <v>0</v>
      </c>
      <c s="6" r="BF1358">
        <v>0</v>
      </c>
      <c s="6" r="BG1358">
        <v>0</v>
      </c>
      <c s="6" r="BH1358">
        <v>0</v>
      </c>
      <c s="6" r="BI1358">
        <v>0</v>
      </c>
      <c s="6" r="BJ1358">
        <v>0</v>
      </c>
      <c s="6" r="BK1358">
        <v>0</v>
      </c>
      <c s="6" r="BL1358">
        <v>0</v>
      </c>
      <c s="6" r="BM1358">
        <v>0</v>
      </c>
      <c s="6" r="BN1358">
        <v>0</v>
      </c>
      <c s="6" r="BO1358">
        <v>0</v>
      </c>
      <c s="6" r="BP1358">
        <v>0</v>
      </c>
      <c s="6" r="BQ1358">
        <v>0</v>
      </c>
      <c t="str" s="6" r="BR1358">
        <f>HYPERLINK("http://www.d20pfsrd.com/magic/all-spells/p/pellet-blast","Pellet Blast")</f>
        <v>Pellet Blast</v>
      </c>
      <c s="6" r="BS1358">
        <v>1381</v>
      </c>
      <c t="s" s="6" r="BT1358">
        <v>92</v>
      </c>
      <c s="6" r="BY1358">
        <v>0</v>
      </c>
    </row>
    <row customHeight="1" r="1359" ht="14.25">
      <c t="s" s="6" r="A1359">
        <v>9752</v>
      </c>
      <c t="s" s="6" r="B1359">
        <v>78</v>
      </c>
      <c t="s" s="6" r="C1359">
        <v>79</v>
      </c>
      <c t="s" s="6" r="E1359">
        <v>1627</v>
      </c>
      <c t="s" s="6" r="F1359">
        <v>311</v>
      </c>
      <c t="s" s="6" r="G1359">
        <v>106</v>
      </c>
      <c s="6" r="H1359">
        <v>0</v>
      </c>
      <c t="s" s="6" r="K1359">
        <v>9753</v>
      </c>
      <c t="s" s="6" r="M1359">
        <v>711</v>
      </c>
      <c s="6" r="N1359">
        <v>1</v>
      </c>
      <c s="6" r="O1359">
        <v>0</v>
      </c>
      <c t="s" s="6" r="P1359">
        <v>86</v>
      </c>
      <c t="s" s="6" r="Q1359">
        <v>87</v>
      </c>
      <c t="s" s="6" r="R1359">
        <v>9754</v>
      </c>
      <c t="s" s="6" r="S1359">
        <v>9755</v>
      </c>
      <c t="s" s="6" r="T1359">
        <v>9149</v>
      </c>
      <c t="s" s="6" r="U1359">
        <v>9756</v>
      </c>
      <c s="6" r="V1359">
        <v>1</v>
      </c>
      <c s="6" r="W1359">
        <v>1</v>
      </c>
      <c s="6" r="X1359">
        <v>0</v>
      </c>
      <c s="6" r="Y1359">
        <v>0</v>
      </c>
      <c s="6" r="Z1359">
        <v>0</v>
      </c>
      <c s="6" r="AA1359">
        <v>4</v>
      </c>
      <c s="6" r="AB1359">
        <v>4</v>
      </c>
      <c t="s" s="6" r="AC1359">
        <v>92</v>
      </c>
      <c t="s" s="6" r="AD1359">
        <v>92</v>
      </c>
      <c t="s" s="6" r="AE1359">
        <v>92</v>
      </c>
      <c t="s" s="6" r="AF1359">
        <v>92</v>
      </c>
      <c t="s" s="6" r="AG1359">
        <v>92</v>
      </c>
      <c t="s" s="6" r="AH1359">
        <v>92</v>
      </c>
      <c s="6" r="AI1359">
        <v>3</v>
      </c>
      <c t="s" s="6" r="AJ1359">
        <v>92</v>
      </c>
      <c t="s" s="6" r="AK1359">
        <v>92</v>
      </c>
      <c t="s" s="6" r="AL1359">
        <v>92</v>
      </c>
      <c t="s" s="6" r="AM1359">
        <v>92</v>
      </c>
      <c t="s" s="6" r="AN1359">
        <v>92</v>
      </c>
      <c s="6" r="AP1359">
        <v>4</v>
      </c>
      <c t="s" s="6" r="AR1359">
        <v>9757</v>
      </c>
      <c s="6" r="AS1359">
        <v>0</v>
      </c>
      <c s="6" r="AT1359">
        <v>0</v>
      </c>
      <c s="6" r="AU1359">
        <v>0</v>
      </c>
      <c s="6" r="AV1359">
        <v>0</v>
      </c>
      <c s="6" r="AW1359">
        <v>0</v>
      </c>
      <c s="6" r="AX1359">
        <v>0</v>
      </c>
      <c s="6" r="AY1359">
        <v>0</v>
      </c>
      <c s="6" r="AZ1359">
        <v>0</v>
      </c>
      <c s="6" r="BA1359">
        <v>0</v>
      </c>
      <c s="6" r="BB1359">
        <v>0</v>
      </c>
      <c s="6" r="BC1359">
        <v>0</v>
      </c>
      <c s="6" r="BD1359">
        <v>0</v>
      </c>
      <c s="6" r="BE1359">
        <v>0</v>
      </c>
      <c s="6" r="BF1359">
        <v>0</v>
      </c>
      <c s="6" r="BG1359">
        <v>0</v>
      </c>
      <c s="6" r="BH1359">
        <v>0</v>
      </c>
      <c s="6" r="BI1359">
        <v>0</v>
      </c>
      <c s="6" r="BJ1359">
        <v>0</v>
      </c>
      <c s="6" r="BK1359">
        <v>0</v>
      </c>
      <c s="6" r="BL1359">
        <v>0</v>
      </c>
      <c s="6" r="BM1359">
        <v>0</v>
      </c>
      <c s="6" r="BN1359">
        <v>0</v>
      </c>
      <c s="6" r="BO1359">
        <v>0</v>
      </c>
      <c s="6" r="BP1359">
        <v>0</v>
      </c>
      <c s="6" r="BQ1359">
        <v>0</v>
      </c>
      <c t="str" s="6" r="BR1359">
        <f>HYPERLINK("http://www.d20pfsrd.com/magic/all-spells/p/phantom-chariot","Phantom Chariot")</f>
        <v>Phantom Chariot</v>
      </c>
      <c s="6" r="BS1359">
        <v>1382</v>
      </c>
      <c t="s" s="6" r="BT1359">
        <v>92</v>
      </c>
      <c s="6" r="BY1359">
        <v>0</v>
      </c>
    </row>
    <row customHeight="1" r="1360" ht="14.25">
      <c t="s" s="6" r="A1360">
        <v>9758</v>
      </c>
      <c t="s" s="6" r="B1360">
        <v>78</v>
      </c>
      <c t="s" s="6" r="C1360">
        <v>79</v>
      </c>
      <c t="s" s="6" r="E1360">
        <v>2426</v>
      </c>
      <c t="s" s="6" r="F1360">
        <v>311</v>
      </c>
      <c t="s" s="6" r="G1360">
        <v>106</v>
      </c>
      <c s="6" r="H1360">
        <v>0</v>
      </c>
      <c t="s" s="6" r="I1360">
        <v>273</v>
      </c>
      <c t="s" s="6" r="K1360">
        <v>9759</v>
      </c>
      <c t="s" s="6" r="M1360">
        <v>711</v>
      </c>
      <c s="6" r="N1360">
        <v>1</v>
      </c>
      <c s="6" r="O1360">
        <v>0</v>
      </c>
      <c t="s" s="6" r="P1360">
        <v>86</v>
      </c>
      <c t="s" s="6" r="Q1360">
        <v>87</v>
      </c>
      <c t="s" s="6" r="R1360">
        <v>9760</v>
      </c>
      <c t="s" s="6" r="S1360">
        <v>9761</v>
      </c>
      <c t="s" s="6" r="T1360">
        <v>9149</v>
      </c>
      <c t="s" s="6" r="U1360">
        <v>9762</v>
      </c>
      <c s="6" r="V1360">
        <v>1</v>
      </c>
      <c s="6" r="W1360">
        <v>1</v>
      </c>
      <c s="6" r="X1360">
        <v>0</v>
      </c>
      <c s="6" r="Y1360">
        <v>0</v>
      </c>
      <c s="6" r="Z1360">
        <v>0</v>
      </c>
      <c s="6" r="AA1360">
        <v>3</v>
      </c>
      <c s="6" r="AB1360">
        <v>3</v>
      </c>
      <c t="s" s="6" r="AC1360">
        <v>92</v>
      </c>
      <c t="s" s="6" r="AD1360">
        <v>92</v>
      </c>
      <c t="s" s="6" r="AE1360">
        <v>92</v>
      </c>
      <c s="6" r="AF1360">
        <v>3</v>
      </c>
      <c t="s" s="6" r="AG1360">
        <v>92</v>
      </c>
      <c t="s" s="6" r="AH1360">
        <v>92</v>
      </c>
      <c t="s" s="6" r="AI1360">
        <v>92</v>
      </c>
      <c t="s" s="6" r="AJ1360">
        <v>92</v>
      </c>
      <c t="s" s="6" r="AK1360">
        <v>92</v>
      </c>
      <c t="s" s="6" r="AL1360">
        <v>92</v>
      </c>
      <c t="s" s="6" r="AM1360">
        <v>92</v>
      </c>
      <c t="s" s="6" r="AN1360">
        <v>92</v>
      </c>
      <c s="6" r="AP1360">
        <v>3</v>
      </c>
      <c t="s" s="6" r="AR1360">
        <v>9763</v>
      </c>
      <c s="6" r="AS1360">
        <v>0</v>
      </c>
      <c s="6" r="AT1360">
        <v>0</v>
      </c>
      <c s="6" r="AU1360">
        <v>0</v>
      </c>
      <c s="6" r="AV1360">
        <v>0</v>
      </c>
      <c s="6" r="AW1360">
        <v>0</v>
      </c>
      <c s="6" r="AX1360">
        <v>0</v>
      </c>
      <c s="6" r="AY1360">
        <v>0</v>
      </c>
      <c s="6" r="AZ1360">
        <v>0</v>
      </c>
      <c s="6" r="BA1360">
        <v>0</v>
      </c>
      <c s="6" r="BB1360">
        <v>0</v>
      </c>
      <c s="6" r="BC1360">
        <v>0</v>
      </c>
      <c s="6" r="BD1360">
        <v>0</v>
      </c>
      <c s="6" r="BE1360">
        <v>0</v>
      </c>
      <c s="6" r="BF1360">
        <v>0</v>
      </c>
      <c s="6" r="BG1360">
        <v>0</v>
      </c>
      <c s="6" r="BH1360">
        <v>0</v>
      </c>
      <c s="6" r="BI1360">
        <v>0</v>
      </c>
      <c s="6" r="BJ1360">
        <v>0</v>
      </c>
      <c s="6" r="BK1360">
        <v>0</v>
      </c>
      <c s="6" r="BL1360">
        <v>0</v>
      </c>
      <c s="6" r="BM1360">
        <v>0</v>
      </c>
      <c s="6" r="BN1360">
        <v>0</v>
      </c>
      <c s="6" r="BO1360">
        <v>0</v>
      </c>
      <c s="6" r="BP1360">
        <v>0</v>
      </c>
      <c s="6" r="BQ1360">
        <v>0</v>
      </c>
      <c t="str" s="6" r="BR1360">
        <f>HYPERLINK("http://www.d20pfsrd.com/magic/all-spells/p/phantom-driver","Phantom Driver")</f>
        <v>Phantom Driver</v>
      </c>
      <c s="6" r="BS1360">
        <v>1383</v>
      </c>
      <c t="s" s="6" r="BT1360">
        <v>92</v>
      </c>
      <c s="6" r="BY1360">
        <v>0</v>
      </c>
    </row>
    <row customHeight="1" r="1361" ht="14.25">
      <c t="s" s="6" r="A1361">
        <v>9764</v>
      </c>
      <c t="s" s="6" r="B1361">
        <v>78</v>
      </c>
      <c t="s" s="6" r="C1361">
        <v>79</v>
      </c>
      <c t="s" s="6" r="E1361">
        <v>9765</v>
      </c>
      <c t="s" s="6" r="F1361">
        <v>311</v>
      </c>
      <c t="s" s="6" r="G1361">
        <v>106</v>
      </c>
      <c s="6" r="H1361">
        <v>0</v>
      </c>
      <c t="s" s="6" r="I1361">
        <v>107</v>
      </c>
      <c t="s" s="6" r="K1361">
        <v>9766</v>
      </c>
      <c t="s" s="6" r="M1361">
        <v>711</v>
      </c>
      <c s="6" r="N1361">
        <v>1</v>
      </c>
      <c s="6" r="O1361">
        <v>0</v>
      </c>
      <c t="s" s="6" r="P1361">
        <v>86</v>
      </c>
      <c t="s" s="6" r="Q1361">
        <v>87</v>
      </c>
      <c t="s" s="6" r="R1361">
        <v>9767</v>
      </c>
      <c t="s" s="6" r="S1361">
        <v>9768</v>
      </c>
      <c t="s" s="6" r="T1361">
        <v>9149</v>
      </c>
      <c t="s" s="6" r="U1361">
        <v>9769</v>
      </c>
      <c s="6" r="V1361">
        <v>1</v>
      </c>
      <c s="6" r="W1361">
        <v>1</v>
      </c>
      <c s="6" r="X1361">
        <v>0</v>
      </c>
      <c s="6" r="Y1361">
        <v>0</v>
      </c>
      <c s="6" r="Z1361">
        <v>0</v>
      </c>
      <c s="6" r="AA1361">
        <v>4</v>
      </c>
      <c s="6" r="AB1361">
        <v>4</v>
      </c>
      <c t="s" s="6" r="AC1361">
        <v>92</v>
      </c>
      <c t="s" s="6" r="AD1361">
        <v>92</v>
      </c>
      <c t="s" s="6" r="AE1361">
        <v>92</v>
      </c>
      <c s="6" r="AF1361">
        <v>4</v>
      </c>
      <c t="s" s="6" r="AG1361">
        <v>92</v>
      </c>
      <c t="s" s="6" r="AH1361">
        <v>92</v>
      </c>
      <c s="6" r="AI1361">
        <v>3</v>
      </c>
      <c t="s" s="6" r="AJ1361">
        <v>92</v>
      </c>
      <c t="s" s="6" r="AK1361">
        <v>92</v>
      </c>
      <c t="s" s="6" r="AL1361">
        <v>92</v>
      </c>
      <c t="s" s="6" r="AM1361">
        <v>92</v>
      </c>
      <c t="s" s="6" r="AN1361">
        <v>92</v>
      </c>
      <c s="6" r="AP1361">
        <v>4</v>
      </c>
      <c t="s" s="6" r="AR1361">
        <v>9770</v>
      </c>
      <c s="6" r="AS1361">
        <v>0</v>
      </c>
      <c s="6" r="AT1361">
        <v>0</v>
      </c>
      <c s="6" r="AU1361">
        <v>0</v>
      </c>
      <c s="6" r="AV1361">
        <v>0</v>
      </c>
      <c s="6" r="AW1361">
        <v>0</v>
      </c>
      <c s="6" r="AX1361">
        <v>0</v>
      </c>
      <c s="6" r="AY1361">
        <v>0</v>
      </c>
      <c s="6" r="AZ1361">
        <v>0</v>
      </c>
      <c s="6" r="BA1361">
        <v>0</v>
      </c>
      <c s="6" r="BB1361">
        <v>0</v>
      </c>
      <c s="6" r="BC1361">
        <v>0</v>
      </c>
      <c s="6" r="BD1361">
        <v>0</v>
      </c>
      <c s="6" r="BE1361">
        <v>0</v>
      </c>
      <c s="6" r="BF1361">
        <v>0</v>
      </c>
      <c s="6" r="BG1361">
        <v>0</v>
      </c>
      <c s="6" r="BH1361">
        <v>0</v>
      </c>
      <c s="6" r="BI1361">
        <v>0</v>
      </c>
      <c s="6" r="BJ1361">
        <v>0</v>
      </c>
      <c s="6" r="BK1361">
        <v>0</v>
      </c>
      <c s="6" r="BL1361">
        <v>0</v>
      </c>
      <c s="6" r="BM1361">
        <v>0</v>
      </c>
      <c s="6" r="BN1361">
        <v>0</v>
      </c>
      <c s="6" r="BO1361">
        <v>0</v>
      </c>
      <c s="6" r="BP1361">
        <v>0</v>
      </c>
      <c s="6" r="BQ1361">
        <v>0</v>
      </c>
      <c t="str" s="6" r="BR1361">
        <f>HYPERLINK("http://www.d20pfsrd.com/magic/all-spells/p/phantom-steed#TOC-Phantom-Steed-Communal","Phantom Steed, Communal")</f>
        <v>Phantom Steed, Communal</v>
      </c>
      <c s="6" r="BS1361">
        <v>1384</v>
      </c>
      <c t="s" s="6" r="BT1361">
        <v>92</v>
      </c>
      <c s="6" r="BY1361">
        <v>0</v>
      </c>
    </row>
    <row customHeight="1" r="1362" ht="14.25">
      <c t="s" s="6" r="A1362">
        <v>9771</v>
      </c>
      <c t="s" s="6" r="B1362">
        <v>493</v>
      </c>
      <c t="s" s="6" r="D1362">
        <v>58</v>
      </c>
      <c t="s" s="6" r="E1362">
        <v>9772</v>
      </c>
      <c t="s" s="6" r="F1362">
        <v>81</v>
      </c>
      <c t="s" s="6" r="G1362">
        <v>2086</v>
      </c>
      <c s="6" r="H1362">
        <v>0</v>
      </c>
      <c t="s" s="6" r="I1362">
        <v>107</v>
      </c>
      <c t="s" s="6" r="L1362">
        <v>9773</v>
      </c>
      <c t="s" s="6" r="M1362">
        <v>141</v>
      </c>
      <c s="6" r="N1362">
        <v>0</v>
      </c>
      <c s="6" r="O1362">
        <v>0</v>
      </c>
      <c t="s" s="6" r="P1362">
        <v>86</v>
      </c>
      <c t="s" s="6" r="Q1362">
        <v>536</v>
      </c>
      <c t="s" s="6" r="R1362">
        <v>9774</v>
      </c>
      <c t="s" s="6" r="S1362">
        <v>9775</v>
      </c>
      <c t="s" s="6" r="T1362">
        <v>9149</v>
      </c>
      <c t="s" s="6" r="U1362">
        <v>9776</v>
      </c>
      <c s="6" r="V1362">
        <v>0</v>
      </c>
      <c s="6" r="W1362">
        <v>1</v>
      </c>
      <c s="6" r="X1362">
        <v>0</v>
      </c>
      <c s="6" r="Y1362">
        <v>0</v>
      </c>
      <c s="6" r="Z1362">
        <v>0</v>
      </c>
      <c s="6" r="AA1362">
        <v>2</v>
      </c>
      <c s="6" r="AB1362">
        <v>2</v>
      </c>
      <c s="6" r="AC1362">
        <v>2</v>
      </c>
      <c t="s" s="6" r="AD1362">
        <v>92</v>
      </c>
      <c t="s" s="6" r="AE1362">
        <v>92</v>
      </c>
      <c s="6" r="AF1362">
        <v>2</v>
      </c>
      <c t="s" s="6" r="AG1362">
        <v>92</v>
      </c>
      <c t="s" s="6" r="AH1362">
        <v>92</v>
      </c>
      <c t="s" s="6" r="AI1362">
        <v>92</v>
      </c>
      <c t="s" s="6" r="AJ1362">
        <v>92</v>
      </c>
      <c t="s" s="6" r="AK1362">
        <v>92</v>
      </c>
      <c s="6" r="AL1362">
        <v>2</v>
      </c>
      <c t="s" s="6" r="AM1362">
        <v>92</v>
      </c>
      <c s="6" r="AN1362">
        <v>2</v>
      </c>
      <c s="6" r="AP1362">
        <v>2</v>
      </c>
      <c t="s" s="6" r="AR1362">
        <v>9777</v>
      </c>
      <c s="6" r="AS1362">
        <v>0</v>
      </c>
      <c s="6" r="AT1362">
        <v>0</v>
      </c>
      <c s="6" r="AU1362">
        <v>0</v>
      </c>
      <c s="6" r="AV1362">
        <v>0</v>
      </c>
      <c s="6" r="AW1362">
        <v>0</v>
      </c>
      <c s="6" r="AX1362">
        <v>0</v>
      </c>
      <c s="6" r="AY1362">
        <v>0</v>
      </c>
      <c s="6" r="AZ1362">
        <v>0</v>
      </c>
      <c s="6" r="BA1362">
        <v>0</v>
      </c>
      <c s="6" r="BB1362">
        <v>0</v>
      </c>
      <c s="6" r="BC1362">
        <v>0</v>
      </c>
      <c s="6" r="BD1362">
        <v>0</v>
      </c>
      <c s="6" r="BE1362">
        <v>0</v>
      </c>
      <c s="6" r="BF1362">
        <v>0</v>
      </c>
      <c s="6" r="BG1362">
        <v>1</v>
      </c>
      <c s="6" r="BH1362">
        <v>0</v>
      </c>
      <c s="6" r="BI1362">
        <v>0</v>
      </c>
      <c s="6" r="BJ1362">
        <v>0</v>
      </c>
      <c s="6" r="BK1362">
        <v>0</v>
      </c>
      <c s="6" r="BL1362">
        <v>0</v>
      </c>
      <c s="6" r="BM1362">
        <v>0</v>
      </c>
      <c s="6" r="BN1362">
        <v>0</v>
      </c>
      <c s="6" r="BO1362">
        <v>0</v>
      </c>
      <c s="6" r="BP1362">
        <v>0</v>
      </c>
      <c s="6" r="BQ1362">
        <v>0</v>
      </c>
      <c t="str" s="6" r="BR1362">
        <f>HYPERLINK("http://www.d20pfsrd.com/magic/all-spells/p/pilfering-hand","Pilfering Hand")</f>
        <v>Pilfering Hand</v>
      </c>
      <c s="6" r="BS1362">
        <v>1385</v>
      </c>
      <c t="s" s="6" r="BT1362">
        <v>92</v>
      </c>
      <c s="6" r="BY1362">
        <v>0</v>
      </c>
    </row>
    <row customHeight="1" r="1363" ht="14.25">
      <c t="s" s="6" r="A1363">
        <v>9778</v>
      </c>
      <c t="s" s="6" r="B1363">
        <v>162</v>
      </c>
      <c t="s" s="6" r="E1363">
        <v>9779</v>
      </c>
      <c t="s" s="6" r="F1363">
        <v>81</v>
      </c>
      <c t="s" s="6" r="G1363">
        <v>3398</v>
      </c>
      <c s="6" r="H1363">
        <v>0</v>
      </c>
      <c t="s" s="6" r="I1363">
        <v>120</v>
      </c>
      <c t="s" s="6" r="L1363">
        <v>9190</v>
      </c>
      <c t="s" s="6" r="M1363">
        <v>3018</v>
      </c>
      <c s="6" r="N1363">
        <v>0</v>
      </c>
      <c s="6" r="O1363">
        <v>0</v>
      </c>
      <c t="s" s="6" r="P1363">
        <v>421</v>
      </c>
      <c t="s" s="6" r="Q1363">
        <v>123</v>
      </c>
      <c t="s" s="6" r="R1363">
        <v>9780</v>
      </c>
      <c t="s" s="6" r="S1363">
        <v>9781</v>
      </c>
      <c t="s" s="6" r="T1363">
        <v>9149</v>
      </c>
      <c t="s" s="6" r="U1363">
        <v>9782</v>
      </c>
      <c s="6" r="V1363">
        <v>1</v>
      </c>
      <c s="6" r="W1363">
        <v>1</v>
      </c>
      <c s="6" r="X1363">
        <v>0</v>
      </c>
      <c s="6" r="Y1363">
        <v>0</v>
      </c>
      <c s="6" r="Z1363">
        <v>0</v>
      </c>
      <c s="6" r="AA1363">
        <v>3</v>
      </c>
      <c s="6" r="AB1363">
        <v>3</v>
      </c>
      <c t="s" s="6" r="AC1363">
        <v>92</v>
      </c>
      <c t="s" s="6" r="AD1363">
        <v>92</v>
      </c>
      <c t="s" s="6" r="AE1363">
        <v>92</v>
      </c>
      <c t="s" s="6" r="AF1363">
        <v>92</v>
      </c>
      <c t="s" s="6" r="AG1363">
        <v>92</v>
      </c>
      <c s="6" r="AH1363">
        <v>3</v>
      </c>
      <c s="6" r="AI1363">
        <v>3</v>
      </c>
      <c t="s" s="6" r="AJ1363">
        <v>92</v>
      </c>
      <c t="s" s="6" r="AK1363">
        <v>92</v>
      </c>
      <c t="s" s="6" r="AL1363">
        <v>92</v>
      </c>
      <c t="s" s="6" r="AM1363">
        <v>92</v>
      </c>
      <c t="s" s="6" r="AN1363">
        <v>92</v>
      </c>
      <c s="6" r="AP1363">
        <v>3</v>
      </c>
      <c t="s" s="6" r="AR1363">
        <v>9783</v>
      </c>
      <c s="6" r="AS1363">
        <v>0</v>
      </c>
      <c s="6" r="AT1363">
        <v>0</v>
      </c>
      <c s="6" r="AU1363">
        <v>0</v>
      </c>
      <c s="6" r="AV1363">
        <v>0</v>
      </c>
      <c s="6" r="AW1363">
        <v>0</v>
      </c>
      <c s="6" r="AX1363">
        <v>0</v>
      </c>
      <c s="6" r="AY1363">
        <v>0</v>
      </c>
      <c s="6" r="AZ1363">
        <v>0</v>
      </c>
      <c s="6" r="BA1363">
        <v>0</v>
      </c>
      <c s="6" r="BB1363">
        <v>0</v>
      </c>
      <c s="6" r="BC1363">
        <v>0</v>
      </c>
      <c s="6" r="BD1363">
        <v>0</v>
      </c>
      <c s="6" r="BE1363">
        <v>0</v>
      </c>
      <c s="6" r="BF1363">
        <v>0</v>
      </c>
      <c s="6" r="BG1363">
        <v>0</v>
      </c>
      <c s="6" r="BH1363">
        <v>0</v>
      </c>
      <c s="6" r="BI1363">
        <v>0</v>
      </c>
      <c s="6" r="BJ1363">
        <v>0</v>
      </c>
      <c s="6" r="BK1363">
        <v>0</v>
      </c>
      <c s="6" r="BL1363">
        <v>0</v>
      </c>
      <c s="6" r="BM1363">
        <v>0</v>
      </c>
      <c s="6" r="BN1363">
        <v>0</v>
      </c>
      <c s="6" r="BO1363">
        <v>0</v>
      </c>
      <c s="6" r="BP1363">
        <v>0</v>
      </c>
      <c s="6" r="BQ1363">
        <v>0</v>
      </c>
      <c t="str" s="6" r="BR1363">
        <f>HYPERLINK("http://www.d20pfsrd.com/magic/all-spells/p/protection-from-arrows#TOC-Protection-from-Arrows-Communal","Protection from Arrows, Communal")</f>
        <v>Protection from Arrows, Communal</v>
      </c>
      <c s="6" r="BS1363">
        <v>1386</v>
      </c>
      <c t="s" s="6" r="BT1363">
        <v>92</v>
      </c>
      <c s="6" r="BY1363">
        <v>0</v>
      </c>
    </row>
    <row customHeight="1" r="1364" ht="14.25">
      <c t="s" s="6" r="A1364">
        <v>9784</v>
      </c>
      <c t="s" s="6" r="B1364">
        <v>162</v>
      </c>
      <c t="s" s="6" r="D1364">
        <v>61</v>
      </c>
      <c t="s" s="6" r="E1364">
        <v>9785</v>
      </c>
      <c t="s" s="6" r="F1364">
        <v>81</v>
      </c>
      <c t="s" s="6" r="G1364">
        <v>3406</v>
      </c>
      <c s="6" r="H1364">
        <v>0</v>
      </c>
      <c t="s" s="6" r="I1364">
        <v>120</v>
      </c>
      <c t="s" s="6" r="L1364">
        <v>9190</v>
      </c>
      <c t="s" s="6" r="M1364">
        <v>496</v>
      </c>
      <c s="6" r="N1364">
        <v>1</v>
      </c>
      <c s="6" r="O1364">
        <v>0</v>
      </c>
      <c t="s" s="6" r="P1364">
        <v>421</v>
      </c>
      <c t="s" s="6" r="Q1364">
        <v>2771</v>
      </c>
      <c t="s" s="6" r="R1364">
        <v>9786</v>
      </c>
      <c t="s" s="6" r="S1364">
        <v>9787</v>
      </c>
      <c t="s" s="6" r="T1364">
        <v>9149</v>
      </c>
      <c t="s" s="6" r="U1364">
        <v>9788</v>
      </c>
      <c s="6" r="V1364">
        <v>1</v>
      </c>
      <c s="6" r="W1364">
        <v>1</v>
      </c>
      <c s="6" r="X1364">
        <v>1</v>
      </c>
      <c s="6" r="Y1364">
        <v>0</v>
      </c>
      <c s="6" r="Z1364">
        <v>1</v>
      </c>
      <c s="6" r="AA1364">
        <v>2</v>
      </c>
      <c s="6" r="AB1364">
        <v>2</v>
      </c>
      <c s="6" r="AC1364">
        <v>2</v>
      </c>
      <c t="s" s="6" r="AD1364">
        <v>92</v>
      </c>
      <c t="s" s="6" r="AE1364">
        <v>92</v>
      </c>
      <c t="s" s="6" r="AF1364">
        <v>92</v>
      </c>
      <c s="6" r="AG1364">
        <v>2</v>
      </c>
      <c t="s" s="6" r="AH1364">
        <v>92</v>
      </c>
      <c s="6" r="AI1364">
        <v>2</v>
      </c>
      <c t="s" s="6" r="AJ1364">
        <v>92</v>
      </c>
      <c s="6" r="AK1364">
        <v>2</v>
      </c>
      <c s="6" r="AL1364">
        <v>2</v>
      </c>
      <c t="s" s="6" r="AM1364">
        <v>92</v>
      </c>
      <c t="s" s="6" r="AN1364">
        <v>92</v>
      </c>
      <c s="6" r="AP1364">
        <v>2</v>
      </c>
      <c t="s" s="6" r="AR1364">
        <v>9789</v>
      </c>
      <c s="6" r="AS1364">
        <v>0</v>
      </c>
      <c s="6" r="AT1364">
        <v>0</v>
      </c>
      <c s="6" r="AU1364">
        <v>0</v>
      </c>
      <c s="6" r="AV1364">
        <v>0</v>
      </c>
      <c s="6" r="AW1364">
        <v>0</v>
      </c>
      <c s="6" r="AX1364">
        <v>0</v>
      </c>
      <c s="6" r="AY1364">
        <v>0</v>
      </c>
      <c s="6" r="AZ1364">
        <v>0</v>
      </c>
      <c s="6" r="BA1364">
        <v>0</v>
      </c>
      <c s="6" r="BB1364">
        <v>0</v>
      </c>
      <c s="6" r="BC1364">
        <v>0</v>
      </c>
      <c s="6" r="BD1364">
        <v>0</v>
      </c>
      <c s="6" r="BE1364">
        <v>0</v>
      </c>
      <c s="6" r="BF1364">
        <v>0</v>
      </c>
      <c s="6" r="BG1364">
        <v>0</v>
      </c>
      <c s="6" r="BH1364">
        <v>0</v>
      </c>
      <c s="6" r="BI1364">
        <v>0</v>
      </c>
      <c s="6" r="BJ1364">
        <v>1</v>
      </c>
      <c s="6" r="BK1364">
        <v>0</v>
      </c>
      <c s="6" r="BL1364">
        <v>0</v>
      </c>
      <c s="6" r="BM1364">
        <v>0</v>
      </c>
      <c s="6" r="BN1364">
        <v>0</v>
      </c>
      <c s="6" r="BO1364">
        <v>0</v>
      </c>
      <c s="6" r="BP1364">
        <v>0</v>
      </c>
      <c s="6" r="BQ1364">
        <v>0</v>
      </c>
      <c t="str" s="6" r="BR1364">
        <f>HYPERLINK("http://www.d20pfsrd.com/magic/all-spells/p/protection-from-chaos#TOC-Protection-from-Chaos-Communal","Protection from Chaos, Communal")</f>
        <v>Protection from Chaos, Communal</v>
      </c>
      <c s="6" r="BS1364">
        <v>1387</v>
      </c>
      <c t="s" s="6" r="BT1364">
        <v>92</v>
      </c>
      <c s="6" r="BY1364">
        <v>0</v>
      </c>
    </row>
    <row customHeight="1" r="1365" ht="14.25">
      <c t="s" s="6" r="A1365">
        <v>9790</v>
      </c>
      <c t="s" s="6" r="B1365">
        <v>162</v>
      </c>
      <c t="s" s="6" r="E1365">
        <v>9791</v>
      </c>
      <c t="s" s="6" r="F1365">
        <v>81</v>
      </c>
      <c t="s" s="6" r="G1365">
        <v>119</v>
      </c>
      <c s="6" r="H1365">
        <v>0</v>
      </c>
      <c t="s" s="6" r="I1365">
        <v>120</v>
      </c>
      <c t="s" s="6" r="L1365">
        <v>9190</v>
      </c>
      <c t="s" s="6" r="M1365">
        <v>4186</v>
      </c>
      <c s="6" r="N1365">
        <v>0</v>
      </c>
      <c s="6" r="O1365">
        <v>0</v>
      </c>
      <c t="s" s="6" r="P1365">
        <v>1227</v>
      </c>
      <c t="s" s="6" r="Q1365">
        <v>123</v>
      </c>
      <c t="s" s="6" r="R1365">
        <v>9792</v>
      </c>
      <c t="s" s="6" r="S1365">
        <v>9793</v>
      </c>
      <c t="s" s="6" r="T1365">
        <v>9149</v>
      </c>
      <c t="s" s="6" r="U1365">
        <v>9794</v>
      </c>
      <c s="6" r="V1365">
        <v>1</v>
      </c>
      <c s="6" r="W1365">
        <v>1</v>
      </c>
      <c s="6" r="X1365">
        <v>0</v>
      </c>
      <c s="6" r="Y1365">
        <v>0</v>
      </c>
      <c s="6" r="Z1365">
        <v>1</v>
      </c>
      <c s="6" r="AA1365">
        <v>4</v>
      </c>
      <c s="6" r="AB1365">
        <v>4</v>
      </c>
      <c s="6" r="AC1365">
        <v>4</v>
      </c>
      <c s="6" r="AD1365">
        <v>4</v>
      </c>
      <c s="6" r="AE1365">
        <v>3</v>
      </c>
      <c t="s" s="6" r="AF1365">
        <v>92</v>
      </c>
      <c t="s" s="6" r="AG1365">
        <v>92</v>
      </c>
      <c t="s" s="6" r="AH1365">
        <v>92</v>
      </c>
      <c s="6" r="AI1365">
        <v>4</v>
      </c>
      <c t="s" s="6" r="AJ1365">
        <v>92</v>
      </c>
      <c s="6" r="AK1365">
        <v>4</v>
      </c>
      <c s="6" r="AL1365">
        <v>4</v>
      </c>
      <c t="s" s="6" r="AM1365">
        <v>92</v>
      </c>
      <c t="s" s="6" r="AN1365">
        <v>92</v>
      </c>
      <c s="6" r="AP1365">
        <v>4</v>
      </c>
      <c t="s" s="6" r="AR1365">
        <v>9795</v>
      </c>
      <c s="6" r="AS1365">
        <v>0</v>
      </c>
      <c s="6" r="AT1365">
        <v>0</v>
      </c>
      <c s="6" r="AU1365">
        <v>0</v>
      </c>
      <c s="6" r="AV1365">
        <v>0</v>
      </c>
      <c s="6" r="AW1365">
        <v>0</v>
      </c>
      <c s="6" r="AX1365">
        <v>0</v>
      </c>
      <c s="6" r="AY1365">
        <v>0</v>
      </c>
      <c s="6" r="AZ1365">
        <v>0</v>
      </c>
      <c s="6" r="BA1365">
        <v>0</v>
      </c>
      <c s="6" r="BB1365">
        <v>0</v>
      </c>
      <c s="6" r="BC1365">
        <v>0</v>
      </c>
      <c s="6" r="BD1365">
        <v>0</v>
      </c>
      <c s="6" r="BE1365">
        <v>0</v>
      </c>
      <c s="6" r="BF1365">
        <v>0</v>
      </c>
      <c s="6" r="BG1365">
        <v>0</v>
      </c>
      <c s="6" r="BH1365">
        <v>0</v>
      </c>
      <c s="6" r="BI1365">
        <v>0</v>
      </c>
      <c s="6" r="BJ1365">
        <v>0</v>
      </c>
      <c s="6" r="BK1365">
        <v>0</v>
      </c>
      <c s="6" r="BL1365">
        <v>0</v>
      </c>
      <c s="6" r="BM1365">
        <v>0</v>
      </c>
      <c s="6" r="BN1365">
        <v>0</v>
      </c>
      <c s="6" r="BO1365">
        <v>0</v>
      </c>
      <c s="6" r="BP1365">
        <v>0</v>
      </c>
      <c s="6" r="BQ1365">
        <v>0</v>
      </c>
      <c t="str" s="6" r="BR1365">
        <f>HYPERLINK("http://www.d20pfsrd.com/magic/all-spells/p/protection-from-energy#TOC-Protection-from-Energy-Communal","Protection from Energy, Communal")</f>
        <v>Protection from Energy, Communal</v>
      </c>
      <c s="6" r="BS1365">
        <v>1388</v>
      </c>
      <c t="s" s="6" r="BT1365">
        <v>92</v>
      </c>
      <c s="6" r="BY1365">
        <v>0</v>
      </c>
    </row>
    <row customHeight="1" r="1366" ht="14.25">
      <c t="s" s="6" r="A1366">
        <v>9796</v>
      </c>
      <c t="s" s="6" r="B1366">
        <v>162</v>
      </c>
      <c t="s" s="6" r="D1366">
        <v>59</v>
      </c>
      <c t="s" s="6" r="E1366">
        <v>9785</v>
      </c>
      <c t="s" s="6" r="F1366">
        <v>81</v>
      </c>
      <c t="s" s="6" r="G1366">
        <v>3406</v>
      </c>
      <c s="6" r="H1366">
        <v>0</v>
      </c>
      <c t="s" s="6" r="I1366">
        <v>120</v>
      </c>
      <c t="s" s="6" r="L1366">
        <v>9190</v>
      </c>
      <c t="s" s="6" r="M1366">
        <v>496</v>
      </c>
      <c s="6" r="N1366">
        <v>1</v>
      </c>
      <c s="6" r="O1366">
        <v>0</v>
      </c>
      <c t="s" s="6" r="P1366">
        <v>421</v>
      </c>
      <c t="s" s="6" r="Q1366">
        <v>2771</v>
      </c>
      <c t="s" s="6" r="R1366">
        <v>9797</v>
      </c>
      <c t="s" s="6" r="S1366">
        <v>9798</v>
      </c>
      <c t="s" s="6" r="T1366">
        <v>9149</v>
      </c>
      <c t="s" s="6" r="U1366">
        <v>9799</v>
      </c>
      <c s="6" r="V1366">
        <v>1</v>
      </c>
      <c s="6" r="W1366">
        <v>1</v>
      </c>
      <c s="6" r="X1366">
        <v>1</v>
      </c>
      <c s="6" r="Y1366">
        <v>0</v>
      </c>
      <c s="6" r="Z1366">
        <v>1</v>
      </c>
      <c s="6" r="AA1366">
        <v>2</v>
      </c>
      <c s="6" r="AB1366">
        <v>2</v>
      </c>
      <c s="6" r="AC1366">
        <v>2</v>
      </c>
      <c t="s" s="6" r="AD1366">
        <v>92</v>
      </c>
      <c t="s" s="6" r="AE1366">
        <v>92</v>
      </c>
      <c t="s" s="6" r="AF1366">
        <v>92</v>
      </c>
      <c s="6" r="AG1366">
        <v>2</v>
      </c>
      <c t="s" s="6" r="AH1366">
        <v>92</v>
      </c>
      <c s="6" r="AI1366">
        <v>2</v>
      </c>
      <c t="s" s="6" r="AJ1366">
        <v>92</v>
      </c>
      <c s="6" r="AK1366">
        <v>2</v>
      </c>
      <c s="6" r="AL1366">
        <v>2</v>
      </c>
      <c t="s" s="6" r="AM1366">
        <v>92</v>
      </c>
      <c t="s" s="6" r="AN1366">
        <v>92</v>
      </c>
      <c s="6" r="AP1366">
        <v>2</v>
      </c>
      <c t="s" s="6" r="AR1366">
        <v>9800</v>
      </c>
      <c s="6" r="AS1366">
        <v>0</v>
      </c>
      <c s="6" r="AT1366">
        <v>0</v>
      </c>
      <c s="6" r="AU1366">
        <v>0</v>
      </c>
      <c s="6" r="AV1366">
        <v>0</v>
      </c>
      <c s="6" r="AW1366">
        <v>0</v>
      </c>
      <c s="6" r="AX1366">
        <v>0</v>
      </c>
      <c s="6" r="AY1366">
        <v>0</v>
      </c>
      <c s="6" r="AZ1366">
        <v>0</v>
      </c>
      <c s="6" r="BA1366">
        <v>0</v>
      </c>
      <c s="6" r="BB1366">
        <v>0</v>
      </c>
      <c s="6" r="BC1366">
        <v>0</v>
      </c>
      <c s="6" r="BD1366">
        <v>0</v>
      </c>
      <c s="6" r="BE1366">
        <v>0</v>
      </c>
      <c s="6" r="BF1366">
        <v>0</v>
      </c>
      <c s="6" r="BG1366">
        <v>0</v>
      </c>
      <c s="6" r="BH1366">
        <v>1</v>
      </c>
      <c s="6" r="BI1366">
        <v>0</v>
      </c>
      <c s="6" r="BJ1366">
        <v>0</v>
      </c>
      <c s="6" r="BK1366">
        <v>0</v>
      </c>
      <c s="6" r="BL1366">
        <v>0</v>
      </c>
      <c s="6" r="BM1366">
        <v>0</v>
      </c>
      <c s="6" r="BN1366">
        <v>0</v>
      </c>
      <c s="6" r="BO1366">
        <v>0</v>
      </c>
      <c s="6" r="BP1366">
        <v>0</v>
      </c>
      <c s="6" r="BQ1366">
        <v>0</v>
      </c>
      <c t="str" s="6" r="BR1366">
        <f>HYPERLINK("http://www.d20pfsrd.com/magic/all-spells/p/protection-from-evil#TOC-Protection-from-Evil-Communal","Protection from Evil, Communal")</f>
        <v>Protection from Evil, Communal</v>
      </c>
      <c s="6" r="BS1366">
        <v>1389</v>
      </c>
      <c t="s" s="6" r="BT1366">
        <v>92</v>
      </c>
      <c s="6" r="BY1366">
        <v>0</v>
      </c>
    </row>
    <row customHeight="1" r="1367" ht="14.25">
      <c t="s" s="6" r="A1367">
        <v>9801</v>
      </c>
      <c t="s" s="6" r="B1367">
        <v>162</v>
      </c>
      <c t="s" s="6" r="D1367">
        <v>55</v>
      </c>
      <c t="s" s="6" r="E1367">
        <v>9802</v>
      </c>
      <c t="s" s="6" r="F1367">
        <v>81</v>
      </c>
      <c t="s" s="6" r="G1367">
        <v>3406</v>
      </c>
      <c s="6" r="H1367">
        <v>0</v>
      </c>
      <c t="s" s="6" r="I1367">
        <v>120</v>
      </c>
      <c t="s" s="6" r="L1367">
        <v>9190</v>
      </c>
      <c t="s" s="6" r="M1367">
        <v>496</v>
      </c>
      <c s="6" r="N1367">
        <v>1</v>
      </c>
      <c s="6" r="O1367">
        <v>0</v>
      </c>
      <c t="s" s="6" r="P1367">
        <v>421</v>
      </c>
      <c t="s" s="6" r="Q1367">
        <v>2771</v>
      </c>
      <c t="s" s="6" r="R1367">
        <v>9803</v>
      </c>
      <c t="s" s="6" r="S1367">
        <v>9804</v>
      </c>
      <c t="s" s="6" r="T1367">
        <v>9149</v>
      </c>
      <c t="s" s="6" r="U1367">
        <v>9805</v>
      </c>
      <c s="6" r="V1367">
        <v>1</v>
      </c>
      <c s="6" r="W1367">
        <v>1</v>
      </c>
      <c s="6" r="X1367">
        <v>1</v>
      </c>
      <c s="6" r="Y1367">
        <v>0</v>
      </c>
      <c s="6" r="Z1367">
        <v>1</v>
      </c>
      <c s="6" r="AA1367">
        <v>2</v>
      </c>
      <c s="6" r="AB1367">
        <v>2</v>
      </c>
      <c s="6" r="AC1367">
        <v>2</v>
      </c>
      <c t="s" s="6" r="AD1367">
        <v>92</v>
      </c>
      <c t="s" s="6" r="AE1367">
        <v>92</v>
      </c>
      <c t="s" s="6" r="AF1367">
        <v>92</v>
      </c>
      <c s="6" r="AG1367">
        <v>2</v>
      </c>
      <c t="s" s="6" r="AH1367">
        <v>92</v>
      </c>
      <c s="6" r="AI1367">
        <v>2</v>
      </c>
      <c t="s" s="6" r="AJ1367">
        <v>92</v>
      </c>
      <c s="6" r="AK1367">
        <v>2</v>
      </c>
      <c s="6" r="AL1367">
        <v>2</v>
      </c>
      <c s="6" r="AM1367">
        <v>2</v>
      </c>
      <c t="s" s="6" r="AN1367">
        <v>92</v>
      </c>
      <c s="6" r="AP1367">
        <v>2</v>
      </c>
      <c t="s" s="6" r="AR1367">
        <v>9806</v>
      </c>
      <c s="6" r="AS1367">
        <v>0</v>
      </c>
      <c s="6" r="AT1367">
        <v>0</v>
      </c>
      <c s="6" r="AU1367">
        <v>0</v>
      </c>
      <c s="6" r="AV1367">
        <v>0</v>
      </c>
      <c s="6" r="AW1367">
        <v>0</v>
      </c>
      <c s="6" r="AX1367">
        <v>0</v>
      </c>
      <c s="6" r="AY1367">
        <v>0</v>
      </c>
      <c s="6" r="AZ1367">
        <v>0</v>
      </c>
      <c s="6" r="BA1367">
        <v>0</v>
      </c>
      <c s="6" r="BB1367">
        <v>0</v>
      </c>
      <c s="6" r="BC1367">
        <v>0</v>
      </c>
      <c s="6" r="BD1367">
        <v>1</v>
      </c>
      <c s="6" r="BE1367">
        <v>0</v>
      </c>
      <c s="6" r="BF1367">
        <v>0</v>
      </c>
      <c s="6" r="BG1367">
        <v>0</v>
      </c>
      <c s="6" r="BH1367">
        <v>0</v>
      </c>
      <c s="6" r="BI1367">
        <v>0</v>
      </c>
      <c s="6" r="BJ1367">
        <v>0</v>
      </c>
      <c s="6" r="BK1367">
        <v>0</v>
      </c>
      <c s="6" r="BL1367">
        <v>0</v>
      </c>
      <c s="6" r="BM1367">
        <v>0</v>
      </c>
      <c s="6" r="BN1367">
        <v>0</v>
      </c>
      <c s="6" r="BO1367">
        <v>0</v>
      </c>
      <c s="6" r="BP1367">
        <v>0</v>
      </c>
      <c s="6" r="BQ1367">
        <v>0</v>
      </c>
      <c t="str" s="6" r="BR1367">
        <f>HYPERLINK("http://www.d20pfsrd.com/magic/all-spells/p/protection-from-good#TOC-Protection-from-Good-Communal","Protection from Good, Communal")</f>
        <v>Protection from Good, Communal</v>
      </c>
      <c s="6" r="BS1367">
        <v>1390</v>
      </c>
      <c t="s" s="6" r="BT1367">
        <v>92</v>
      </c>
      <c s="6" r="BY1367">
        <v>0</v>
      </c>
    </row>
    <row customHeight="1" r="1368" ht="14.25">
      <c t="s" s="6" r="A1368">
        <v>9807</v>
      </c>
      <c t="s" s="6" r="B1368">
        <v>162</v>
      </c>
      <c t="s" s="6" r="D1368">
        <v>55</v>
      </c>
      <c t="s" s="6" r="E1368">
        <v>9802</v>
      </c>
      <c t="s" s="6" r="F1368">
        <v>81</v>
      </c>
      <c t="s" s="6" r="G1368">
        <v>3406</v>
      </c>
      <c s="6" r="H1368">
        <v>0</v>
      </c>
      <c t="s" s="6" r="I1368">
        <v>120</v>
      </c>
      <c t="s" s="6" r="L1368">
        <v>9190</v>
      </c>
      <c t="s" s="6" r="M1368">
        <v>496</v>
      </c>
      <c s="6" r="N1368">
        <v>1</v>
      </c>
      <c s="6" r="O1368">
        <v>0</v>
      </c>
      <c t="s" s="6" r="P1368">
        <v>421</v>
      </c>
      <c t="s" s="6" r="Q1368">
        <v>2771</v>
      </c>
      <c t="s" s="6" r="R1368">
        <v>9808</v>
      </c>
      <c t="s" s="6" r="S1368">
        <v>9809</v>
      </c>
      <c t="s" s="6" r="T1368">
        <v>9149</v>
      </c>
      <c t="s" s="6" r="U1368">
        <v>9810</v>
      </c>
      <c s="6" r="V1368">
        <v>1</v>
      </c>
      <c s="6" r="W1368">
        <v>1</v>
      </c>
      <c s="6" r="X1368">
        <v>1</v>
      </c>
      <c s="6" r="Y1368">
        <v>0</v>
      </c>
      <c s="6" r="Z1368">
        <v>1</v>
      </c>
      <c s="6" r="AA1368">
        <v>2</v>
      </c>
      <c s="6" r="AB1368">
        <v>2</v>
      </c>
      <c s="6" r="AC1368">
        <v>2</v>
      </c>
      <c t="s" s="6" r="AD1368">
        <v>92</v>
      </c>
      <c t="s" s="6" r="AE1368">
        <v>92</v>
      </c>
      <c t="s" s="6" r="AF1368">
        <v>92</v>
      </c>
      <c s="6" r="AG1368">
        <v>2</v>
      </c>
      <c t="s" s="6" r="AH1368">
        <v>92</v>
      </c>
      <c s="6" r="AI1368">
        <v>2</v>
      </c>
      <c t="s" s="6" r="AJ1368">
        <v>92</v>
      </c>
      <c s="6" r="AK1368">
        <v>2</v>
      </c>
      <c s="6" r="AL1368">
        <v>2</v>
      </c>
      <c s="6" r="AM1368">
        <v>2</v>
      </c>
      <c t="s" s="6" r="AN1368">
        <v>92</v>
      </c>
      <c s="6" r="AP1368">
        <v>2</v>
      </c>
      <c t="s" s="6" r="AR1368">
        <v>9811</v>
      </c>
      <c s="6" r="AS1368">
        <v>0</v>
      </c>
      <c s="6" r="AT1368">
        <v>0</v>
      </c>
      <c s="6" r="AU1368">
        <v>0</v>
      </c>
      <c s="6" r="AV1368">
        <v>0</v>
      </c>
      <c s="6" r="AW1368">
        <v>0</v>
      </c>
      <c s="6" r="AX1368">
        <v>0</v>
      </c>
      <c s="6" r="AY1368">
        <v>0</v>
      </c>
      <c s="6" r="AZ1368">
        <v>0</v>
      </c>
      <c s="6" r="BA1368">
        <v>0</v>
      </c>
      <c s="6" r="BB1368">
        <v>0</v>
      </c>
      <c s="6" r="BC1368">
        <v>0</v>
      </c>
      <c s="6" r="BD1368">
        <v>1</v>
      </c>
      <c s="6" r="BE1368">
        <v>0</v>
      </c>
      <c s="6" r="BF1368">
        <v>0</v>
      </c>
      <c s="6" r="BG1368">
        <v>0</v>
      </c>
      <c s="6" r="BH1368">
        <v>0</v>
      </c>
      <c s="6" r="BI1368">
        <v>0</v>
      </c>
      <c s="6" r="BJ1368">
        <v>0</v>
      </c>
      <c s="6" r="BK1368">
        <v>0</v>
      </c>
      <c s="6" r="BL1368">
        <v>0</v>
      </c>
      <c s="6" r="BM1368">
        <v>0</v>
      </c>
      <c s="6" r="BN1368">
        <v>0</v>
      </c>
      <c s="6" r="BO1368">
        <v>0</v>
      </c>
      <c s="6" r="BP1368">
        <v>0</v>
      </c>
      <c s="6" r="BQ1368">
        <v>0</v>
      </c>
      <c t="str" s="6" r="BR1368">
        <f>HYPERLINK("http://www.d20pfsrd.com/magic/all-spells/p/protection-from-law#TOC-Protection-from-Law-Communal","Protection from Law, Communal")</f>
        <v>Protection from Law, Communal</v>
      </c>
      <c s="6" r="BS1368">
        <v>1391</v>
      </c>
      <c t="s" s="6" r="BT1368">
        <v>92</v>
      </c>
      <c s="6" r="BY1368">
        <v>0</v>
      </c>
    </row>
    <row customHeight="1" r="1369" ht="14.25">
      <c t="s" s="6" r="A1369">
        <v>9812</v>
      </c>
      <c t="s" s="6" r="B1369">
        <v>131</v>
      </c>
      <c t="s" s="6" r="C1369">
        <v>152</v>
      </c>
      <c t="s" s="6" r="E1369">
        <v>7163</v>
      </c>
      <c t="s" s="6" r="F1369">
        <v>81</v>
      </c>
      <c t="s" s="6" r="G1369">
        <v>9813</v>
      </c>
      <c s="6" r="H1369">
        <v>0</v>
      </c>
      <c t="s" s="6" r="I1369">
        <v>107</v>
      </c>
      <c t="s" s="6" r="L1369">
        <v>9814</v>
      </c>
      <c t="s" s="6" r="M1369">
        <v>99</v>
      </c>
      <c s="6" r="N1369">
        <v>0</v>
      </c>
      <c s="6" r="O1369">
        <v>0</v>
      </c>
      <c t="s" s="6" r="P1369">
        <v>9815</v>
      </c>
      <c t="s" s="6" r="Q1369">
        <v>188</v>
      </c>
      <c t="s" s="6" r="R1369">
        <v>9816</v>
      </c>
      <c t="s" s="6" r="S1369">
        <v>9817</v>
      </c>
      <c t="s" s="6" r="T1369">
        <v>9149</v>
      </c>
      <c t="s" s="6" r="U1369">
        <v>9818</v>
      </c>
      <c s="6" r="V1369">
        <v>1</v>
      </c>
      <c s="6" r="W1369">
        <v>1</v>
      </c>
      <c s="6" r="X1369">
        <v>1</v>
      </c>
      <c s="6" r="Y1369">
        <v>0</v>
      </c>
      <c s="6" r="Z1369">
        <v>0</v>
      </c>
      <c s="6" r="AA1369">
        <v>3</v>
      </c>
      <c s="6" r="AB1369">
        <v>3</v>
      </c>
      <c t="s" s="6" r="AC1369">
        <v>92</v>
      </c>
      <c s="6" r="AD1369">
        <v>3</v>
      </c>
      <c t="s" s="6" r="AE1369">
        <v>92</v>
      </c>
      <c t="s" s="6" r="AF1369">
        <v>92</v>
      </c>
      <c t="s" s="6" r="AG1369">
        <v>92</v>
      </c>
      <c t="s" s="6" r="AH1369">
        <v>92</v>
      </c>
      <c t="s" s="6" r="AI1369">
        <v>92</v>
      </c>
      <c s="6" r="AJ1369">
        <v>3</v>
      </c>
      <c t="s" s="6" r="AK1369">
        <v>92</v>
      </c>
      <c t="s" s="6" r="AL1369">
        <v>92</v>
      </c>
      <c t="s" s="6" r="AM1369">
        <v>92</v>
      </c>
      <c t="s" s="6" r="AN1369">
        <v>92</v>
      </c>
      <c s="6" r="AP1369">
        <v>3</v>
      </c>
      <c t="s" s="6" r="AR1369">
        <v>9819</v>
      </c>
      <c s="6" r="AS1369">
        <v>0</v>
      </c>
      <c s="6" r="AT1369">
        <v>0</v>
      </c>
      <c s="6" r="AU1369">
        <v>0</v>
      </c>
      <c s="6" r="AV1369">
        <v>0</v>
      </c>
      <c s="6" r="AW1369">
        <v>0</v>
      </c>
      <c s="6" r="AX1369">
        <v>0</v>
      </c>
      <c s="6" r="AY1369">
        <v>0</v>
      </c>
      <c s="6" r="AZ1369">
        <v>0</v>
      </c>
      <c s="6" r="BA1369">
        <v>0</v>
      </c>
      <c s="6" r="BB1369">
        <v>0</v>
      </c>
      <c s="6" r="BC1369">
        <v>0</v>
      </c>
      <c s="6" r="BD1369">
        <v>0</v>
      </c>
      <c s="6" r="BE1369">
        <v>0</v>
      </c>
      <c s="6" r="BF1369">
        <v>0</v>
      </c>
      <c s="6" r="BG1369">
        <v>0</v>
      </c>
      <c s="6" r="BH1369">
        <v>0</v>
      </c>
      <c s="6" r="BI1369">
        <v>0</v>
      </c>
      <c s="6" r="BJ1369">
        <v>0</v>
      </c>
      <c s="6" r="BK1369">
        <v>0</v>
      </c>
      <c s="6" r="BL1369">
        <v>0</v>
      </c>
      <c s="6" r="BM1369">
        <v>0</v>
      </c>
      <c s="6" r="BN1369">
        <v>0</v>
      </c>
      <c s="6" r="BO1369">
        <v>0</v>
      </c>
      <c s="6" r="BP1369">
        <v>0</v>
      </c>
      <c s="6" r="BQ1369">
        <v>0</v>
      </c>
      <c t="str" s="6" r="BR1369">
        <f>HYPERLINK("http://www.d20pfsrd.com/magic/all-spells/p/pup-shape","Pup Shape")</f>
        <v>Pup Shape</v>
      </c>
      <c s="6" r="BS1369">
        <v>1392</v>
      </c>
      <c t="s" s="6" r="BT1369">
        <v>92</v>
      </c>
      <c s="6" r="BY1369">
        <v>0</v>
      </c>
    </row>
    <row customHeight="1" r="1370" ht="14.25">
      <c t="s" s="6" r="A1370">
        <v>9820</v>
      </c>
      <c t="s" s="6" r="B1370">
        <v>115</v>
      </c>
      <c t="s" s="6" r="C1370">
        <v>116</v>
      </c>
      <c t="s" s="6" r="D1370">
        <v>117</v>
      </c>
      <c t="s" s="6" r="E1370">
        <v>9821</v>
      </c>
      <c t="s" s="6" r="F1370">
        <v>81</v>
      </c>
      <c t="s" s="6" r="G1370">
        <v>106</v>
      </c>
      <c s="6" r="H1370">
        <v>0</v>
      </c>
      <c t="s" s="6" r="I1370">
        <v>107</v>
      </c>
      <c t="s" s="6" r="L1370">
        <v>1235</v>
      </c>
      <c t="s" s="6" r="M1370">
        <v>7523</v>
      </c>
      <c s="6" r="N1370">
        <v>0</v>
      </c>
      <c s="6" r="O1370">
        <v>0</v>
      </c>
      <c t="s" s="6" r="P1370">
        <v>221</v>
      </c>
      <c t="s" s="6" r="Q1370">
        <v>188</v>
      </c>
      <c t="s" s="6" r="R1370">
        <v>9822</v>
      </c>
      <c t="s" s="6" r="S1370">
        <v>9823</v>
      </c>
      <c t="s" s="6" r="T1370">
        <v>9149</v>
      </c>
      <c t="s" s="6" r="U1370">
        <v>9824</v>
      </c>
      <c s="6" r="V1370">
        <v>1</v>
      </c>
      <c s="6" r="W1370">
        <v>1</v>
      </c>
      <c s="6" r="X1370">
        <v>0</v>
      </c>
      <c s="6" r="Y1370">
        <v>0</v>
      </c>
      <c s="6" r="Z1370">
        <v>0</v>
      </c>
      <c s="6" r="AA1370">
        <v>2</v>
      </c>
      <c s="6" r="AB1370">
        <v>2</v>
      </c>
      <c t="s" s="6" r="AC1370">
        <v>92</v>
      </c>
      <c t="s" s="6" r="AD1370">
        <v>92</v>
      </c>
      <c t="s" s="6" r="AE1370">
        <v>92</v>
      </c>
      <c s="6" r="AF1370">
        <v>2</v>
      </c>
      <c t="s" s="6" r="AG1370">
        <v>92</v>
      </c>
      <c t="s" s="6" r="AH1370">
        <v>92</v>
      </c>
      <c t="s" s="6" r="AI1370">
        <v>92</v>
      </c>
      <c s="6" r="AJ1370">
        <v>2</v>
      </c>
      <c s="6" r="AK1370">
        <v>2</v>
      </c>
      <c t="s" s="6" r="AL1370">
        <v>92</v>
      </c>
      <c t="s" s="6" r="AM1370">
        <v>92</v>
      </c>
      <c t="s" s="6" r="AN1370">
        <v>92</v>
      </c>
      <c s="6" r="AP1370">
        <v>2</v>
      </c>
      <c t="s" s="6" r="AR1370">
        <v>9825</v>
      </c>
      <c s="6" r="AS1370">
        <v>0</v>
      </c>
      <c s="6" r="AT1370">
        <v>0</v>
      </c>
      <c s="6" r="AU1370">
        <v>0</v>
      </c>
      <c s="6" r="AV1370">
        <v>0</v>
      </c>
      <c s="6" r="AW1370">
        <v>0</v>
      </c>
      <c s="6" r="AX1370">
        <v>0</v>
      </c>
      <c s="6" r="AY1370">
        <v>0</v>
      </c>
      <c s="6" r="AZ1370">
        <v>0</v>
      </c>
      <c s="6" r="BA1370">
        <v>0</v>
      </c>
      <c s="6" r="BB1370">
        <v>0</v>
      </c>
      <c s="6" r="BC1370">
        <v>0</v>
      </c>
      <c s="6" r="BD1370">
        <v>0</v>
      </c>
      <c s="6" r="BE1370">
        <v>0</v>
      </c>
      <c s="6" r="BF1370">
        <v>0</v>
      </c>
      <c s="6" r="BG1370">
        <v>0</v>
      </c>
      <c s="6" r="BH1370">
        <v>0</v>
      </c>
      <c s="6" r="BI1370">
        <v>0</v>
      </c>
      <c s="6" r="BJ1370">
        <v>0</v>
      </c>
      <c s="6" r="BK1370">
        <v>0</v>
      </c>
      <c s="6" r="BL1370">
        <v>1</v>
      </c>
      <c s="6" r="BM1370">
        <v>0</v>
      </c>
      <c s="6" r="BN1370">
        <v>0</v>
      </c>
      <c s="6" r="BO1370">
        <v>0</v>
      </c>
      <c s="6" r="BP1370">
        <v>0</v>
      </c>
      <c s="6" r="BQ1370">
        <v>0</v>
      </c>
      <c t="str" s="6" r="BR1370">
        <f>HYPERLINK("http://www.d20pfsrd.com/magic/all-spells/q/qualm","Qualm")</f>
        <v>Qualm</v>
      </c>
      <c s="6" r="BS1370">
        <v>1393</v>
      </c>
      <c t="s" s="6" r="BT1370">
        <v>92</v>
      </c>
      <c s="6" r="BY1370">
        <v>0</v>
      </c>
    </row>
    <row customHeight="1" r="1371" ht="14.25">
      <c t="s" s="6" r="A1371">
        <v>9826</v>
      </c>
      <c t="s" s="6" r="B1371">
        <v>131</v>
      </c>
      <c t="s" s="6" r="E1371">
        <v>4080</v>
      </c>
      <c t="s" s="6" r="F1371">
        <v>81</v>
      </c>
      <c t="s" s="6" r="G1371">
        <v>9827</v>
      </c>
      <c s="6" r="H1371">
        <v>0</v>
      </c>
      <c t="s" s="6" r="I1371">
        <v>107</v>
      </c>
      <c t="s" s="6" r="L1371">
        <v>9423</v>
      </c>
      <c t="s" s="6" r="M1371">
        <v>109</v>
      </c>
      <c s="6" r="N1371">
        <v>0</v>
      </c>
      <c s="6" r="O1371">
        <v>0</v>
      </c>
      <c t="s" s="6" r="P1371">
        <v>535</v>
      </c>
      <c t="s" s="6" r="Q1371">
        <v>536</v>
      </c>
      <c t="s" s="6" r="R1371">
        <v>9828</v>
      </c>
      <c t="s" s="6" r="S1371">
        <v>9829</v>
      </c>
      <c t="s" s="6" r="T1371">
        <v>9149</v>
      </c>
      <c t="s" s="6" r="U1371">
        <v>9830</v>
      </c>
      <c s="6" r="V1371">
        <v>1</v>
      </c>
      <c s="6" r="W1371">
        <v>1</v>
      </c>
      <c s="6" r="X1371">
        <v>1</v>
      </c>
      <c s="6" r="Y1371">
        <v>0</v>
      </c>
      <c s="6" r="Z1371">
        <v>0</v>
      </c>
      <c s="6" r="AA1371">
        <v>2</v>
      </c>
      <c s="6" r="AB1371">
        <v>2</v>
      </c>
      <c t="s" s="6" r="AC1371">
        <v>92</v>
      </c>
      <c t="s" s="6" r="AD1371">
        <v>92</v>
      </c>
      <c t="s" s="6" r="AE1371">
        <v>92</v>
      </c>
      <c t="s" s="6" r="AF1371">
        <v>92</v>
      </c>
      <c t="s" s="6" r="AG1371">
        <v>92</v>
      </c>
      <c t="s" s="6" r="AH1371">
        <v>92</v>
      </c>
      <c t="s" s="6" r="AI1371">
        <v>92</v>
      </c>
      <c s="6" r="AJ1371">
        <v>2</v>
      </c>
      <c t="s" s="6" r="AK1371">
        <v>92</v>
      </c>
      <c t="s" s="6" r="AL1371">
        <v>92</v>
      </c>
      <c t="s" s="6" r="AM1371">
        <v>92</v>
      </c>
      <c t="s" s="6" r="AN1371">
        <v>92</v>
      </c>
      <c s="6" r="AP1371">
        <v>2</v>
      </c>
      <c t="s" s="6" r="AR1371">
        <v>9831</v>
      </c>
      <c s="6" r="AS1371">
        <v>0</v>
      </c>
      <c s="6" r="AT1371">
        <v>0</v>
      </c>
      <c s="6" r="AU1371">
        <v>0</v>
      </c>
      <c s="6" r="AV1371">
        <v>0</v>
      </c>
      <c s="6" r="AW1371">
        <v>0</v>
      </c>
      <c s="6" r="AX1371">
        <v>0</v>
      </c>
      <c s="6" r="AY1371">
        <v>0</v>
      </c>
      <c s="6" r="AZ1371">
        <v>0</v>
      </c>
      <c s="6" r="BA1371">
        <v>0</v>
      </c>
      <c s="6" r="BB1371">
        <v>0</v>
      </c>
      <c s="6" r="BC1371">
        <v>0</v>
      </c>
      <c s="6" r="BD1371">
        <v>0</v>
      </c>
      <c s="6" r="BE1371">
        <v>0</v>
      </c>
      <c s="6" r="BF1371">
        <v>0</v>
      </c>
      <c s="6" r="BG1371">
        <v>0</v>
      </c>
      <c s="6" r="BH1371">
        <v>0</v>
      </c>
      <c s="6" r="BI1371">
        <v>0</v>
      </c>
      <c s="6" r="BJ1371">
        <v>0</v>
      </c>
      <c s="6" r="BK1371">
        <v>0</v>
      </c>
      <c s="6" r="BL1371">
        <v>0</v>
      </c>
      <c s="6" r="BM1371">
        <v>0</v>
      </c>
      <c s="6" r="BN1371">
        <v>0</v>
      </c>
      <c s="6" r="BO1371">
        <v>0</v>
      </c>
      <c s="6" r="BP1371">
        <v>0</v>
      </c>
      <c s="6" r="BQ1371">
        <v>0</v>
      </c>
      <c t="str" s="6" r="BR1371">
        <f>HYPERLINK("http://www.d20pfsrd.com/magic/all-spells/r/recoil-fire","Recoil Fire")</f>
        <v>Recoil Fire</v>
      </c>
      <c s="6" r="BS1371">
        <v>1394</v>
      </c>
      <c t="s" s="6" r="BT1371">
        <v>92</v>
      </c>
      <c s="6" r="BY1371">
        <v>0</v>
      </c>
    </row>
    <row customHeight="1" r="1372" ht="14.25">
      <c t="s" s="6" r="A1372">
        <v>9832</v>
      </c>
      <c t="s" s="6" r="B1372">
        <v>131</v>
      </c>
      <c t="s" s="6" r="E1372">
        <v>9833</v>
      </c>
      <c t="s" s="6" r="F1372">
        <v>81</v>
      </c>
      <c t="s" s="6" r="G1372">
        <v>9834</v>
      </c>
      <c s="6" r="H1372">
        <v>0</v>
      </c>
      <c t="s" s="6" r="I1372">
        <v>120</v>
      </c>
      <c t="s" s="6" r="L1372">
        <v>9835</v>
      </c>
      <c t="s" s="6" r="M1372">
        <v>5005</v>
      </c>
      <c s="6" r="N1372">
        <v>0</v>
      </c>
      <c s="6" r="O1372">
        <v>0</v>
      </c>
      <c t="s" s="6" r="P1372">
        <v>144</v>
      </c>
      <c t="s" s="6" r="Q1372">
        <v>145</v>
      </c>
      <c t="s" s="6" r="R1372">
        <v>9836</v>
      </c>
      <c t="s" s="6" r="S1372">
        <v>9837</v>
      </c>
      <c t="s" s="6" r="T1372">
        <v>9149</v>
      </c>
      <c t="s" s="6" r="U1372">
        <v>9838</v>
      </c>
      <c s="6" r="V1372">
        <v>1</v>
      </c>
      <c s="6" r="W1372">
        <v>1</v>
      </c>
      <c s="6" r="X1372">
        <v>1</v>
      </c>
      <c s="6" r="Y1372">
        <v>0</v>
      </c>
      <c s="6" r="Z1372">
        <v>1</v>
      </c>
      <c s="6" r="AA1372">
        <v>1</v>
      </c>
      <c s="6" r="AB1372">
        <v>1</v>
      </c>
      <c s="6" r="AC1372">
        <v>1</v>
      </c>
      <c t="s" s="6" r="AD1372">
        <v>92</v>
      </c>
      <c t="s" s="6" r="AE1372">
        <v>92</v>
      </c>
      <c t="s" s="6" r="AF1372">
        <v>92</v>
      </c>
      <c t="s" s="6" r="AG1372">
        <v>92</v>
      </c>
      <c t="s" s="6" r="AH1372">
        <v>92</v>
      </c>
      <c t="s" s="6" r="AI1372">
        <v>92</v>
      </c>
      <c s="6" r="AJ1372">
        <v>1</v>
      </c>
      <c t="s" s="6" r="AK1372">
        <v>92</v>
      </c>
      <c s="6" r="AL1372">
        <v>1</v>
      </c>
      <c t="s" s="6" r="AM1372">
        <v>92</v>
      </c>
      <c s="6" r="AN1372">
        <v>1</v>
      </c>
      <c s="6" r="AP1372">
        <v>1</v>
      </c>
      <c t="s" s="6" r="AR1372">
        <v>9839</v>
      </c>
      <c s="6" r="AS1372">
        <v>0</v>
      </c>
      <c s="6" r="AT1372">
        <v>0</v>
      </c>
      <c s="6" r="AU1372">
        <v>0</v>
      </c>
      <c s="6" r="AV1372">
        <v>0</v>
      </c>
      <c s="6" r="AW1372">
        <v>0</v>
      </c>
      <c s="6" r="AX1372">
        <v>0</v>
      </c>
      <c s="6" r="AY1372">
        <v>0</v>
      </c>
      <c s="6" r="AZ1372">
        <v>0</v>
      </c>
      <c s="6" r="BA1372">
        <v>0</v>
      </c>
      <c s="6" r="BB1372">
        <v>0</v>
      </c>
      <c s="6" r="BC1372">
        <v>0</v>
      </c>
      <c s="6" r="BD1372">
        <v>0</v>
      </c>
      <c s="6" r="BE1372">
        <v>0</v>
      </c>
      <c s="6" r="BF1372">
        <v>0</v>
      </c>
      <c s="6" r="BG1372">
        <v>0</v>
      </c>
      <c s="6" r="BH1372">
        <v>0</v>
      </c>
      <c s="6" r="BI1372">
        <v>0</v>
      </c>
      <c s="6" r="BJ1372">
        <v>0</v>
      </c>
      <c s="6" r="BK1372">
        <v>0</v>
      </c>
      <c s="6" r="BL1372">
        <v>0</v>
      </c>
      <c s="6" r="BM1372">
        <v>0</v>
      </c>
      <c s="6" r="BN1372">
        <v>0</v>
      </c>
      <c s="6" r="BO1372">
        <v>0</v>
      </c>
      <c s="6" r="BP1372">
        <v>0</v>
      </c>
      <c s="6" r="BQ1372">
        <v>0</v>
      </c>
      <c t="str" s="6" r="BR1372">
        <f>HYPERLINK("http://www.d20pfsrd.com/magic/all-spells/r/reinforce-armaments","Reinforce Armaments")</f>
        <v>Reinforce Armaments</v>
      </c>
      <c s="6" r="BS1372">
        <v>1395</v>
      </c>
      <c t="s" s="6" r="BT1372">
        <v>92</v>
      </c>
      <c s="6" r="BY1372">
        <v>0</v>
      </c>
    </row>
    <row customHeight="1" r="1373" ht="14.25">
      <c t="s" s="6" r="A1373">
        <v>9840</v>
      </c>
      <c t="s" s="6" r="B1373">
        <v>131</v>
      </c>
      <c t="s" s="6" r="E1373">
        <v>9841</v>
      </c>
      <c t="s" s="6" r="F1373">
        <v>81</v>
      </c>
      <c t="s" s="6" r="G1373">
        <v>9834</v>
      </c>
      <c s="6" r="H1373">
        <v>0</v>
      </c>
      <c t="s" s="6" r="I1373">
        <v>120</v>
      </c>
      <c t="s" s="6" r="L1373">
        <v>9842</v>
      </c>
      <c t="s" s="6" r="M1373">
        <v>5005</v>
      </c>
      <c s="6" r="N1373">
        <v>0</v>
      </c>
      <c s="6" r="O1373">
        <v>0</v>
      </c>
      <c t="s" s="6" r="P1373">
        <v>144</v>
      </c>
      <c t="s" s="6" r="Q1373">
        <v>145</v>
      </c>
      <c t="s" s="6" r="R1373">
        <v>9843</v>
      </c>
      <c t="s" s="6" r="S1373">
        <v>9844</v>
      </c>
      <c t="s" s="6" r="T1373">
        <v>9149</v>
      </c>
      <c t="s" s="6" r="U1373">
        <v>9845</v>
      </c>
      <c s="6" r="V1373">
        <v>1</v>
      </c>
      <c s="6" r="W1373">
        <v>1</v>
      </c>
      <c s="6" r="X1373">
        <v>1</v>
      </c>
      <c s="6" r="Y1373">
        <v>0</v>
      </c>
      <c s="6" r="Z1373">
        <v>1</v>
      </c>
      <c s="6" r="AA1373">
        <v>2</v>
      </c>
      <c s="6" r="AB1373">
        <v>2</v>
      </c>
      <c s="6" r="AC1373">
        <v>2</v>
      </c>
      <c t="s" s="6" r="AD1373">
        <v>92</v>
      </c>
      <c t="s" s="6" r="AE1373">
        <v>92</v>
      </c>
      <c t="s" s="6" r="AF1373">
        <v>92</v>
      </c>
      <c t="s" s="6" r="AG1373">
        <v>92</v>
      </c>
      <c t="s" s="6" r="AH1373">
        <v>92</v>
      </c>
      <c t="s" s="6" r="AI1373">
        <v>92</v>
      </c>
      <c s="6" r="AJ1373">
        <v>2</v>
      </c>
      <c t="s" s="6" r="AK1373">
        <v>92</v>
      </c>
      <c s="6" r="AL1373">
        <v>2</v>
      </c>
      <c t="s" s="6" r="AM1373">
        <v>92</v>
      </c>
      <c s="6" r="AN1373">
        <v>2</v>
      </c>
      <c s="6" r="AP1373">
        <v>2</v>
      </c>
      <c t="s" s="6" r="AR1373">
        <v>9846</v>
      </c>
      <c s="6" r="AS1373">
        <v>0</v>
      </c>
      <c s="6" r="AT1373">
        <v>0</v>
      </c>
      <c s="6" r="AU1373">
        <v>0</v>
      </c>
      <c s="6" r="AV1373">
        <v>0</v>
      </c>
      <c s="6" r="AW1373">
        <v>0</v>
      </c>
      <c s="6" r="AX1373">
        <v>0</v>
      </c>
      <c s="6" r="AY1373">
        <v>0</v>
      </c>
      <c s="6" r="AZ1373">
        <v>0</v>
      </c>
      <c s="6" r="BA1373">
        <v>0</v>
      </c>
      <c s="6" r="BB1373">
        <v>0</v>
      </c>
      <c s="6" r="BC1373">
        <v>0</v>
      </c>
      <c s="6" r="BD1373">
        <v>0</v>
      </c>
      <c s="6" r="BE1373">
        <v>0</v>
      </c>
      <c s="6" r="BF1373">
        <v>0</v>
      </c>
      <c s="6" r="BG1373">
        <v>0</v>
      </c>
      <c s="6" r="BH1373">
        <v>0</v>
      </c>
      <c s="6" r="BI1373">
        <v>0</v>
      </c>
      <c s="6" r="BJ1373">
        <v>0</v>
      </c>
      <c s="6" r="BK1373">
        <v>0</v>
      </c>
      <c s="6" r="BL1373">
        <v>0</v>
      </c>
      <c s="6" r="BM1373">
        <v>0</v>
      </c>
      <c s="6" r="BN1373">
        <v>0</v>
      </c>
      <c s="6" r="BO1373">
        <v>0</v>
      </c>
      <c s="6" r="BP1373">
        <v>0</v>
      </c>
      <c s="6" r="BQ1373">
        <v>0</v>
      </c>
      <c t="str" s="6" r="BR1373">
        <f>HYPERLINK("http://www.d20pfsrd.com/magic/all-spells/r/reinforce-armaments#TOC-Reinforce-Armaments-Communal","Reinforce Armaments, Communal")</f>
        <v>Reinforce Armaments, Communal</v>
      </c>
      <c s="6" r="BS1373">
        <v>1396</v>
      </c>
      <c t="s" s="6" r="BT1373">
        <v>92</v>
      </c>
      <c s="6" r="BY1373">
        <v>0</v>
      </c>
    </row>
    <row customHeight="1" r="1374" ht="14.25">
      <c t="s" s="6" r="A1374">
        <v>9847</v>
      </c>
      <c t="s" s="6" r="B1374">
        <v>78</v>
      </c>
      <c t="s" s="6" r="C1374">
        <v>79</v>
      </c>
      <c t="s" s="6" r="E1374">
        <v>9848</v>
      </c>
      <c t="s" s="6" r="F1374">
        <v>81</v>
      </c>
      <c t="s" s="6" r="G1374">
        <v>106</v>
      </c>
      <c s="6" r="H1374">
        <v>0</v>
      </c>
      <c t="s" s="6" r="I1374">
        <v>120</v>
      </c>
      <c t="s" s="6" r="L1374">
        <v>9849</v>
      </c>
      <c t="s" s="6" r="M1374">
        <v>9850</v>
      </c>
      <c s="6" r="N1374">
        <v>1</v>
      </c>
      <c s="6" r="O1374">
        <v>0</v>
      </c>
      <c t="s" s="6" r="P1374">
        <v>9851</v>
      </c>
      <c t="s" s="6" r="Q1374">
        <v>5923</v>
      </c>
      <c t="s" s="6" r="R1374">
        <v>9852</v>
      </c>
      <c t="s" s="6" r="S1374">
        <v>9853</v>
      </c>
      <c t="s" s="6" r="T1374">
        <v>9149</v>
      </c>
      <c t="s" s="6" r="U1374">
        <v>9854</v>
      </c>
      <c s="6" r="V1374">
        <v>1</v>
      </c>
      <c s="6" r="W1374">
        <v>1</v>
      </c>
      <c s="6" r="X1374">
        <v>0</v>
      </c>
      <c s="6" r="Y1374">
        <v>0</v>
      </c>
      <c s="6" r="Z1374">
        <v>0</v>
      </c>
      <c s="6" r="AA1374">
        <v>2</v>
      </c>
      <c s="6" r="AB1374">
        <v>2</v>
      </c>
      <c t="s" s="6" r="AC1374">
        <v>92</v>
      </c>
      <c t="s" s="6" r="AD1374">
        <v>92</v>
      </c>
      <c s="6" r="AE1374">
        <v>2</v>
      </c>
      <c t="s" s="6" r="AF1374">
        <v>92</v>
      </c>
      <c t="s" s="6" r="AG1374">
        <v>92</v>
      </c>
      <c t="s" s="6" r="AH1374">
        <v>92</v>
      </c>
      <c t="s" s="6" r="AI1374">
        <v>92</v>
      </c>
      <c t="s" s="6" r="AJ1374">
        <v>92</v>
      </c>
      <c t="s" s="6" r="AK1374">
        <v>92</v>
      </c>
      <c t="s" s="6" r="AL1374">
        <v>92</v>
      </c>
      <c t="s" s="6" r="AM1374">
        <v>92</v>
      </c>
      <c s="6" r="AN1374">
        <v>2</v>
      </c>
      <c s="6" r="AP1374">
        <v>2</v>
      </c>
      <c t="s" s="6" r="AR1374">
        <v>9855</v>
      </c>
      <c s="6" r="AS1374">
        <v>0</v>
      </c>
      <c s="6" r="AT1374">
        <v>0</v>
      </c>
      <c s="6" r="AU1374">
        <v>0</v>
      </c>
      <c s="6" r="AV1374">
        <v>0</v>
      </c>
      <c s="6" r="AW1374">
        <v>0</v>
      </c>
      <c s="6" r="AX1374">
        <v>0</v>
      </c>
      <c s="6" r="AY1374">
        <v>0</v>
      </c>
      <c s="6" r="AZ1374">
        <v>0</v>
      </c>
      <c s="6" r="BA1374">
        <v>0</v>
      </c>
      <c s="6" r="BB1374">
        <v>0</v>
      </c>
      <c s="6" r="BC1374">
        <v>0</v>
      </c>
      <c s="6" r="BD1374">
        <v>0</v>
      </c>
      <c s="6" r="BE1374">
        <v>0</v>
      </c>
      <c s="6" r="BF1374">
        <v>0</v>
      </c>
      <c s="6" r="BG1374">
        <v>0</v>
      </c>
      <c s="6" r="BH1374">
        <v>0</v>
      </c>
      <c s="6" r="BI1374">
        <v>0</v>
      </c>
      <c s="6" r="BJ1374">
        <v>0</v>
      </c>
      <c s="6" r="BK1374">
        <v>0</v>
      </c>
      <c s="6" r="BL1374">
        <v>0</v>
      </c>
      <c s="6" r="BM1374">
        <v>0</v>
      </c>
      <c s="6" r="BN1374">
        <v>0</v>
      </c>
      <c s="6" r="BO1374">
        <v>0</v>
      </c>
      <c s="6" r="BP1374">
        <v>0</v>
      </c>
      <c s="6" r="BQ1374">
        <v>0</v>
      </c>
      <c t="str" s="6" r="BR1374">
        <f>HYPERLINK("http://www.d20pfsrd.com/magic/all-spells/r/reloading-hands","Reloading Hands")</f>
        <v>Reloading Hands</v>
      </c>
      <c s="6" r="BS1374">
        <v>1397</v>
      </c>
      <c t="s" s="6" r="BT1374">
        <v>92</v>
      </c>
      <c s="6" r="BY1374">
        <v>0</v>
      </c>
    </row>
    <row customHeight="1" r="1375" ht="14.25">
      <c t="s" s="6" r="A1375">
        <v>9856</v>
      </c>
      <c t="s" s="6" r="B1375">
        <v>131</v>
      </c>
      <c t="s" s="6" r="E1375">
        <v>9857</v>
      </c>
      <c t="s" s="6" r="F1375">
        <v>81</v>
      </c>
      <c t="s" s="6" r="G1375">
        <v>106</v>
      </c>
      <c s="6" r="H1375">
        <v>0</v>
      </c>
      <c t="s" s="6" r="I1375">
        <v>155</v>
      </c>
      <c t="s" s="6" r="L1375">
        <v>156</v>
      </c>
      <c t="s" s="6" r="M1375">
        <v>5005</v>
      </c>
      <c s="6" r="N1375">
        <v>0</v>
      </c>
      <c s="6" r="O1375">
        <v>0</v>
      </c>
      <c t="s" s="6" r="P1375">
        <v>141</v>
      </c>
      <c t="s" s="6" r="Q1375">
        <v>87</v>
      </c>
      <c t="s" s="6" r="R1375">
        <v>9858</v>
      </c>
      <c t="s" s="6" r="S1375">
        <v>9859</v>
      </c>
      <c t="s" s="6" r="T1375">
        <v>9149</v>
      </c>
      <c t="s" s="6" r="U1375">
        <v>9860</v>
      </c>
      <c s="6" r="V1375">
        <v>1</v>
      </c>
      <c s="6" r="W1375">
        <v>1</v>
      </c>
      <c s="6" r="X1375">
        <v>0</v>
      </c>
      <c s="6" r="Y1375">
        <v>0</v>
      </c>
      <c s="6" r="Z1375">
        <v>0</v>
      </c>
      <c s="6" r="AA1375">
        <v>3</v>
      </c>
      <c s="6" r="AB1375">
        <v>3</v>
      </c>
      <c t="s" s="6" r="AC1375">
        <v>92</v>
      </c>
      <c s="6" r="AD1375">
        <v>3</v>
      </c>
      <c t="s" s="6" r="AE1375">
        <v>92</v>
      </c>
      <c t="s" s="6" r="AF1375">
        <v>92</v>
      </c>
      <c t="s" s="6" r="AG1375">
        <v>92</v>
      </c>
      <c s="6" r="AH1375">
        <v>3</v>
      </c>
      <c t="s" s="6" r="AI1375">
        <v>92</v>
      </c>
      <c t="s" s="6" r="AJ1375">
        <v>92</v>
      </c>
      <c t="s" s="6" r="AK1375">
        <v>92</v>
      </c>
      <c t="s" s="6" r="AL1375">
        <v>92</v>
      </c>
      <c t="s" s="6" r="AM1375">
        <v>92</v>
      </c>
      <c t="s" s="6" r="AN1375">
        <v>92</v>
      </c>
      <c s="6" r="AP1375">
        <v>3</v>
      </c>
      <c t="s" s="6" r="AR1375">
        <v>9861</v>
      </c>
      <c s="6" r="AS1375">
        <v>0</v>
      </c>
      <c s="6" r="AT1375">
        <v>0</v>
      </c>
      <c s="6" r="AU1375">
        <v>0</v>
      </c>
      <c s="6" r="AV1375">
        <v>0</v>
      </c>
      <c s="6" r="AW1375">
        <v>0</v>
      </c>
      <c s="6" r="AX1375">
        <v>0</v>
      </c>
      <c s="6" r="AY1375">
        <v>0</v>
      </c>
      <c s="6" r="AZ1375">
        <v>0</v>
      </c>
      <c s="6" r="BA1375">
        <v>0</v>
      </c>
      <c s="6" r="BB1375">
        <v>0</v>
      </c>
      <c s="6" r="BC1375">
        <v>0</v>
      </c>
      <c s="6" r="BD1375">
        <v>0</v>
      </c>
      <c s="6" r="BE1375">
        <v>0</v>
      </c>
      <c s="6" r="BF1375">
        <v>0</v>
      </c>
      <c s="6" r="BG1375">
        <v>0</v>
      </c>
      <c s="6" r="BH1375">
        <v>0</v>
      </c>
      <c s="6" r="BI1375">
        <v>0</v>
      </c>
      <c s="6" r="BJ1375">
        <v>0</v>
      </c>
      <c s="6" r="BK1375">
        <v>0</v>
      </c>
      <c s="6" r="BL1375">
        <v>0</v>
      </c>
      <c s="6" r="BM1375">
        <v>0</v>
      </c>
      <c s="6" r="BN1375">
        <v>0</v>
      </c>
      <c s="6" r="BO1375">
        <v>0</v>
      </c>
      <c s="6" r="BP1375">
        <v>0</v>
      </c>
      <c s="6" r="BQ1375">
        <v>0</v>
      </c>
      <c t="str" s="6" r="BR1375">
        <f>HYPERLINK("http://www.d20pfsrd.com/magic/all-spells/r/resinous-skin","Resinous Skin")</f>
        <v>Resinous Skin</v>
      </c>
      <c s="6" r="BS1375">
        <v>1398</v>
      </c>
      <c t="s" s="6" r="BT1375">
        <v>92</v>
      </c>
      <c s="6" r="BY1375">
        <v>0</v>
      </c>
    </row>
    <row customHeight="1" r="1376" ht="14.25">
      <c t="s" s="6" r="A1376">
        <v>9862</v>
      </c>
      <c t="s" s="6" r="B1376">
        <v>162</v>
      </c>
      <c t="s" s="6" r="E1376">
        <v>9863</v>
      </c>
      <c t="s" s="6" r="F1376">
        <v>81</v>
      </c>
      <c t="s" s="6" r="G1376">
        <v>119</v>
      </c>
      <c s="6" r="H1376">
        <v>0</v>
      </c>
      <c t="s" s="6" r="I1376">
        <v>120</v>
      </c>
      <c t="s" s="6" r="L1376">
        <v>9190</v>
      </c>
      <c t="s" s="6" r="M1376">
        <v>134</v>
      </c>
      <c s="6" r="N1376">
        <v>0</v>
      </c>
      <c s="6" r="O1376">
        <v>0</v>
      </c>
      <c t="s" s="6" r="P1376">
        <v>1227</v>
      </c>
      <c t="s" s="6" r="Q1376">
        <v>123</v>
      </c>
      <c t="s" s="6" r="R1376">
        <v>9864</v>
      </c>
      <c t="s" s="6" r="S1376">
        <v>9865</v>
      </c>
      <c t="s" s="6" r="T1376">
        <v>9149</v>
      </c>
      <c t="s" s="6" r="U1376">
        <v>9866</v>
      </c>
      <c s="6" r="V1376">
        <v>1</v>
      </c>
      <c s="6" r="W1376">
        <v>1</v>
      </c>
      <c s="6" r="X1376">
        <v>0</v>
      </c>
      <c s="6" r="Y1376">
        <v>0</v>
      </c>
      <c s="6" r="Z1376">
        <v>1</v>
      </c>
      <c s="6" r="AA1376">
        <v>3</v>
      </c>
      <c s="6" r="AB1376">
        <v>3</v>
      </c>
      <c s="6" r="AC1376">
        <v>3</v>
      </c>
      <c s="6" r="AD1376">
        <v>3</v>
      </c>
      <c s="6" r="AE1376">
        <v>3</v>
      </c>
      <c t="s" s="6" r="AF1376">
        <v>92</v>
      </c>
      <c s="6" r="AG1376">
        <v>3</v>
      </c>
      <c s="6" r="AH1376">
        <v>3</v>
      </c>
      <c s="6" r="AI1376">
        <v>3</v>
      </c>
      <c t="s" s="6" r="AJ1376">
        <v>92</v>
      </c>
      <c s="6" r="AK1376">
        <v>3</v>
      </c>
      <c s="6" r="AL1376">
        <v>3</v>
      </c>
      <c t="s" s="6" r="AM1376">
        <v>92</v>
      </c>
      <c t="s" s="6" r="AN1376">
        <v>92</v>
      </c>
      <c s="6" r="AP1376">
        <v>3</v>
      </c>
      <c t="s" s="6" r="AR1376">
        <v>9867</v>
      </c>
      <c s="6" r="AS1376">
        <v>0</v>
      </c>
      <c s="6" r="AT1376">
        <v>0</v>
      </c>
      <c s="6" r="AU1376">
        <v>0</v>
      </c>
      <c s="6" r="AV1376">
        <v>0</v>
      </c>
      <c s="6" r="AW1376">
        <v>0</v>
      </c>
      <c s="6" r="AX1376">
        <v>0</v>
      </c>
      <c s="6" r="AY1376">
        <v>0</v>
      </c>
      <c s="6" r="AZ1376">
        <v>0</v>
      </c>
      <c s="6" r="BA1376">
        <v>0</v>
      </c>
      <c s="6" r="BB1376">
        <v>0</v>
      </c>
      <c s="6" r="BC1376">
        <v>0</v>
      </c>
      <c s="6" r="BD1376">
        <v>0</v>
      </c>
      <c s="6" r="BE1376">
        <v>0</v>
      </c>
      <c s="6" r="BF1376">
        <v>0</v>
      </c>
      <c s="6" r="BG1376">
        <v>0</v>
      </c>
      <c s="6" r="BH1376">
        <v>0</v>
      </c>
      <c s="6" r="BI1376">
        <v>0</v>
      </c>
      <c s="6" r="BJ1376">
        <v>0</v>
      </c>
      <c s="6" r="BK1376">
        <v>0</v>
      </c>
      <c s="6" r="BL1376">
        <v>0</v>
      </c>
      <c s="6" r="BM1376">
        <v>0</v>
      </c>
      <c s="6" r="BN1376">
        <v>0</v>
      </c>
      <c s="6" r="BO1376">
        <v>0</v>
      </c>
      <c s="6" r="BP1376">
        <v>0</v>
      </c>
      <c s="6" r="BQ1376">
        <v>0</v>
      </c>
      <c t="str" s="6" r="BR1376">
        <f>HYPERLINK("http://www.d20pfsrd.com/magic/all-spells/r/resist-energy#TOC-Resist-Energy-Communal","Resist Energy, Communal")</f>
        <v>Resist Energy, Communal</v>
      </c>
      <c s="6" r="BS1376">
        <v>1399</v>
      </c>
      <c t="s" s="6" r="BT1376">
        <v>92</v>
      </c>
      <c s="6" r="BY1376">
        <v>0</v>
      </c>
    </row>
    <row customHeight="1" r="1377" ht="14.25">
      <c t="s" s="6" r="A1377">
        <v>9868</v>
      </c>
      <c t="s" s="6" r="B1377">
        <v>78</v>
      </c>
      <c t="s" s="6" r="C1377">
        <v>1356</v>
      </c>
      <c t="s" s="6" r="E1377">
        <v>9869</v>
      </c>
      <c t="s" s="6" r="F1377">
        <v>81</v>
      </c>
      <c t="s" s="6" r="G1377">
        <v>106</v>
      </c>
      <c s="6" r="H1377">
        <v>0</v>
      </c>
      <c t="s" s="6" r="I1377">
        <v>107</v>
      </c>
      <c t="s" s="6" r="L1377">
        <v>9870</v>
      </c>
      <c t="s" s="6" r="M1377">
        <v>2718</v>
      </c>
      <c s="6" r="N1377">
        <v>0</v>
      </c>
      <c s="6" r="O1377">
        <v>0</v>
      </c>
      <c t="s" s="6" r="P1377">
        <v>144</v>
      </c>
      <c t="s" s="6" r="Q1377">
        <v>145</v>
      </c>
      <c t="s" s="6" r="R1377">
        <v>9871</v>
      </c>
      <c t="s" s="6" r="S1377">
        <v>9872</v>
      </c>
      <c t="s" s="6" r="T1377">
        <v>9149</v>
      </c>
      <c t="s" s="6" r="U1377">
        <v>9873</v>
      </c>
      <c s="6" r="V1377">
        <v>1</v>
      </c>
      <c s="6" r="W1377">
        <v>1</v>
      </c>
      <c s="6" r="X1377">
        <v>0</v>
      </c>
      <c s="6" r="Y1377">
        <v>0</v>
      </c>
      <c s="6" r="Z1377">
        <v>0</v>
      </c>
      <c s="6" r="AA1377">
        <v>2</v>
      </c>
      <c s="6" r="AB1377">
        <v>2</v>
      </c>
      <c s="6" r="AC1377">
        <v>2</v>
      </c>
      <c t="s" s="6" r="AD1377">
        <v>92</v>
      </c>
      <c s="6" r="AE1377">
        <v>1</v>
      </c>
      <c s="6" r="AF1377">
        <v>2</v>
      </c>
      <c t="s" s="6" r="AG1377">
        <v>92</v>
      </c>
      <c t="s" s="6" r="AH1377">
        <v>92</v>
      </c>
      <c t="s" s="6" r="AI1377">
        <v>92</v>
      </c>
      <c s="6" r="AJ1377">
        <v>2</v>
      </c>
      <c s="6" r="AK1377">
        <v>1</v>
      </c>
      <c s="6" r="AL1377">
        <v>2</v>
      </c>
      <c t="s" s="6" r="AM1377">
        <v>92</v>
      </c>
      <c s="6" r="AN1377">
        <v>1</v>
      </c>
      <c s="6" r="AP1377">
        <v>2</v>
      </c>
      <c t="s" s="6" r="AR1377">
        <v>9874</v>
      </c>
      <c s="6" r="AS1377">
        <v>0</v>
      </c>
      <c s="6" r="AT1377">
        <v>0</v>
      </c>
      <c s="6" r="AU1377">
        <v>0</v>
      </c>
      <c s="6" r="AV1377">
        <v>0</v>
      </c>
      <c s="6" r="AW1377">
        <v>0</v>
      </c>
      <c s="6" r="AX1377">
        <v>0</v>
      </c>
      <c s="6" r="AY1377">
        <v>0</v>
      </c>
      <c s="6" r="AZ1377">
        <v>0</v>
      </c>
      <c s="6" r="BA1377">
        <v>0</v>
      </c>
      <c s="6" r="BB1377">
        <v>0</v>
      </c>
      <c s="6" r="BC1377">
        <v>0</v>
      </c>
      <c s="6" r="BD1377">
        <v>0</v>
      </c>
      <c s="6" r="BE1377">
        <v>0</v>
      </c>
      <c s="6" r="BF1377">
        <v>0</v>
      </c>
      <c s="6" r="BG1377">
        <v>0</v>
      </c>
      <c s="6" r="BH1377">
        <v>0</v>
      </c>
      <c s="6" r="BI1377">
        <v>0</v>
      </c>
      <c s="6" r="BJ1377">
        <v>0</v>
      </c>
      <c s="6" r="BK1377">
        <v>0</v>
      </c>
      <c s="6" r="BL1377">
        <v>0</v>
      </c>
      <c s="6" r="BM1377">
        <v>0</v>
      </c>
      <c s="6" r="BN1377">
        <v>0</v>
      </c>
      <c s="6" r="BO1377">
        <v>0</v>
      </c>
      <c s="6" r="BP1377">
        <v>0</v>
      </c>
      <c s="6" r="BQ1377">
        <v>0</v>
      </c>
      <c t="str" s="6" r="BR1377">
        <f>HYPERLINK("http://www.d20pfsrd.com/magic/all-spells/r/returning-weapon","Returning Weapon")</f>
        <v>Returning Weapon</v>
      </c>
      <c s="6" r="BS1377">
        <v>1400</v>
      </c>
      <c t="s" s="6" r="BT1377">
        <v>92</v>
      </c>
      <c s="6" r="BY1377">
        <v>0</v>
      </c>
    </row>
    <row customHeight="1" r="1378" ht="14.25">
      <c t="s" s="6" r="A1378">
        <v>9875</v>
      </c>
      <c t="s" s="6" r="B1378">
        <v>78</v>
      </c>
      <c t="s" s="6" r="C1378">
        <v>1356</v>
      </c>
      <c t="s" s="6" r="E1378">
        <v>9876</v>
      </c>
      <c t="s" s="6" r="F1378">
        <v>81</v>
      </c>
      <c t="s" s="6" r="G1378">
        <v>106</v>
      </c>
      <c s="6" r="H1378">
        <v>0</v>
      </c>
      <c t="s" s="6" r="I1378">
        <v>107</v>
      </c>
      <c t="s" s="6" r="L1378">
        <v>9190</v>
      </c>
      <c t="s" s="6" r="M1378">
        <v>2718</v>
      </c>
      <c s="6" r="N1378">
        <v>0</v>
      </c>
      <c s="6" r="O1378">
        <v>0</v>
      </c>
      <c t="s" s="6" r="P1378">
        <v>144</v>
      </c>
      <c t="s" s="6" r="Q1378">
        <v>145</v>
      </c>
      <c t="s" s="6" r="R1378">
        <v>9871</v>
      </c>
      <c t="s" s="6" r="S1378">
        <v>9872</v>
      </c>
      <c t="s" s="6" r="T1378">
        <v>9149</v>
      </c>
      <c t="s" s="6" r="U1378">
        <v>9877</v>
      </c>
      <c s="6" r="V1378">
        <v>1</v>
      </c>
      <c s="6" r="W1378">
        <v>1</v>
      </c>
      <c s="6" r="X1378">
        <v>0</v>
      </c>
      <c s="6" r="Y1378">
        <v>0</v>
      </c>
      <c s="6" r="Z1378">
        <v>0</v>
      </c>
      <c s="6" r="AA1378">
        <v>3</v>
      </c>
      <c s="6" r="AB1378">
        <v>3</v>
      </c>
      <c s="6" r="AC1378">
        <v>3</v>
      </c>
      <c t="s" s="6" r="AD1378">
        <v>92</v>
      </c>
      <c s="6" r="AE1378">
        <v>2</v>
      </c>
      <c s="6" r="AF1378">
        <v>3</v>
      </c>
      <c t="s" s="6" r="AG1378">
        <v>92</v>
      </c>
      <c t="s" s="6" r="AH1378">
        <v>92</v>
      </c>
      <c t="s" s="6" r="AI1378">
        <v>92</v>
      </c>
      <c s="6" r="AJ1378">
        <v>3</v>
      </c>
      <c s="6" r="AK1378">
        <v>2</v>
      </c>
      <c s="6" r="AL1378">
        <v>3</v>
      </c>
      <c t="s" s="6" r="AM1378">
        <v>92</v>
      </c>
      <c s="6" r="AN1378">
        <v>2</v>
      </c>
      <c s="6" r="AP1378">
        <v>3</v>
      </c>
      <c t="s" s="6" r="AR1378">
        <v>9878</v>
      </c>
      <c s="6" r="AS1378">
        <v>0</v>
      </c>
      <c s="6" r="AT1378">
        <v>0</v>
      </c>
      <c s="6" r="AU1378">
        <v>0</v>
      </c>
      <c s="6" r="AV1378">
        <v>0</v>
      </c>
      <c s="6" r="AW1378">
        <v>0</v>
      </c>
      <c s="6" r="AX1378">
        <v>0</v>
      </c>
      <c s="6" r="AY1378">
        <v>0</v>
      </c>
      <c s="6" r="AZ1378">
        <v>0</v>
      </c>
      <c s="6" r="BA1378">
        <v>0</v>
      </c>
      <c s="6" r="BB1378">
        <v>0</v>
      </c>
      <c s="6" r="BC1378">
        <v>0</v>
      </c>
      <c s="6" r="BD1378">
        <v>0</v>
      </c>
      <c s="6" r="BE1378">
        <v>0</v>
      </c>
      <c s="6" r="BF1378">
        <v>0</v>
      </c>
      <c s="6" r="BG1378">
        <v>0</v>
      </c>
      <c s="6" r="BH1378">
        <v>0</v>
      </c>
      <c s="6" r="BI1378">
        <v>0</v>
      </c>
      <c s="6" r="BJ1378">
        <v>0</v>
      </c>
      <c s="6" r="BK1378">
        <v>0</v>
      </c>
      <c s="6" r="BL1378">
        <v>0</v>
      </c>
      <c s="6" r="BM1378">
        <v>0</v>
      </c>
      <c s="6" r="BN1378">
        <v>0</v>
      </c>
      <c s="6" r="BO1378">
        <v>0</v>
      </c>
      <c s="6" r="BP1378">
        <v>0</v>
      </c>
      <c s="6" r="BQ1378">
        <v>0</v>
      </c>
      <c t="str" s="6" r="BR1378">
        <f>HYPERLINK("http://www.d20pfsrd.com/magic/all-spells/r/returning-weapon#TOC-Returning-Weapon-Communal","Returning Weapon, Communal")</f>
        <v>Returning Weapon, Communal</v>
      </c>
      <c s="6" r="BS1378">
        <v>1401</v>
      </c>
      <c t="s" s="6" r="BT1378">
        <v>92</v>
      </c>
      <c s="6" r="BY1378">
        <v>0</v>
      </c>
    </row>
    <row customHeight="1" r="1379" ht="14.25">
      <c t="s" s="6" r="A1379">
        <v>9879</v>
      </c>
      <c t="s" s="6" r="B1379">
        <v>493</v>
      </c>
      <c t="s" s="6" r="E1379">
        <v>5267</v>
      </c>
      <c t="s" s="6" r="F1379">
        <v>81</v>
      </c>
      <c t="s" s="6" r="G1379">
        <v>9880</v>
      </c>
      <c s="6" r="H1379">
        <v>0</v>
      </c>
      <c t="s" s="6" r="I1379">
        <v>107</v>
      </c>
      <c t="s" s="6" r="L1379">
        <v>9881</v>
      </c>
      <c t="s" s="6" r="M1379">
        <v>6116</v>
      </c>
      <c s="6" r="N1379">
        <v>0</v>
      </c>
      <c s="6" r="O1379">
        <v>0</v>
      </c>
      <c t="s" s="6" r="P1379">
        <v>144</v>
      </c>
      <c t="s" s="6" r="Q1379">
        <v>145</v>
      </c>
      <c t="s" s="6" r="R1379">
        <v>9882</v>
      </c>
      <c t="s" s="6" r="S1379">
        <v>9883</v>
      </c>
      <c t="s" s="6" r="T1379">
        <v>9149</v>
      </c>
      <c t="s" s="6" r="U1379">
        <v>9884</v>
      </c>
      <c s="6" r="V1379">
        <v>1</v>
      </c>
      <c s="6" r="W1379">
        <v>1</v>
      </c>
      <c s="6" r="X1379">
        <v>1</v>
      </c>
      <c s="6" r="Y1379">
        <v>0</v>
      </c>
      <c s="6" r="Z1379">
        <v>0</v>
      </c>
      <c s="6" r="AA1379">
        <v>2</v>
      </c>
      <c s="6" r="AB1379">
        <v>2</v>
      </c>
      <c t="s" s="6" r="AC1379">
        <v>92</v>
      </c>
      <c t="s" s="6" r="AD1379">
        <v>92</v>
      </c>
      <c s="6" r="AE1379">
        <v>2</v>
      </c>
      <c t="s" s="6" r="AF1379">
        <v>92</v>
      </c>
      <c t="s" s="6" r="AG1379">
        <v>92</v>
      </c>
      <c t="s" s="6" r="AH1379">
        <v>92</v>
      </c>
      <c t="s" s="6" r="AI1379">
        <v>92</v>
      </c>
      <c t="s" s="6" r="AJ1379">
        <v>92</v>
      </c>
      <c t="s" s="6" r="AK1379">
        <v>92</v>
      </c>
      <c t="s" s="6" r="AL1379">
        <v>92</v>
      </c>
      <c t="s" s="6" r="AM1379">
        <v>92</v>
      </c>
      <c t="s" s="6" r="AN1379">
        <v>92</v>
      </c>
      <c s="6" r="AP1379">
        <v>2</v>
      </c>
      <c t="s" s="6" r="AR1379">
        <v>9885</v>
      </c>
      <c s="6" r="AS1379">
        <v>0</v>
      </c>
      <c s="6" r="AT1379">
        <v>0</v>
      </c>
      <c s="6" r="AU1379">
        <v>0</v>
      </c>
      <c s="6" r="AV1379">
        <v>0</v>
      </c>
      <c s="6" r="AW1379">
        <v>0</v>
      </c>
      <c s="6" r="AX1379">
        <v>0</v>
      </c>
      <c s="6" r="AY1379">
        <v>0</v>
      </c>
      <c s="6" r="AZ1379">
        <v>0</v>
      </c>
      <c s="6" r="BA1379">
        <v>0</v>
      </c>
      <c s="6" r="BB1379">
        <v>0</v>
      </c>
      <c s="6" r="BC1379">
        <v>0</v>
      </c>
      <c s="6" r="BD1379">
        <v>0</v>
      </c>
      <c s="6" r="BE1379">
        <v>0</v>
      </c>
      <c s="6" r="BF1379">
        <v>0</v>
      </c>
      <c s="6" r="BG1379">
        <v>0</v>
      </c>
      <c s="6" r="BH1379">
        <v>0</v>
      </c>
      <c s="6" r="BI1379">
        <v>0</v>
      </c>
      <c s="6" r="BJ1379">
        <v>0</v>
      </c>
      <c s="6" r="BK1379">
        <v>0</v>
      </c>
      <c s="6" r="BL1379">
        <v>0</v>
      </c>
      <c s="6" r="BM1379">
        <v>0</v>
      </c>
      <c s="6" r="BN1379">
        <v>0</v>
      </c>
      <c s="6" r="BO1379">
        <v>0</v>
      </c>
      <c s="6" r="BP1379">
        <v>0</v>
      </c>
      <c s="6" r="BQ1379">
        <v>0</v>
      </c>
      <c t="str" s="6" r="BR1379">
        <f>HYPERLINK("http://www.d20pfsrd.com/magic/all-spells/r/ricochet-shot","Ricochet Shot")</f>
        <v>Ricochet Shot</v>
      </c>
      <c s="6" r="BS1379">
        <v>1402</v>
      </c>
      <c t="s" s="6" r="BT1379">
        <v>92</v>
      </c>
      <c t="s" s="6" r="BW1379">
        <v>9886</v>
      </c>
      <c t="s" s="6" r="BX1379">
        <v>9887</v>
      </c>
      <c s="6" r="BY1379">
        <v>1</v>
      </c>
    </row>
    <row customHeight="1" r="1380" ht="14.25">
      <c t="s" s="6" r="A1380">
        <v>9888</v>
      </c>
      <c t="s" s="6" r="B1380">
        <v>174</v>
      </c>
      <c t="s" s="6" r="E1380">
        <v>9889</v>
      </c>
      <c t="s" s="6" r="F1380">
        <v>81</v>
      </c>
      <c t="s" s="6" r="G1380">
        <v>9890</v>
      </c>
      <c s="6" r="H1380">
        <v>0</v>
      </c>
      <c t="s" s="6" r="I1380">
        <v>155</v>
      </c>
      <c t="s" s="6" r="L1380">
        <v>156</v>
      </c>
      <c t="s" s="6" r="M1380">
        <v>6889</v>
      </c>
      <c s="6" r="N1380">
        <v>0</v>
      </c>
      <c s="6" r="O1380">
        <v>0</v>
      </c>
      <c t="s" s="6" r="R1380">
        <v>9891</v>
      </c>
      <c t="s" s="6" r="S1380">
        <v>9892</v>
      </c>
      <c t="s" s="6" r="T1380">
        <v>9149</v>
      </c>
      <c t="s" s="6" r="U1380">
        <v>9893</v>
      </c>
      <c s="6" r="V1380">
        <v>1</v>
      </c>
      <c s="6" r="W1380">
        <v>1</v>
      </c>
      <c s="6" r="X1380">
        <v>1</v>
      </c>
      <c s="6" r="Y1380">
        <v>0</v>
      </c>
      <c s="6" r="Z1380">
        <v>0</v>
      </c>
      <c s="6" r="AA1380">
        <v>1</v>
      </c>
      <c s="6" r="AB1380">
        <v>1</v>
      </c>
      <c t="s" s="6" r="AC1380">
        <v>92</v>
      </c>
      <c t="s" s="6" r="AD1380">
        <v>92</v>
      </c>
      <c t="s" s="6" r="AE1380">
        <v>92</v>
      </c>
      <c s="6" r="AF1380">
        <v>1</v>
      </c>
      <c t="s" s="6" r="AG1380">
        <v>92</v>
      </c>
      <c s="6" r="AH1380">
        <v>1</v>
      </c>
      <c t="s" s="6" r="AI1380">
        <v>92</v>
      </c>
      <c t="s" s="6" r="AJ1380">
        <v>92</v>
      </c>
      <c t="s" s="6" r="AK1380">
        <v>92</v>
      </c>
      <c t="s" s="6" r="AL1380">
        <v>92</v>
      </c>
      <c t="s" s="6" r="AM1380">
        <v>92</v>
      </c>
      <c t="s" s="6" r="AN1380">
        <v>92</v>
      </c>
      <c s="6" r="AP1380">
        <v>1</v>
      </c>
      <c t="s" s="6" r="AR1380">
        <v>9894</v>
      </c>
      <c s="6" r="AS1380">
        <v>0</v>
      </c>
      <c s="6" r="AT1380">
        <v>0</v>
      </c>
      <c s="6" r="AU1380">
        <v>0</v>
      </c>
      <c s="6" r="AV1380">
        <v>0</v>
      </c>
      <c s="6" r="AW1380">
        <v>0</v>
      </c>
      <c s="6" r="AX1380">
        <v>0</v>
      </c>
      <c s="6" r="AY1380">
        <v>0</v>
      </c>
      <c s="6" r="AZ1380">
        <v>0</v>
      </c>
      <c s="6" r="BA1380">
        <v>0</v>
      </c>
      <c s="6" r="BB1380">
        <v>0</v>
      </c>
      <c s="6" r="BC1380">
        <v>0</v>
      </c>
      <c s="6" r="BD1380">
        <v>0</v>
      </c>
      <c s="6" r="BE1380">
        <v>0</v>
      </c>
      <c s="6" r="BF1380">
        <v>0</v>
      </c>
      <c s="6" r="BG1380">
        <v>0</v>
      </c>
      <c s="6" r="BH1380">
        <v>0</v>
      </c>
      <c s="6" r="BI1380">
        <v>0</v>
      </c>
      <c s="6" r="BJ1380">
        <v>0</v>
      </c>
      <c s="6" r="BK1380">
        <v>0</v>
      </c>
      <c s="6" r="BL1380">
        <v>0</v>
      </c>
      <c s="6" r="BM1380">
        <v>0</v>
      </c>
      <c s="6" r="BN1380">
        <v>0</v>
      </c>
      <c s="6" r="BO1380">
        <v>0</v>
      </c>
      <c s="6" r="BP1380">
        <v>0</v>
      </c>
      <c s="6" r="BQ1380">
        <v>0</v>
      </c>
      <c t="str" s="6" r="BR1380">
        <f>HYPERLINK("http://www.d20pfsrd.com/magic/all-spells/s/see-alignment","See Alignment")</f>
        <v>See Alignment</v>
      </c>
      <c s="6" r="BS1380">
        <v>1403</v>
      </c>
      <c t="s" s="6" r="BT1380">
        <v>92</v>
      </c>
      <c s="6" r="BY1380">
        <v>0</v>
      </c>
    </row>
    <row customHeight="1" r="1381" ht="14.25">
      <c t="s" s="6" r="A1381">
        <v>9895</v>
      </c>
      <c t="s" s="6" r="B1381">
        <v>78</v>
      </c>
      <c t="s" s="6" r="C1381">
        <v>79</v>
      </c>
      <c t="s" s="6" r="E1381">
        <v>5220</v>
      </c>
      <c t="s" s="6" r="F1381">
        <v>81</v>
      </c>
      <c t="s" s="6" r="G1381">
        <v>106</v>
      </c>
      <c s="6" r="H1381">
        <v>0</v>
      </c>
      <c t="s" s="6" r="I1381">
        <v>155</v>
      </c>
      <c t="s" s="6" r="L1381">
        <v>156</v>
      </c>
      <c t="s" s="6" r="M1381">
        <v>99</v>
      </c>
      <c s="6" r="N1381">
        <v>0</v>
      </c>
      <c s="6" r="O1381">
        <v>0</v>
      </c>
      <c t="s" s="6" r="P1381">
        <v>9233</v>
      </c>
      <c t="s" s="6" r="Q1381">
        <v>9233</v>
      </c>
      <c t="s" s="6" r="R1381">
        <v>9896</v>
      </c>
      <c t="s" s="6" r="S1381">
        <v>9897</v>
      </c>
      <c t="s" s="6" r="T1381">
        <v>9149</v>
      </c>
      <c t="s" s="6" r="U1381">
        <v>9898</v>
      </c>
      <c s="6" r="V1381">
        <v>1</v>
      </c>
      <c s="6" r="W1381">
        <v>1</v>
      </c>
      <c s="6" r="X1381">
        <v>0</v>
      </c>
      <c s="6" r="Y1381">
        <v>0</v>
      </c>
      <c s="6" r="Z1381">
        <v>0</v>
      </c>
      <c t="s" s="6" r="AA1381">
        <v>92</v>
      </c>
      <c t="s" s="6" r="AB1381">
        <v>92</v>
      </c>
      <c t="s" s="6" r="AC1381">
        <v>92</v>
      </c>
      <c t="s" s="6" r="AD1381">
        <v>92</v>
      </c>
      <c t="s" s="6" r="AE1381">
        <v>92</v>
      </c>
      <c t="s" s="6" r="AF1381">
        <v>92</v>
      </c>
      <c t="s" s="6" r="AG1381">
        <v>92</v>
      </c>
      <c s="6" r="AH1381">
        <v>2</v>
      </c>
      <c t="s" s="6" r="AI1381">
        <v>92</v>
      </c>
      <c t="s" s="6" r="AJ1381">
        <v>92</v>
      </c>
      <c t="s" s="6" r="AK1381">
        <v>92</v>
      </c>
      <c t="s" s="6" r="AL1381">
        <v>92</v>
      </c>
      <c t="s" s="6" r="AM1381">
        <v>92</v>
      </c>
      <c t="s" s="6" r="AN1381">
        <v>92</v>
      </c>
      <c s="6" r="AP1381">
        <v>2</v>
      </c>
      <c t="s" s="6" r="AR1381">
        <v>9899</v>
      </c>
      <c s="6" r="AS1381">
        <v>0</v>
      </c>
      <c s="6" r="AT1381">
        <v>0</v>
      </c>
      <c s="6" r="AU1381">
        <v>0</v>
      </c>
      <c s="6" r="AV1381">
        <v>0</v>
      </c>
      <c s="6" r="AW1381">
        <v>0</v>
      </c>
      <c s="6" r="AX1381">
        <v>0</v>
      </c>
      <c s="6" r="AY1381">
        <v>0</v>
      </c>
      <c s="6" r="AZ1381">
        <v>0</v>
      </c>
      <c s="6" r="BA1381">
        <v>0</v>
      </c>
      <c s="6" r="BB1381">
        <v>0</v>
      </c>
      <c s="6" r="BC1381">
        <v>0</v>
      </c>
      <c s="6" r="BD1381">
        <v>0</v>
      </c>
      <c s="6" r="BE1381">
        <v>0</v>
      </c>
      <c s="6" r="BF1381">
        <v>0</v>
      </c>
      <c s="6" r="BG1381">
        <v>0</v>
      </c>
      <c s="6" r="BH1381">
        <v>0</v>
      </c>
      <c s="6" r="BI1381">
        <v>0</v>
      </c>
      <c s="6" r="BJ1381">
        <v>0</v>
      </c>
      <c s="6" r="BK1381">
        <v>0</v>
      </c>
      <c s="6" r="BL1381">
        <v>0</v>
      </c>
      <c s="6" r="BM1381">
        <v>0</v>
      </c>
      <c s="6" r="BN1381">
        <v>0</v>
      </c>
      <c s="6" r="BO1381">
        <v>0</v>
      </c>
      <c s="6" r="BP1381">
        <v>0</v>
      </c>
      <c s="6" r="BQ1381">
        <v>0</v>
      </c>
      <c t="str" s="6" r="BR1381">
        <f>HYPERLINK("http://www.d20pfsrd.com/magic/all-spells/s/shadow-bomb-admixture","Shadow Bomb Admixture")</f>
        <v>Shadow Bomb Admixture</v>
      </c>
      <c s="6" r="BS1381">
        <v>1404</v>
      </c>
      <c t="s" s="6" r="BT1381">
        <v>92</v>
      </c>
      <c s="6" r="BY1381">
        <v>0</v>
      </c>
    </row>
    <row customHeight="1" r="1382" ht="14.25">
      <c t="s" s="6" r="A1382">
        <v>9900</v>
      </c>
      <c t="s" s="6" r="B1382">
        <v>174</v>
      </c>
      <c t="s" s="6" r="E1382">
        <v>9901</v>
      </c>
      <c t="s" s="6" r="F1382">
        <v>81</v>
      </c>
      <c t="s" s="6" r="G1382">
        <v>6522</v>
      </c>
      <c s="6" r="H1382">
        <v>0</v>
      </c>
      <c t="s" s="6" r="I1382">
        <v>120</v>
      </c>
      <c t="s" s="6" r="L1382">
        <v>9190</v>
      </c>
      <c t="s" s="6" r="M1382">
        <v>379</v>
      </c>
      <c s="6" r="N1382">
        <v>0</v>
      </c>
      <c s="6" r="O1382">
        <v>0</v>
      </c>
      <c t="s" s="6" r="P1382">
        <v>421</v>
      </c>
      <c t="s" s="6" r="Q1382">
        <v>123</v>
      </c>
      <c t="s" s="6" r="R1382">
        <v>9902</v>
      </c>
      <c t="s" s="6" r="S1382">
        <v>9903</v>
      </c>
      <c t="s" s="6" r="T1382">
        <v>9149</v>
      </c>
      <c t="s" s="6" r="U1382">
        <v>9904</v>
      </c>
      <c s="6" r="V1382">
        <v>1</v>
      </c>
      <c s="6" r="W1382">
        <v>1</v>
      </c>
      <c s="6" r="X1382">
        <v>1</v>
      </c>
      <c s="6" r="Y1382">
        <v>0</v>
      </c>
      <c s="6" r="Z1382">
        <v>0</v>
      </c>
      <c s="6" r="AA1382">
        <v>3</v>
      </c>
      <c s="6" r="AB1382">
        <v>3</v>
      </c>
      <c s="6" r="AC1382">
        <v>3</v>
      </c>
      <c s="6" r="AD1382">
        <v>3</v>
      </c>
      <c t="s" s="6" r="AE1382">
        <v>92</v>
      </c>
      <c s="6" r="AF1382">
        <v>2</v>
      </c>
      <c t="s" s="6" r="AG1382">
        <v>92</v>
      </c>
      <c t="s" s="6" r="AH1382">
        <v>92</v>
      </c>
      <c t="s" s="6" r="AI1382">
        <v>92</v>
      </c>
      <c t="s" s="6" r="AJ1382">
        <v>92</v>
      </c>
      <c t="s" s="6" r="AK1382">
        <v>92</v>
      </c>
      <c s="6" r="AL1382">
        <v>3</v>
      </c>
      <c t="s" s="6" r="AM1382">
        <v>92</v>
      </c>
      <c t="s" s="6" r="AN1382">
        <v>92</v>
      </c>
      <c s="6" r="AP1382">
        <v>3</v>
      </c>
      <c t="s" s="6" r="AR1382">
        <v>9905</v>
      </c>
      <c s="6" r="AS1382">
        <v>0</v>
      </c>
      <c s="6" r="AT1382">
        <v>0</v>
      </c>
      <c s="6" r="AU1382">
        <v>0</v>
      </c>
      <c s="6" r="AV1382">
        <v>0</v>
      </c>
      <c s="6" r="AW1382">
        <v>0</v>
      </c>
      <c s="6" r="AX1382">
        <v>0</v>
      </c>
      <c s="6" r="AY1382">
        <v>0</v>
      </c>
      <c s="6" r="AZ1382">
        <v>0</v>
      </c>
      <c s="6" r="BA1382">
        <v>0</v>
      </c>
      <c s="6" r="BB1382">
        <v>0</v>
      </c>
      <c s="6" r="BC1382">
        <v>0</v>
      </c>
      <c s="6" r="BD1382">
        <v>0</v>
      </c>
      <c s="6" r="BE1382">
        <v>0</v>
      </c>
      <c s="6" r="BF1382">
        <v>0</v>
      </c>
      <c s="6" r="BG1382">
        <v>0</v>
      </c>
      <c s="6" r="BH1382">
        <v>0</v>
      </c>
      <c s="6" r="BI1382">
        <v>0</v>
      </c>
      <c s="6" r="BJ1382">
        <v>0</v>
      </c>
      <c s="6" r="BK1382">
        <v>0</v>
      </c>
      <c s="6" r="BL1382">
        <v>0</v>
      </c>
      <c s="6" r="BM1382">
        <v>0</v>
      </c>
      <c s="6" r="BN1382">
        <v>0</v>
      </c>
      <c s="6" r="BO1382">
        <v>0</v>
      </c>
      <c s="6" r="BP1382">
        <v>0</v>
      </c>
      <c s="6" r="BQ1382">
        <v>0</v>
      </c>
      <c t="str" s="6" r="BR1382">
        <f>HYPERLINK("http://www.d20pfsrd.com/magic/all-spells/s/share-language#TOC-Share-Language-Communal","Share Language, Communal")</f>
        <v>Share Language, Communal</v>
      </c>
      <c s="6" r="BS1382">
        <v>1405</v>
      </c>
      <c t="s" s="6" r="BT1382">
        <v>92</v>
      </c>
      <c s="6" r="BY1382">
        <v>0</v>
      </c>
    </row>
    <row customHeight="1" r="1383" ht="14.25">
      <c t="s" s="6" r="A1383">
        <v>9906</v>
      </c>
      <c t="s" s="6" r="B1383">
        <v>162</v>
      </c>
      <c t="s" s="6" r="D1383">
        <v>9907</v>
      </c>
      <c t="s" s="6" r="E1383">
        <v>9492</v>
      </c>
      <c t="s" s="6" r="F1383">
        <v>81</v>
      </c>
      <c t="s" s="6" r="G1383">
        <v>106</v>
      </c>
      <c s="6" r="H1383">
        <v>0</v>
      </c>
      <c t="s" s="6" r="I1383">
        <v>155</v>
      </c>
      <c t="s" s="6" r="L1383">
        <v>156</v>
      </c>
      <c t="s" s="6" r="M1383">
        <v>9908</v>
      </c>
      <c s="6" r="N1383">
        <v>1</v>
      </c>
      <c s="6" r="O1383">
        <v>0</v>
      </c>
      <c t="s" s="6" r="R1383">
        <v>9909</v>
      </c>
      <c t="s" s="6" r="S1383">
        <v>9910</v>
      </c>
      <c t="s" s="6" r="T1383">
        <v>9149</v>
      </c>
      <c t="s" s="6" r="U1383">
        <v>9911</v>
      </c>
      <c s="6" r="V1383">
        <v>1</v>
      </c>
      <c s="6" r="W1383">
        <v>1</v>
      </c>
      <c s="6" r="X1383">
        <v>0</v>
      </c>
      <c s="6" r="Y1383">
        <v>0</v>
      </c>
      <c s="6" r="Z1383">
        <v>0</v>
      </c>
      <c s="6" r="AA1383">
        <v>1</v>
      </c>
      <c s="6" r="AB1383">
        <v>1</v>
      </c>
      <c t="s" s="6" r="AC1383">
        <v>92</v>
      </c>
      <c t="s" s="6" r="AD1383">
        <v>92</v>
      </c>
      <c t="s" s="6" r="AE1383">
        <v>92</v>
      </c>
      <c t="s" s="6" r="AF1383">
        <v>92</v>
      </c>
      <c t="s" s="6" r="AG1383">
        <v>92</v>
      </c>
      <c s="6" r="AH1383">
        <v>1</v>
      </c>
      <c t="s" s="6" r="AI1383">
        <v>92</v>
      </c>
      <c t="s" s="6" r="AJ1383">
        <v>92</v>
      </c>
      <c t="s" s="6" r="AK1383">
        <v>92</v>
      </c>
      <c t="s" s="6" r="AL1383">
        <v>92</v>
      </c>
      <c t="s" s="6" r="AM1383">
        <v>92</v>
      </c>
      <c s="6" r="AN1383">
        <v>1</v>
      </c>
      <c s="6" r="AP1383">
        <v>1</v>
      </c>
      <c t="s" s="6" r="AR1383">
        <v>9912</v>
      </c>
      <c s="6" r="AS1383">
        <v>0</v>
      </c>
      <c s="6" r="AT1383">
        <v>0</v>
      </c>
      <c s="6" r="AU1383">
        <v>0</v>
      </c>
      <c s="6" r="AV1383">
        <v>0</v>
      </c>
      <c s="6" r="AW1383">
        <v>0</v>
      </c>
      <c s="6" r="AX1383">
        <v>0</v>
      </c>
      <c s="6" r="AY1383">
        <v>0</v>
      </c>
      <c s="6" r="AZ1383">
        <v>0</v>
      </c>
      <c s="6" r="BA1383">
        <v>0</v>
      </c>
      <c s="6" r="BB1383">
        <v>1</v>
      </c>
      <c s="6" r="BC1383">
        <v>0</v>
      </c>
      <c s="6" r="BD1383">
        <v>0</v>
      </c>
      <c s="6" r="BE1383">
        <v>0</v>
      </c>
      <c s="6" r="BF1383">
        <v>0</v>
      </c>
      <c s="6" r="BG1383">
        <v>1</v>
      </c>
      <c s="6" r="BH1383">
        <v>0</v>
      </c>
      <c s="6" r="BI1383">
        <v>0</v>
      </c>
      <c s="6" r="BJ1383">
        <v>0</v>
      </c>
      <c s="6" r="BK1383">
        <v>0</v>
      </c>
      <c s="6" r="BL1383">
        <v>0</v>
      </c>
      <c s="6" r="BM1383">
        <v>0</v>
      </c>
      <c s="6" r="BN1383">
        <v>0</v>
      </c>
      <c s="6" r="BO1383">
        <v>0</v>
      </c>
      <c s="6" r="BP1383">
        <v>0</v>
      </c>
      <c s="6" r="BQ1383">
        <v>0</v>
      </c>
      <c t="str" s="6" r="BR1383">
        <f>HYPERLINK("http://www.d20pfsrd.com/magic/all-spells/s/shock-shield","Shock Shield")</f>
        <v>Shock Shield</v>
      </c>
      <c s="6" r="BS1383">
        <v>1406</v>
      </c>
      <c t="s" s="6" r="BT1383">
        <v>92</v>
      </c>
      <c s="6" r="BY1383">
        <v>0</v>
      </c>
    </row>
    <row customHeight="1" r="1384" ht="14.25">
      <c t="s" s="6" r="A1384">
        <v>9913</v>
      </c>
      <c t="s" s="6" r="B1384">
        <v>579</v>
      </c>
      <c t="s" s="6" r="C1384">
        <v>2047</v>
      </c>
      <c t="s" s="6" r="D1384">
        <v>53</v>
      </c>
      <c t="s" s="6" r="E1384">
        <v>2194</v>
      </c>
      <c t="s" s="6" r="F1384">
        <v>81</v>
      </c>
      <c t="s" s="6" r="G1384">
        <v>106</v>
      </c>
      <c s="6" r="H1384">
        <v>0</v>
      </c>
      <c t="s" s="6" r="I1384">
        <v>155</v>
      </c>
      <c t="s" s="6" r="L1384">
        <v>156</v>
      </c>
      <c t="s" s="6" r="M1384">
        <v>2718</v>
      </c>
      <c s="6" r="N1384">
        <v>0</v>
      </c>
      <c s="6" r="O1384">
        <v>0</v>
      </c>
      <c t="s" s="6" r="P1384">
        <v>86</v>
      </c>
      <c t="s" s="6" r="Q1384">
        <v>141</v>
      </c>
      <c t="s" s="6" r="R1384">
        <v>9914</v>
      </c>
      <c t="s" s="6" r="S1384">
        <v>9915</v>
      </c>
      <c t="s" s="6" r="T1384">
        <v>9149</v>
      </c>
      <c t="s" s="6" r="U1384">
        <v>9916</v>
      </c>
      <c s="6" r="V1384">
        <v>1</v>
      </c>
      <c s="6" r="W1384">
        <v>1</v>
      </c>
      <c s="6" r="X1384">
        <v>0</v>
      </c>
      <c s="6" r="Y1384">
        <v>0</v>
      </c>
      <c s="6" r="Z1384">
        <v>0</v>
      </c>
      <c s="6" r="AA1384">
        <v>4</v>
      </c>
      <c s="6" r="AB1384">
        <v>4</v>
      </c>
      <c t="s" s="6" r="AC1384">
        <v>92</v>
      </c>
      <c t="s" s="6" r="AD1384">
        <v>92</v>
      </c>
      <c t="s" s="6" r="AE1384">
        <v>92</v>
      </c>
      <c s="6" r="AF1384">
        <v>4</v>
      </c>
      <c t="s" s="6" r="AG1384">
        <v>92</v>
      </c>
      <c t="s" s="6" r="AH1384">
        <v>92</v>
      </c>
      <c t="s" s="6" r="AI1384">
        <v>92</v>
      </c>
      <c t="s" s="6" r="AJ1384">
        <v>92</v>
      </c>
      <c t="s" s="6" r="AK1384">
        <v>92</v>
      </c>
      <c t="s" s="6" r="AL1384">
        <v>92</v>
      </c>
      <c t="s" s="6" r="AM1384">
        <v>92</v>
      </c>
      <c t="s" s="6" r="AN1384">
        <v>92</v>
      </c>
      <c s="6" r="AP1384">
        <v>4</v>
      </c>
      <c t="s" s="6" r="AR1384">
        <v>9917</v>
      </c>
      <c s="6" r="AS1384">
        <v>0</v>
      </c>
      <c s="6" r="AT1384">
        <v>0</v>
      </c>
      <c s="6" r="AU1384">
        <v>0</v>
      </c>
      <c s="6" r="AV1384">
        <v>0</v>
      </c>
      <c s="6" r="AW1384">
        <v>0</v>
      </c>
      <c s="6" r="AX1384">
        <v>0</v>
      </c>
      <c s="6" r="AY1384">
        <v>0</v>
      </c>
      <c s="6" r="AZ1384">
        <v>0</v>
      </c>
      <c s="6" r="BA1384">
        <v>0</v>
      </c>
      <c s="6" r="BB1384">
        <v>1</v>
      </c>
      <c s="6" r="BC1384">
        <v>0</v>
      </c>
      <c s="6" r="BD1384">
        <v>0</v>
      </c>
      <c s="6" r="BE1384">
        <v>0</v>
      </c>
      <c s="6" r="BF1384">
        <v>0</v>
      </c>
      <c s="6" r="BG1384">
        <v>0</v>
      </c>
      <c s="6" r="BH1384">
        <v>0</v>
      </c>
      <c s="6" r="BI1384">
        <v>0</v>
      </c>
      <c s="6" r="BJ1384">
        <v>0</v>
      </c>
      <c s="6" r="BK1384">
        <v>0</v>
      </c>
      <c s="6" r="BL1384">
        <v>0</v>
      </c>
      <c s="6" r="BM1384">
        <v>0</v>
      </c>
      <c s="6" r="BN1384">
        <v>0</v>
      </c>
      <c s="6" r="BO1384">
        <v>0</v>
      </c>
      <c s="6" r="BP1384">
        <v>0</v>
      </c>
      <c s="6" r="BQ1384">
        <v>0</v>
      </c>
      <c t="str" s="6" r="BR1384">
        <f>HYPERLINK("http://www.d20pfsrd.com/magic/all-spells/s/shocking-image","Shocking Image")</f>
        <v>Shocking Image</v>
      </c>
      <c s="6" r="BS1384">
        <v>1407</v>
      </c>
      <c t="s" s="6" r="BT1384">
        <v>92</v>
      </c>
      <c s="6" r="BY1384">
        <v>0</v>
      </c>
    </row>
    <row customHeight="1" r="1385" ht="14.25">
      <c t="s" s="6" r="A1385">
        <v>9918</v>
      </c>
      <c t="s" s="6" r="B1385">
        <v>131</v>
      </c>
      <c t="s" s="6" r="E1385">
        <v>250</v>
      </c>
      <c t="s" s="6" r="F1385">
        <v>311</v>
      </c>
      <c t="s" s="6" r="G1385">
        <v>106</v>
      </c>
      <c s="6" r="H1385">
        <v>0</v>
      </c>
      <c t="s" s="6" r="I1385">
        <v>107</v>
      </c>
      <c t="s" s="6" r="L1385">
        <v>9919</v>
      </c>
      <c t="s" s="6" r="M1385">
        <v>711</v>
      </c>
      <c s="6" r="N1385">
        <v>1</v>
      </c>
      <c s="6" r="O1385">
        <v>0</v>
      </c>
      <c t="s" s="6" r="P1385">
        <v>86</v>
      </c>
      <c t="s" s="6" r="Q1385">
        <v>87</v>
      </c>
      <c t="s" s="6" r="R1385">
        <v>9920</v>
      </c>
      <c t="s" s="6" r="S1385">
        <v>9921</v>
      </c>
      <c t="s" s="6" r="T1385">
        <v>9149</v>
      </c>
      <c t="s" s="6" r="U1385">
        <v>9922</v>
      </c>
      <c s="6" r="V1385">
        <v>1</v>
      </c>
      <c s="6" r="W1385">
        <v>1</v>
      </c>
      <c s="6" r="X1385">
        <v>0</v>
      </c>
      <c s="6" r="Y1385">
        <v>0</v>
      </c>
      <c s="6" r="Z1385">
        <v>0</v>
      </c>
      <c t="s" s="6" r="AA1385">
        <v>92</v>
      </c>
      <c t="s" s="6" r="AB1385">
        <v>92</v>
      </c>
      <c t="s" s="6" r="AC1385">
        <v>92</v>
      </c>
      <c s="6" r="AD1385">
        <v>7</v>
      </c>
      <c t="s" s="6" r="AE1385">
        <v>92</v>
      </c>
      <c t="s" s="6" r="AF1385">
        <v>92</v>
      </c>
      <c t="s" s="6" r="AG1385">
        <v>92</v>
      </c>
      <c t="s" s="6" r="AH1385">
        <v>92</v>
      </c>
      <c t="s" s="6" r="AI1385">
        <v>92</v>
      </c>
      <c t="s" s="6" r="AJ1385">
        <v>92</v>
      </c>
      <c t="s" s="6" r="AK1385">
        <v>92</v>
      </c>
      <c t="s" s="6" r="AL1385">
        <v>92</v>
      </c>
      <c t="s" s="6" r="AM1385">
        <v>92</v>
      </c>
      <c t="s" s="6" r="AN1385">
        <v>92</v>
      </c>
      <c s="6" r="AP1385">
        <v>7</v>
      </c>
      <c t="s" s="6" r="AR1385">
        <v>9923</v>
      </c>
      <c s="6" r="AS1385">
        <v>0</v>
      </c>
      <c s="6" r="AT1385">
        <v>0</v>
      </c>
      <c s="6" r="AU1385">
        <v>0</v>
      </c>
      <c s="6" r="AV1385">
        <v>0</v>
      </c>
      <c s="6" r="AW1385">
        <v>0</v>
      </c>
      <c s="6" r="AX1385">
        <v>0</v>
      </c>
      <c s="6" r="AY1385">
        <v>0</v>
      </c>
      <c s="6" r="AZ1385">
        <v>0</v>
      </c>
      <c s="6" r="BA1385">
        <v>0</v>
      </c>
      <c s="6" r="BB1385">
        <v>0</v>
      </c>
      <c s="6" r="BC1385">
        <v>0</v>
      </c>
      <c s="6" r="BD1385">
        <v>0</v>
      </c>
      <c s="6" r="BE1385">
        <v>0</v>
      </c>
      <c s="6" r="BF1385">
        <v>0</v>
      </c>
      <c s="6" r="BG1385">
        <v>0</v>
      </c>
      <c s="6" r="BH1385">
        <v>0</v>
      </c>
      <c s="6" r="BI1385">
        <v>0</v>
      </c>
      <c s="6" r="BJ1385">
        <v>0</v>
      </c>
      <c s="6" r="BK1385">
        <v>0</v>
      </c>
      <c s="6" r="BL1385">
        <v>0</v>
      </c>
      <c s="6" r="BM1385">
        <v>0</v>
      </c>
      <c s="6" r="BN1385">
        <v>0</v>
      </c>
      <c s="6" r="BO1385">
        <v>0</v>
      </c>
      <c s="6" r="BP1385">
        <v>0</v>
      </c>
      <c s="6" r="BQ1385">
        <v>0</v>
      </c>
      <c t="str" s="6" r="BR1385">
        <f>HYPERLINK("http://www.d20pfsrd.com/magic/all-spells/s/siege-of-trees","Siege of Trees")</f>
        <v>Siege of Trees</v>
      </c>
      <c s="6" r="BS1385">
        <v>1408</v>
      </c>
      <c t="s" s="6" r="BT1385">
        <v>92</v>
      </c>
      <c s="6" r="BY1385">
        <v>0</v>
      </c>
    </row>
    <row customHeight="1" r="1386" ht="14.25">
      <c t="s" s="6" r="A1386">
        <v>9924</v>
      </c>
      <c t="s" s="6" r="B1386">
        <v>131</v>
      </c>
      <c t="s" s="6" r="E1386">
        <v>3866</v>
      </c>
      <c t="s" s="6" r="F1386">
        <v>311</v>
      </c>
      <c t="s" s="6" r="G1386">
        <v>9925</v>
      </c>
      <c s="6" r="H1386">
        <v>0</v>
      </c>
      <c t="s" s="6" r="I1386">
        <v>107</v>
      </c>
      <c t="s" s="6" r="L1386">
        <v>9926</v>
      </c>
      <c t="s" s="6" r="M1386">
        <v>711</v>
      </c>
      <c s="6" r="N1386">
        <v>1</v>
      </c>
      <c s="6" r="O1386">
        <v>0</v>
      </c>
      <c t="s" s="6" r="P1386">
        <v>86</v>
      </c>
      <c t="s" s="6" r="Q1386">
        <v>87</v>
      </c>
      <c t="s" s="6" r="R1386">
        <v>9927</v>
      </c>
      <c t="s" s="6" r="S1386">
        <v>9928</v>
      </c>
      <c t="s" s="6" r="T1386">
        <v>9149</v>
      </c>
      <c t="s" s="6" r="U1386">
        <v>9929</v>
      </c>
      <c s="6" r="V1386">
        <v>1</v>
      </c>
      <c s="6" r="W1386">
        <v>1</v>
      </c>
      <c s="6" r="X1386">
        <v>0</v>
      </c>
      <c s="6" r="Y1386">
        <v>0</v>
      </c>
      <c s="6" r="Z1386">
        <v>0</v>
      </c>
      <c t="s" s="6" r="AA1386">
        <v>92</v>
      </c>
      <c t="s" s="6" r="AB1386">
        <v>92</v>
      </c>
      <c t="s" s="6" r="AC1386">
        <v>92</v>
      </c>
      <c s="6" r="AD1386">
        <v>9</v>
      </c>
      <c t="s" s="6" r="AE1386">
        <v>92</v>
      </c>
      <c t="s" s="6" r="AF1386">
        <v>92</v>
      </c>
      <c t="s" s="6" r="AG1386">
        <v>92</v>
      </c>
      <c t="s" s="6" r="AH1386">
        <v>92</v>
      </c>
      <c t="s" s="6" r="AI1386">
        <v>92</v>
      </c>
      <c t="s" s="6" r="AJ1386">
        <v>92</v>
      </c>
      <c t="s" s="6" r="AK1386">
        <v>92</v>
      </c>
      <c t="s" s="6" r="AL1386">
        <v>92</v>
      </c>
      <c t="s" s="6" r="AM1386">
        <v>92</v>
      </c>
      <c t="s" s="6" r="AN1386">
        <v>92</v>
      </c>
      <c s="6" r="AP1386">
        <v>9</v>
      </c>
      <c t="s" s="6" r="AR1386">
        <v>9930</v>
      </c>
      <c s="6" r="AS1386">
        <v>0</v>
      </c>
      <c s="6" r="AT1386">
        <v>0</v>
      </c>
      <c s="6" r="AU1386">
        <v>0</v>
      </c>
      <c s="6" r="AV1386">
        <v>0</v>
      </c>
      <c s="6" r="AW1386">
        <v>0</v>
      </c>
      <c s="6" r="AX1386">
        <v>0</v>
      </c>
      <c s="6" r="AY1386">
        <v>0</v>
      </c>
      <c s="6" r="AZ1386">
        <v>0</v>
      </c>
      <c s="6" r="BA1386">
        <v>0</v>
      </c>
      <c s="6" r="BB1386">
        <v>0</v>
      </c>
      <c s="6" r="BC1386">
        <v>0</v>
      </c>
      <c s="6" r="BD1386">
        <v>0</v>
      </c>
      <c s="6" r="BE1386">
        <v>0</v>
      </c>
      <c s="6" r="BF1386">
        <v>0</v>
      </c>
      <c s="6" r="BG1386">
        <v>0</v>
      </c>
      <c s="6" r="BH1386">
        <v>0</v>
      </c>
      <c s="6" r="BI1386">
        <v>0</v>
      </c>
      <c s="6" r="BJ1386">
        <v>0</v>
      </c>
      <c s="6" r="BK1386">
        <v>0</v>
      </c>
      <c s="6" r="BL1386">
        <v>0</v>
      </c>
      <c s="6" r="BM1386">
        <v>0</v>
      </c>
      <c s="6" r="BN1386">
        <v>0</v>
      </c>
      <c s="6" r="BO1386">
        <v>0</v>
      </c>
      <c s="6" r="BP1386">
        <v>0</v>
      </c>
      <c s="6" r="BQ1386">
        <v>0</v>
      </c>
      <c t="str" s="6" r="BR1386">
        <f>HYPERLINK("http://www.d20pfsrd.com/magic/all-spells/s/siege-of-trees#TOC-Siege-of-Trees-Greater","Siege of Trees, Greater")</f>
        <v>Siege of Trees, Greater</v>
      </c>
      <c s="6" r="BS1386">
        <v>1409</v>
      </c>
      <c t="s" s="6" r="BT1386">
        <v>92</v>
      </c>
      <c s="6" r="BY1386">
        <v>0</v>
      </c>
    </row>
    <row customHeight="1" r="1387" ht="14.25">
      <c t="s" s="6" r="A1387">
        <v>9931</v>
      </c>
      <c t="s" s="6" r="B1387">
        <v>162</v>
      </c>
      <c t="s" s="6" r="E1387">
        <v>851</v>
      </c>
      <c t="s" s="6" r="F1387">
        <v>81</v>
      </c>
      <c t="s" s="6" r="G1387">
        <v>119</v>
      </c>
      <c s="6" r="H1387">
        <v>0</v>
      </c>
      <c t="s" s="6" r="I1387">
        <v>120</v>
      </c>
      <c t="s" s="6" r="L1387">
        <v>9190</v>
      </c>
      <c t="s" s="6" r="M1387">
        <v>134</v>
      </c>
      <c s="6" r="N1387">
        <v>0</v>
      </c>
      <c s="6" r="O1387">
        <v>0</v>
      </c>
      <c t="s" s="6" r="P1387">
        <v>421</v>
      </c>
      <c t="s" s="6" r="Q1387">
        <v>123</v>
      </c>
      <c t="s" s="6" r="R1387">
        <v>9932</v>
      </c>
      <c t="s" s="6" r="S1387">
        <v>9933</v>
      </c>
      <c t="s" s="6" r="T1387">
        <v>9149</v>
      </c>
      <c t="s" s="6" r="U1387">
        <v>9934</v>
      </c>
      <c s="6" r="V1387">
        <v>1</v>
      </c>
      <c s="6" r="W1387">
        <v>1</v>
      </c>
      <c s="6" r="X1387">
        <v>0</v>
      </c>
      <c s="6" r="Y1387">
        <v>0</v>
      </c>
      <c s="6" r="Z1387">
        <v>1</v>
      </c>
      <c t="s" s="6" r="AA1387">
        <v>92</v>
      </c>
      <c t="s" s="6" r="AB1387">
        <v>92</v>
      </c>
      <c s="6" r="AC1387">
        <v>5</v>
      </c>
      <c t="s" s="6" r="AD1387">
        <v>92</v>
      </c>
      <c t="s" s="6" r="AE1387">
        <v>92</v>
      </c>
      <c t="s" s="6" r="AF1387">
        <v>92</v>
      </c>
      <c t="s" s="6" r="AG1387">
        <v>92</v>
      </c>
      <c t="s" s="6" r="AH1387">
        <v>92</v>
      </c>
      <c t="s" s="6" r="AI1387">
        <v>92</v>
      </c>
      <c t="s" s="6" r="AJ1387">
        <v>92</v>
      </c>
      <c s="6" r="AK1387">
        <v>5</v>
      </c>
      <c s="6" r="AL1387">
        <v>5</v>
      </c>
      <c t="s" s="6" r="AM1387">
        <v>92</v>
      </c>
      <c t="s" s="6" r="AN1387">
        <v>92</v>
      </c>
      <c s="6" r="AP1387">
        <v>5</v>
      </c>
      <c t="s" s="6" r="AR1387">
        <v>9935</v>
      </c>
      <c s="6" r="AS1387">
        <v>0</v>
      </c>
      <c s="6" r="AT1387">
        <v>0</v>
      </c>
      <c s="6" r="AU1387">
        <v>0</v>
      </c>
      <c s="6" r="AV1387">
        <v>0</v>
      </c>
      <c s="6" r="AW1387">
        <v>0</v>
      </c>
      <c s="6" r="AX1387">
        <v>0</v>
      </c>
      <c s="6" r="AY1387">
        <v>0</v>
      </c>
      <c s="6" r="AZ1387">
        <v>0</v>
      </c>
      <c s="6" r="BA1387">
        <v>0</v>
      </c>
      <c s="6" r="BB1387">
        <v>0</v>
      </c>
      <c s="6" r="BC1387">
        <v>0</v>
      </c>
      <c s="6" r="BD1387">
        <v>0</v>
      </c>
      <c s="6" r="BE1387">
        <v>0</v>
      </c>
      <c s="6" r="BF1387">
        <v>0</v>
      </c>
      <c s="6" r="BG1387">
        <v>0</v>
      </c>
      <c s="6" r="BH1387">
        <v>0</v>
      </c>
      <c s="6" r="BI1387">
        <v>0</v>
      </c>
      <c s="6" r="BJ1387">
        <v>0</v>
      </c>
      <c s="6" r="BK1387">
        <v>0</v>
      </c>
      <c s="6" r="BL1387">
        <v>0</v>
      </c>
      <c s="6" r="BM1387">
        <v>0</v>
      </c>
      <c s="6" r="BN1387">
        <v>0</v>
      </c>
      <c s="6" r="BO1387">
        <v>0</v>
      </c>
      <c s="6" r="BP1387">
        <v>0</v>
      </c>
      <c s="6" r="BQ1387">
        <v>0</v>
      </c>
      <c t="str" s="6" r="BR1387">
        <f>HYPERLINK("http://www.d20pfsrd.com/magic/all-spells/s/spell-immunity#TOC-Spell-Immunity-Communal","Spell Immunity, Communal")</f>
        <v>Spell Immunity, Communal</v>
      </c>
      <c s="6" r="BS1387">
        <v>1410</v>
      </c>
      <c t="s" s="6" r="BT1387">
        <v>92</v>
      </c>
      <c s="6" r="BY1387">
        <v>0</v>
      </c>
    </row>
    <row customHeight="1" r="1388" ht="14.25">
      <c t="s" s="6" r="A1388">
        <v>9936</v>
      </c>
      <c t="s" s="6" r="B1388">
        <v>162</v>
      </c>
      <c t="s" s="6" r="E1388">
        <v>2240</v>
      </c>
      <c t="s" s="6" r="F1388">
        <v>81</v>
      </c>
      <c t="s" s="6" r="G1388">
        <v>119</v>
      </c>
      <c s="6" r="H1388">
        <v>0</v>
      </c>
      <c t="s" s="6" r="I1388">
        <v>120</v>
      </c>
      <c t="s" s="6" r="L1388">
        <v>9190</v>
      </c>
      <c t="s" s="6" r="M1388">
        <v>134</v>
      </c>
      <c s="6" r="N1388">
        <v>0</v>
      </c>
      <c s="6" r="O1388">
        <v>0</v>
      </c>
      <c t="s" s="6" r="P1388">
        <v>421</v>
      </c>
      <c t="s" s="6" r="Q1388">
        <v>123</v>
      </c>
      <c t="s" s="6" r="R1388">
        <v>9937</v>
      </c>
      <c t="s" s="6" r="S1388">
        <v>9938</v>
      </c>
      <c t="s" s="6" r="T1388">
        <v>9149</v>
      </c>
      <c t="s" s="6" r="U1388">
        <v>9939</v>
      </c>
      <c s="6" r="V1388">
        <v>1</v>
      </c>
      <c s="6" r="W1388">
        <v>1</v>
      </c>
      <c s="6" r="X1388">
        <v>0</v>
      </c>
      <c s="6" r="Y1388">
        <v>0</v>
      </c>
      <c s="6" r="Z1388">
        <v>1</v>
      </c>
      <c t="s" s="6" r="AA1388">
        <v>92</v>
      </c>
      <c t="s" s="6" r="AB1388">
        <v>92</v>
      </c>
      <c s="6" r="AC1388">
        <v>9</v>
      </c>
      <c t="s" s="6" r="AD1388">
        <v>92</v>
      </c>
      <c t="s" s="6" r="AE1388">
        <v>92</v>
      </c>
      <c t="s" s="6" r="AF1388">
        <v>92</v>
      </c>
      <c t="s" s="6" r="AG1388">
        <v>92</v>
      </c>
      <c t="s" s="6" r="AH1388">
        <v>92</v>
      </c>
      <c t="s" s="6" r="AI1388">
        <v>92</v>
      </c>
      <c t="s" s="6" r="AJ1388">
        <v>92</v>
      </c>
      <c t="s" s="6" r="AK1388">
        <v>92</v>
      </c>
      <c s="6" r="AL1388">
        <v>9</v>
      </c>
      <c t="s" s="6" r="AM1388">
        <v>92</v>
      </c>
      <c t="s" s="6" r="AN1388">
        <v>92</v>
      </c>
      <c s="6" r="AP1388">
        <v>9</v>
      </c>
      <c t="s" s="6" r="AR1388">
        <v>9940</v>
      </c>
      <c s="6" r="AS1388">
        <v>0</v>
      </c>
      <c s="6" r="AT1388">
        <v>0</v>
      </c>
      <c s="6" r="AU1388">
        <v>0</v>
      </c>
      <c s="6" r="AV1388">
        <v>0</v>
      </c>
      <c s="6" r="AW1388">
        <v>0</v>
      </c>
      <c s="6" r="AX1388">
        <v>0</v>
      </c>
      <c s="6" r="AY1388">
        <v>0</v>
      </c>
      <c s="6" r="AZ1388">
        <v>0</v>
      </c>
      <c s="6" r="BA1388">
        <v>0</v>
      </c>
      <c s="6" r="BB1388">
        <v>0</v>
      </c>
      <c s="6" r="BC1388">
        <v>0</v>
      </c>
      <c s="6" r="BD1388">
        <v>0</v>
      </c>
      <c s="6" r="BE1388">
        <v>0</v>
      </c>
      <c s="6" r="BF1388">
        <v>0</v>
      </c>
      <c s="6" r="BG1388">
        <v>0</v>
      </c>
      <c s="6" r="BH1388">
        <v>0</v>
      </c>
      <c s="6" r="BI1388">
        <v>0</v>
      </c>
      <c s="6" r="BJ1388">
        <v>0</v>
      </c>
      <c s="6" r="BK1388">
        <v>0</v>
      </c>
      <c s="6" r="BL1388">
        <v>0</v>
      </c>
      <c s="6" r="BM1388">
        <v>0</v>
      </c>
      <c s="6" r="BN1388">
        <v>0</v>
      </c>
      <c s="6" r="BO1388">
        <v>0</v>
      </c>
      <c s="6" r="BP1388">
        <v>0</v>
      </c>
      <c s="6" r="BQ1388">
        <v>0</v>
      </c>
      <c t="str" s="6" r="BR1388">
        <f>HYPERLINK("http://www.d20pfsrd.com/magic/all-spells/s/spell-immunity#TOC-Spell-Immunity-Greater-Communal","Spell Immunity, Greater Communal")</f>
        <v>Spell Immunity, Greater Communal</v>
      </c>
      <c s="6" r="BS1388">
        <v>1411</v>
      </c>
      <c t="s" s="6" r="BT1388">
        <v>92</v>
      </c>
      <c s="6" r="BY1388">
        <v>0</v>
      </c>
    </row>
    <row customHeight="1" r="1389" ht="14.25">
      <c t="s" s="6" r="A1389">
        <v>9941</v>
      </c>
      <c t="s" s="6" r="B1389">
        <v>131</v>
      </c>
      <c t="s" s="6" r="E1389">
        <v>9942</v>
      </c>
      <c t="s" s="6" r="F1389">
        <v>81</v>
      </c>
      <c t="s" s="6" r="G1389">
        <v>4121</v>
      </c>
      <c s="6" r="H1389">
        <v>0</v>
      </c>
      <c t="s" s="6" r="I1389">
        <v>120</v>
      </c>
      <c t="s" s="6" r="L1389">
        <v>9190</v>
      </c>
      <c t="s" s="6" r="M1389">
        <v>134</v>
      </c>
      <c s="6" r="N1389">
        <v>0</v>
      </c>
      <c s="6" r="O1389">
        <v>0</v>
      </c>
      <c t="s" s="6" r="P1389">
        <v>421</v>
      </c>
      <c t="s" s="6" r="Q1389">
        <v>123</v>
      </c>
      <c t="s" s="6" r="R1389">
        <v>9943</v>
      </c>
      <c t="s" s="6" r="S1389">
        <v>9944</v>
      </c>
      <c t="s" s="6" r="T1389">
        <v>9149</v>
      </c>
      <c t="s" s="6" r="U1389">
        <v>9945</v>
      </c>
      <c s="6" r="V1389">
        <v>1</v>
      </c>
      <c s="6" r="W1389">
        <v>1</v>
      </c>
      <c s="6" r="X1389">
        <v>1</v>
      </c>
      <c s="6" r="Y1389">
        <v>0</v>
      </c>
      <c s="6" r="Z1389">
        <v>0</v>
      </c>
      <c s="6" r="AA1389">
        <v>3</v>
      </c>
      <c s="6" r="AB1389">
        <v>3</v>
      </c>
      <c t="s" s="6" r="AC1389">
        <v>92</v>
      </c>
      <c s="6" r="AD1389">
        <v>3</v>
      </c>
      <c t="s" s="6" r="AE1389">
        <v>92</v>
      </c>
      <c t="s" s="6" r="AF1389">
        <v>92</v>
      </c>
      <c t="s" s="6" r="AG1389">
        <v>92</v>
      </c>
      <c s="6" r="AH1389">
        <v>3</v>
      </c>
      <c s="6" r="AI1389">
        <v>3</v>
      </c>
      <c t="s" s="6" r="AJ1389">
        <v>92</v>
      </c>
      <c t="s" s="6" r="AK1389">
        <v>92</v>
      </c>
      <c t="s" s="6" r="AL1389">
        <v>92</v>
      </c>
      <c t="s" s="6" r="AM1389">
        <v>92</v>
      </c>
      <c t="s" s="6" r="AN1389">
        <v>92</v>
      </c>
      <c s="6" r="AP1389">
        <v>3</v>
      </c>
      <c t="s" s="6" r="AR1389">
        <v>9946</v>
      </c>
      <c s="6" r="AS1389">
        <v>0</v>
      </c>
      <c s="6" r="AT1389">
        <v>0</v>
      </c>
      <c s="6" r="AU1389">
        <v>0</v>
      </c>
      <c s="6" r="AV1389">
        <v>0</v>
      </c>
      <c s="6" r="AW1389">
        <v>0</v>
      </c>
      <c s="6" r="AX1389">
        <v>0</v>
      </c>
      <c s="6" r="AY1389">
        <v>0</v>
      </c>
      <c s="6" r="AZ1389">
        <v>0</v>
      </c>
      <c s="6" r="BA1389">
        <v>0</v>
      </c>
      <c s="6" r="BB1389">
        <v>0</v>
      </c>
      <c s="6" r="BC1389">
        <v>0</v>
      </c>
      <c s="6" r="BD1389">
        <v>0</v>
      </c>
      <c s="6" r="BE1389">
        <v>0</v>
      </c>
      <c s="6" r="BF1389">
        <v>0</v>
      </c>
      <c s="6" r="BG1389">
        <v>0</v>
      </c>
      <c s="6" r="BH1389">
        <v>0</v>
      </c>
      <c s="6" r="BI1389">
        <v>0</v>
      </c>
      <c s="6" r="BJ1389">
        <v>0</v>
      </c>
      <c s="6" r="BK1389">
        <v>0</v>
      </c>
      <c s="6" r="BL1389">
        <v>0</v>
      </c>
      <c s="6" r="BM1389">
        <v>0</v>
      </c>
      <c s="6" r="BN1389">
        <v>0</v>
      </c>
      <c s="6" r="BO1389">
        <v>0</v>
      </c>
      <c s="6" r="BP1389">
        <v>0</v>
      </c>
      <c s="6" r="BQ1389">
        <v>0</v>
      </c>
      <c t="str" s="6" r="BR1389">
        <f>HYPERLINK("http://www.d20pfsrd.com/magic/all-spells/s/spider-climb#TOC-Spider-Climb-Communal","Spider Climb, Communal")</f>
        <v>Spider Climb, Communal</v>
      </c>
      <c s="6" r="BS1389">
        <v>1412</v>
      </c>
      <c t="s" s="6" r="BT1389">
        <v>92</v>
      </c>
      <c s="6" r="BY1389">
        <v>0</v>
      </c>
    </row>
    <row customHeight="1" r="1390" ht="14.25">
      <c t="s" s="6" r="A1390">
        <v>9947</v>
      </c>
      <c t="s" s="6" r="B1390">
        <v>493</v>
      </c>
      <c t="s" s="6" r="D1390">
        <v>57</v>
      </c>
      <c t="s" s="6" r="E1390">
        <v>320</v>
      </c>
      <c t="s" s="6" r="F1390">
        <v>81</v>
      </c>
      <c t="s" s="6" r="G1390">
        <v>9948</v>
      </c>
      <c s="6" r="H1390">
        <v>0</v>
      </c>
      <c t="s" s="6" r="I1390">
        <v>97</v>
      </c>
      <c t="s" s="6" r="L1390">
        <v>1235</v>
      </c>
      <c t="s" s="6" r="M1390">
        <v>109</v>
      </c>
      <c s="6" r="N1390">
        <v>0</v>
      </c>
      <c s="6" r="O1390">
        <v>0</v>
      </c>
      <c t="s" s="6" r="P1390">
        <v>9949</v>
      </c>
      <c t="s" s="6" r="Q1390">
        <v>188</v>
      </c>
      <c t="s" s="6" r="R1390">
        <v>9950</v>
      </c>
      <c t="s" s="6" r="S1390">
        <v>9951</v>
      </c>
      <c t="s" s="6" r="T1390">
        <v>9149</v>
      </c>
      <c t="s" s="6" r="U1390">
        <v>9952</v>
      </c>
      <c s="6" r="V1390">
        <v>1</v>
      </c>
      <c s="6" r="W1390">
        <v>1</v>
      </c>
      <c s="6" r="X1390">
        <v>1</v>
      </c>
      <c s="6" r="Y1390">
        <v>0</v>
      </c>
      <c s="6" r="Z1390">
        <v>0</v>
      </c>
      <c s="6" r="AA1390">
        <v>2</v>
      </c>
      <c s="6" r="AB1390">
        <v>2</v>
      </c>
      <c t="s" s="6" r="AC1390">
        <v>92</v>
      </c>
      <c t="s" s="6" r="AD1390">
        <v>92</v>
      </c>
      <c t="s" s="6" r="AE1390">
        <v>92</v>
      </c>
      <c t="s" s="6" r="AF1390">
        <v>92</v>
      </c>
      <c t="s" s="6" r="AG1390">
        <v>92</v>
      </c>
      <c t="s" s="6" r="AH1390">
        <v>92</v>
      </c>
      <c t="s" s="6" r="AI1390">
        <v>92</v>
      </c>
      <c t="s" s="6" r="AJ1390">
        <v>92</v>
      </c>
      <c t="s" s="6" r="AK1390">
        <v>92</v>
      </c>
      <c t="s" s="6" r="AL1390">
        <v>92</v>
      </c>
      <c t="s" s="6" r="AM1390">
        <v>92</v>
      </c>
      <c t="s" s="6" r="AN1390">
        <v>92</v>
      </c>
      <c s="6" r="AP1390">
        <v>2</v>
      </c>
      <c t="s" s="6" r="AR1390">
        <v>9953</v>
      </c>
      <c s="6" r="AS1390">
        <v>0</v>
      </c>
      <c s="6" r="AT1390">
        <v>0</v>
      </c>
      <c s="6" r="AU1390">
        <v>0</v>
      </c>
      <c s="6" r="AV1390">
        <v>0</v>
      </c>
      <c s="6" r="AW1390">
        <v>0</v>
      </c>
      <c s="6" r="AX1390">
        <v>0</v>
      </c>
      <c s="6" r="AY1390">
        <v>0</v>
      </c>
      <c s="6" r="AZ1390">
        <v>0</v>
      </c>
      <c s="6" r="BA1390">
        <v>0</v>
      </c>
      <c s="6" r="BB1390">
        <v>0</v>
      </c>
      <c s="6" r="BC1390">
        <v>0</v>
      </c>
      <c s="6" r="BD1390">
        <v>0</v>
      </c>
      <c s="6" r="BE1390">
        <v>0</v>
      </c>
      <c s="6" r="BF1390">
        <v>1</v>
      </c>
      <c s="6" r="BG1390">
        <v>0</v>
      </c>
      <c s="6" r="BH1390">
        <v>0</v>
      </c>
      <c s="6" r="BI1390">
        <v>0</v>
      </c>
      <c s="6" r="BJ1390">
        <v>0</v>
      </c>
      <c s="6" r="BK1390">
        <v>0</v>
      </c>
      <c s="6" r="BL1390">
        <v>0</v>
      </c>
      <c s="6" r="BM1390">
        <v>0</v>
      </c>
      <c s="6" r="BN1390">
        <v>0</v>
      </c>
      <c s="6" r="BO1390">
        <v>0</v>
      </c>
      <c s="6" r="BP1390">
        <v>0</v>
      </c>
      <c s="6" r="BQ1390">
        <v>0</v>
      </c>
      <c t="str" s="6" r="BR1390">
        <f>HYPERLINK("http://www.d20pfsrd.com/magic/all-spells/s/spontaneous-immolation","Spontaneous Immolation")</f>
        <v>Spontaneous Immolation</v>
      </c>
      <c s="6" r="BS1390">
        <v>1413</v>
      </c>
      <c t="s" s="6" r="BT1390">
        <v>92</v>
      </c>
      <c s="6" r="BY1390">
        <v>0</v>
      </c>
    </row>
    <row customHeight="1" r="1391" ht="14.25">
      <c t="s" s="6" r="A1391">
        <v>9954</v>
      </c>
      <c t="s" s="6" r="B1391">
        <v>131</v>
      </c>
      <c t="s" s="6" r="E1391">
        <v>4080</v>
      </c>
      <c t="s" s="6" r="F1391">
        <v>81</v>
      </c>
      <c t="s" s="6" r="G1391">
        <v>9348</v>
      </c>
      <c s="6" r="H1391">
        <v>0</v>
      </c>
      <c t="s" s="6" r="I1391">
        <v>107</v>
      </c>
      <c t="s" s="6" r="L1391">
        <v>9302</v>
      </c>
      <c t="s" s="6" r="M1391">
        <v>109</v>
      </c>
      <c s="6" r="N1391">
        <v>0</v>
      </c>
      <c s="6" r="O1391">
        <v>0</v>
      </c>
      <c t="s" s="6" r="P1391">
        <v>144</v>
      </c>
      <c t="s" s="6" r="Q1391">
        <v>145</v>
      </c>
      <c t="s" s="6" r="R1391">
        <v>9955</v>
      </c>
      <c t="s" s="6" r="S1391">
        <v>9956</v>
      </c>
      <c t="s" s="6" r="T1391">
        <v>9149</v>
      </c>
      <c t="s" s="6" r="U1391">
        <v>9957</v>
      </c>
      <c s="6" r="V1391">
        <v>1</v>
      </c>
      <c s="6" r="W1391">
        <v>1</v>
      </c>
      <c s="6" r="X1391">
        <v>1</v>
      </c>
      <c s="6" r="Y1391">
        <v>0</v>
      </c>
      <c s="6" r="Z1391">
        <v>0</v>
      </c>
      <c s="6" r="AA1391">
        <v>2</v>
      </c>
      <c s="6" r="AB1391">
        <v>2</v>
      </c>
      <c t="s" s="6" r="AC1391">
        <v>92</v>
      </c>
      <c t="s" s="6" r="AD1391">
        <v>92</v>
      </c>
      <c t="s" s="6" r="AE1391">
        <v>92</v>
      </c>
      <c t="s" s="6" r="AF1391">
        <v>92</v>
      </c>
      <c t="s" s="6" r="AG1391">
        <v>92</v>
      </c>
      <c t="s" s="6" r="AH1391">
        <v>92</v>
      </c>
      <c t="s" s="6" r="AI1391">
        <v>92</v>
      </c>
      <c s="6" r="AJ1391">
        <v>2</v>
      </c>
      <c t="s" s="6" r="AK1391">
        <v>92</v>
      </c>
      <c t="s" s="6" r="AL1391">
        <v>92</v>
      </c>
      <c t="s" s="6" r="AM1391">
        <v>92</v>
      </c>
      <c t="s" s="6" r="AN1391">
        <v>92</v>
      </c>
      <c s="6" r="AP1391">
        <v>2</v>
      </c>
      <c t="s" s="6" r="AR1391">
        <v>9958</v>
      </c>
      <c s="6" r="AS1391">
        <v>0</v>
      </c>
      <c s="6" r="AT1391">
        <v>0</v>
      </c>
      <c s="6" r="AU1391">
        <v>0</v>
      </c>
      <c s="6" r="AV1391">
        <v>0</v>
      </c>
      <c s="6" r="AW1391">
        <v>0</v>
      </c>
      <c s="6" r="AX1391">
        <v>0</v>
      </c>
      <c s="6" r="AY1391">
        <v>0</v>
      </c>
      <c s="6" r="AZ1391">
        <v>0</v>
      </c>
      <c s="6" r="BA1391">
        <v>0</v>
      </c>
      <c s="6" r="BB1391">
        <v>0</v>
      </c>
      <c s="6" r="BC1391">
        <v>0</v>
      </c>
      <c s="6" r="BD1391">
        <v>0</v>
      </c>
      <c s="6" r="BE1391">
        <v>0</v>
      </c>
      <c s="6" r="BF1391">
        <v>0</v>
      </c>
      <c s="6" r="BG1391">
        <v>0</v>
      </c>
      <c s="6" r="BH1391">
        <v>0</v>
      </c>
      <c s="6" r="BI1391">
        <v>0</v>
      </c>
      <c s="6" r="BJ1391">
        <v>0</v>
      </c>
      <c s="6" r="BK1391">
        <v>0</v>
      </c>
      <c s="6" r="BL1391">
        <v>0</v>
      </c>
      <c s="6" r="BM1391">
        <v>0</v>
      </c>
      <c s="6" r="BN1391">
        <v>0</v>
      </c>
      <c s="6" r="BO1391">
        <v>0</v>
      </c>
      <c s="6" r="BP1391">
        <v>0</v>
      </c>
      <c s="6" r="BQ1391">
        <v>0</v>
      </c>
      <c t="str" s="6" r="BR1391">
        <f>HYPERLINK("http://www.d20pfsrd.com/magic/all-spells/s/stabilize-powder","Stabilize Powder")</f>
        <v>Stabilize Powder</v>
      </c>
      <c s="6" r="BS1391">
        <v>1414</v>
      </c>
      <c t="s" s="6" r="BT1391">
        <v>92</v>
      </c>
      <c s="6" r="BY1391">
        <v>0</v>
      </c>
    </row>
    <row customHeight="1" r="1392" ht="14.25">
      <c t="s" s="6" r="A1392">
        <v>9959</v>
      </c>
      <c t="s" s="6" r="B1392">
        <v>162</v>
      </c>
      <c t="s" s="6" r="E1392">
        <v>9960</v>
      </c>
      <c t="s" s="6" r="F1392">
        <v>81</v>
      </c>
      <c t="s" s="6" r="G1392">
        <v>9961</v>
      </c>
      <c s="6" r="H1392">
        <v>1</v>
      </c>
      <c t="s" s="6" r="I1392">
        <v>120</v>
      </c>
      <c t="s" s="6" r="L1392">
        <v>9190</v>
      </c>
      <c t="s" s="6" r="M1392">
        <v>4186</v>
      </c>
      <c s="6" r="N1392">
        <v>0</v>
      </c>
      <c s="6" r="O1392">
        <v>0</v>
      </c>
      <c t="s" s="6" r="P1392">
        <v>421</v>
      </c>
      <c t="s" s="6" r="Q1392">
        <v>123</v>
      </c>
      <c t="s" s="6" r="R1392">
        <v>9962</v>
      </c>
      <c t="s" s="6" r="S1392">
        <v>9963</v>
      </c>
      <c t="s" s="6" r="T1392">
        <v>9149</v>
      </c>
      <c t="s" s="6" r="U1392">
        <v>9964</v>
      </c>
      <c s="6" r="V1392">
        <v>1</v>
      </c>
      <c s="6" r="W1392">
        <v>1</v>
      </c>
      <c s="6" r="X1392">
        <v>1</v>
      </c>
      <c s="6" r="Y1392">
        <v>0</v>
      </c>
      <c s="6" r="Z1392">
        <v>0</v>
      </c>
      <c s="6" r="AA1392">
        <v>5</v>
      </c>
      <c s="6" r="AB1392">
        <v>5</v>
      </c>
      <c t="s" s="6" r="AC1392">
        <v>92</v>
      </c>
      <c s="6" r="AD1392">
        <v>6</v>
      </c>
      <c t="s" s="6" r="AE1392">
        <v>92</v>
      </c>
      <c t="s" s="6" r="AF1392">
        <v>92</v>
      </c>
      <c t="s" s="6" r="AG1392">
        <v>92</v>
      </c>
      <c s="6" r="AH1392">
        <v>5</v>
      </c>
      <c s="6" r="AI1392">
        <v>4</v>
      </c>
      <c t="s" s="6" r="AJ1392">
        <v>92</v>
      </c>
      <c s="6" r="AK1392">
        <v>5</v>
      </c>
      <c t="s" s="6" r="AL1392">
        <v>92</v>
      </c>
      <c t="s" s="6" r="AM1392">
        <v>92</v>
      </c>
      <c t="s" s="6" r="AN1392">
        <v>92</v>
      </c>
      <c s="6" r="AP1392">
        <v>5</v>
      </c>
      <c t="s" s="6" r="AR1392">
        <v>9965</v>
      </c>
      <c s="6" r="AS1392">
        <v>0</v>
      </c>
      <c s="6" r="AT1392">
        <v>0</v>
      </c>
      <c s="6" r="AU1392">
        <v>0</v>
      </c>
      <c s="6" r="AV1392">
        <v>0</v>
      </c>
      <c s="6" r="AW1392">
        <v>0</v>
      </c>
      <c s="6" r="AX1392">
        <v>0</v>
      </c>
      <c s="6" r="AY1392">
        <v>0</v>
      </c>
      <c s="6" r="AZ1392">
        <v>0</v>
      </c>
      <c s="6" r="BA1392">
        <v>0</v>
      </c>
      <c s="6" r="BB1392">
        <v>0</v>
      </c>
      <c s="6" r="BC1392">
        <v>0</v>
      </c>
      <c s="6" r="BD1392">
        <v>0</v>
      </c>
      <c s="6" r="BE1392">
        <v>0</v>
      </c>
      <c s="6" r="BF1392">
        <v>0</v>
      </c>
      <c s="6" r="BG1392">
        <v>0</v>
      </c>
      <c s="6" r="BH1392">
        <v>0</v>
      </c>
      <c s="6" r="BI1392">
        <v>0</v>
      </c>
      <c s="6" r="BJ1392">
        <v>0</v>
      </c>
      <c s="6" r="BK1392">
        <v>0</v>
      </c>
      <c s="6" r="BL1392">
        <v>0</v>
      </c>
      <c s="6" r="BM1392">
        <v>0</v>
      </c>
      <c s="6" r="BN1392">
        <v>0</v>
      </c>
      <c s="6" r="BO1392">
        <v>0</v>
      </c>
      <c s="6" r="BP1392">
        <v>0</v>
      </c>
      <c s="6" r="BQ1392">
        <v>0</v>
      </c>
      <c t="str" s="6" r="BR1392">
        <f>HYPERLINK("http://www.d20pfsrd.com/magic/all-spells/s/stoneskin#TOC-Stoneskin-Communal","Stoneskin, Communal")</f>
        <v>Stoneskin, Communal</v>
      </c>
      <c s="6" r="BS1392">
        <v>1415</v>
      </c>
      <c s="6" r="BT1392">
        <v>100</v>
      </c>
      <c s="6" r="BY1392">
        <v>0</v>
      </c>
    </row>
    <row customHeight="1" r="1393" ht="14.25">
      <c t="s" s="6" r="A1393">
        <v>9966</v>
      </c>
      <c t="s" s="6" r="B1393">
        <v>227</v>
      </c>
      <c t="s" s="6" r="E1393">
        <v>9967</v>
      </c>
      <c t="s" s="6" r="F1393">
        <v>81</v>
      </c>
      <c t="s" s="6" r="G1393">
        <v>9968</v>
      </c>
      <c s="6" r="H1393">
        <v>0</v>
      </c>
      <c t="s" s="6" r="I1393">
        <v>107</v>
      </c>
      <c t="s" s="6" r="L1393">
        <v>9969</v>
      </c>
      <c t="s" s="6" r="M1393">
        <v>2718</v>
      </c>
      <c s="6" r="N1393">
        <v>0</v>
      </c>
      <c s="6" r="O1393">
        <v>0</v>
      </c>
      <c t="s" s="6" r="P1393">
        <v>221</v>
      </c>
      <c t="s" s="6" r="Q1393">
        <v>188</v>
      </c>
      <c t="s" s="6" r="R1393">
        <v>9970</v>
      </c>
      <c t="s" s="6" r="S1393">
        <v>9971</v>
      </c>
      <c t="s" s="6" r="T1393">
        <v>9149</v>
      </c>
      <c t="s" s="6" r="U1393">
        <v>9972</v>
      </c>
      <c s="6" r="V1393">
        <v>1</v>
      </c>
      <c s="6" r="W1393">
        <v>1</v>
      </c>
      <c s="6" r="X1393">
        <v>1</v>
      </c>
      <c s="6" r="Y1393">
        <v>0</v>
      </c>
      <c s="6" r="Z1393">
        <v>0</v>
      </c>
      <c s="6" r="AA1393">
        <v>5</v>
      </c>
      <c s="6" r="AB1393">
        <v>5</v>
      </c>
      <c s="6" r="AC1393">
        <v>4</v>
      </c>
      <c t="s" s="6" r="AD1393">
        <v>92</v>
      </c>
      <c t="s" s="6" r="AE1393">
        <v>92</v>
      </c>
      <c t="s" s="6" r="AF1393">
        <v>92</v>
      </c>
      <c t="s" s="6" r="AG1393">
        <v>92</v>
      </c>
      <c t="s" s="6" r="AH1393">
        <v>92</v>
      </c>
      <c s="6" r="AI1393">
        <v>4</v>
      </c>
      <c s="6" r="AJ1393">
        <v>5</v>
      </c>
      <c t="s" s="6" r="AK1393">
        <v>92</v>
      </c>
      <c s="6" r="AL1393">
        <v>4</v>
      </c>
      <c t="s" s="6" r="AM1393">
        <v>92</v>
      </c>
      <c t="s" s="6" r="AN1393">
        <v>92</v>
      </c>
      <c s="6" r="AP1393">
        <v>5</v>
      </c>
      <c t="s" s="6" r="AR1393">
        <v>9973</v>
      </c>
      <c s="6" r="AS1393">
        <v>0</v>
      </c>
      <c s="6" r="AT1393">
        <v>0</v>
      </c>
      <c s="6" r="AU1393">
        <v>0</v>
      </c>
      <c s="6" r="AV1393">
        <v>0</v>
      </c>
      <c s="6" r="AW1393">
        <v>0</v>
      </c>
      <c s="6" r="AX1393">
        <v>0</v>
      </c>
      <c s="6" r="AY1393">
        <v>0</v>
      </c>
      <c s="6" r="AZ1393">
        <v>0</v>
      </c>
      <c s="6" r="BA1393">
        <v>0</v>
      </c>
      <c s="6" r="BB1393">
        <v>0</v>
      </c>
      <c s="6" r="BC1393">
        <v>0</v>
      </c>
      <c s="6" r="BD1393">
        <v>0</v>
      </c>
      <c s="6" r="BE1393">
        <v>0</v>
      </c>
      <c s="6" r="BF1393">
        <v>0</v>
      </c>
      <c s="6" r="BG1393">
        <v>0</v>
      </c>
      <c s="6" r="BH1393">
        <v>0</v>
      </c>
      <c s="6" r="BI1393">
        <v>0</v>
      </c>
      <c s="6" r="BJ1393">
        <v>0</v>
      </c>
      <c s="6" r="BK1393">
        <v>0</v>
      </c>
      <c s="6" r="BL1393">
        <v>0</v>
      </c>
      <c s="6" r="BM1393">
        <v>0</v>
      </c>
      <c s="6" r="BN1393">
        <v>0</v>
      </c>
      <c s="6" r="BO1393">
        <v>0</v>
      </c>
      <c s="6" r="BP1393">
        <v>0</v>
      </c>
      <c s="6" r="BQ1393">
        <v>0</v>
      </c>
      <c t="str" s="6" r="BR1393">
        <f>HYPERLINK("http://www.d20pfsrd.com/magic/all-spells/s/summoner-conduit","Summoner Conduit")</f>
        <v>Summoner Conduit</v>
      </c>
      <c s="6" r="BS1393">
        <v>1416</v>
      </c>
      <c t="s" s="6" r="BT1393">
        <v>92</v>
      </c>
      <c s="6" r="BY1393">
        <v>0</v>
      </c>
    </row>
    <row customHeight="1" r="1394" ht="14.25">
      <c t="s" s="6" r="A1394">
        <v>9974</v>
      </c>
      <c t="s" s="6" r="B1394">
        <v>131</v>
      </c>
      <c t="s" s="6" r="D1394">
        <v>57</v>
      </c>
      <c t="s" s="6" r="E1394">
        <v>9975</v>
      </c>
      <c t="s" s="6" r="F1394">
        <v>81</v>
      </c>
      <c t="s" s="6" r="G1394">
        <v>106</v>
      </c>
      <c s="6" r="H1394">
        <v>0</v>
      </c>
      <c t="s" s="6" r="I1394">
        <v>120</v>
      </c>
      <c t="s" s="6" r="L1394">
        <v>1463</v>
      </c>
      <c t="s" s="6" r="M1394">
        <v>6977</v>
      </c>
      <c s="6" r="N1394">
        <v>0</v>
      </c>
      <c s="6" r="O1394">
        <v>0</v>
      </c>
      <c t="s" s="6" r="P1394">
        <v>5197</v>
      </c>
      <c t="s" s="6" r="Q1394">
        <v>536</v>
      </c>
      <c t="s" s="6" r="R1394">
        <v>9976</v>
      </c>
      <c t="s" s="6" r="S1394">
        <v>9977</v>
      </c>
      <c t="s" s="6" r="T1394">
        <v>9149</v>
      </c>
      <c t="s" s="6" r="U1394">
        <v>9978</v>
      </c>
      <c s="6" r="V1394">
        <v>1</v>
      </c>
      <c s="6" r="W1394">
        <v>1</v>
      </c>
      <c s="6" r="X1394">
        <v>0</v>
      </c>
      <c s="6" r="Y1394">
        <v>0</v>
      </c>
      <c s="6" r="Z1394">
        <v>0</v>
      </c>
      <c t="s" s="6" r="AA1394">
        <v>92</v>
      </c>
      <c t="s" s="6" r="AB1394">
        <v>92</v>
      </c>
      <c s="6" r="AC1394">
        <v>1</v>
      </c>
      <c t="s" s="6" r="AD1394">
        <v>92</v>
      </c>
      <c s="6" r="AE1394">
        <v>1</v>
      </c>
      <c t="s" s="6" r="AF1394">
        <v>92</v>
      </c>
      <c s="6" r="AG1394">
        <v>1</v>
      </c>
      <c t="s" s="6" r="AH1394">
        <v>92</v>
      </c>
      <c t="s" s="6" r="AI1394">
        <v>92</v>
      </c>
      <c t="s" s="6" r="AJ1394">
        <v>92</v>
      </c>
      <c t="s" s="6" r="AK1394">
        <v>92</v>
      </c>
      <c s="6" r="AL1394">
        <v>1</v>
      </c>
      <c t="s" s="6" r="AM1394">
        <v>92</v>
      </c>
      <c t="s" s="6" r="AN1394">
        <v>92</v>
      </c>
      <c s="6" r="AP1394">
        <v>1</v>
      </c>
      <c t="s" s="6" r="AR1394">
        <v>9979</v>
      </c>
      <c s="6" r="AS1394">
        <v>0</v>
      </c>
      <c s="6" r="AT1394">
        <v>0</v>
      </c>
      <c s="6" r="AU1394">
        <v>0</v>
      </c>
      <c s="6" r="AV1394">
        <v>0</v>
      </c>
      <c s="6" r="AW1394">
        <v>0</v>
      </c>
      <c s="6" r="AX1394">
        <v>0</v>
      </c>
      <c s="6" r="AY1394">
        <v>0</v>
      </c>
      <c s="6" r="AZ1394">
        <v>0</v>
      </c>
      <c s="6" r="BA1394">
        <v>0</v>
      </c>
      <c s="6" r="BB1394">
        <v>0</v>
      </c>
      <c s="6" r="BC1394">
        <v>0</v>
      </c>
      <c s="6" r="BD1394">
        <v>0</v>
      </c>
      <c s="6" r="BE1394">
        <v>0</v>
      </c>
      <c s="6" r="BF1394">
        <v>1</v>
      </c>
      <c s="6" r="BG1394">
        <v>0</v>
      </c>
      <c s="6" r="BH1394">
        <v>0</v>
      </c>
      <c s="6" r="BI1394">
        <v>0</v>
      </c>
      <c s="6" r="BJ1394">
        <v>0</v>
      </c>
      <c s="6" r="BK1394">
        <v>0</v>
      </c>
      <c s="6" r="BL1394">
        <v>0</v>
      </c>
      <c s="6" r="BM1394">
        <v>0</v>
      </c>
      <c s="6" r="BN1394">
        <v>0</v>
      </c>
      <c s="6" r="BO1394">
        <v>0</v>
      </c>
      <c s="6" r="BP1394">
        <v>0</v>
      </c>
      <c s="6" r="BQ1394">
        <v>0</v>
      </c>
      <c t="str" s="6" r="BR1394">
        <f>HYPERLINK("http://www.d20pfsrd.com/magic/all-spells/s/sun-metal","Sun Metal")</f>
        <v>Sun Metal</v>
      </c>
      <c s="6" r="BS1394">
        <v>1417</v>
      </c>
      <c t="s" s="6" r="BT1394">
        <v>92</v>
      </c>
      <c t="s" s="6" r="BW1394">
        <v>9980</v>
      </c>
      <c s="6" r="BY1394">
        <v>1</v>
      </c>
    </row>
    <row customHeight="1" r="1395" ht="14.25">
      <c t="s" s="6" r="A1395">
        <v>9981</v>
      </c>
      <c t="s" s="6" r="B1395">
        <v>579</v>
      </c>
      <c t="s" s="6" r="C1395">
        <v>66</v>
      </c>
      <c t="s" s="6" r="E1395">
        <v>9982</v>
      </c>
      <c t="s" s="6" r="F1395">
        <v>311</v>
      </c>
      <c t="s" s="6" r="G1395">
        <v>9983</v>
      </c>
      <c s="6" r="H1395">
        <v>1</v>
      </c>
      <c t="s" s="6" r="I1395">
        <v>4361</v>
      </c>
      <c t="s" s="6" r="K1395">
        <v>4362</v>
      </c>
      <c t="s" s="6" r="M1395">
        <v>141</v>
      </c>
      <c s="6" r="N1395">
        <v>0</v>
      </c>
      <c s="6" r="O1395">
        <v>0</v>
      </c>
      <c t="s" s="6" r="P1395">
        <v>9984</v>
      </c>
      <c t="s" s="6" r="Q1395">
        <v>9985</v>
      </c>
      <c t="s" s="6" r="R1395">
        <v>9986</v>
      </c>
      <c t="s" s="6" r="S1395">
        <v>9987</v>
      </c>
      <c t="s" s="6" r="T1395">
        <v>9149</v>
      </c>
      <c t="s" s="6" r="U1395">
        <v>9988</v>
      </c>
      <c s="6" r="V1395">
        <v>1</v>
      </c>
      <c s="6" r="W1395">
        <v>1</v>
      </c>
      <c s="6" r="X1395">
        <v>1</v>
      </c>
      <c s="6" r="Y1395">
        <v>0</v>
      </c>
      <c s="6" r="Z1395">
        <v>0</v>
      </c>
      <c s="6" r="AA1395">
        <v>5</v>
      </c>
      <c s="6" r="AB1395">
        <v>5</v>
      </c>
      <c s="6" r="AC1395">
        <v>5</v>
      </c>
      <c t="s" s="6" r="AD1395">
        <v>92</v>
      </c>
      <c t="s" s="6" r="AE1395">
        <v>92</v>
      </c>
      <c t="s" s="6" r="AF1395">
        <v>92</v>
      </c>
      <c t="s" s="6" r="AG1395">
        <v>92</v>
      </c>
      <c t="s" s="6" r="AH1395">
        <v>92</v>
      </c>
      <c t="s" s="6" r="AI1395">
        <v>92</v>
      </c>
      <c s="6" r="AJ1395">
        <v>5</v>
      </c>
      <c t="s" s="6" r="AK1395">
        <v>92</v>
      </c>
      <c s="6" r="AL1395">
        <v>5</v>
      </c>
      <c t="s" s="6" r="AM1395">
        <v>92</v>
      </c>
      <c s="6" r="AN1395">
        <v>5</v>
      </c>
      <c s="6" r="AP1395">
        <v>5</v>
      </c>
      <c t="s" s="6" r="AR1395">
        <v>9989</v>
      </c>
      <c s="6" r="AS1395">
        <v>0</v>
      </c>
      <c s="6" r="AT1395">
        <v>0</v>
      </c>
      <c s="6" r="AU1395">
        <v>0</v>
      </c>
      <c s="6" r="AV1395">
        <v>0</v>
      </c>
      <c s="6" r="AW1395">
        <v>0</v>
      </c>
      <c s="6" r="AX1395">
        <v>0</v>
      </c>
      <c s="6" r="AY1395">
        <v>0</v>
      </c>
      <c s="6" r="AZ1395">
        <v>0</v>
      </c>
      <c s="6" r="BA1395">
        <v>0</v>
      </c>
      <c s="6" r="BB1395">
        <v>0</v>
      </c>
      <c s="6" r="BC1395">
        <v>0</v>
      </c>
      <c s="6" r="BD1395">
        <v>0</v>
      </c>
      <c s="6" r="BE1395">
        <v>0</v>
      </c>
      <c s="6" r="BF1395">
        <v>0</v>
      </c>
      <c s="6" r="BG1395">
        <v>0</v>
      </c>
      <c s="6" r="BH1395">
        <v>0</v>
      </c>
      <c s="6" r="BI1395">
        <v>0</v>
      </c>
      <c s="6" r="BJ1395">
        <v>0</v>
      </c>
      <c s="6" r="BK1395">
        <v>0</v>
      </c>
      <c s="6" r="BL1395">
        <v>0</v>
      </c>
      <c s="6" r="BM1395">
        <v>0</v>
      </c>
      <c s="6" r="BN1395">
        <v>0</v>
      </c>
      <c s="6" r="BO1395">
        <v>0</v>
      </c>
      <c s="6" r="BP1395">
        <v>0</v>
      </c>
      <c s="6" r="BQ1395">
        <v>0</v>
      </c>
      <c t="str" s="6" r="BR1395">
        <f>HYPERLINK("http://www.d20pfsrd.com/magic/all-spells/s/symbol-of-striking","Symbol of Striking")</f>
        <v>Symbol of Striking</v>
      </c>
      <c s="6" r="BS1395">
        <v>1418</v>
      </c>
      <c s="6" r="BT1395">
        <v>300</v>
      </c>
      <c s="6" r="BY1395">
        <v>0</v>
      </c>
    </row>
    <row customHeight="1" r="1396" ht="14.25">
      <c t="s" s="6" r="A1396">
        <v>9990</v>
      </c>
      <c t="s" s="6" r="B1396">
        <v>115</v>
      </c>
      <c t="s" s="6" r="C1396">
        <v>116</v>
      </c>
      <c t="s" s="6" r="D1396">
        <v>117</v>
      </c>
      <c t="s" s="6" r="E1396">
        <v>9991</v>
      </c>
      <c t="s" s="6" r="F1396">
        <v>81</v>
      </c>
      <c t="s" s="6" r="G1396">
        <v>9992</v>
      </c>
      <c s="6" r="H1396">
        <v>0</v>
      </c>
      <c t="s" s="6" r="I1396">
        <v>1052</v>
      </c>
      <c t="s" s="6" r="J1396">
        <v>9993</v>
      </c>
      <c t="s" s="6" r="M1396">
        <v>483</v>
      </c>
      <c s="6" r="N1396">
        <v>1</v>
      </c>
      <c s="6" r="O1396">
        <v>0</v>
      </c>
      <c t="s" s="6" r="P1396">
        <v>421</v>
      </c>
      <c t="s" s="6" r="Q1396">
        <v>123</v>
      </c>
      <c t="s" s="6" r="R1396">
        <v>9994</v>
      </c>
      <c t="s" s="6" r="S1396">
        <v>9995</v>
      </c>
      <c t="s" s="6" r="T1396">
        <v>9149</v>
      </c>
      <c t="s" s="6" r="U1396">
        <v>9996</v>
      </c>
      <c s="6" r="V1396">
        <v>1</v>
      </c>
      <c s="6" r="W1396">
        <v>1</v>
      </c>
      <c s="6" r="X1396">
        <v>1</v>
      </c>
      <c s="6" r="Y1396">
        <v>0</v>
      </c>
      <c s="6" r="Z1396">
        <v>1</v>
      </c>
      <c s="6" r="AA1396">
        <v>2</v>
      </c>
      <c s="6" r="AB1396">
        <v>2</v>
      </c>
      <c t="s" s="6" r="AC1396">
        <v>92</v>
      </c>
      <c t="s" s="6" r="AD1396">
        <v>92</v>
      </c>
      <c t="s" s="6" r="AE1396">
        <v>92</v>
      </c>
      <c s="6" r="AF1396">
        <v>2</v>
      </c>
      <c s="6" r="AG1396">
        <v>1</v>
      </c>
      <c t="s" s="6" r="AH1396">
        <v>92</v>
      </c>
      <c t="s" s="6" r="AI1396">
        <v>92</v>
      </c>
      <c t="s" s="6" r="AJ1396">
        <v>92</v>
      </c>
      <c s="6" r="AK1396">
        <v>2</v>
      </c>
      <c t="s" s="6" r="AL1396">
        <v>92</v>
      </c>
      <c t="s" s="6" r="AM1396">
        <v>92</v>
      </c>
      <c s="6" r="AN1396">
        <v>2</v>
      </c>
      <c s="6" r="AP1396">
        <v>2</v>
      </c>
      <c t="s" s="6" r="AR1396">
        <v>9997</v>
      </c>
      <c s="6" r="AS1396">
        <v>0</v>
      </c>
      <c s="6" r="AT1396">
        <v>0</v>
      </c>
      <c s="6" r="AU1396">
        <v>0</v>
      </c>
      <c s="6" r="AV1396">
        <v>0</v>
      </c>
      <c s="6" r="AW1396">
        <v>0</v>
      </c>
      <c s="6" r="AX1396">
        <v>0</v>
      </c>
      <c s="6" r="AY1396">
        <v>0</v>
      </c>
      <c s="6" r="AZ1396">
        <v>0</v>
      </c>
      <c s="6" r="BA1396">
        <v>0</v>
      </c>
      <c s="6" r="BB1396">
        <v>0</v>
      </c>
      <c s="6" r="BC1396">
        <v>0</v>
      </c>
      <c s="6" r="BD1396">
        <v>0</v>
      </c>
      <c s="6" r="BE1396">
        <v>0</v>
      </c>
      <c s="6" r="BF1396">
        <v>0</v>
      </c>
      <c s="6" r="BG1396">
        <v>0</v>
      </c>
      <c s="6" r="BH1396">
        <v>0</v>
      </c>
      <c s="6" r="BI1396">
        <v>0</v>
      </c>
      <c s="6" r="BJ1396">
        <v>0</v>
      </c>
      <c s="6" r="BK1396">
        <v>0</v>
      </c>
      <c s="6" r="BL1396">
        <v>1</v>
      </c>
      <c s="6" r="BM1396">
        <v>0</v>
      </c>
      <c s="6" r="BN1396">
        <v>0</v>
      </c>
      <c s="6" r="BO1396">
        <v>0</v>
      </c>
      <c s="6" r="BP1396">
        <v>0</v>
      </c>
      <c s="6" r="BQ1396">
        <v>0</v>
      </c>
      <c t="str" s="6" r="BR1396">
        <f>HYPERLINK("http://www.d20pfsrd.com/magic/all-spells/t/tactical-acumen","Tactical Acumen")</f>
        <v>Tactical Acumen</v>
      </c>
      <c s="6" r="BS1396">
        <v>1419</v>
      </c>
      <c t="s" s="6" r="BT1396">
        <v>92</v>
      </c>
      <c s="6" r="BY1396">
        <v>0</v>
      </c>
    </row>
    <row customHeight="1" r="1397" ht="14.25">
      <c t="s" s="6" r="A1397">
        <v>9998</v>
      </c>
      <c t="s" s="6" r="B1397">
        <v>131</v>
      </c>
      <c t="s" s="6" r="D1397">
        <v>6870</v>
      </c>
      <c t="s" s="6" r="E1397">
        <v>9999</v>
      </c>
      <c t="s" s="6" r="F1397">
        <v>81</v>
      </c>
      <c t="s" s="6" r="G1397">
        <v>10000</v>
      </c>
      <c s="6" r="H1397">
        <v>0</v>
      </c>
      <c t="s" s="6" r="I1397">
        <v>107</v>
      </c>
      <c t="s" s="6" r="J1397">
        <v>720</v>
      </c>
      <c t="s" s="6" r="M1397">
        <v>99</v>
      </c>
      <c s="6" r="N1397">
        <v>0</v>
      </c>
      <c s="6" r="O1397">
        <v>0</v>
      </c>
      <c t="s" s="6" r="P1397">
        <v>5524</v>
      </c>
      <c t="s" s="6" r="Q1397">
        <v>87</v>
      </c>
      <c t="s" s="6" r="R1397">
        <v>10001</v>
      </c>
      <c t="s" s="6" r="S1397">
        <v>10002</v>
      </c>
      <c t="s" s="6" r="T1397">
        <v>9149</v>
      </c>
      <c t="s" s="6" r="U1397">
        <v>10003</v>
      </c>
      <c s="6" r="V1397">
        <v>1</v>
      </c>
      <c s="6" r="W1397">
        <v>1</v>
      </c>
      <c s="6" r="X1397">
        <v>1</v>
      </c>
      <c s="6" r="Y1397">
        <v>0</v>
      </c>
      <c s="6" r="Z1397">
        <v>1</v>
      </c>
      <c s="6" r="AA1397">
        <v>6</v>
      </c>
      <c s="6" r="AB1397">
        <v>6</v>
      </c>
      <c t="s" s="6" r="AC1397">
        <v>92</v>
      </c>
      <c s="6" r="AD1397">
        <v>6</v>
      </c>
      <c t="s" s="6" r="AE1397">
        <v>92</v>
      </c>
      <c t="s" s="6" r="AF1397">
        <v>92</v>
      </c>
      <c t="s" s="6" r="AG1397">
        <v>92</v>
      </c>
      <c t="s" s="6" r="AH1397">
        <v>92</v>
      </c>
      <c s="6" r="AI1397">
        <v>5</v>
      </c>
      <c t="s" s="6" r="AJ1397">
        <v>92</v>
      </c>
      <c t="s" s="6" r="AK1397">
        <v>92</v>
      </c>
      <c t="s" s="6" r="AL1397">
        <v>92</v>
      </c>
      <c t="s" s="6" r="AM1397">
        <v>92</v>
      </c>
      <c t="s" s="6" r="AN1397">
        <v>92</v>
      </c>
      <c s="6" r="AP1397">
        <v>6</v>
      </c>
      <c t="s" s="6" r="AR1397">
        <v>10004</v>
      </c>
      <c s="6" r="AS1397">
        <v>0</v>
      </c>
      <c s="6" r="AT1397">
        <v>0</v>
      </c>
      <c s="6" r="AU1397">
        <v>0</v>
      </c>
      <c s="6" r="AV1397">
        <v>0</v>
      </c>
      <c s="6" r="AW1397">
        <v>0</v>
      </c>
      <c s="6" r="AX1397">
        <v>0</v>
      </c>
      <c s="6" r="AY1397">
        <v>0</v>
      </c>
      <c s="6" r="AZ1397">
        <v>0</v>
      </c>
      <c s="6" r="BA1397">
        <v>1</v>
      </c>
      <c s="6" r="BB1397">
        <v>0</v>
      </c>
      <c s="6" r="BC1397">
        <v>0</v>
      </c>
      <c s="6" r="BD1397">
        <v>0</v>
      </c>
      <c s="6" r="BE1397">
        <v>0</v>
      </c>
      <c s="6" r="BF1397">
        <v>1</v>
      </c>
      <c s="6" r="BG1397">
        <v>0</v>
      </c>
      <c s="6" r="BH1397">
        <v>0</v>
      </c>
      <c s="6" r="BI1397">
        <v>0</v>
      </c>
      <c s="6" r="BJ1397">
        <v>0</v>
      </c>
      <c s="6" r="BK1397">
        <v>0</v>
      </c>
      <c s="6" r="BL1397">
        <v>0</v>
      </c>
      <c s="6" r="BM1397">
        <v>0</v>
      </c>
      <c s="6" r="BN1397">
        <v>0</v>
      </c>
      <c s="6" r="BO1397">
        <v>0</v>
      </c>
      <c s="6" r="BP1397">
        <v>0</v>
      </c>
      <c s="6" r="BQ1397">
        <v>0</v>
      </c>
      <c t="str" s="6" r="BR1397">
        <f>HYPERLINK("http://www.d20pfsrd.com/magic/all-spells/t/tar-pool","Tar Pool")</f>
        <v>Tar Pool</v>
      </c>
      <c s="6" r="BS1397">
        <v>1420</v>
      </c>
      <c t="s" s="6" r="BT1397">
        <v>92</v>
      </c>
      <c s="6" r="BY1397">
        <v>0</v>
      </c>
    </row>
    <row customHeight="1" r="1398" ht="14.25">
      <c t="s" s="6" r="A1398">
        <v>10005</v>
      </c>
      <c t="s" s="6" r="B1398">
        <v>131</v>
      </c>
      <c t="s" s="6" r="E1398">
        <v>5380</v>
      </c>
      <c t="s" s="6" r="F1398">
        <v>81</v>
      </c>
      <c t="s" s="6" r="G1398">
        <v>106</v>
      </c>
      <c s="6" r="H1398">
        <v>0</v>
      </c>
      <c t="s" s="6" r="I1398">
        <v>155</v>
      </c>
      <c t="s" s="6" r="L1398">
        <v>156</v>
      </c>
      <c t="s" s="6" r="M1398">
        <v>99</v>
      </c>
      <c s="6" r="N1398">
        <v>0</v>
      </c>
      <c s="6" r="O1398">
        <v>0</v>
      </c>
      <c t="s" s="6" r="R1398">
        <v>10006</v>
      </c>
      <c t="s" s="6" r="S1398">
        <v>10007</v>
      </c>
      <c t="s" s="6" r="T1398">
        <v>9149</v>
      </c>
      <c t="s" s="6" r="U1398">
        <v>10008</v>
      </c>
      <c s="6" r="V1398">
        <v>1</v>
      </c>
      <c s="6" r="W1398">
        <v>1</v>
      </c>
      <c s="6" r="X1398">
        <v>0</v>
      </c>
      <c s="6" r="Y1398">
        <v>0</v>
      </c>
      <c s="6" r="Z1398">
        <v>0</v>
      </c>
      <c t="s" s="6" r="AA1398">
        <v>92</v>
      </c>
      <c t="s" s="6" r="AB1398">
        <v>92</v>
      </c>
      <c t="s" s="6" r="AC1398">
        <v>92</v>
      </c>
      <c t="s" s="6" r="AD1398">
        <v>92</v>
      </c>
      <c t="s" s="6" r="AE1398">
        <v>92</v>
      </c>
      <c t="s" s="6" r="AF1398">
        <v>92</v>
      </c>
      <c t="s" s="6" r="AG1398">
        <v>92</v>
      </c>
      <c s="6" r="AH1398">
        <v>1</v>
      </c>
      <c t="s" s="6" r="AI1398">
        <v>92</v>
      </c>
      <c t="s" s="6" r="AJ1398">
        <v>92</v>
      </c>
      <c t="s" s="6" r="AK1398">
        <v>92</v>
      </c>
      <c t="s" s="6" r="AL1398">
        <v>92</v>
      </c>
      <c t="s" s="6" r="AM1398">
        <v>92</v>
      </c>
      <c t="s" s="6" r="AN1398">
        <v>92</v>
      </c>
      <c s="6" r="AP1398">
        <v>1</v>
      </c>
      <c t="s" s="6" r="AR1398">
        <v>10009</v>
      </c>
      <c s="6" r="AS1398">
        <v>0</v>
      </c>
      <c s="6" r="AT1398">
        <v>0</v>
      </c>
      <c s="6" r="AU1398">
        <v>0</v>
      </c>
      <c s="6" r="AV1398">
        <v>0</v>
      </c>
      <c s="6" r="AW1398">
        <v>0</v>
      </c>
      <c s="6" r="AX1398">
        <v>0</v>
      </c>
      <c s="6" r="AY1398">
        <v>0</v>
      </c>
      <c s="6" r="AZ1398">
        <v>0</v>
      </c>
      <c s="6" r="BA1398">
        <v>0</v>
      </c>
      <c s="6" r="BB1398">
        <v>0</v>
      </c>
      <c s="6" r="BC1398">
        <v>0</v>
      </c>
      <c s="6" r="BD1398">
        <v>0</v>
      </c>
      <c s="6" r="BE1398">
        <v>0</v>
      </c>
      <c s="6" r="BF1398">
        <v>0</v>
      </c>
      <c s="6" r="BG1398">
        <v>0</v>
      </c>
      <c s="6" r="BH1398">
        <v>0</v>
      </c>
      <c s="6" r="BI1398">
        <v>0</v>
      </c>
      <c s="6" r="BJ1398">
        <v>0</v>
      </c>
      <c s="6" r="BK1398">
        <v>0</v>
      </c>
      <c s="6" r="BL1398">
        <v>0</v>
      </c>
      <c s="6" r="BM1398">
        <v>0</v>
      </c>
      <c s="6" r="BN1398">
        <v>0</v>
      </c>
      <c s="6" r="BO1398">
        <v>0</v>
      </c>
      <c s="6" r="BP1398">
        <v>0</v>
      </c>
      <c s="6" r="BQ1398">
        <v>0</v>
      </c>
      <c t="str" s="6" r="BR1398">
        <f>HYPERLINK("http://www.d20pfsrd.com/magic/all-spells/t/targeted-bomb-admixture","Targeted Bomb Admixture")</f>
        <v>Targeted Bomb Admixture</v>
      </c>
      <c s="6" r="BS1398">
        <v>1421</v>
      </c>
      <c t="s" s="6" r="BT1398">
        <v>92</v>
      </c>
      <c s="6" r="BY1398">
        <v>0</v>
      </c>
    </row>
    <row customHeight="1" r="1399" ht="14.25">
      <c t="s" s="6" r="A1399">
        <v>10010</v>
      </c>
      <c t="s" s="6" r="B1399">
        <v>131</v>
      </c>
      <c t="s" s="6" r="E1399">
        <v>10011</v>
      </c>
      <c t="s" s="6" r="F1399">
        <v>10012</v>
      </c>
      <c t="s" s="6" r="G1399">
        <v>10013</v>
      </c>
      <c s="6" r="H1399">
        <v>1</v>
      </c>
      <c t="s" s="6" r="I1399">
        <v>7857</v>
      </c>
      <c t="s" s="6" r="L1399">
        <v>10014</v>
      </c>
      <c t="s" s="6" r="M1399">
        <v>109</v>
      </c>
      <c s="6" r="N1399">
        <v>0</v>
      </c>
      <c s="6" r="O1399">
        <v>0</v>
      </c>
      <c t="s" s="6" r="P1399">
        <v>86</v>
      </c>
      <c t="s" s="6" r="Q1399">
        <v>87</v>
      </c>
      <c t="s" s="6" r="R1399">
        <v>10015</v>
      </c>
      <c t="s" s="6" r="S1399">
        <v>10016</v>
      </c>
      <c t="s" s="6" r="T1399">
        <v>9149</v>
      </c>
      <c t="s" s="6" r="U1399">
        <v>10017</v>
      </c>
      <c s="6" r="V1399">
        <v>1</v>
      </c>
      <c s="6" r="W1399">
        <v>1</v>
      </c>
      <c s="6" r="X1399">
        <v>0</v>
      </c>
      <c s="6" r="Y1399">
        <v>0</v>
      </c>
      <c s="6" r="Z1399">
        <v>0</v>
      </c>
      <c s="6" r="AA1399">
        <v>2</v>
      </c>
      <c s="6" r="AB1399">
        <v>2</v>
      </c>
      <c t="s" s="6" r="AC1399">
        <v>92</v>
      </c>
      <c t="s" s="6" r="AD1399">
        <v>92</v>
      </c>
      <c t="s" s="6" r="AE1399">
        <v>92</v>
      </c>
      <c t="s" s="6" r="AF1399">
        <v>92</v>
      </c>
      <c t="s" s="6" r="AG1399">
        <v>92</v>
      </c>
      <c t="s" s="6" r="AH1399">
        <v>92</v>
      </c>
      <c t="s" s="6" r="AI1399">
        <v>92</v>
      </c>
      <c t="s" s="6" r="AJ1399">
        <v>92</v>
      </c>
      <c t="s" s="6" r="AK1399">
        <v>92</v>
      </c>
      <c t="s" s="6" r="AL1399">
        <v>92</v>
      </c>
      <c t="s" s="6" r="AM1399">
        <v>92</v>
      </c>
      <c s="6" r="AN1399">
        <v>2</v>
      </c>
      <c s="6" r="AP1399">
        <v>2</v>
      </c>
      <c t="s" s="6" r="AR1399">
        <v>10018</v>
      </c>
      <c s="6" r="AS1399">
        <v>0</v>
      </c>
      <c s="6" r="AT1399">
        <v>0</v>
      </c>
      <c s="6" r="AU1399">
        <v>0</v>
      </c>
      <c s="6" r="AV1399">
        <v>0</v>
      </c>
      <c s="6" r="AW1399">
        <v>0</v>
      </c>
      <c s="6" r="AX1399">
        <v>0</v>
      </c>
      <c s="6" r="AY1399">
        <v>0</v>
      </c>
      <c s="6" r="AZ1399">
        <v>0</v>
      </c>
      <c s="6" r="BA1399">
        <v>0</v>
      </c>
      <c s="6" r="BB1399">
        <v>0</v>
      </c>
      <c s="6" r="BC1399">
        <v>0</v>
      </c>
      <c s="6" r="BD1399">
        <v>0</v>
      </c>
      <c s="6" r="BE1399">
        <v>0</v>
      </c>
      <c s="6" r="BF1399">
        <v>0</v>
      </c>
      <c s="6" r="BG1399">
        <v>0</v>
      </c>
      <c s="6" r="BH1399">
        <v>0</v>
      </c>
      <c s="6" r="BI1399">
        <v>0</v>
      </c>
      <c s="6" r="BJ1399">
        <v>0</v>
      </c>
      <c s="6" r="BK1399">
        <v>0</v>
      </c>
      <c s="6" r="BL1399">
        <v>0</v>
      </c>
      <c s="6" r="BM1399">
        <v>0</v>
      </c>
      <c s="6" r="BN1399">
        <v>0</v>
      </c>
      <c s="6" r="BO1399">
        <v>0</v>
      </c>
      <c s="6" r="BP1399">
        <v>0</v>
      </c>
      <c s="6" r="BQ1399">
        <v>0</v>
      </c>
      <c t="str" s="6" r="BR1399">
        <f>HYPERLINK("http://www.d20pfsrd.com/magic/all-spells/t/telekinetic-assembly","Telekinetic Assembly")</f>
        <v>Telekinetic Assembly</v>
      </c>
      <c s="6" r="BS1399">
        <v>1422</v>
      </c>
      <c s="6" r="BT1399">
        <v>10</v>
      </c>
      <c s="6" r="BY1399">
        <v>0</v>
      </c>
    </row>
    <row customHeight="1" r="1400" ht="14.25">
      <c t="s" s="6" r="A1400">
        <v>10019</v>
      </c>
      <c t="s" s="6" r="B1400">
        <v>493</v>
      </c>
      <c t="s" s="6" r="D1400">
        <v>58</v>
      </c>
      <c t="s" s="6" r="E1400">
        <v>2102</v>
      </c>
      <c t="s" s="6" r="F1400">
        <v>81</v>
      </c>
      <c t="s" s="6" r="G1400">
        <v>106</v>
      </c>
      <c s="6" r="H1400">
        <v>0</v>
      </c>
      <c t="s" s="6" r="I1400">
        <v>107</v>
      </c>
      <c t="s" s="6" r="L1400">
        <v>7941</v>
      </c>
      <c t="s" s="6" r="M1400">
        <v>109</v>
      </c>
      <c s="6" r="N1400">
        <v>0</v>
      </c>
      <c s="6" r="O1400">
        <v>0</v>
      </c>
      <c t="s" s="6" r="P1400">
        <v>421</v>
      </c>
      <c t="s" s="6" r="Q1400">
        <v>123</v>
      </c>
      <c t="s" s="6" r="R1400">
        <v>10020</v>
      </c>
      <c t="s" s="6" r="S1400">
        <v>10021</v>
      </c>
      <c t="s" s="6" r="T1400">
        <v>9149</v>
      </c>
      <c t="s" s="6" r="U1400">
        <v>10022</v>
      </c>
      <c s="6" r="V1400">
        <v>1</v>
      </c>
      <c s="6" r="W1400">
        <v>1</v>
      </c>
      <c s="6" r="X1400">
        <v>0</v>
      </c>
      <c s="6" r="Y1400">
        <v>0</v>
      </c>
      <c s="6" r="Z1400">
        <v>0</v>
      </c>
      <c s="6" r="AA1400">
        <v>4</v>
      </c>
      <c s="6" r="AB1400">
        <v>4</v>
      </c>
      <c t="s" s="6" r="AC1400">
        <v>92</v>
      </c>
      <c t="s" s="6" r="AD1400">
        <v>92</v>
      </c>
      <c t="s" s="6" r="AE1400">
        <v>92</v>
      </c>
      <c t="s" s="6" r="AF1400">
        <v>92</v>
      </c>
      <c t="s" s="6" r="AG1400">
        <v>92</v>
      </c>
      <c t="s" s="6" r="AH1400">
        <v>92</v>
      </c>
      <c t="s" s="6" r="AI1400">
        <v>92</v>
      </c>
      <c t="s" s="6" r="AJ1400">
        <v>92</v>
      </c>
      <c t="s" s="6" r="AK1400">
        <v>92</v>
      </c>
      <c t="s" s="6" r="AL1400">
        <v>92</v>
      </c>
      <c t="s" s="6" r="AM1400">
        <v>92</v>
      </c>
      <c t="s" s="6" r="AN1400">
        <v>92</v>
      </c>
      <c s="6" r="AP1400">
        <v>4</v>
      </c>
      <c t="s" s="6" r="AR1400">
        <v>10023</v>
      </c>
      <c s="6" r="AS1400">
        <v>0</v>
      </c>
      <c s="6" r="AT1400">
        <v>0</v>
      </c>
      <c s="6" r="AU1400">
        <v>0</v>
      </c>
      <c s="6" r="AV1400">
        <v>0</v>
      </c>
      <c s="6" r="AW1400">
        <v>0</v>
      </c>
      <c s="6" r="AX1400">
        <v>0</v>
      </c>
      <c s="6" r="AY1400">
        <v>0</v>
      </c>
      <c s="6" r="AZ1400">
        <v>0</v>
      </c>
      <c s="6" r="BA1400">
        <v>0</v>
      </c>
      <c s="6" r="BB1400">
        <v>0</v>
      </c>
      <c s="6" r="BC1400">
        <v>0</v>
      </c>
      <c s="6" r="BD1400">
        <v>0</v>
      </c>
      <c s="6" r="BE1400">
        <v>0</v>
      </c>
      <c s="6" r="BF1400">
        <v>0</v>
      </c>
      <c s="6" r="BG1400">
        <v>1</v>
      </c>
      <c s="6" r="BH1400">
        <v>0</v>
      </c>
      <c s="6" r="BI1400">
        <v>0</v>
      </c>
      <c s="6" r="BJ1400">
        <v>0</v>
      </c>
      <c s="6" r="BK1400">
        <v>0</v>
      </c>
      <c s="6" r="BL1400">
        <v>0</v>
      </c>
      <c s="6" r="BM1400">
        <v>0</v>
      </c>
      <c s="6" r="BN1400">
        <v>0</v>
      </c>
      <c s="6" r="BO1400">
        <v>0</v>
      </c>
      <c s="6" r="BP1400">
        <v>0</v>
      </c>
      <c s="6" r="BQ1400">
        <v>0</v>
      </c>
      <c t="str" s="6" r="BR1400">
        <f>HYPERLINK("http://www.d20pfsrd.com/magic/all-spells/t/telekinetic-charge","Telekinetic Charge")</f>
        <v>Telekinetic Charge</v>
      </c>
      <c s="6" r="BS1400">
        <v>1423</v>
      </c>
      <c t="s" s="6" r="BT1400">
        <v>92</v>
      </c>
      <c s="6" r="BY1400">
        <v>0</v>
      </c>
    </row>
    <row customHeight="1" r="1401" ht="14.25">
      <c t="s" s="6" r="A1401">
        <v>10024</v>
      </c>
      <c t="s" s="6" r="B1401">
        <v>115</v>
      </c>
      <c t="s" s="6" r="E1401">
        <v>5398</v>
      </c>
      <c t="s" s="6" r="F1401">
        <v>81</v>
      </c>
      <c t="s" s="6" r="G1401">
        <v>10025</v>
      </c>
      <c s="6" r="H1401">
        <v>0</v>
      </c>
      <c t="s" s="6" r="I1401">
        <v>155</v>
      </c>
      <c t="s" s="6" r="L1401">
        <v>156</v>
      </c>
      <c t="s" s="6" r="M1401">
        <v>10026</v>
      </c>
      <c s="6" r="N1401">
        <v>1</v>
      </c>
      <c s="6" r="O1401">
        <v>0</v>
      </c>
      <c t="s" s="6" r="R1401">
        <v>10027</v>
      </c>
      <c t="s" s="6" r="S1401">
        <v>10028</v>
      </c>
      <c t="s" s="6" r="T1401">
        <v>9149</v>
      </c>
      <c t="s" s="6" r="U1401">
        <v>10029</v>
      </c>
      <c s="6" r="V1401">
        <v>1</v>
      </c>
      <c s="6" r="W1401">
        <v>1</v>
      </c>
      <c s="6" r="X1401">
        <v>1</v>
      </c>
      <c s="6" r="Y1401">
        <v>0</v>
      </c>
      <c s="6" r="Z1401">
        <v>0</v>
      </c>
      <c t="s" s="6" r="AA1401">
        <v>92</v>
      </c>
      <c t="s" s="6" r="AB1401">
        <v>92</v>
      </c>
      <c t="s" s="6" r="AC1401">
        <v>92</v>
      </c>
      <c t="s" s="6" r="AD1401">
        <v>92</v>
      </c>
      <c s="6" r="AE1401">
        <v>4</v>
      </c>
      <c t="s" s="6" r="AF1401">
        <v>92</v>
      </c>
      <c t="s" s="6" r="AG1401">
        <v>92</v>
      </c>
      <c t="s" s="6" r="AH1401">
        <v>92</v>
      </c>
      <c t="s" s="6" r="AI1401">
        <v>92</v>
      </c>
      <c t="s" s="6" r="AJ1401">
        <v>92</v>
      </c>
      <c t="s" s="6" r="AK1401">
        <v>92</v>
      </c>
      <c t="s" s="6" r="AL1401">
        <v>92</v>
      </c>
      <c t="s" s="6" r="AM1401">
        <v>92</v>
      </c>
      <c t="s" s="6" r="AN1401">
        <v>92</v>
      </c>
      <c s="6" r="AP1401">
        <v>4</v>
      </c>
      <c t="s" s="6" r="AR1401">
        <v>10030</v>
      </c>
      <c s="6" r="AS1401">
        <v>0</v>
      </c>
      <c s="6" r="AT1401">
        <v>0</v>
      </c>
      <c s="6" r="AU1401">
        <v>0</v>
      </c>
      <c s="6" r="AV1401">
        <v>0</v>
      </c>
      <c s="6" r="AW1401">
        <v>0</v>
      </c>
      <c s="6" r="AX1401">
        <v>0</v>
      </c>
      <c s="6" r="AY1401">
        <v>0</v>
      </c>
      <c s="6" r="AZ1401">
        <v>0</v>
      </c>
      <c s="6" r="BA1401">
        <v>0</v>
      </c>
      <c s="6" r="BB1401">
        <v>0</v>
      </c>
      <c s="6" r="BC1401">
        <v>0</v>
      </c>
      <c s="6" r="BD1401">
        <v>0</v>
      </c>
      <c s="6" r="BE1401">
        <v>0</v>
      </c>
      <c s="6" r="BF1401">
        <v>0</v>
      </c>
      <c s="6" r="BG1401">
        <v>0</v>
      </c>
      <c s="6" r="BH1401">
        <v>0</v>
      </c>
      <c s="6" r="BI1401">
        <v>0</v>
      </c>
      <c s="6" r="BJ1401">
        <v>0</v>
      </c>
      <c s="6" r="BK1401">
        <v>0</v>
      </c>
      <c s="6" r="BL1401">
        <v>0</v>
      </c>
      <c s="6" r="BM1401">
        <v>0</v>
      </c>
      <c s="6" r="BN1401">
        <v>0</v>
      </c>
      <c s="6" r="BO1401">
        <v>0</v>
      </c>
      <c s="6" r="BP1401">
        <v>0</v>
      </c>
      <c s="6" r="BQ1401">
        <v>0</v>
      </c>
      <c t="str" s="6" r="BR1401">
        <f>HYPERLINK("http://www.d20pfsrd.com/magic/all-spells/t/terrain-bond","Terrain Bond")</f>
        <v>Terrain Bond</v>
      </c>
      <c s="6" r="BS1401">
        <v>1424</v>
      </c>
      <c t="s" s="6" r="BT1401">
        <v>92</v>
      </c>
      <c s="6" r="BY1401">
        <v>0</v>
      </c>
    </row>
    <row customHeight="1" r="1402" ht="14.25">
      <c t="s" s="6" r="A1402">
        <v>10031</v>
      </c>
      <c t="s" s="6" r="B1402">
        <v>131</v>
      </c>
      <c t="s" s="6" r="E1402">
        <v>7740</v>
      </c>
      <c t="s" s="6" r="F1402">
        <v>81</v>
      </c>
      <c t="s" s="6" r="G1402">
        <v>10032</v>
      </c>
      <c s="6" r="H1402">
        <v>0</v>
      </c>
      <c t="s" s="6" r="I1402">
        <v>107</v>
      </c>
      <c t="s" s="6" r="L1402">
        <v>9302</v>
      </c>
      <c t="s" s="6" r="M1402">
        <v>109</v>
      </c>
      <c s="6" r="N1402">
        <v>0</v>
      </c>
      <c s="6" r="O1402">
        <v>0</v>
      </c>
      <c t="s" s="6" r="P1402">
        <v>10033</v>
      </c>
      <c t="s" s="6" r="Q1402">
        <v>10034</v>
      </c>
      <c t="s" s="6" r="R1402">
        <v>10035</v>
      </c>
      <c t="s" s="6" r="S1402">
        <v>10036</v>
      </c>
      <c t="s" s="6" r="T1402">
        <v>9149</v>
      </c>
      <c t="s" s="6" r="U1402">
        <v>10037</v>
      </c>
      <c s="6" r="V1402">
        <v>1</v>
      </c>
      <c s="6" r="W1402">
        <v>1</v>
      </c>
      <c s="6" r="X1402">
        <v>1</v>
      </c>
      <c s="6" r="Y1402">
        <v>0</v>
      </c>
      <c s="6" r="Z1402">
        <v>0</v>
      </c>
      <c s="6" r="AA1402">
        <v>2</v>
      </c>
      <c s="6" r="AB1402">
        <v>2</v>
      </c>
      <c t="s" s="6" r="AC1402">
        <v>92</v>
      </c>
      <c t="s" s="6" r="AD1402">
        <v>92</v>
      </c>
      <c t="s" s="6" r="AE1402">
        <v>92</v>
      </c>
      <c s="6" r="AF1402">
        <v>2</v>
      </c>
      <c t="s" s="6" r="AG1402">
        <v>92</v>
      </c>
      <c t="s" s="6" r="AH1402">
        <v>92</v>
      </c>
      <c t="s" s="6" r="AI1402">
        <v>92</v>
      </c>
      <c s="6" r="AJ1402">
        <v>2</v>
      </c>
      <c t="s" s="6" r="AK1402">
        <v>92</v>
      </c>
      <c t="s" s="6" r="AL1402">
        <v>92</v>
      </c>
      <c t="s" s="6" r="AM1402">
        <v>92</v>
      </c>
      <c t="s" s="6" r="AN1402">
        <v>92</v>
      </c>
      <c s="6" r="AP1402">
        <v>2</v>
      </c>
      <c t="s" s="6" r="AR1402">
        <v>10038</v>
      </c>
      <c s="6" r="AS1402">
        <v>0</v>
      </c>
      <c s="6" r="AT1402">
        <v>0</v>
      </c>
      <c s="6" r="AU1402">
        <v>0</v>
      </c>
      <c s="6" r="AV1402">
        <v>0</v>
      </c>
      <c s="6" r="AW1402">
        <v>0</v>
      </c>
      <c s="6" r="AX1402">
        <v>0</v>
      </c>
      <c s="6" r="AY1402">
        <v>0</v>
      </c>
      <c s="6" r="AZ1402">
        <v>0</v>
      </c>
      <c s="6" r="BA1402">
        <v>0</v>
      </c>
      <c s="6" r="BB1402">
        <v>0</v>
      </c>
      <c s="6" r="BC1402">
        <v>0</v>
      </c>
      <c s="6" r="BD1402">
        <v>0</v>
      </c>
      <c s="6" r="BE1402">
        <v>0</v>
      </c>
      <c s="6" r="BF1402">
        <v>0</v>
      </c>
      <c s="6" r="BG1402">
        <v>0</v>
      </c>
      <c s="6" r="BH1402">
        <v>0</v>
      </c>
      <c s="6" r="BI1402">
        <v>0</v>
      </c>
      <c s="6" r="BJ1402">
        <v>0</v>
      </c>
      <c s="6" r="BK1402">
        <v>0</v>
      </c>
      <c s="6" r="BL1402">
        <v>0</v>
      </c>
      <c s="6" r="BM1402">
        <v>0</v>
      </c>
      <c s="6" r="BN1402">
        <v>0</v>
      </c>
      <c s="6" r="BO1402">
        <v>0</v>
      </c>
      <c s="6" r="BP1402">
        <v>0</v>
      </c>
      <c s="6" r="BQ1402">
        <v>0</v>
      </c>
      <c t="str" s="6" r="BR1402">
        <f>HYPERLINK("http://www.d20pfsrd.com/magic/all-spells/t/thunder-fire","Thunder Fire")</f>
        <v>Thunder Fire</v>
      </c>
      <c s="6" r="BS1402">
        <v>1425</v>
      </c>
      <c t="s" s="6" r="BT1402">
        <v>92</v>
      </c>
      <c s="6" r="BY1402">
        <v>0</v>
      </c>
    </row>
    <row customHeight="1" r="1403" ht="14.25">
      <c t="s" s="6" r="A1403">
        <v>10039</v>
      </c>
      <c t="s" s="6" r="B1403">
        <v>174</v>
      </c>
      <c t="s" s="6" r="E1403">
        <v>10040</v>
      </c>
      <c t="s" s="6" r="F1403">
        <v>81</v>
      </c>
      <c t="s" s="6" r="G1403">
        <v>4501</v>
      </c>
      <c s="6" r="H1403">
        <v>0</v>
      </c>
      <c t="s" s="6" r="I1403">
        <v>120</v>
      </c>
      <c t="s" s="6" r="L1403">
        <v>9190</v>
      </c>
      <c t="s" s="6" r="M1403">
        <v>134</v>
      </c>
      <c s="6" r="N1403">
        <v>0</v>
      </c>
      <c s="6" r="O1403">
        <v>0</v>
      </c>
      <c t="s" s="6" r="P1403">
        <v>421</v>
      </c>
      <c t="s" s="6" r="Q1403">
        <v>87</v>
      </c>
      <c t="s" s="6" r="R1403">
        <v>10041</v>
      </c>
      <c t="s" s="6" r="S1403">
        <v>10042</v>
      </c>
      <c t="s" s="6" r="T1403">
        <v>9149</v>
      </c>
      <c t="s" s="6" r="U1403">
        <v>10043</v>
      </c>
      <c s="6" r="V1403">
        <v>1</v>
      </c>
      <c s="6" r="W1403">
        <v>0</v>
      </c>
      <c s="6" r="X1403">
        <v>1</v>
      </c>
      <c s="6" r="Y1403">
        <v>0</v>
      </c>
      <c s="6" r="Z1403">
        <v>1</v>
      </c>
      <c s="6" r="AA1403">
        <v>4</v>
      </c>
      <c s="6" r="AB1403">
        <v>4</v>
      </c>
      <c s="6" r="AC1403">
        <v>5</v>
      </c>
      <c t="s" s="6" r="AD1403">
        <v>92</v>
      </c>
      <c t="s" s="6" r="AE1403">
        <v>92</v>
      </c>
      <c s="6" r="AF1403">
        <v>3</v>
      </c>
      <c t="s" s="6" r="AG1403">
        <v>92</v>
      </c>
      <c s="6" r="AH1403">
        <v>4</v>
      </c>
      <c s="6" r="AI1403">
        <v>4</v>
      </c>
      <c s="6" r="AJ1403">
        <v>4</v>
      </c>
      <c t="s" s="6" r="AK1403">
        <v>92</v>
      </c>
      <c s="6" r="AL1403">
        <v>5</v>
      </c>
      <c t="s" s="6" r="AM1403">
        <v>92</v>
      </c>
      <c t="s" s="6" r="AN1403">
        <v>92</v>
      </c>
      <c s="6" r="AP1403">
        <v>4</v>
      </c>
      <c t="s" s="6" r="AR1403">
        <v>10044</v>
      </c>
      <c s="6" r="AS1403">
        <v>0</v>
      </c>
      <c s="6" r="AT1403">
        <v>0</v>
      </c>
      <c s="6" r="AU1403">
        <v>0</v>
      </c>
      <c s="6" r="AV1403">
        <v>0</v>
      </c>
      <c s="6" r="AW1403">
        <v>0</v>
      </c>
      <c s="6" r="AX1403">
        <v>0</v>
      </c>
      <c s="6" r="AY1403">
        <v>0</v>
      </c>
      <c s="6" r="AZ1403">
        <v>0</v>
      </c>
      <c s="6" r="BA1403">
        <v>0</v>
      </c>
      <c s="6" r="BB1403">
        <v>0</v>
      </c>
      <c s="6" r="BC1403">
        <v>0</v>
      </c>
      <c s="6" r="BD1403">
        <v>0</v>
      </c>
      <c s="6" r="BE1403">
        <v>0</v>
      </c>
      <c s="6" r="BF1403">
        <v>0</v>
      </c>
      <c s="6" r="BG1403">
        <v>0</v>
      </c>
      <c s="6" r="BH1403">
        <v>0</v>
      </c>
      <c s="6" r="BI1403">
        <v>0</v>
      </c>
      <c s="6" r="BJ1403">
        <v>0</v>
      </c>
      <c s="6" r="BK1403">
        <v>0</v>
      </c>
      <c s="6" r="BL1403">
        <v>0</v>
      </c>
      <c s="6" r="BM1403">
        <v>0</v>
      </c>
      <c s="6" r="BN1403">
        <v>0</v>
      </c>
      <c s="6" r="BO1403">
        <v>0</v>
      </c>
      <c s="6" r="BP1403">
        <v>0</v>
      </c>
      <c s="6" r="BQ1403">
        <v>0</v>
      </c>
      <c t="str" s="6" r="BR1403">
        <f>HYPERLINK("http://www.d20pfsrd.com/magic/all-spells/t/tongues#TOC-Tongues-Communal","Tongues, Communal")</f>
        <v>Tongues, Communal</v>
      </c>
      <c s="6" r="BS1403">
        <v>1426</v>
      </c>
      <c t="s" s="6" r="BT1403">
        <v>92</v>
      </c>
      <c s="6" r="BY1403">
        <v>0</v>
      </c>
    </row>
    <row customHeight="1" r="1404" ht="14.25">
      <c t="s" s="6" r="A1404">
        <v>10045</v>
      </c>
      <c t="s" s="6" r="B1404">
        <v>131</v>
      </c>
      <c t="s" s="6" r="E1404">
        <v>10046</v>
      </c>
      <c t="s" s="6" r="F1404">
        <v>81</v>
      </c>
      <c t="s" s="6" r="G1404">
        <v>106</v>
      </c>
      <c s="6" r="H1404">
        <v>0</v>
      </c>
      <c t="s" s="6" r="I1404">
        <v>155</v>
      </c>
      <c t="s" s="6" r="M1404">
        <v>209</v>
      </c>
      <c s="6" r="N1404">
        <v>0</v>
      </c>
      <c s="6" r="O1404">
        <v>0</v>
      </c>
      <c t="s" s="6" r="P1404">
        <v>86</v>
      </c>
      <c t="s" s="6" r="Q1404">
        <v>87</v>
      </c>
      <c t="s" s="6" r="R1404">
        <v>10047</v>
      </c>
      <c t="s" s="6" r="S1404">
        <v>10048</v>
      </c>
      <c t="s" s="6" r="T1404">
        <v>9149</v>
      </c>
      <c t="s" s="6" r="U1404">
        <v>10049</v>
      </c>
      <c s="6" r="V1404">
        <v>1</v>
      </c>
      <c s="6" r="W1404">
        <v>1</v>
      </c>
      <c s="6" r="X1404">
        <v>0</v>
      </c>
      <c s="6" r="Y1404">
        <v>0</v>
      </c>
      <c s="6" r="Z1404">
        <v>0</v>
      </c>
      <c s="6" r="AA1404">
        <v>3</v>
      </c>
      <c s="6" r="AB1404">
        <v>3</v>
      </c>
      <c t="s" s="6" r="AC1404">
        <v>92</v>
      </c>
      <c t="s" s="6" r="AD1404">
        <v>92</v>
      </c>
      <c t="s" s="6" r="AE1404">
        <v>92</v>
      </c>
      <c t="s" s="6" r="AF1404">
        <v>92</v>
      </c>
      <c t="s" s="6" r="AG1404">
        <v>92</v>
      </c>
      <c s="6" r="AH1404">
        <v>2</v>
      </c>
      <c t="s" s="6" r="AI1404">
        <v>92</v>
      </c>
      <c t="s" s="6" r="AJ1404">
        <v>92</v>
      </c>
      <c t="s" s="6" r="AK1404">
        <v>92</v>
      </c>
      <c t="s" s="6" r="AL1404">
        <v>92</v>
      </c>
      <c t="s" s="6" r="AM1404">
        <v>92</v>
      </c>
      <c t="s" s="6" r="AN1404">
        <v>92</v>
      </c>
      <c s="6" r="AP1404">
        <v>3</v>
      </c>
      <c t="s" s="6" r="AR1404">
        <v>10050</v>
      </c>
      <c s="6" r="AS1404">
        <v>0</v>
      </c>
      <c s="6" r="AT1404">
        <v>0</v>
      </c>
      <c s="6" r="AU1404">
        <v>0</v>
      </c>
      <c s="6" r="AV1404">
        <v>0</v>
      </c>
      <c s="6" r="AW1404">
        <v>0</v>
      </c>
      <c s="6" r="AX1404">
        <v>0</v>
      </c>
      <c s="6" r="AY1404">
        <v>0</v>
      </c>
      <c s="6" r="AZ1404">
        <v>0</v>
      </c>
      <c s="6" r="BA1404">
        <v>0</v>
      </c>
      <c s="6" r="BB1404">
        <v>0</v>
      </c>
      <c s="6" r="BC1404">
        <v>0</v>
      </c>
      <c s="6" r="BD1404">
        <v>0</v>
      </c>
      <c s="6" r="BE1404">
        <v>0</v>
      </c>
      <c s="6" r="BF1404">
        <v>0</v>
      </c>
      <c s="6" r="BG1404">
        <v>0</v>
      </c>
      <c s="6" r="BH1404">
        <v>0</v>
      </c>
      <c s="6" r="BI1404">
        <v>0</v>
      </c>
      <c s="6" r="BJ1404">
        <v>0</v>
      </c>
      <c s="6" r="BK1404">
        <v>0</v>
      </c>
      <c s="6" r="BL1404">
        <v>0</v>
      </c>
      <c s="6" r="BM1404">
        <v>0</v>
      </c>
      <c s="6" r="BN1404">
        <v>0</v>
      </c>
      <c s="6" r="BO1404">
        <v>0</v>
      </c>
      <c s="6" r="BP1404">
        <v>0</v>
      </c>
      <c s="6" r="BQ1404">
        <v>0</v>
      </c>
      <c t="str" s="6" r="BR1404">
        <f>HYPERLINK("http://www.d20pfsrd.com/magic/all-spells/t/touch-injection","Touch Injection")</f>
        <v>Touch Injection</v>
      </c>
      <c s="6" r="BS1404">
        <v>1427</v>
      </c>
      <c t="s" s="6" r="BT1404">
        <v>92</v>
      </c>
      <c t="s" s="6" r="BW1404">
        <v>10051</v>
      </c>
      <c s="6" r="BY1404">
        <v>1</v>
      </c>
    </row>
    <row customHeight="1" r="1405" ht="14.25">
      <c t="s" s="6" r="A1405">
        <v>10052</v>
      </c>
      <c t="s" s="6" r="B1405">
        <v>131</v>
      </c>
      <c t="s" s="6" r="E1405">
        <v>10053</v>
      </c>
      <c t="s" s="6" r="F1405">
        <v>81</v>
      </c>
      <c t="s" s="6" r="G1405">
        <v>10054</v>
      </c>
      <c s="6" r="H1405">
        <v>0</v>
      </c>
      <c t="s" s="6" r="I1405">
        <v>107</v>
      </c>
      <c t="s" s="6" r="L1405">
        <v>1235</v>
      </c>
      <c t="s" s="6" r="M1405">
        <v>272</v>
      </c>
      <c s="6" r="N1405">
        <v>0</v>
      </c>
      <c s="6" r="O1405">
        <v>0</v>
      </c>
      <c t="s" s="6" r="P1405">
        <v>221</v>
      </c>
      <c t="s" s="6" r="Q1405">
        <v>188</v>
      </c>
      <c t="s" s="6" r="R1405">
        <v>10055</v>
      </c>
      <c t="s" s="6" r="S1405">
        <v>10056</v>
      </c>
      <c t="s" s="6" r="T1405">
        <v>9149</v>
      </c>
      <c t="s" s="6" r="U1405">
        <v>10057</v>
      </c>
      <c s="6" r="V1405">
        <v>1</v>
      </c>
      <c s="6" r="W1405">
        <v>1</v>
      </c>
      <c s="6" r="X1405">
        <v>1</v>
      </c>
      <c s="6" r="Y1405">
        <v>0</v>
      </c>
      <c s="6" r="Z1405">
        <v>0</v>
      </c>
      <c s="6" r="AA1405">
        <v>2</v>
      </c>
      <c s="6" r="AB1405">
        <v>2</v>
      </c>
      <c t="s" s="6" r="AC1405">
        <v>92</v>
      </c>
      <c t="s" s="6" r="AD1405">
        <v>92</v>
      </c>
      <c t="s" s="6" r="AE1405">
        <v>92</v>
      </c>
      <c t="s" s="6" r="AF1405">
        <v>92</v>
      </c>
      <c t="s" s="6" r="AG1405">
        <v>92</v>
      </c>
      <c t="s" s="6" r="AH1405">
        <v>92</v>
      </c>
      <c s="6" r="AI1405">
        <v>2</v>
      </c>
      <c t="s" s="6" r="AJ1405">
        <v>92</v>
      </c>
      <c t="s" s="6" r="AK1405">
        <v>92</v>
      </c>
      <c t="s" s="6" r="AL1405">
        <v>92</v>
      </c>
      <c t="s" s="6" r="AM1405">
        <v>92</v>
      </c>
      <c s="6" r="AN1405">
        <v>2</v>
      </c>
      <c s="6" r="AP1405">
        <v>2</v>
      </c>
      <c t="s" s="6" r="AR1405">
        <v>10058</v>
      </c>
      <c s="6" r="AS1405">
        <v>0</v>
      </c>
      <c s="6" r="AT1405">
        <v>0</v>
      </c>
      <c s="6" r="AU1405">
        <v>0</v>
      </c>
      <c s="6" r="AV1405">
        <v>0</v>
      </c>
      <c s="6" r="AW1405">
        <v>0</v>
      </c>
      <c s="6" r="AX1405">
        <v>0</v>
      </c>
      <c s="6" r="AY1405">
        <v>0</v>
      </c>
      <c s="6" r="AZ1405">
        <v>0</v>
      </c>
      <c s="6" r="BA1405">
        <v>0</v>
      </c>
      <c s="6" r="BB1405">
        <v>0</v>
      </c>
      <c s="6" r="BC1405">
        <v>0</v>
      </c>
      <c s="6" r="BD1405">
        <v>0</v>
      </c>
      <c s="6" r="BE1405">
        <v>0</v>
      </c>
      <c s="6" r="BF1405">
        <v>0</v>
      </c>
      <c s="6" r="BG1405">
        <v>0</v>
      </c>
      <c s="6" r="BH1405">
        <v>0</v>
      </c>
      <c s="6" r="BI1405">
        <v>0</v>
      </c>
      <c s="6" r="BJ1405">
        <v>0</v>
      </c>
      <c s="6" r="BK1405">
        <v>0</v>
      </c>
      <c s="6" r="BL1405">
        <v>0</v>
      </c>
      <c s="6" r="BM1405">
        <v>0</v>
      </c>
      <c s="6" r="BN1405">
        <v>0</v>
      </c>
      <c s="6" r="BO1405">
        <v>0</v>
      </c>
      <c s="6" r="BP1405">
        <v>0</v>
      </c>
      <c s="6" r="BQ1405">
        <v>0</v>
      </c>
      <c t="str" s="6" r="BR1405">
        <f>HYPERLINK("http://www.d20pfsrd.com/magic/all-spells/t/twisted-space","Twisted Space")</f>
        <v>Twisted Space</v>
      </c>
      <c s="6" r="BS1405">
        <v>1428</v>
      </c>
      <c t="s" s="6" r="BT1405">
        <v>92</v>
      </c>
      <c s="6" r="BY1405">
        <v>0</v>
      </c>
    </row>
    <row customHeight="1" r="1406" ht="14.25">
      <c t="s" s="6" r="A1406">
        <v>10059</v>
      </c>
      <c t="s" s="6" r="B1406">
        <v>131</v>
      </c>
      <c t="s" s="6" r="E1406">
        <v>10060</v>
      </c>
      <c t="s" s="6" r="F1406">
        <v>81</v>
      </c>
      <c t="s" s="6" r="G1406">
        <v>106</v>
      </c>
      <c s="6" r="H1406">
        <v>0</v>
      </c>
      <c t="s" s="6" r="I1406">
        <v>107</v>
      </c>
      <c t="s" s="6" r="L1406">
        <v>10061</v>
      </c>
      <c t="s" s="6" r="M1406">
        <v>99</v>
      </c>
      <c s="6" r="N1406">
        <v>0</v>
      </c>
      <c s="6" r="O1406">
        <v>0</v>
      </c>
      <c t="s" s="6" r="P1406">
        <v>144</v>
      </c>
      <c t="s" s="6" r="Q1406">
        <v>145</v>
      </c>
      <c t="s" s="6" r="R1406">
        <v>10062</v>
      </c>
      <c t="s" s="6" r="S1406">
        <v>10063</v>
      </c>
      <c t="s" s="6" r="T1406">
        <v>9149</v>
      </c>
      <c t="s" s="6" r="U1406">
        <v>10064</v>
      </c>
      <c s="6" r="V1406">
        <v>1</v>
      </c>
      <c s="6" r="W1406">
        <v>1</v>
      </c>
      <c s="6" r="X1406">
        <v>0</v>
      </c>
      <c s="6" r="Y1406">
        <v>0</v>
      </c>
      <c s="6" r="Z1406">
        <v>0</v>
      </c>
      <c s="6" r="AA1406">
        <v>1</v>
      </c>
      <c s="6" r="AB1406">
        <v>1</v>
      </c>
      <c t="s" s="6" r="AC1406">
        <v>92</v>
      </c>
      <c t="s" s="6" r="AD1406">
        <v>92</v>
      </c>
      <c t="s" s="6" r="AE1406">
        <v>92</v>
      </c>
      <c t="s" s="6" r="AF1406">
        <v>92</v>
      </c>
      <c t="s" s="6" r="AG1406">
        <v>92</v>
      </c>
      <c t="s" s="6" r="AH1406">
        <v>92</v>
      </c>
      <c t="s" s="6" r="AI1406">
        <v>92</v>
      </c>
      <c s="6" r="AJ1406">
        <v>1</v>
      </c>
      <c s="6" r="AK1406">
        <v>1</v>
      </c>
      <c t="s" s="6" r="AL1406">
        <v>92</v>
      </c>
      <c t="s" s="6" r="AM1406">
        <v>92</v>
      </c>
      <c s="6" r="AN1406">
        <v>1</v>
      </c>
      <c s="6" r="AP1406">
        <v>1</v>
      </c>
      <c t="s" s="6" r="AR1406">
        <v>10065</v>
      </c>
      <c s="6" r="AS1406">
        <v>0</v>
      </c>
      <c s="6" r="AT1406">
        <v>0</v>
      </c>
      <c s="6" r="AU1406">
        <v>0</v>
      </c>
      <c s="6" r="AV1406">
        <v>0</v>
      </c>
      <c s="6" r="AW1406">
        <v>0</v>
      </c>
      <c s="6" r="AX1406">
        <v>0</v>
      </c>
      <c s="6" r="AY1406">
        <v>0</v>
      </c>
      <c s="6" r="AZ1406">
        <v>0</v>
      </c>
      <c s="6" r="BA1406">
        <v>0</v>
      </c>
      <c s="6" r="BB1406">
        <v>0</v>
      </c>
      <c s="6" r="BC1406">
        <v>0</v>
      </c>
      <c s="6" r="BD1406">
        <v>0</v>
      </c>
      <c s="6" r="BE1406">
        <v>0</v>
      </c>
      <c s="6" r="BF1406">
        <v>0</v>
      </c>
      <c s="6" r="BG1406">
        <v>0</v>
      </c>
      <c s="6" r="BH1406">
        <v>0</v>
      </c>
      <c s="6" r="BI1406">
        <v>0</v>
      </c>
      <c s="6" r="BJ1406">
        <v>0</v>
      </c>
      <c s="6" r="BK1406">
        <v>0</v>
      </c>
      <c s="6" r="BL1406">
        <v>0</v>
      </c>
      <c s="6" r="BM1406">
        <v>0</v>
      </c>
      <c s="6" r="BN1406">
        <v>0</v>
      </c>
      <c s="6" r="BO1406">
        <v>0</v>
      </c>
      <c s="6" r="BP1406">
        <v>0</v>
      </c>
      <c s="6" r="BQ1406">
        <v>0</v>
      </c>
      <c t="str" s="6" r="BR1406">
        <f>HYPERLINK("http://www.d20pfsrd.com/magic/all-spells/u/unerring-weapon","Unerring Weapon")</f>
        <v>Unerring Weapon</v>
      </c>
      <c s="6" r="BS1406">
        <v>1429</v>
      </c>
      <c t="s" s="6" r="BT1406">
        <v>92</v>
      </c>
      <c s="6" r="BY1406">
        <v>0</v>
      </c>
    </row>
    <row customHeight="1" r="1407" ht="14.25">
      <c t="s" s="6" r="A1407">
        <v>10066</v>
      </c>
      <c t="s" s="6" r="B1407">
        <v>78</v>
      </c>
      <c t="s" s="6" r="C1407">
        <v>79</v>
      </c>
      <c t="s" s="6" r="E1407">
        <v>6805</v>
      </c>
      <c t="s" s="6" r="F1407">
        <v>81</v>
      </c>
      <c t="s" s="6" r="G1407">
        <v>106</v>
      </c>
      <c s="6" r="H1407">
        <v>0</v>
      </c>
      <c t="s" s="6" r="I1407">
        <v>155</v>
      </c>
      <c t="s" s="6" r="L1407">
        <v>156</v>
      </c>
      <c t="s" s="6" r="M1407">
        <v>99</v>
      </c>
      <c s="6" r="N1407">
        <v>0</v>
      </c>
      <c s="6" r="O1407">
        <v>0</v>
      </c>
      <c t="s" s="6" r="R1407">
        <v>10067</v>
      </c>
      <c t="s" s="6" r="S1407">
        <v>10068</v>
      </c>
      <c t="s" s="6" r="T1407">
        <v>9149</v>
      </c>
      <c t="s" s="6" r="U1407">
        <v>10069</v>
      </c>
      <c s="6" r="V1407">
        <v>1</v>
      </c>
      <c s="6" r="W1407">
        <v>1</v>
      </c>
      <c s="6" r="X1407">
        <v>0</v>
      </c>
      <c s="6" r="Y1407">
        <v>0</v>
      </c>
      <c s="6" r="Z1407">
        <v>0</v>
      </c>
      <c t="s" s="6" r="AA1407">
        <v>92</v>
      </c>
      <c t="s" s="6" r="AB1407">
        <v>92</v>
      </c>
      <c t="s" s="6" r="AC1407">
        <v>92</v>
      </c>
      <c t="s" s="6" r="AD1407">
        <v>92</v>
      </c>
      <c t="s" s="6" r="AE1407">
        <v>92</v>
      </c>
      <c t="s" s="6" r="AF1407">
        <v>92</v>
      </c>
      <c t="s" s="6" r="AG1407">
        <v>92</v>
      </c>
      <c s="6" r="AH1407">
        <v>4</v>
      </c>
      <c t="s" s="6" r="AI1407">
        <v>92</v>
      </c>
      <c t="s" s="6" r="AJ1407">
        <v>92</v>
      </c>
      <c t="s" s="6" r="AK1407">
        <v>92</v>
      </c>
      <c t="s" s="6" r="AL1407">
        <v>92</v>
      </c>
      <c t="s" s="6" r="AM1407">
        <v>92</v>
      </c>
      <c t="s" s="6" r="AN1407">
        <v>92</v>
      </c>
      <c s="6" r="AP1407">
        <v>4</v>
      </c>
      <c t="s" s="6" r="AR1407">
        <v>10070</v>
      </c>
      <c s="6" r="AS1407">
        <v>0</v>
      </c>
      <c s="6" r="AT1407">
        <v>0</v>
      </c>
      <c s="6" r="AU1407">
        <v>0</v>
      </c>
      <c s="6" r="AV1407">
        <v>0</v>
      </c>
      <c s="6" r="AW1407">
        <v>0</v>
      </c>
      <c s="6" r="AX1407">
        <v>0</v>
      </c>
      <c s="6" r="AY1407">
        <v>0</v>
      </c>
      <c s="6" r="AZ1407">
        <v>0</v>
      </c>
      <c s="6" r="BA1407">
        <v>0</v>
      </c>
      <c s="6" r="BB1407">
        <v>0</v>
      </c>
      <c s="6" r="BC1407">
        <v>0</v>
      </c>
      <c s="6" r="BD1407">
        <v>0</v>
      </c>
      <c s="6" r="BE1407">
        <v>0</v>
      </c>
      <c s="6" r="BF1407">
        <v>0</v>
      </c>
      <c s="6" r="BG1407">
        <v>0</v>
      </c>
      <c s="6" r="BH1407">
        <v>0</v>
      </c>
      <c s="6" r="BI1407">
        <v>0</v>
      </c>
      <c s="6" r="BJ1407">
        <v>0</v>
      </c>
      <c s="6" r="BK1407">
        <v>0</v>
      </c>
      <c s="6" r="BL1407">
        <v>0</v>
      </c>
      <c s="6" r="BM1407">
        <v>0</v>
      </c>
      <c s="6" r="BN1407">
        <v>0</v>
      </c>
      <c s="6" r="BO1407">
        <v>0</v>
      </c>
      <c s="6" r="BP1407">
        <v>0</v>
      </c>
      <c s="6" r="BQ1407">
        <v>0</v>
      </c>
      <c t="str" s="6" r="BR1407">
        <f>HYPERLINK("http://www.d20pfsrd.com/magic/all-spells/v/viper-bomb-admixture","Viper Bomb Admixture")</f>
        <v>Viper Bomb Admixture</v>
      </c>
      <c s="6" r="BS1407">
        <v>1430</v>
      </c>
      <c t="s" s="6" r="BT1407">
        <v>92</v>
      </c>
      <c s="6" r="BY1407">
        <v>0</v>
      </c>
    </row>
    <row customHeight="1" r="1408" ht="14.25">
      <c t="s" s="6" r="A1408">
        <v>10071</v>
      </c>
      <c t="s" s="6" r="B1408">
        <v>78</v>
      </c>
      <c t="s" s="6" r="C1408">
        <v>1356</v>
      </c>
      <c t="s" s="6" r="E1408">
        <v>10072</v>
      </c>
      <c t="s" s="6" r="F1408">
        <v>9437</v>
      </c>
      <c t="s" s="6" r="G1408">
        <v>10073</v>
      </c>
      <c s="6" r="H1408">
        <v>0</v>
      </c>
      <c t="s" s="6" r="I1408">
        <v>155</v>
      </c>
      <c t="s" s="6" r="L1408">
        <v>156</v>
      </c>
      <c t="s" s="6" r="M1408">
        <v>99</v>
      </c>
      <c s="6" r="N1408">
        <v>0</v>
      </c>
      <c s="6" r="O1408">
        <v>0</v>
      </c>
      <c t="s" s="6" r="R1408">
        <v>10074</v>
      </c>
      <c t="s" s="6" r="S1408">
        <v>10075</v>
      </c>
      <c t="s" s="6" r="T1408">
        <v>9149</v>
      </c>
      <c t="s" s="6" r="U1408">
        <v>10076</v>
      </c>
      <c s="6" r="V1408">
        <v>1</v>
      </c>
      <c s="6" r="W1408">
        <v>1</v>
      </c>
      <c s="6" r="X1408">
        <v>1</v>
      </c>
      <c s="6" r="Y1408">
        <v>0</v>
      </c>
      <c s="6" r="Z1408">
        <v>0</v>
      </c>
      <c s="6" r="AA1408">
        <v>7</v>
      </c>
      <c s="6" r="AB1408">
        <v>7</v>
      </c>
      <c t="s" s="6" r="AC1408">
        <v>92</v>
      </c>
      <c t="s" s="6" r="AD1408">
        <v>92</v>
      </c>
      <c t="s" s="6" r="AE1408">
        <v>92</v>
      </c>
      <c t="s" s="6" r="AF1408">
        <v>92</v>
      </c>
      <c t="s" s="6" r="AG1408">
        <v>92</v>
      </c>
      <c s="6" r="AH1408">
        <v>6</v>
      </c>
      <c s="6" r="AI1408">
        <v>6</v>
      </c>
      <c s="6" r="AJ1408">
        <v>7</v>
      </c>
      <c t="s" s="6" r="AK1408">
        <v>92</v>
      </c>
      <c t="s" s="6" r="AL1408">
        <v>92</v>
      </c>
      <c t="s" s="6" r="AM1408">
        <v>92</v>
      </c>
      <c s="6" r="AN1408">
        <v>6</v>
      </c>
      <c s="6" r="AP1408">
        <v>7</v>
      </c>
      <c t="s" s="6" r="AR1408">
        <v>10077</v>
      </c>
      <c s="6" r="AS1408">
        <v>0</v>
      </c>
      <c s="6" r="AT1408">
        <v>0</v>
      </c>
      <c s="6" r="AU1408">
        <v>0</v>
      </c>
      <c s="6" r="AV1408">
        <v>0</v>
      </c>
      <c s="6" r="AW1408">
        <v>0</v>
      </c>
      <c s="6" r="AX1408">
        <v>0</v>
      </c>
      <c s="6" r="AY1408">
        <v>0</v>
      </c>
      <c s="6" r="AZ1408">
        <v>0</v>
      </c>
      <c s="6" r="BA1408">
        <v>0</v>
      </c>
      <c s="6" r="BB1408">
        <v>0</v>
      </c>
      <c s="6" r="BC1408">
        <v>0</v>
      </c>
      <c s="6" r="BD1408">
        <v>0</v>
      </c>
      <c s="6" r="BE1408">
        <v>0</v>
      </c>
      <c s="6" r="BF1408">
        <v>0</v>
      </c>
      <c s="6" r="BG1408">
        <v>0</v>
      </c>
      <c s="6" r="BH1408">
        <v>0</v>
      </c>
      <c s="6" r="BI1408">
        <v>0</v>
      </c>
      <c s="6" r="BJ1408">
        <v>0</v>
      </c>
      <c s="6" r="BK1408">
        <v>0</v>
      </c>
      <c s="6" r="BL1408">
        <v>0</v>
      </c>
      <c s="6" r="BM1408">
        <v>0</v>
      </c>
      <c s="6" r="BN1408">
        <v>0</v>
      </c>
      <c s="6" r="BO1408">
        <v>0</v>
      </c>
      <c s="6" r="BP1408">
        <v>0</v>
      </c>
      <c s="6" r="BQ1408">
        <v>0</v>
      </c>
      <c t="str" s="6" r="BR1408">
        <f>HYPERLINK("http://www.d20pfsrd.com/magic/all-spells/w/walk-through-space","Walk through Space")</f>
        <v>Walk through Space</v>
      </c>
      <c s="6" r="BS1408">
        <v>1431</v>
      </c>
      <c t="s" s="6" r="BT1408">
        <v>92</v>
      </c>
      <c t="s" s="6" r="BW1408">
        <v>10078</v>
      </c>
      <c s="6" r="BY1408">
        <v>1</v>
      </c>
    </row>
    <row customHeight="1" r="1409" ht="14.25">
      <c t="s" s="6" r="A1409">
        <v>10079</v>
      </c>
      <c t="s" s="6" r="B1409">
        <v>162</v>
      </c>
      <c t="s" s="6" r="E1409">
        <v>10080</v>
      </c>
      <c t="s" s="6" r="F1409">
        <v>81</v>
      </c>
      <c t="s" s="6" r="G1409">
        <v>10081</v>
      </c>
      <c s="6" r="H1409">
        <v>0</v>
      </c>
      <c t="s" s="6" r="I1409">
        <v>155</v>
      </c>
      <c t="s" s="6" r="L1409">
        <v>156</v>
      </c>
      <c t="s" s="6" r="M1409">
        <v>99</v>
      </c>
      <c s="6" r="N1409">
        <v>0</v>
      </c>
      <c s="6" r="O1409">
        <v>0</v>
      </c>
      <c t="s" s="6" r="R1409">
        <v>10082</v>
      </c>
      <c t="s" s="6" r="S1409">
        <v>10083</v>
      </c>
      <c t="s" s="6" r="T1409">
        <v>9149</v>
      </c>
      <c t="s" s="6" r="U1409">
        <v>10084</v>
      </c>
      <c s="6" r="V1409">
        <v>1</v>
      </c>
      <c s="6" r="W1409">
        <v>1</v>
      </c>
      <c s="6" r="X1409">
        <v>0</v>
      </c>
      <c s="6" r="Y1409">
        <v>0</v>
      </c>
      <c s="6" r="Z1409">
        <v>0</v>
      </c>
      <c s="6" r="AA1409">
        <v>2</v>
      </c>
      <c s="6" r="AB1409">
        <v>2</v>
      </c>
      <c t="s" s="6" r="AC1409">
        <v>92</v>
      </c>
      <c t="s" s="6" r="AD1409">
        <v>92</v>
      </c>
      <c t="s" s="6" r="AE1409">
        <v>92</v>
      </c>
      <c t="s" s="6" r="AF1409">
        <v>92</v>
      </c>
      <c t="s" s="6" r="AG1409">
        <v>92</v>
      </c>
      <c t="s" s="6" r="AH1409">
        <v>92</v>
      </c>
      <c s="6" r="AI1409">
        <v>2</v>
      </c>
      <c t="s" s="6" r="AJ1409">
        <v>92</v>
      </c>
      <c t="s" s="6" r="AK1409">
        <v>92</v>
      </c>
      <c t="s" s="6" r="AL1409">
        <v>92</v>
      </c>
      <c t="s" s="6" r="AM1409">
        <v>92</v>
      </c>
      <c s="6" r="AN1409">
        <v>1</v>
      </c>
      <c s="6" r="AP1409">
        <v>2</v>
      </c>
      <c t="s" s="6" r="AR1409">
        <v>10085</v>
      </c>
      <c s="6" r="AS1409">
        <v>0</v>
      </c>
      <c s="6" r="AT1409">
        <v>0</v>
      </c>
      <c s="6" r="AU1409">
        <v>0</v>
      </c>
      <c s="6" r="AV1409">
        <v>0</v>
      </c>
      <c s="6" r="AW1409">
        <v>0</v>
      </c>
      <c s="6" r="AX1409">
        <v>0</v>
      </c>
      <c s="6" r="AY1409">
        <v>0</v>
      </c>
      <c s="6" r="AZ1409">
        <v>0</v>
      </c>
      <c s="6" r="BA1409">
        <v>0</v>
      </c>
      <c s="6" r="BB1409">
        <v>0</v>
      </c>
      <c s="6" r="BC1409">
        <v>0</v>
      </c>
      <c s="6" r="BD1409">
        <v>0</v>
      </c>
      <c s="6" r="BE1409">
        <v>0</v>
      </c>
      <c s="6" r="BF1409">
        <v>0</v>
      </c>
      <c s="6" r="BG1409">
        <v>0</v>
      </c>
      <c s="6" r="BH1409">
        <v>0</v>
      </c>
      <c s="6" r="BI1409">
        <v>0</v>
      </c>
      <c s="6" r="BJ1409">
        <v>0</v>
      </c>
      <c s="6" r="BK1409">
        <v>0</v>
      </c>
      <c s="6" r="BL1409">
        <v>0</v>
      </c>
      <c s="6" r="BM1409">
        <v>0</v>
      </c>
      <c s="6" r="BN1409">
        <v>0</v>
      </c>
      <c s="6" r="BO1409">
        <v>0</v>
      </c>
      <c s="6" r="BP1409">
        <v>0</v>
      </c>
      <c s="6" r="BQ1409">
        <v>0</v>
      </c>
      <c t="str" s="6" r="BR1409">
        <f>HYPERLINK("http://www.d20pfsrd.com/magic/all-spells/w/warding-weapon","Warding Weapon")</f>
        <v>Warding Weapon</v>
      </c>
      <c s="6" r="BS1409">
        <v>1432</v>
      </c>
      <c t="s" s="6" r="BT1409">
        <v>92</v>
      </c>
      <c s="6" r="BY1409">
        <v>0</v>
      </c>
    </row>
    <row customHeight="1" r="1410" ht="14.25">
      <c t="s" s="6" r="A1410">
        <v>10086</v>
      </c>
      <c t="s" s="6" r="B1410">
        <v>131</v>
      </c>
      <c t="s" s="6" r="D1410">
        <v>68</v>
      </c>
      <c t="s" s="6" r="E1410">
        <v>10087</v>
      </c>
      <c t="s" s="6" r="F1410">
        <v>81</v>
      </c>
      <c t="s" s="6" r="G1410">
        <v>119</v>
      </c>
      <c s="6" r="H1410">
        <v>0</v>
      </c>
      <c t="s" s="6" r="I1410">
        <v>120</v>
      </c>
      <c t="s" s="6" r="L1410">
        <v>9190</v>
      </c>
      <c t="s" s="6" r="M1410">
        <v>283</v>
      </c>
      <c s="6" r="N1410">
        <v>1</v>
      </c>
      <c s="6" r="O1410">
        <v>0</v>
      </c>
      <c t="s" s="6" r="P1410">
        <v>421</v>
      </c>
      <c t="s" s="6" r="Q1410">
        <v>123</v>
      </c>
      <c t="s" s="6" r="R1410">
        <v>10088</v>
      </c>
      <c t="s" s="6" r="S1410">
        <v>10089</v>
      </c>
      <c t="s" s="6" r="T1410">
        <v>9149</v>
      </c>
      <c t="s" s="6" r="U1410">
        <v>10090</v>
      </c>
      <c s="6" r="V1410">
        <v>1</v>
      </c>
      <c s="6" r="W1410">
        <v>1</v>
      </c>
      <c s="6" r="X1410">
        <v>0</v>
      </c>
      <c s="6" r="Y1410">
        <v>0</v>
      </c>
      <c s="6" r="Z1410">
        <v>1</v>
      </c>
      <c t="s" s="6" r="AA1410">
        <v>92</v>
      </c>
      <c t="s" s="6" r="AB1410">
        <v>92</v>
      </c>
      <c s="6" r="AC1410">
        <v>4</v>
      </c>
      <c t="s" s="6" r="AD1410">
        <v>92</v>
      </c>
      <c s="6" r="AE1410">
        <v>4</v>
      </c>
      <c t="s" s="6" r="AF1410">
        <v>92</v>
      </c>
      <c t="s" s="6" r="AG1410">
        <v>92</v>
      </c>
      <c t="s" s="6" r="AH1410">
        <v>92</v>
      </c>
      <c t="s" s="6" r="AI1410">
        <v>92</v>
      </c>
      <c t="s" s="6" r="AJ1410">
        <v>92</v>
      </c>
      <c t="s" s="6" r="AK1410">
        <v>92</v>
      </c>
      <c s="6" r="AL1410">
        <v>4</v>
      </c>
      <c t="s" s="6" r="AM1410">
        <v>92</v>
      </c>
      <c t="s" s="6" r="AN1410">
        <v>92</v>
      </c>
      <c s="6" r="AP1410">
        <v>4</v>
      </c>
      <c t="s" s="6" r="AR1410">
        <v>10091</v>
      </c>
      <c s="6" r="AS1410">
        <v>0</v>
      </c>
      <c s="6" r="AT1410">
        <v>0</v>
      </c>
      <c s="6" r="AU1410">
        <v>0</v>
      </c>
      <c s="6" r="AV1410">
        <v>0</v>
      </c>
      <c s="6" r="AW1410">
        <v>0</v>
      </c>
      <c s="6" r="AX1410">
        <v>0</v>
      </c>
      <c s="6" r="AY1410">
        <v>0</v>
      </c>
      <c s="6" r="AZ1410">
        <v>0</v>
      </c>
      <c s="6" r="BA1410">
        <v>0</v>
      </c>
      <c s="6" r="BB1410">
        <v>0</v>
      </c>
      <c s="6" r="BC1410">
        <v>0</v>
      </c>
      <c s="6" r="BD1410">
        <v>0</v>
      </c>
      <c s="6" r="BE1410">
        <v>0</v>
      </c>
      <c s="6" r="BF1410">
        <v>0</v>
      </c>
      <c s="6" r="BG1410">
        <v>0</v>
      </c>
      <c s="6" r="BH1410">
        <v>0</v>
      </c>
      <c s="6" r="BI1410">
        <v>0</v>
      </c>
      <c s="6" r="BJ1410">
        <v>0</v>
      </c>
      <c s="6" r="BK1410">
        <v>0</v>
      </c>
      <c s="6" r="BL1410">
        <v>0</v>
      </c>
      <c s="6" r="BM1410">
        <v>0</v>
      </c>
      <c s="6" r="BN1410">
        <v>0</v>
      </c>
      <c s="6" r="BO1410">
        <v>0</v>
      </c>
      <c s="6" r="BP1410">
        <v>0</v>
      </c>
      <c s="6" r="BQ1410">
        <v>1</v>
      </c>
      <c t="str" s="6" r="BR1410">
        <f>HYPERLINK("http://www.d20pfsrd.com/magic/all-spells/w/water-walk#TOC-Water-Walk-Communal","Water Walk, Communal")</f>
        <v>Water Walk, Communal</v>
      </c>
      <c s="6" r="BS1410">
        <v>1433</v>
      </c>
      <c t="s" s="6" r="BT1410">
        <v>92</v>
      </c>
      <c s="6" r="BY1410">
        <v>0</v>
      </c>
    </row>
    <row customHeight="1" r="1411" ht="14.25">
      <c t="s" s="6" r="A1411">
        <v>10092</v>
      </c>
      <c t="s" s="6" r="B1411">
        <v>131</v>
      </c>
      <c t="s" s="6" r="E1411">
        <v>9300</v>
      </c>
      <c t="s" s="6" r="F1411">
        <v>81</v>
      </c>
      <c t="s" s="6" r="G1411">
        <v>10093</v>
      </c>
      <c s="6" r="H1411">
        <v>0</v>
      </c>
      <c t="s" s="6" r="I1411">
        <v>107</v>
      </c>
      <c t="s" s="6" r="L1411">
        <v>9302</v>
      </c>
      <c t="s" s="6" r="M1411">
        <v>109</v>
      </c>
      <c s="6" r="N1411">
        <v>0</v>
      </c>
      <c s="6" r="O1411">
        <v>0</v>
      </c>
      <c t="s" s="6" r="P1411">
        <v>535</v>
      </c>
      <c t="s" s="6" r="Q1411">
        <v>536</v>
      </c>
      <c t="s" s="6" r="R1411">
        <v>10094</v>
      </c>
      <c t="s" s="6" r="S1411">
        <v>10095</v>
      </c>
      <c t="s" s="6" r="T1411">
        <v>9149</v>
      </c>
      <c t="s" s="6" r="U1411">
        <v>10096</v>
      </c>
      <c s="6" r="V1411">
        <v>1</v>
      </c>
      <c s="6" r="W1411">
        <v>1</v>
      </c>
      <c s="6" r="X1411">
        <v>1</v>
      </c>
      <c s="6" r="Y1411">
        <v>0</v>
      </c>
      <c s="6" r="Z1411">
        <v>1</v>
      </c>
      <c s="6" r="AA1411">
        <v>1</v>
      </c>
      <c s="6" r="AB1411">
        <v>1</v>
      </c>
      <c t="s" s="6" r="AC1411">
        <v>92</v>
      </c>
      <c s="6" r="AD1411">
        <v>1</v>
      </c>
      <c t="s" s="6" r="AE1411">
        <v>92</v>
      </c>
      <c t="s" s="6" r="AF1411">
        <v>92</v>
      </c>
      <c t="s" s="6" r="AG1411">
        <v>92</v>
      </c>
      <c t="s" s="6" r="AH1411">
        <v>92</v>
      </c>
      <c t="s" s="6" r="AI1411">
        <v>92</v>
      </c>
      <c s="6" r="AJ1411">
        <v>1</v>
      </c>
      <c t="s" s="6" r="AK1411">
        <v>92</v>
      </c>
      <c t="s" s="6" r="AL1411">
        <v>92</v>
      </c>
      <c t="s" s="6" r="AM1411">
        <v>92</v>
      </c>
      <c t="s" s="6" r="AN1411">
        <v>92</v>
      </c>
      <c s="6" r="AP1411">
        <v>1</v>
      </c>
      <c t="s" s="6" r="AR1411">
        <v>10097</v>
      </c>
      <c s="6" r="AS1411">
        <v>0</v>
      </c>
      <c s="6" r="AT1411">
        <v>0</v>
      </c>
      <c s="6" r="AU1411">
        <v>0</v>
      </c>
      <c s="6" r="AV1411">
        <v>0</v>
      </c>
      <c s="6" r="AW1411">
        <v>0</v>
      </c>
      <c s="6" r="AX1411">
        <v>0</v>
      </c>
      <c s="6" r="AY1411">
        <v>0</v>
      </c>
      <c s="6" r="AZ1411">
        <v>0</v>
      </c>
      <c s="6" r="BA1411">
        <v>0</v>
      </c>
      <c s="6" r="BB1411">
        <v>0</v>
      </c>
      <c s="6" r="BC1411">
        <v>0</v>
      </c>
      <c s="6" r="BD1411">
        <v>0</v>
      </c>
      <c s="6" r="BE1411">
        <v>0</v>
      </c>
      <c s="6" r="BF1411">
        <v>0</v>
      </c>
      <c s="6" r="BG1411">
        <v>0</v>
      </c>
      <c s="6" r="BH1411">
        <v>0</v>
      </c>
      <c s="6" r="BI1411">
        <v>0</v>
      </c>
      <c s="6" r="BJ1411">
        <v>0</v>
      </c>
      <c s="6" r="BK1411">
        <v>0</v>
      </c>
      <c s="6" r="BL1411">
        <v>0</v>
      </c>
      <c s="6" r="BM1411">
        <v>0</v>
      </c>
      <c s="6" r="BN1411">
        <v>0</v>
      </c>
      <c s="6" r="BO1411">
        <v>0</v>
      </c>
      <c s="6" r="BP1411">
        <v>0</v>
      </c>
      <c s="6" r="BQ1411">
        <v>0</v>
      </c>
      <c t="str" s="6" r="BR1411">
        <f>HYPERLINK("http://www.d20pfsrd.com/magic/all-spells/w/weaken-powder","Weaken Powder")</f>
        <v>Weaken Powder</v>
      </c>
      <c s="6" r="BS1411">
        <v>1434</v>
      </c>
      <c t="s" s="6" r="BT1411">
        <v>92</v>
      </c>
      <c s="6" r="BY1411">
        <v>0</v>
      </c>
    </row>
    <row customHeight="1" r="1412" ht="14.25">
      <c t="s" s="6" r="A1412">
        <v>10098</v>
      </c>
      <c t="s" s="6" r="B1412">
        <v>131</v>
      </c>
      <c t="s" s="6" r="E1412">
        <v>4295</v>
      </c>
      <c t="s" s="6" r="F1412">
        <v>81</v>
      </c>
      <c t="s" s="6" r="G1412">
        <v>106</v>
      </c>
      <c s="6" r="H1412">
        <v>0</v>
      </c>
      <c t="s" s="6" r="I1412">
        <v>1052</v>
      </c>
      <c t="s" s="6" r="J1412">
        <v>10099</v>
      </c>
      <c t="s" s="6" r="M1412">
        <v>99</v>
      </c>
      <c s="6" r="N1412">
        <v>0</v>
      </c>
      <c s="6" r="O1412">
        <v>0</v>
      </c>
      <c t="s" s="6" r="P1412">
        <v>86</v>
      </c>
      <c t="s" s="6" r="Q1412">
        <v>87</v>
      </c>
      <c t="s" s="6" r="R1412">
        <v>10100</v>
      </c>
      <c t="s" s="6" r="S1412">
        <v>10101</v>
      </c>
      <c t="s" s="6" r="T1412">
        <v>9149</v>
      </c>
      <c t="s" s="6" r="U1412">
        <v>10102</v>
      </c>
      <c s="6" r="V1412">
        <v>1</v>
      </c>
      <c s="6" r="W1412">
        <v>1</v>
      </c>
      <c s="6" r="X1412">
        <v>0</v>
      </c>
      <c s="6" r="Y1412">
        <v>0</v>
      </c>
      <c s="6" r="Z1412">
        <v>0</v>
      </c>
      <c t="s" s="6" r="AA1412">
        <v>92</v>
      </c>
      <c t="s" s="6" r="AB1412">
        <v>92</v>
      </c>
      <c t="s" s="6" r="AC1412">
        <v>92</v>
      </c>
      <c s="6" r="AD1412">
        <v>2</v>
      </c>
      <c s="6" r="AE1412">
        <v>2</v>
      </c>
      <c t="s" s="6" r="AF1412">
        <v>92</v>
      </c>
      <c t="s" s="6" r="AG1412">
        <v>92</v>
      </c>
      <c t="s" s="6" r="AH1412">
        <v>92</v>
      </c>
      <c t="s" s="6" r="AI1412">
        <v>92</v>
      </c>
      <c t="s" s="6" r="AJ1412">
        <v>92</v>
      </c>
      <c t="s" s="6" r="AK1412">
        <v>92</v>
      </c>
      <c t="s" s="6" r="AL1412">
        <v>92</v>
      </c>
      <c t="s" s="6" r="AM1412">
        <v>92</v>
      </c>
      <c t="s" s="6" r="AN1412">
        <v>92</v>
      </c>
      <c s="6" r="AP1412">
        <v>2</v>
      </c>
      <c t="s" s="6" r="AR1412">
        <v>10103</v>
      </c>
      <c s="6" r="AS1412">
        <v>0</v>
      </c>
      <c s="6" r="AT1412">
        <v>0</v>
      </c>
      <c s="6" r="AU1412">
        <v>0</v>
      </c>
      <c s="6" r="AV1412">
        <v>0</v>
      </c>
      <c s="6" r="AW1412">
        <v>0</v>
      </c>
      <c s="6" r="AX1412">
        <v>0</v>
      </c>
      <c s="6" r="AY1412">
        <v>0</v>
      </c>
      <c s="6" r="AZ1412">
        <v>0</v>
      </c>
      <c s="6" r="BA1412">
        <v>0</v>
      </c>
      <c s="6" r="BB1412">
        <v>0</v>
      </c>
      <c s="6" r="BC1412">
        <v>0</v>
      </c>
      <c s="6" r="BD1412">
        <v>0</v>
      </c>
      <c s="6" r="BE1412">
        <v>0</v>
      </c>
      <c s="6" r="BF1412">
        <v>0</v>
      </c>
      <c s="6" r="BG1412">
        <v>0</v>
      </c>
      <c s="6" r="BH1412">
        <v>0</v>
      </c>
      <c s="6" r="BI1412">
        <v>0</v>
      </c>
      <c s="6" r="BJ1412">
        <v>0</v>
      </c>
      <c s="6" r="BK1412">
        <v>0</v>
      </c>
      <c s="6" r="BL1412">
        <v>0</v>
      </c>
      <c s="6" r="BM1412">
        <v>0</v>
      </c>
      <c s="6" r="BN1412">
        <v>0</v>
      </c>
      <c s="6" r="BO1412">
        <v>0</v>
      </c>
      <c s="6" r="BP1412">
        <v>0</v>
      </c>
      <c s="6" r="BQ1412">
        <v>0</v>
      </c>
      <c t="str" s="6" r="BR1412">
        <f>HYPERLINK("http://www.d20pfsrd.com/magic/all-spells/w/wilderness-soldiers","Wilderness Soldiers")</f>
        <v>Wilderness Soldiers</v>
      </c>
      <c s="6" r="BS1412">
        <v>1435</v>
      </c>
      <c t="s" s="6" r="BT1412">
        <v>92</v>
      </c>
      <c s="6" r="BY1412">
        <v>0</v>
      </c>
    </row>
    <row customHeight="1" r="1413" ht="14.25">
      <c t="s" s="6" r="A1413">
        <v>10104</v>
      </c>
      <c t="s" s="6" r="B1413">
        <v>162</v>
      </c>
      <c t="s" s="6" r="E1413">
        <v>10105</v>
      </c>
      <c t="s" s="6" r="F1413">
        <v>81</v>
      </c>
      <c t="s" s="6" r="G1413">
        <v>10106</v>
      </c>
      <c s="6" r="H1413">
        <v>1</v>
      </c>
      <c t="s" s="6" r="I1413">
        <v>155</v>
      </c>
      <c t="s" s="6" r="J1413">
        <v>10107</v>
      </c>
      <c t="s" s="6" r="L1413">
        <v>156</v>
      </c>
      <c t="s" s="6" r="M1413">
        <v>99</v>
      </c>
      <c s="6" r="N1413">
        <v>0</v>
      </c>
      <c s="6" r="O1413">
        <v>0</v>
      </c>
      <c t="s" s="6" r="P1413">
        <v>10108</v>
      </c>
      <c t="s" s="6" r="Q1413">
        <v>10109</v>
      </c>
      <c t="s" s="6" r="R1413">
        <v>10110</v>
      </c>
      <c t="s" s="6" r="S1413">
        <v>10111</v>
      </c>
      <c t="s" s="6" r="T1413">
        <v>9149</v>
      </c>
      <c t="s" s="6" r="U1413">
        <v>10112</v>
      </c>
      <c s="6" r="V1413">
        <v>1</v>
      </c>
      <c s="6" r="W1413">
        <v>1</v>
      </c>
      <c s="6" r="X1413">
        <v>0</v>
      </c>
      <c s="6" r="Y1413">
        <v>0</v>
      </c>
      <c s="6" r="Z1413">
        <v>0</v>
      </c>
      <c s="6" r="AA1413">
        <v>5</v>
      </c>
      <c s="6" r="AB1413">
        <v>5</v>
      </c>
      <c t="s" s="6" r="AC1413">
        <v>92</v>
      </c>
      <c t="s" s="6" r="AD1413">
        <v>92</v>
      </c>
      <c t="s" s="6" r="AE1413">
        <v>92</v>
      </c>
      <c t="s" s="6" r="AF1413">
        <v>92</v>
      </c>
      <c t="s" s="6" r="AG1413">
        <v>92</v>
      </c>
      <c t="s" s="6" r="AH1413">
        <v>92</v>
      </c>
      <c s="6" r="AI1413">
        <v>5</v>
      </c>
      <c s="6" r="AJ1413">
        <v>5</v>
      </c>
      <c t="s" s="6" r="AK1413">
        <v>92</v>
      </c>
      <c t="s" s="6" r="AL1413">
        <v>92</v>
      </c>
      <c t="s" s="6" r="AM1413">
        <v>92</v>
      </c>
      <c s="6" r="AN1413">
        <v>4</v>
      </c>
      <c s="6" r="AP1413">
        <v>5</v>
      </c>
      <c t="s" s="6" r="AR1413">
        <v>10113</v>
      </c>
      <c s="6" r="AS1413">
        <v>0</v>
      </c>
      <c s="6" r="AT1413">
        <v>0</v>
      </c>
      <c s="6" r="AU1413">
        <v>0</v>
      </c>
      <c s="6" r="AV1413">
        <v>0</v>
      </c>
      <c s="6" r="AW1413">
        <v>0</v>
      </c>
      <c s="6" r="AX1413">
        <v>0</v>
      </c>
      <c s="6" r="AY1413">
        <v>0</v>
      </c>
      <c s="6" r="AZ1413">
        <v>0</v>
      </c>
      <c s="6" r="BA1413">
        <v>0</v>
      </c>
      <c s="6" r="BB1413">
        <v>0</v>
      </c>
      <c s="6" r="BC1413">
        <v>0</v>
      </c>
      <c s="6" r="BD1413">
        <v>0</v>
      </c>
      <c s="6" r="BE1413">
        <v>0</v>
      </c>
      <c s="6" r="BF1413">
        <v>0</v>
      </c>
      <c s="6" r="BG1413">
        <v>0</v>
      </c>
      <c s="6" r="BH1413">
        <v>0</v>
      </c>
      <c s="6" r="BI1413">
        <v>0</v>
      </c>
      <c s="6" r="BJ1413">
        <v>0</v>
      </c>
      <c s="6" r="BK1413">
        <v>0</v>
      </c>
      <c s="6" r="BL1413">
        <v>0</v>
      </c>
      <c s="6" r="BM1413">
        <v>0</v>
      </c>
      <c s="6" r="BN1413">
        <v>0</v>
      </c>
      <c s="6" r="BO1413">
        <v>0</v>
      </c>
      <c s="6" r="BP1413">
        <v>0</v>
      </c>
      <c s="6" r="BQ1413">
        <v>0</v>
      </c>
      <c t="str" s="6" r="BR1413">
        <f>HYPERLINK("http://www.d20pfsrd.com/magic/all-spells/w/wreath-of-blades","Wreath of Blades")</f>
        <v>Wreath of Blades</v>
      </c>
      <c s="6" r="BS1413">
        <v>1436</v>
      </c>
      <c s="6" r="BT1413">
        <v>502</v>
      </c>
      <c s="6" r="BY1413">
        <v>0</v>
      </c>
    </row>
    <row customHeight="1" r="1414" ht="14.25">
      <c t="s" s="6" r="A1414">
        <v>10114</v>
      </c>
      <c t="s" s="6" r="B1414">
        <v>131</v>
      </c>
      <c t="s" s="6" r="C1414">
        <v>152</v>
      </c>
      <c t="s" s="6" r="E1414">
        <v>10115</v>
      </c>
      <c t="s" s="6" r="F1414">
        <v>81</v>
      </c>
      <c t="s" s="6" r="G1414">
        <v>119</v>
      </c>
      <c s="6" r="H1414">
        <v>0</v>
      </c>
      <c t="s" s="6" r="I1414">
        <v>155</v>
      </c>
      <c t="s" s="6" r="L1414">
        <v>156</v>
      </c>
      <c t="s" s="6" r="M1414">
        <v>2718</v>
      </c>
      <c s="6" r="N1414">
        <v>0</v>
      </c>
      <c s="6" r="O1414">
        <v>0</v>
      </c>
      <c t="s" s="6" r="R1414">
        <v>10116</v>
      </c>
      <c t="s" s="6" r="S1414">
        <v>10117</v>
      </c>
      <c t="s" s="6" r="T1414">
        <v>10118</v>
      </c>
      <c t="s" s="6" r="U1414">
        <v>10119</v>
      </c>
      <c s="6" r="V1414">
        <v>1</v>
      </c>
      <c s="6" r="W1414">
        <v>1</v>
      </c>
      <c s="6" r="X1414">
        <v>0</v>
      </c>
      <c s="6" r="Y1414">
        <v>0</v>
      </c>
      <c s="6" r="Z1414">
        <v>1</v>
      </c>
      <c t="s" s="6" r="AA1414">
        <v>92</v>
      </c>
      <c t="s" s="6" r="AB1414">
        <v>92</v>
      </c>
      <c s="6" r="AC1414">
        <v>1</v>
      </c>
      <c s="6" r="AD1414">
        <v>1</v>
      </c>
      <c s="6" r="AE1414">
        <v>1</v>
      </c>
      <c s="6" r="AF1414">
        <v>1</v>
      </c>
      <c s="6" r="AG1414">
        <v>1</v>
      </c>
      <c t="s" s="6" r="AH1414">
        <v>92</v>
      </c>
      <c t="s" s="6" r="AI1414">
        <v>92</v>
      </c>
      <c t="s" s="6" r="AJ1414">
        <v>92</v>
      </c>
      <c t="s" s="6" r="AK1414">
        <v>92</v>
      </c>
      <c s="6" r="AL1414">
        <v>1</v>
      </c>
      <c t="s" s="6" r="AM1414">
        <v>92</v>
      </c>
      <c t="s" s="6" r="AN1414">
        <v>92</v>
      </c>
      <c t="s" s="6" r="AO1414">
        <v>7102</v>
      </c>
      <c s="6" r="AP1414">
        <v>1</v>
      </c>
      <c s="6" r="AS1414">
        <v>0</v>
      </c>
      <c s="6" r="AT1414">
        <v>0</v>
      </c>
      <c s="6" r="AU1414">
        <v>0</v>
      </c>
      <c s="6" r="AV1414">
        <v>0</v>
      </c>
      <c s="6" r="AW1414">
        <v>0</v>
      </c>
      <c s="6" r="AX1414">
        <v>0</v>
      </c>
      <c s="6" r="AY1414">
        <v>0</v>
      </c>
      <c s="6" r="AZ1414">
        <v>0</v>
      </c>
      <c s="6" r="BA1414">
        <v>0</v>
      </c>
      <c s="6" r="BB1414">
        <v>0</v>
      </c>
      <c s="6" r="BC1414">
        <v>0</v>
      </c>
      <c s="6" r="BD1414">
        <v>0</v>
      </c>
      <c s="6" r="BE1414">
        <v>0</v>
      </c>
      <c s="6" r="BF1414">
        <v>0</v>
      </c>
      <c s="6" r="BG1414">
        <v>0</v>
      </c>
      <c s="6" r="BH1414">
        <v>0</v>
      </c>
      <c s="6" r="BI1414">
        <v>0</v>
      </c>
      <c s="6" r="BJ1414">
        <v>0</v>
      </c>
      <c s="6" r="BK1414">
        <v>0</v>
      </c>
      <c s="6" r="BL1414">
        <v>0</v>
      </c>
      <c s="6" r="BM1414">
        <v>0</v>
      </c>
      <c s="6" r="BN1414">
        <v>0</v>
      </c>
      <c s="6" r="BO1414">
        <v>0</v>
      </c>
      <c s="6" r="BP1414">
        <v>0</v>
      </c>
      <c s="6" r="BQ1414">
        <v>0</v>
      </c>
      <c t="s" s="6" r="BR1414">
        <v>92</v>
      </c>
      <c s="6" r="BS1414">
        <v>1437</v>
      </c>
      <c t="s" s="6" r="BT1414">
        <v>92</v>
      </c>
      <c s="6" r="BY1414">
        <v>0</v>
      </c>
    </row>
    <row customHeight="1" r="1415" ht="14.25">
      <c t="s" s="6" r="A1415">
        <v>10120</v>
      </c>
      <c t="s" s="6" r="B1415">
        <v>227</v>
      </c>
      <c t="s" s="6" r="D1415">
        <v>55</v>
      </c>
      <c t="s" s="6" r="E1415">
        <v>10121</v>
      </c>
      <c t="s" s="6" r="F1415">
        <v>272</v>
      </c>
      <c t="s" s="6" r="G1415">
        <v>106</v>
      </c>
      <c s="6" r="H1415">
        <v>0</v>
      </c>
      <c t="s" s="6" r="I1415">
        <v>107</v>
      </c>
      <c t="s" s="6" r="L1415">
        <v>1235</v>
      </c>
      <c t="s" s="6" r="M1415">
        <v>483</v>
      </c>
      <c s="6" r="N1415">
        <v>1</v>
      </c>
      <c s="6" r="O1415">
        <v>0</v>
      </c>
      <c t="s" s="6" r="P1415">
        <v>221</v>
      </c>
      <c t="s" s="6" r="Q1415">
        <v>188</v>
      </c>
      <c t="s" s="6" r="R1415">
        <v>10122</v>
      </c>
      <c t="s" s="6" r="S1415">
        <v>10123</v>
      </c>
      <c t="s" s="6" r="T1415">
        <v>10124</v>
      </c>
      <c t="s" s="6" r="U1415">
        <v>10125</v>
      </c>
      <c s="6" r="V1415">
        <v>1</v>
      </c>
      <c s="6" r="W1415">
        <v>1</v>
      </c>
      <c s="6" r="X1415">
        <v>0</v>
      </c>
      <c s="6" r="Y1415">
        <v>0</v>
      </c>
      <c s="6" r="Z1415">
        <v>0</v>
      </c>
      <c t="s" s="6" r="AA1415">
        <v>92</v>
      </c>
      <c t="s" s="6" r="AB1415">
        <v>92</v>
      </c>
      <c s="6" r="AC1415">
        <v>2</v>
      </c>
      <c t="s" s="6" r="AD1415">
        <v>92</v>
      </c>
      <c t="s" s="6" r="AE1415">
        <v>92</v>
      </c>
      <c t="s" s="6" r="AF1415">
        <v>92</v>
      </c>
      <c t="s" s="6" r="AG1415">
        <v>92</v>
      </c>
      <c t="s" s="6" r="AH1415">
        <v>92</v>
      </c>
      <c s="6" r="AI1415">
        <v>3</v>
      </c>
      <c s="6" r="AJ1415">
        <v>2</v>
      </c>
      <c t="s" s="6" r="AK1415">
        <v>92</v>
      </c>
      <c s="6" r="AL1415">
        <v>2</v>
      </c>
      <c s="6" r="AM1415">
        <v>3</v>
      </c>
      <c t="s" s="6" r="AN1415">
        <v>92</v>
      </c>
      <c t="s" s="6" r="AO1415">
        <v>4987</v>
      </c>
      <c s="6" r="AP1415">
        <v>2</v>
      </c>
      <c s="6" r="AS1415">
        <v>0</v>
      </c>
      <c s="6" r="AT1415">
        <v>0</v>
      </c>
      <c s="6" r="AU1415">
        <v>0</v>
      </c>
      <c s="6" r="AV1415">
        <v>0</v>
      </c>
      <c s="6" r="AW1415">
        <v>0</v>
      </c>
      <c s="6" r="AX1415">
        <v>0</v>
      </c>
      <c s="6" r="AY1415">
        <v>0</v>
      </c>
      <c s="6" r="AZ1415">
        <v>0</v>
      </c>
      <c s="6" r="BA1415">
        <v>0</v>
      </c>
      <c s="6" r="BB1415">
        <v>0</v>
      </c>
      <c s="6" r="BC1415">
        <v>0</v>
      </c>
      <c s="6" r="BD1415">
        <v>1</v>
      </c>
      <c s="6" r="BE1415">
        <v>0</v>
      </c>
      <c s="6" r="BF1415">
        <v>0</v>
      </c>
      <c s="6" r="BG1415">
        <v>0</v>
      </c>
      <c s="6" r="BH1415">
        <v>0</v>
      </c>
      <c s="6" r="BI1415">
        <v>0</v>
      </c>
      <c s="6" r="BJ1415">
        <v>0</v>
      </c>
      <c s="6" r="BK1415">
        <v>0</v>
      </c>
      <c s="6" r="BL1415">
        <v>0</v>
      </c>
      <c s="6" r="BM1415">
        <v>0</v>
      </c>
      <c s="6" r="BN1415">
        <v>0</v>
      </c>
      <c s="6" r="BO1415">
        <v>0</v>
      </c>
      <c s="6" r="BP1415">
        <v>0</v>
      </c>
      <c s="6" r="BQ1415">
        <v>0</v>
      </c>
      <c t="s" s="6" r="BR1415">
        <v>92</v>
      </c>
      <c s="6" r="BS1415">
        <v>1438</v>
      </c>
      <c t="s" s="6" r="BT1415">
        <v>92</v>
      </c>
      <c s="6" r="BY1415">
        <v>0</v>
      </c>
    </row>
    <row customHeight="1" r="1416" ht="14.25">
      <c t="s" s="6" r="A1416">
        <v>10126</v>
      </c>
      <c t="s" s="6" r="B1416">
        <v>131</v>
      </c>
      <c t="s" s="6" r="C1416">
        <v>152</v>
      </c>
      <c t="s" s="6" r="E1416">
        <v>10127</v>
      </c>
      <c t="s" s="6" r="F1416">
        <v>197</v>
      </c>
      <c t="s" s="6" r="G1416">
        <v>106</v>
      </c>
      <c s="6" r="H1416">
        <v>0</v>
      </c>
      <c t="s" s="6" r="I1416">
        <v>120</v>
      </c>
      <c t="s" s="6" r="L1416">
        <v>420</v>
      </c>
      <c t="s" s="6" r="M1416">
        <v>209</v>
      </c>
      <c s="6" r="N1416">
        <v>0</v>
      </c>
      <c s="6" r="O1416">
        <v>0</v>
      </c>
      <c t="s" s="6" r="P1416">
        <v>221</v>
      </c>
      <c t="s" s="6" r="Q1416">
        <v>188</v>
      </c>
      <c t="s" s="6" r="R1416">
        <v>10128</v>
      </c>
      <c t="s" s="6" r="S1416">
        <v>10129</v>
      </c>
      <c t="s" s="6" r="T1416">
        <v>10124</v>
      </c>
      <c t="s" s="6" r="U1416">
        <v>10130</v>
      </c>
      <c s="6" r="V1416">
        <v>1</v>
      </c>
      <c s="6" r="W1416">
        <v>1</v>
      </c>
      <c s="6" r="X1416">
        <v>0</v>
      </c>
      <c s="6" r="Y1416">
        <v>0</v>
      </c>
      <c s="6" r="Z1416">
        <v>0</v>
      </c>
      <c s="6" r="AA1416">
        <v>3</v>
      </c>
      <c s="6" r="AB1416">
        <v>3</v>
      </c>
      <c s="6" r="AC1416">
        <v>3</v>
      </c>
      <c t="s" s="6" r="AD1416">
        <v>92</v>
      </c>
      <c t="s" s="6" r="AE1416">
        <v>92</v>
      </c>
      <c t="s" s="6" r="AF1416">
        <v>92</v>
      </c>
      <c t="s" s="6" r="AG1416">
        <v>92</v>
      </c>
      <c t="s" s="6" r="AH1416">
        <v>92</v>
      </c>
      <c t="s" s="6" r="AI1416">
        <v>92</v>
      </c>
      <c s="6" r="AJ1416">
        <v>4</v>
      </c>
      <c t="s" s="6" r="AK1416">
        <v>92</v>
      </c>
      <c s="6" r="AL1416">
        <v>3</v>
      </c>
      <c t="s" s="6" r="AM1416">
        <v>92</v>
      </c>
      <c t="s" s="6" r="AN1416">
        <v>92</v>
      </c>
      <c t="s" s="6" r="AO1416">
        <v>10131</v>
      </c>
      <c s="6" r="AP1416">
        <v>3</v>
      </c>
      <c s="6" r="AS1416">
        <v>0</v>
      </c>
      <c s="6" r="AT1416">
        <v>0</v>
      </c>
      <c s="6" r="AU1416">
        <v>0</v>
      </c>
      <c s="6" r="AV1416">
        <v>0</v>
      </c>
      <c s="6" r="AW1416">
        <v>0</v>
      </c>
      <c s="6" r="AX1416">
        <v>0</v>
      </c>
      <c s="6" r="AY1416">
        <v>0</v>
      </c>
      <c s="6" r="AZ1416">
        <v>0</v>
      </c>
      <c s="6" r="BA1416">
        <v>0</v>
      </c>
      <c s="6" r="BB1416">
        <v>0</v>
      </c>
      <c s="6" r="BC1416">
        <v>0</v>
      </c>
      <c s="6" r="BD1416">
        <v>0</v>
      </c>
      <c s="6" r="BE1416">
        <v>0</v>
      </c>
      <c s="6" r="BF1416">
        <v>0</v>
      </c>
      <c s="6" r="BG1416">
        <v>0</v>
      </c>
      <c s="6" r="BH1416">
        <v>0</v>
      </c>
      <c s="6" r="BI1416">
        <v>0</v>
      </c>
      <c s="6" r="BJ1416">
        <v>0</v>
      </c>
      <c s="6" r="BK1416">
        <v>0</v>
      </c>
      <c s="6" r="BL1416">
        <v>0</v>
      </c>
      <c s="6" r="BM1416">
        <v>0</v>
      </c>
      <c s="6" r="BN1416">
        <v>0</v>
      </c>
      <c s="6" r="BO1416">
        <v>0</v>
      </c>
      <c s="6" r="BP1416">
        <v>0</v>
      </c>
      <c s="6" r="BQ1416">
        <v>0</v>
      </c>
      <c t="s" s="6" r="BR1416">
        <v>92</v>
      </c>
      <c s="6" r="BS1416">
        <v>1439</v>
      </c>
      <c t="s" s="6" r="BT1416">
        <v>92</v>
      </c>
      <c s="6" r="BY1416">
        <v>0</v>
      </c>
    </row>
    <row customHeight="1" r="1417" ht="14.25">
      <c t="s" s="6" r="A1417">
        <v>10132</v>
      </c>
      <c t="s" s="6" r="B1417">
        <v>579</v>
      </c>
      <c t="s" s="6" r="E1417">
        <v>10133</v>
      </c>
      <c t="s" s="6" r="F1417">
        <v>81</v>
      </c>
      <c t="s" s="6" r="G1417">
        <v>106</v>
      </c>
      <c s="6" r="H1417">
        <v>0</v>
      </c>
      <c t="s" s="6" r="I1417">
        <v>107</v>
      </c>
      <c t="s" s="6" r="L1417">
        <v>2925</v>
      </c>
      <c t="s" s="6" r="M1417">
        <v>711</v>
      </c>
      <c s="6" r="N1417">
        <v>1</v>
      </c>
      <c s="6" r="O1417">
        <v>0</v>
      </c>
      <c t="s" s="6" r="P1417">
        <v>421</v>
      </c>
      <c t="s" s="6" r="Q1417">
        <v>188</v>
      </c>
      <c t="s" s="6" r="R1417">
        <v>10134</v>
      </c>
      <c t="s" s="6" r="S1417">
        <v>10135</v>
      </c>
      <c t="s" s="6" r="T1417">
        <v>10124</v>
      </c>
      <c t="s" s="6" r="U1417">
        <v>10136</v>
      </c>
      <c s="6" r="V1417">
        <v>1</v>
      </c>
      <c s="6" r="W1417">
        <v>1</v>
      </c>
      <c s="6" r="X1417">
        <v>0</v>
      </c>
      <c s="6" r="Y1417">
        <v>0</v>
      </c>
      <c s="6" r="Z1417">
        <v>0</v>
      </c>
      <c s="6" r="AA1417">
        <v>1</v>
      </c>
      <c s="6" r="AB1417">
        <v>1</v>
      </c>
      <c t="s" s="6" r="AC1417">
        <v>92</v>
      </c>
      <c t="s" s="6" r="AD1417">
        <v>92</v>
      </c>
      <c s="6" r="AE1417">
        <v>1</v>
      </c>
      <c t="s" s="6" r="AF1417">
        <v>92</v>
      </c>
      <c t="s" s="6" r="AG1417">
        <v>92</v>
      </c>
      <c t="s" s="6" r="AH1417">
        <v>92</v>
      </c>
      <c t="s" s="6" r="AI1417">
        <v>92</v>
      </c>
      <c t="s" s="6" r="AJ1417">
        <v>92</v>
      </c>
      <c t="s" s="6" r="AK1417">
        <v>92</v>
      </c>
      <c t="s" s="6" r="AL1417">
        <v>92</v>
      </c>
      <c s="6" r="AM1417">
        <v>2</v>
      </c>
      <c t="s" s="6" r="AN1417">
        <v>92</v>
      </c>
      <c t="s" s="6" r="AO1417">
        <v>10137</v>
      </c>
      <c s="6" r="AP1417">
        <v>1</v>
      </c>
      <c s="6" r="AS1417">
        <v>0</v>
      </c>
      <c s="6" r="AT1417">
        <v>0</v>
      </c>
      <c s="6" r="AU1417">
        <v>0</v>
      </c>
      <c s="6" r="AV1417">
        <v>0</v>
      </c>
      <c s="6" r="AW1417">
        <v>0</v>
      </c>
      <c s="6" r="AX1417">
        <v>0</v>
      </c>
      <c s="6" r="AY1417">
        <v>0</v>
      </c>
      <c s="6" r="AZ1417">
        <v>0</v>
      </c>
      <c s="6" r="BA1417">
        <v>0</v>
      </c>
      <c s="6" r="BB1417">
        <v>0</v>
      </c>
      <c s="6" r="BC1417">
        <v>0</v>
      </c>
      <c s="6" r="BD1417">
        <v>0</v>
      </c>
      <c s="6" r="BE1417">
        <v>0</v>
      </c>
      <c s="6" r="BF1417">
        <v>0</v>
      </c>
      <c s="6" r="BG1417">
        <v>0</v>
      </c>
      <c s="6" r="BH1417">
        <v>0</v>
      </c>
      <c s="6" r="BI1417">
        <v>0</v>
      </c>
      <c s="6" r="BJ1417">
        <v>0</v>
      </c>
      <c s="6" r="BK1417">
        <v>0</v>
      </c>
      <c s="6" r="BL1417">
        <v>0</v>
      </c>
      <c s="6" r="BM1417">
        <v>0</v>
      </c>
      <c s="6" r="BN1417">
        <v>0</v>
      </c>
      <c s="6" r="BO1417">
        <v>0</v>
      </c>
      <c s="6" r="BP1417">
        <v>0</v>
      </c>
      <c s="6" r="BQ1417">
        <v>0</v>
      </c>
      <c t="s" s="6" r="BR1417">
        <v>92</v>
      </c>
      <c s="6" r="BS1417">
        <v>1440</v>
      </c>
      <c t="s" s="6" r="BT1417">
        <v>92</v>
      </c>
      <c s="6" r="BY1417">
        <v>0</v>
      </c>
    </row>
    <row customHeight="1" r="1418" ht="14.25">
      <c t="s" s="6" r="A1418">
        <v>10138</v>
      </c>
      <c t="s" s="6" r="B1418">
        <v>493</v>
      </c>
      <c t="s" s="6" r="E1418">
        <v>10139</v>
      </c>
      <c t="s" s="6" r="F1418">
        <v>81</v>
      </c>
      <c t="s" s="6" r="G1418">
        <v>106</v>
      </c>
      <c s="6" r="H1418">
        <v>0</v>
      </c>
      <c t="s" s="6" r="I1418">
        <v>107</v>
      </c>
      <c t="s" s="6" r="K1418">
        <v>10140</v>
      </c>
      <c t="s" s="6" r="M1418">
        <v>9908</v>
      </c>
      <c s="6" r="N1418">
        <v>1</v>
      </c>
      <c s="6" r="O1418">
        <v>0</v>
      </c>
      <c t="s" s="6" r="P1418">
        <v>631</v>
      </c>
      <c t="s" s="6" r="Q1418">
        <v>188</v>
      </c>
      <c t="s" s="6" r="R1418">
        <v>10141</v>
      </c>
      <c t="s" s="6" r="S1418">
        <v>10142</v>
      </c>
      <c t="s" s="6" r="T1418">
        <v>10124</v>
      </c>
      <c t="s" s="6" r="U1418">
        <v>10143</v>
      </c>
      <c s="6" r="V1418">
        <v>1</v>
      </c>
      <c s="6" r="W1418">
        <v>1</v>
      </c>
      <c s="6" r="X1418">
        <v>0</v>
      </c>
      <c s="6" r="Y1418">
        <v>0</v>
      </c>
      <c s="6" r="Z1418">
        <v>0</v>
      </c>
      <c s="6" r="AA1418">
        <v>3</v>
      </c>
      <c s="6" r="AB1418">
        <v>3</v>
      </c>
      <c t="s" s="6" r="AC1418">
        <v>92</v>
      </c>
      <c t="s" s="6" r="AD1418">
        <v>92</v>
      </c>
      <c s="6" r="AE1418">
        <v>4</v>
      </c>
      <c t="s" s="6" r="AF1418">
        <v>92</v>
      </c>
      <c t="s" s="6" r="AG1418">
        <v>92</v>
      </c>
      <c t="s" s="6" r="AH1418">
        <v>92</v>
      </c>
      <c t="s" s="6" r="AI1418">
        <v>92</v>
      </c>
      <c t="s" s="6" r="AJ1418">
        <v>92</v>
      </c>
      <c s="6" r="AK1418">
        <v>3</v>
      </c>
      <c t="s" s="6" r="AL1418">
        <v>92</v>
      </c>
      <c s="6" r="AM1418">
        <v>4</v>
      </c>
      <c t="s" s="6" r="AN1418">
        <v>92</v>
      </c>
      <c t="s" s="6" r="AO1418">
        <v>10137</v>
      </c>
      <c s="6" r="AP1418">
        <v>3</v>
      </c>
      <c s="6" r="AS1418">
        <v>0</v>
      </c>
      <c s="6" r="AT1418">
        <v>0</v>
      </c>
      <c s="6" r="AU1418">
        <v>0</v>
      </c>
      <c s="6" r="AV1418">
        <v>0</v>
      </c>
      <c s="6" r="AW1418">
        <v>0</v>
      </c>
      <c s="6" r="AX1418">
        <v>0</v>
      </c>
      <c s="6" r="AY1418">
        <v>0</v>
      </c>
      <c s="6" r="AZ1418">
        <v>0</v>
      </c>
      <c s="6" r="BA1418">
        <v>0</v>
      </c>
      <c s="6" r="BB1418">
        <v>0</v>
      </c>
      <c s="6" r="BC1418">
        <v>0</v>
      </c>
      <c s="6" r="BD1418">
        <v>0</v>
      </c>
      <c s="6" r="BE1418">
        <v>0</v>
      </c>
      <c s="6" r="BF1418">
        <v>0</v>
      </c>
      <c s="6" r="BG1418">
        <v>0</v>
      </c>
      <c s="6" r="BH1418">
        <v>0</v>
      </c>
      <c s="6" r="BI1418">
        <v>0</v>
      </c>
      <c s="6" r="BJ1418">
        <v>0</v>
      </c>
      <c s="6" r="BK1418">
        <v>0</v>
      </c>
      <c s="6" r="BL1418">
        <v>0</v>
      </c>
      <c s="6" r="BM1418">
        <v>0</v>
      </c>
      <c s="6" r="BN1418">
        <v>0</v>
      </c>
      <c s="6" r="BO1418">
        <v>0</v>
      </c>
      <c s="6" r="BP1418">
        <v>0</v>
      </c>
      <c s="6" r="BQ1418">
        <v>0</v>
      </c>
      <c t="s" s="6" r="BR1418">
        <v>92</v>
      </c>
      <c s="6" r="BS1418">
        <v>1441</v>
      </c>
      <c t="s" s="6" r="BT1418">
        <v>92</v>
      </c>
      <c s="6" r="BY1418">
        <v>0</v>
      </c>
    </row>
    <row customHeight="1" r="1419" ht="14.25">
      <c t="s" s="6" r="A1419">
        <v>10144</v>
      </c>
      <c t="s" s="6" r="B1419">
        <v>131</v>
      </c>
      <c t="s" s="6" r="E1419">
        <v>10145</v>
      </c>
      <c t="s" s="6" r="F1419">
        <v>81</v>
      </c>
      <c t="s" s="6" r="G1419">
        <v>106</v>
      </c>
      <c s="6" r="H1419">
        <v>0</v>
      </c>
      <c t="s" s="6" r="I1419">
        <v>107</v>
      </c>
      <c t="s" s="6" r="J1419">
        <v>10146</v>
      </c>
      <c t="s" s="6" r="M1419">
        <v>99</v>
      </c>
      <c s="6" r="N1419">
        <v>0</v>
      </c>
      <c s="6" r="O1419">
        <v>0</v>
      </c>
      <c t="s" s="6" r="P1419">
        <v>535</v>
      </c>
      <c t="s" s="6" r="Q1419">
        <v>188</v>
      </c>
      <c t="s" s="6" r="R1419">
        <v>10147</v>
      </c>
      <c t="s" s="6" r="S1419">
        <v>10148</v>
      </c>
      <c t="s" s="6" r="T1419">
        <v>10124</v>
      </c>
      <c t="s" s="6" r="U1419">
        <v>10149</v>
      </c>
      <c s="6" r="V1419">
        <v>1</v>
      </c>
      <c s="6" r="W1419">
        <v>1</v>
      </c>
      <c s="6" r="X1419">
        <v>0</v>
      </c>
      <c s="6" r="Y1419">
        <v>0</v>
      </c>
      <c s="6" r="Z1419">
        <v>0</v>
      </c>
      <c s="6" r="AA1419">
        <v>2</v>
      </c>
      <c s="6" r="AB1419">
        <v>2</v>
      </c>
      <c s="6" r="AC1419">
        <v>2</v>
      </c>
      <c s="6" r="AD1419">
        <v>2</v>
      </c>
      <c t="s" s="6" r="AE1419">
        <v>92</v>
      </c>
      <c t="s" s="6" r="AF1419">
        <v>92</v>
      </c>
      <c t="s" s="6" r="AG1419">
        <v>92</v>
      </c>
      <c t="s" s="6" r="AH1419">
        <v>92</v>
      </c>
      <c t="s" s="6" r="AI1419">
        <v>92</v>
      </c>
      <c t="s" s="6" r="AJ1419">
        <v>92</v>
      </c>
      <c s="6" r="AK1419">
        <v>2</v>
      </c>
      <c s="6" r="AL1419">
        <v>2</v>
      </c>
      <c s="6" r="AM1419">
        <v>2</v>
      </c>
      <c t="s" s="6" r="AN1419">
        <v>92</v>
      </c>
      <c t="s" s="6" r="AO1419">
        <v>10150</v>
      </c>
      <c s="6" r="AP1419">
        <v>2</v>
      </c>
      <c s="6" r="AS1419">
        <v>0</v>
      </c>
      <c s="6" r="AT1419">
        <v>0</v>
      </c>
      <c s="6" r="AU1419">
        <v>0</v>
      </c>
      <c s="6" r="AV1419">
        <v>0</v>
      </c>
      <c s="6" r="AW1419">
        <v>0</v>
      </c>
      <c s="6" r="AX1419">
        <v>0</v>
      </c>
      <c s="6" r="AY1419">
        <v>0</v>
      </c>
      <c s="6" r="AZ1419">
        <v>0</v>
      </c>
      <c s="6" r="BA1419">
        <v>0</v>
      </c>
      <c s="6" r="BB1419">
        <v>0</v>
      </c>
      <c s="6" r="BC1419">
        <v>0</v>
      </c>
      <c s="6" r="BD1419">
        <v>0</v>
      </c>
      <c s="6" r="BE1419">
        <v>0</v>
      </c>
      <c s="6" r="BF1419">
        <v>0</v>
      </c>
      <c s="6" r="BG1419">
        <v>0</v>
      </c>
      <c s="6" r="BH1419">
        <v>0</v>
      </c>
      <c s="6" r="BI1419">
        <v>0</v>
      </c>
      <c s="6" r="BJ1419">
        <v>0</v>
      </c>
      <c s="6" r="BK1419">
        <v>0</v>
      </c>
      <c s="6" r="BL1419">
        <v>0</v>
      </c>
      <c s="6" r="BM1419">
        <v>0</v>
      </c>
      <c s="6" r="BN1419">
        <v>0</v>
      </c>
      <c s="6" r="BO1419">
        <v>0</v>
      </c>
      <c s="6" r="BP1419">
        <v>0</v>
      </c>
      <c s="6" r="BQ1419">
        <v>0</v>
      </c>
      <c t="s" s="6" r="BR1419">
        <v>92</v>
      </c>
      <c s="6" r="BS1419">
        <v>1442</v>
      </c>
      <c t="s" s="6" r="BT1419">
        <v>92</v>
      </c>
      <c s="6" r="BY1419">
        <v>0</v>
      </c>
    </row>
    <row customHeight="1" r="1420" ht="14.25">
      <c t="s" s="6" r="A1420">
        <v>10151</v>
      </c>
      <c t="s" s="6" r="B1420">
        <v>227</v>
      </c>
      <c t="s" s="6" r="C1420">
        <v>152</v>
      </c>
      <c t="s" s="6" r="D1420">
        <v>55</v>
      </c>
      <c t="s" s="6" r="E1420">
        <v>10152</v>
      </c>
      <c t="s" s="6" r="F1420">
        <v>272</v>
      </c>
      <c t="s" s="6" r="G1420">
        <v>106</v>
      </c>
      <c s="6" r="H1420">
        <v>0</v>
      </c>
      <c t="s" s="6" r="I1420">
        <v>120</v>
      </c>
      <c t="s" s="6" r="L1420">
        <v>1235</v>
      </c>
      <c t="s" s="6" r="M1420">
        <v>2718</v>
      </c>
      <c s="6" r="N1420">
        <v>0</v>
      </c>
      <c s="6" r="O1420">
        <v>0</v>
      </c>
      <c t="s" s="6" r="P1420">
        <v>221</v>
      </c>
      <c t="s" s="6" r="Q1420">
        <v>188</v>
      </c>
      <c t="s" s="6" r="R1420">
        <v>10153</v>
      </c>
      <c t="s" s="6" r="S1420">
        <v>10154</v>
      </c>
      <c t="s" s="6" r="T1420">
        <v>10124</v>
      </c>
      <c t="s" s="6" r="U1420">
        <v>10155</v>
      </c>
      <c s="6" r="V1420">
        <v>1</v>
      </c>
      <c s="6" r="W1420">
        <v>1</v>
      </c>
      <c s="6" r="X1420">
        <v>0</v>
      </c>
      <c s="6" r="Y1420">
        <v>0</v>
      </c>
      <c s="6" r="Z1420">
        <v>0</v>
      </c>
      <c s="6" r="AA1420">
        <v>3</v>
      </c>
      <c s="6" r="AB1420">
        <v>3</v>
      </c>
      <c s="6" r="AC1420">
        <v>3</v>
      </c>
      <c s="6" r="AD1420">
        <v>3</v>
      </c>
      <c t="s" s="6" r="AE1420">
        <v>92</v>
      </c>
      <c t="s" s="6" r="AF1420">
        <v>92</v>
      </c>
      <c t="s" s="6" r="AG1420">
        <v>92</v>
      </c>
      <c t="s" s="6" r="AH1420">
        <v>92</v>
      </c>
      <c t="s" s="6" r="AI1420">
        <v>92</v>
      </c>
      <c s="6" r="AJ1420">
        <v>3</v>
      </c>
      <c t="s" s="6" r="AK1420">
        <v>92</v>
      </c>
      <c s="6" r="AL1420">
        <v>3</v>
      </c>
      <c s="6" r="AM1420">
        <v>3</v>
      </c>
      <c t="s" s="6" r="AN1420">
        <v>92</v>
      </c>
      <c t="s" s="6" r="AO1420">
        <v>10156</v>
      </c>
      <c s="6" r="AP1420">
        <v>3</v>
      </c>
      <c s="6" r="AS1420">
        <v>0</v>
      </c>
      <c s="6" r="AT1420">
        <v>0</v>
      </c>
      <c s="6" r="AU1420">
        <v>0</v>
      </c>
      <c s="6" r="AV1420">
        <v>0</v>
      </c>
      <c s="6" r="AW1420">
        <v>0</v>
      </c>
      <c s="6" r="AX1420">
        <v>0</v>
      </c>
      <c s="6" r="AY1420">
        <v>0</v>
      </c>
      <c s="6" r="AZ1420">
        <v>0</v>
      </c>
      <c s="6" r="BA1420">
        <v>0</v>
      </c>
      <c s="6" r="BB1420">
        <v>0</v>
      </c>
      <c s="6" r="BC1420">
        <v>0</v>
      </c>
      <c s="6" r="BD1420">
        <v>1</v>
      </c>
      <c s="6" r="BE1420">
        <v>0</v>
      </c>
      <c s="6" r="BF1420">
        <v>0</v>
      </c>
      <c s="6" r="BG1420">
        <v>0</v>
      </c>
      <c s="6" r="BH1420">
        <v>0</v>
      </c>
      <c s="6" r="BI1420">
        <v>0</v>
      </c>
      <c s="6" r="BJ1420">
        <v>0</v>
      </c>
      <c s="6" r="BK1420">
        <v>0</v>
      </c>
      <c s="6" r="BL1420">
        <v>0</v>
      </c>
      <c s="6" r="BM1420">
        <v>0</v>
      </c>
      <c s="6" r="BN1420">
        <v>0</v>
      </c>
      <c s="6" r="BO1420">
        <v>0</v>
      </c>
      <c s="6" r="BP1420">
        <v>0</v>
      </c>
      <c s="6" r="BQ1420">
        <v>0</v>
      </c>
      <c t="s" s="6" r="BR1420">
        <v>92</v>
      </c>
      <c s="6" r="BS1420">
        <v>1443</v>
      </c>
      <c t="s" s="6" r="BT1420">
        <v>92</v>
      </c>
      <c s="6" r="BY1420">
        <v>0</v>
      </c>
    </row>
    <row customHeight="1" r="1421" ht="14.25">
      <c t="s" s="6" r="A1421">
        <v>10157</v>
      </c>
      <c t="s" s="6" r="B1421">
        <v>227</v>
      </c>
      <c t="s" s="6" r="E1421">
        <v>10158</v>
      </c>
      <c t="s" s="6" r="F1421">
        <v>81</v>
      </c>
      <c t="s" s="6" r="G1421">
        <v>106</v>
      </c>
      <c s="6" r="H1421">
        <v>0</v>
      </c>
      <c t="s" s="6" r="I1421">
        <v>120</v>
      </c>
      <c t="s" s="6" r="L1421">
        <v>420</v>
      </c>
      <c t="s" s="6" r="M1421">
        <v>99</v>
      </c>
      <c s="6" r="N1421">
        <v>0</v>
      </c>
      <c s="6" r="O1421">
        <v>0</v>
      </c>
      <c t="s" s="6" r="P1421">
        <v>221</v>
      </c>
      <c t="s" s="6" r="Q1421">
        <v>188</v>
      </c>
      <c t="s" s="6" r="R1421">
        <v>10159</v>
      </c>
      <c t="s" s="6" r="S1421">
        <v>10160</v>
      </c>
      <c t="s" s="6" r="T1421">
        <v>10124</v>
      </c>
      <c t="s" s="6" r="U1421">
        <v>10161</v>
      </c>
      <c s="6" r="V1421">
        <v>1</v>
      </c>
      <c s="6" r="W1421">
        <v>1</v>
      </c>
      <c s="6" r="X1421">
        <v>0</v>
      </c>
      <c s="6" r="Y1421">
        <v>0</v>
      </c>
      <c s="6" r="Z1421">
        <v>0</v>
      </c>
      <c s="6" r="AA1421">
        <v>2</v>
      </c>
      <c s="6" r="AB1421">
        <v>2</v>
      </c>
      <c s="6" r="AC1421">
        <v>1</v>
      </c>
      <c s="6" r="AD1421">
        <v>1</v>
      </c>
      <c t="s" s="6" r="AE1421">
        <v>92</v>
      </c>
      <c t="s" s="6" r="AF1421">
        <v>92</v>
      </c>
      <c t="s" s="6" r="AG1421">
        <v>92</v>
      </c>
      <c t="s" s="6" r="AH1421">
        <v>92</v>
      </c>
      <c t="s" s="6" r="AI1421">
        <v>92</v>
      </c>
      <c s="6" r="AJ1421">
        <v>2</v>
      </c>
      <c t="s" s="6" r="AK1421">
        <v>92</v>
      </c>
      <c s="6" r="AL1421">
        <v>1</v>
      </c>
      <c s="6" r="AM1421">
        <v>2</v>
      </c>
      <c t="s" s="6" r="AN1421">
        <v>92</v>
      </c>
      <c t="s" s="6" r="AO1421">
        <v>10162</v>
      </c>
      <c s="6" r="AP1421">
        <v>2</v>
      </c>
      <c s="6" r="AS1421">
        <v>0</v>
      </c>
      <c s="6" r="AT1421">
        <v>0</v>
      </c>
      <c s="6" r="AU1421">
        <v>0</v>
      </c>
      <c s="6" r="AV1421">
        <v>0</v>
      </c>
      <c s="6" r="AW1421">
        <v>0</v>
      </c>
      <c s="6" r="AX1421">
        <v>0</v>
      </c>
      <c s="6" r="AY1421">
        <v>0</v>
      </c>
      <c s="6" r="AZ1421">
        <v>0</v>
      </c>
      <c s="6" r="BA1421">
        <v>0</v>
      </c>
      <c s="6" r="BB1421">
        <v>0</v>
      </c>
      <c s="6" r="BC1421">
        <v>0</v>
      </c>
      <c s="6" r="BD1421">
        <v>0</v>
      </c>
      <c s="6" r="BE1421">
        <v>0</v>
      </c>
      <c s="6" r="BF1421">
        <v>0</v>
      </c>
      <c s="6" r="BG1421">
        <v>0</v>
      </c>
      <c s="6" r="BH1421">
        <v>0</v>
      </c>
      <c s="6" r="BI1421">
        <v>0</v>
      </c>
      <c s="6" r="BJ1421">
        <v>0</v>
      </c>
      <c s="6" r="BK1421">
        <v>0</v>
      </c>
      <c s="6" r="BL1421">
        <v>0</v>
      </c>
      <c s="6" r="BM1421">
        <v>0</v>
      </c>
      <c s="6" r="BN1421">
        <v>0</v>
      </c>
      <c s="6" r="BO1421">
        <v>0</v>
      </c>
      <c s="6" r="BP1421">
        <v>0</v>
      </c>
      <c s="6" r="BQ1421">
        <v>0</v>
      </c>
      <c t="s" s="6" r="BR1421">
        <v>92</v>
      </c>
      <c s="6" r="BS1421">
        <v>1444</v>
      </c>
      <c t="s" s="6" r="BT1421">
        <v>92</v>
      </c>
      <c s="6" r="BY1421">
        <v>0</v>
      </c>
    </row>
    <row customHeight="1" r="1422" ht="14.25">
      <c t="s" s="6" r="A1422">
        <v>10163</v>
      </c>
      <c t="s" s="6" r="B1422">
        <v>174</v>
      </c>
      <c t="s" s="6" r="D1422">
        <v>64</v>
      </c>
      <c t="s" s="6" r="E1422">
        <v>10164</v>
      </c>
      <c t="s" s="6" r="F1422">
        <v>81</v>
      </c>
      <c t="s" s="6" r="G1422">
        <v>106</v>
      </c>
      <c s="6" r="H1422">
        <v>0</v>
      </c>
      <c t="s" s="6" r="I1422">
        <v>97</v>
      </c>
      <c t="s" s="6" r="L1422">
        <v>10165</v>
      </c>
      <c t="s" s="6" r="M1422">
        <v>10166</v>
      </c>
      <c s="6" r="N1422">
        <v>0</v>
      </c>
      <c s="6" r="O1422">
        <v>0</v>
      </c>
      <c t="s" s="6" r="P1422">
        <v>7202</v>
      </c>
      <c t="s" s="6" r="Q1422">
        <v>4889</v>
      </c>
      <c t="s" s="6" r="R1422">
        <v>10167</v>
      </c>
      <c t="s" s="6" r="S1422">
        <v>10168</v>
      </c>
      <c t="s" s="6" r="T1422">
        <v>10169</v>
      </c>
      <c t="s" s="6" r="U1422">
        <v>10170</v>
      </c>
      <c s="6" r="V1422">
        <v>1</v>
      </c>
      <c s="6" r="W1422">
        <v>1</v>
      </c>
      <c s="6" r="X1422">
        <v>0</v>
      </c>
      <c s="6" r="Y1422">
        <v>0</v>
      </c>
      <c s="6" r="Z1422">
        <v>0</v>
      </c>
      <c s="6" r="AA1422">
        <v>5</v>
      </c>
      <c s="6" r="AB1422">
        <v>5</v>
      </c>
      <c s="6" r="AC1422">
        <v>5</v>
      </c>
      <c t="s" s="6" r="AD1422">
        <v>92</v>
      </c>
      <c t="s" s="6" r="AE1422">
        <v>92</v>
      </c>
      <c t="s" s="6" r="AF1422">
        <v>92</v>
      </c>
      <c t="s" s="6" r="AG1422">
        <v>92</v>
      </c>
      <c t="s" s="6" r="AH1422">
        <v>92</v>
      </c>
      <c t="s" s="6" r="AI1422">
        <v>92</v>
      </c>
      <c s="6" r="AJ1422">
        <v>5</v>
      </c>
      <c s="6" r="AK1422">
        <v>4</v>
      </c>
      <c s="6" r="AL1422">
        <v>5</v>
      </c>
      <c t="s" s="6" r="AM1422">
        <v>92</v>
      </c>
      <c t="s" s="6" r="AN1422">
        <v>92</v>
      </c>
      <c s="6" r="AP1422">
        <v>5</v>
      </c>
      <c s="6" r="AS1422">
        <v>0</v>
      </c>
      <c s="6" r="AT1422">
        <v>0</v>
      </c>
      <c s="6" r="AU1422">
        <v>0</v>
      </c>
      <c s="6" r="AV1422">
        <v>0</v>
      </c>
      <c s="6" r="AW1422">
        <v>0</v>
      </c>
      <c s="6" r="AX1422">
        <v>0</v>
      </c>
      <c s="6" r="AY1422">
        <v>0</v>
      </c>
      <c s="6" r="AZ1422">
        <v>0</v>
      </c>
      <c s="6" r="BA1422">
        <v>0</v>
      </c>
      <c s="6" r="BB1422">
        <v>0</v>
      </c>
      <c s="6" r="BC1422">
        <v>0</v>
      </c>
      <c s="6" r="BD1422">
        <v>0</v>
      </c>
      <c s="6" r="BE1422">
        <v>0</v>
      </c>
      <c s="6" r="BF1422">
        <v>0</v>
      </c>
      <c s="6" r="BG1422">
        <v>0</v>
      </c>
      <c s="6" r="BH1422">
        <v>0</v>
      </c>
      <c s="6" r="BI1422">
        <v>0</v>
      </c>
      <c s="6" r="BJ1422">
        <v>0</v>
      </c>
      <c s="6" r="BK1422">
        <v>0</v>
      </c>
      <c s="6" r="BL1422">
        <v>0</v>
      </c>
      <c s="6" r="BM1422">
        <v>1</v>
      </c>
      <c s="6" r="BN1422">
        <v>0</v>
      </c>
      <c s="6" r="BO1422">
        <v>0</v>
      </c>
      <c s="6" r="BP1422">
        <v>0</v>
      </c>
      <c s="6" r="BQ1422">
        <v>0</v>
      </c>
      <c t="s" s="6" r="BR1422">
        <v>92</v>
      </c>
      <c s="6" r="BS1422">
        <v>1445</v>
      </c>
      <c t="s" s="6" r="BT1422">
        <v>92</v>
      </c>
      <c s="6" r="BY1422">
        <v>0</v>
      </c>
    </row>
    <row customHeight="1" r="1423" ht="14.25">
      <c t="s" s="6" r="A1423">
        <v>10171</v>
      </c>
      <c t="s" s="6" r="B1423">
        <v>162</v>
      </c>
      <c t="s" s="6" r="E1423">
        <v>7667</v>
      </c>
      <c t="s" s="6" r="F1423">
        <v>81</v>
      </c>
      <c t="s" s="6" r="G1423">
        <v>10172</v>
      </c>
      <c s="6" r="H1423">
        <v>0</v>
      </c>
      <c t="s" s="6" r="I1423">
        <v>107</v>
      </c>
      <c t="s" s="6" r="L1423">
        <v>2925</v>
      </c>
      <c t="s" s="6" r="M1423">
        <v>2718</v>
      </c>
      <c s="6" r="N1423">
        <v>0</v>
      </c>
      <c s="6" r="O1423">
        <v>0</v>
      </c>
      <c t="s" s="6" r="P1423">
        <v>421</v>
      </c>
      <c t="s" s="6" r="Q1423">
        <v>123</v>
      </c>
      <c t="s" s="6" r="R1423">
        <v>10173</v>
      </c>
      <c t="s" s="6" r="S1423">
        <v>10174</v>
      </c>
      <c t="s" s="6" r="T1423">
        <v>10169</v>
      </c>
      <c t="s" s="6" r="U1423">
        <v>10175</v>
      </c>
      <c s="6" r="V1423">
        <v>1</v>
      </c>
      <c s="6" r="W1423">
        <v>1</v>
      </c>
      <c s="6" r="X1423">
        <v>1</v>
      </c>
      <c s="6" r="Y1423">
        <v>0</v>
      </c>
      <c s="6" r="Z1423">
        <v>0</v>
      </c>
      <c s="6" r="AA1423">
        <v>4</v>
      </c>
      <c s="6" r="AB1423">
        <v>4</v>
      </c>
      <c s="6" r="AC1423">
        <v>4</v>
      </c>
      <c t="s" s="6" r="AD1423">
        <v>92</v>
      </c>
      <c t="s" s="6" r="AE1423">
        <v>92</v>
      </c>
      <c t="s" s="6" r="AF1423">
        <v>92</v>
      </c>
      <c t="s" s="6" r="AG1423">
        <v>92</v>
      </c>
      <c t="s" s="6" r="AH1423">
        <v>92</v>
      </c>
      <c t="s" s="6" r="AI1423">
        <v>92</v>
      </c>
      <c s="6" r="AJ1423">
        <v>4</v>
      </c>
      <c s="6" r="AK1423">
        <v>4</v>
      </c>
      <c s="6" r="AL1423">
        <v>4</v>
      </c>
      <c t="s" s="6" r="AM1423">
        <v>92</v>
      </c>
      <c t="s" s="6" r="AN1423">
        <v>92</v>
      </c>
      <c s="6" r="AP1423">
        <v>4</v>
      </c>
      <c s="6" r="AS1423">
        <v>0</v>
      </c>
      <c s="6" r="AT1423">
        <v>0</v>
      </c>
      <c s="6" r="AU1423">
        <v>0</v>
      </c>
      <c s="6" r="AV1423">
        <v>0</v>
      </c>
      <c s="6" r="AW1423">
        <v>0</v>
      </c>
      <c s="6" r="AX1423">
        <v>0</v>
      </c>
      <c s="6" r="AY1423">
        <v>0</v>
      </c>
      <c s="6" r="AZ1423">
        <v>0</v>
      </c>
      <c s="6" r="BA1423">
        <v>0</v>
      </c>
      <c s="6" r="BB1423">
        <v>0</v>
      </c>
      <c s="6" r="BC1423">
        <v>0</v>
      </c>
      <c s="6" r="BD1423">
        <v>0</v>
      </c>
      <c s="6" r="BE1423">
        <v>0</v>
      </c>
      <c s="6" r="BF1423">
        <v>0</v>
      </c>
      <c s="6" r="BG1423">
        <v>0</v>
      </c>
      <c s="6" r="BH1423">
        <v>0</v>
      </c>
      <c s="6" r="BI1423">
        <v>0</v>
      </c>
      <c s="6" r="BJ1423">
        <v>0</v>
      </c>
      <c s="6" r="BK1423">
        <v>0</v>
      </c>
      <c s="6" r="BL1423">
        <v>0</v>
      </c>
      <c s="6" r="BM1423">
        <v>0</v>
      </c>
      <c s="6" r="BN1423">
        <v>0</v>
      </c>
      <c s="6" r="BO1423">
        <v>0</v>
      </c>
      <c s="6" r="BP1423">
        <v>0</v>
      </c>
      <c s="6" r="BQ1423">
        <v>0</v>
      </c>
      <c t="s" s="6" r="BR1423">
        <v>92</v>
      </c>
      <c s="6" r="BS1423">
        <v>1446</v>
      </c>
      <c t="s" s="6" r="BT1423">
        <v>92</v>
      </c>
      <c s="6" r="BY1423">
        <v>0</v>
      </c>
    </row>
    <row customHeight="1" r="1424" ht="14.25">
      <c t="s" s="6" r="A1424">
        <v>10176</v>
      </c>
      <c t="s" s="6" r="B1424">
        <v>227</v>
      </c>
      <c t="s" s="6" r="D1424">
        <v>1177</v>
      </c>
      <c t="s" s="6" r="E1424">
        <v>7850</v>
      </c>
      <c t="s" s="6" r="F1424">
        <v>272</v>
      </c>
      <c t="s" s="6" r="G1424">
        <v>10177</v>
      </c>
      <c s="6" r="H1424">
        <v>1</v>
      </c>
      <c t="s" s="6" r="I1424">
        <v>107</v>
      </c>
      <c t="s" s="6" r="L1424">
        <v>10178</v>
      </c>
      <c t="s" s="6" r="M1424">
        <v>109</v>
      </c>
      <c s="6" r="N1424">
        <v>0</v>
      </c>
      <c s="6" r="O1424">
        <v>0</v>
      </c>
      <c t="s" s="6" r="P1424">
        <v>221</v>
      </c>
      <c t="s" s="6" r="Q1424">
        <v>188</v>
      </c>
      <c t="s" s="6" r="R1424">
        <v>10179</v>
      </c>
      <c t="s" s="6" r="S1424">
        <v>10180</v>
      </c>
      <c t="s" s="6" r="T1424">
        <v>10169</v>
      </c>
      <c t="s" s="6" r="U1424">
        <v>10181</v>
      </c>
      <c s="6" r="V1424">
        <v>1</v>
      </c>
      <c s="6" r="W1424">
        <v>1</v>
      </c>
      <c s="6" r="X1424">
        <v>0</v>
      </c>
      <c s="6" r="Y1424">
        <v>0</v>
      </c>
      <c s="6" r="Z1424">
        <v>0</v>
      </c>
      <c s="6" r="AA1424">
        <v>3</v>
      </c>
      <c s="6" r="AB1424">
        <v>3</v>
      </c>
      <c s="6" r="AC1424">
        <v>3</v>
      </c>
      <c t="s" s="6" r="AD1424">
        <v>92</v>
      </c>
      <c t="s" s="6" r="AE1424">
        <v>92</v>
      </c>
      <c t="s" s="6" r="AF1424">
        <v>92</v>
      </c>
      <c t="s" s="6" r="AG1424">
        <v>92</v>
      </c>
      <c t="s" s="6" r="AH1424">
        <v>92</v>
      </c>
      <c t="s" s="6" r="AI1424">
        <v>92</v>
      </c>
      <c s="6" r="AJ1424">
        <v>3</v>
      </c>
      <c t="s" s="6" r="AK1424">
        <v>92</v>
      </c>
      <c s="6" r="AL1424">
        <v>3</v>
      </c>
      <c t="s" s="6" r="AM1424">
        <v>92</v>
      </c>
      <c t="s" s="6" r="AN1424">
        <v>92</v>
      </c>
      <c s="6" r="AP1424">
        <v>3</v>
      </c>
      <c s="6" r="AS1424">
        <v>0</v>
      </c>
      <c s="6" r="AT1424">
        <v>0</v>
      </c>
      <c s="6" r="AU1424">
        <v>0</v>
      </c>
      <c s="6" r="AV1424">
        <v>0</v>
      </c>
      <c s="6" r="AW1424">
        <v>0</v>
      </c>
      <c s="6" r="AX1424">
        <v>0</v>
      </c>
      <c s="6" r="AY1424">
        <v>1</v>
      </c>
      <c s="6" r="AZ1424">
        <v>0</v>
      </c>
      <c s="6" r="BA1424">
        <v>0</v>
      </c>
      <c s="6" r="BB1424">
        <v>0</v>
      </c>
      <c s="6" r="BC1424">
        <v>0</v>
      </c>
      <c s="6" r="BD1424">
        <v>1</v>
      </c>
      <c s="6" r="BE1424">
        <v>0</v>
      </c>
      <c s="6" r="BF1424">
        <v>0</v>
      </c>
      <c s="6" r="BG1424">
        <v>0</v>
      </c>
      <c s="6" r="BH1424">
        <v>0</v>
      </c>
      <c s="6" r="BI1424">
        <v>0</v>
      </c>
      <c s="6" r="BJ1424">
        <v>0</v>
      </c>
      <c s="6" r="BK1424">
        <v>0</v>
      </c>
      <c s="6" r="BL1424">
        <v>0</v>
      </c>
      <c s="6" r="BM1424">
        <v>0</v>
      </c>
      <c s="6" r="BN1424">
        <v>0</v>
      </c>
      <c s="6" r="BO1424">
        <v>0</v>
      </c>
      <c s="6" r="BP1424">
        <v>0</v>
      </c>
      <c s="6" r="BQ1424">
        <v>0</v>
      </c>
      <c t="s" s="6" r="BR1424">
        <v>92</v>
      </c>
      <c s="6" r="BS1424">
        <v>1447</v>
      </c>
      <c s="6" r="BT1424">
        <v>25</v>
      </c>
      <c s="6" r="BY1424">
        <v>0</v>
      </c>
    </row>
    <row customHeight="1" r="1425" ht="14.25">
      <c t="s" s="6" r="A1425">
        <v>10182</v>
      </c>
      <c t="s" s="6" r="B1425">
        <v>227</v>
      </c>
      <c t="s" s="6" r="E1425">
        <v>10183</v>
      </c>
      <c t="s" s="6" r="F1425">
        <v>81</v>
      </c>
      <c t="s" s="6" r="G1425">
        <v>10184</v>
      </c>
      <c s="6" r="H1425">
        <v>1</v>
      </c>
      <c t="s" s="6" r="I1425">
        <v>120</v>
      </c>
      <c t="s" s="6" r="L1425">
        <v>121</v>
      </c>
      <c t="s" s="6" r="M1425">
        <v>122</v>
      </c>
      <c s="6" r="N1425">
        <v>0</v>
      </c>
      <c s="6" r="O1425">
        <v>0</v>
      </c>
      <c t="s" s="6" r="P1425">
        <v>421</v>
      </c>
      <c t="s" s="6" r="Q1425">
        <v>123</v>
      </c>
      <c t="s" s="6" r="R1425">
        <v>10185</v>
      </c>
      <c t="s" s="6" r="S1425">
        <v>10186</v>
      </c>
      <c t="s" s="6" r="T1425">
        <v>10169</v>
      </c>
      <c t="s" s="6" r="U1425">
        <v>10187</v>
      </c>
      <c s="6" r="V1425">
        <v>1</v>
      </c>
      <c s="6" r="W1425">
        <v>1</v>
      </c>
      <c s="6" r="X1425">
        <v>1</v>
      </c>
      <c s="6" r="Y1425">
        <v>0</v>
      </c>
      <c s="6" r="Z1425">
        <v>0</v>
      </c>
      <c s="6" r="AA1425">
        <v>4</v>
      </c>
      <c s="6" r="AB1425">
        <v>4</v>
      </c>
      <c s="6" r="AC1425">
        <v>4</v>
      </c>
      <c s="6" r="AD1425">
        <v>5</v>
      </c>
      <c t="s" s="6" r="AE1425">
        <v>92</v>
      </c>
      <c t="s" s="6" r="AF1425">
        <v>92</v>
      </c>
      <c s="6" r="AG1425">
        <v>4</v>
      </c>
      <c t="s" s="6" r="AH1425">
        <v>92</v>
      </c>
      <c t="s" s="6" r="AI1425">
        <v>92</v>
      </c>
      <c s="6" r="AJ1425">
        <v>4</v>
      </c>
      <c t="s" s="6" r="AK1425">
        <v>92</v>
      </c>
      <c s="6" r="AL1425">
        <v>4</v>
      </c>
      <c t="s" s="6" r="AM1425">
        <v>92</v>
      </c>
      <c t="s" s="6" r="AN1425">
        <v>92</v>
      </c>
      <c s="6" r="AP1425">
        <v>4</v>
      </c>
      <c s="6" r="AS1425">
        <v>0</v>
      </c>
      <c s="6" r="AT1425">
        <v>0</v>
      </c>
      <c s="6" r="AU1425">
        <v>0</v>
      </c>
      <c s="6" r="AV1425">
        <v>0</v>
      </c>
      <c s="6" r="AW1425">
        <v>0</v>
      </c>
      <c s="6" r="AX1425">
        <v>0</v>
      </c>
      <c s="6" r="AY1425">
        <v>0</v>
      </c>
      <c s="6" r="AZ1425">
        <v>0</v>
      </c>
      <c s="6" r="BA1425">
        <v>0</v>
      </c>
      <c s="6" r="BB1425">
        <v>0</v>
      </c>
      <c s="6" r="BC1425">
        <v>0</v>
      </c>
      <c s="6" r="BD1425">
        <v>0</v>
      </c>
      <c s="6" r="BE1425">
        <v>0</v>
      </c>
      <c s="6" r="BF1425">
        <v>0</v>
      </c>
      <c s="6" r="BG1425">
        <v>0</v>
      </c>
      <c s="6" r="BH1425">
        <v>0</v>
      </c>
      <c s="6" r="BI1425">
        <v>0</v>
      </c>
      <c s="6" r="BJ1425">
        <v>0</v>
      </c>
      <c s="6" r="BK1425">
        <v>0</v>
      </c>
      <c s="6" r="BL1425">
        <v>0</v>
      </c>
      <c s="6" r="BM1425">
        <v>0</v>
      </c>
      <c s="6" r="BN1425">
        <v>0</v>
      </c>
      <c s="6" r="BO1425">
        <v>0</v>
      </c>
      <c s="6" r="BP1425">
        <v>0</v>
      </c>
      <c s="6" r="BQ1425">
        <v>0</v>
      </c>
      <c t="s" s="6" r="BR1425">
        <v>92</v>
      </c>
      <c s="6" r="BS1425">
        <v>1448</v>
      </c>
      <c s="6" r="BT1425">
        <v>50</v>
      </c>
      <c s="6" r="BY1425">
        <v>0</v>
      </c>
    </row>
    <row customHeight="1" r="1426" ht="14.25">
      <c t="s" s="6" r="A1426">
        <v>10188</v>
      </c>
      <c t="s" s="6" r="B1426">
        <v>227</v>
      </c>
      <c t="s" s="6" r="D1426">
        <v>1177</v>
      </c>
      <c t="s" s="6" r="E1426">
        <v>7667</v>
      </c>
      <c t="s" s="6" r="F1426">
        <v>81</v>
      </c>
      <c t="s" s="6" r="G1426">
        <v>106</v>
      </c>
      <c s="6" r="H1426">
        <v>0</v>
      </c>
      <c t="s" s="6" r="I1426">
        <v>804</v>
      </c>
      <c t="s" s="6" r="J1426">
        <v>10189</v>
      </c>
      <c t="s" s="6" r="M1426">
        <v>483</v>
      </c>
      <c s="6" r="N1426">
        <v>1</v>
      </c>
      <c s="6" r="O1426">
        <v>0</v>
      </c>
      <c t="s" s="6" r="P1426">
        <v>221</v>
      </c>
      <c t="s" s="6" r="Q1426">
        <v>188</v>
      </c>
      <c t="s" s="6" r="R1426">
        <v>10190</v>
      </c>
      <c t="s" s="6" r="S1426">
        <v>10191</v>
      </c>
      <c t="s" s="6" r="T1426">
        <v>10169</v>
      </c>
      <c t="s" s="6" r="U1426">
        <v>10192</v>
      </c>
      <c s="6" r="V1426">
        <v>1</v>
      </c>
      <c s="6" r="W1426">
        <v>1</v>
      </c>
      <c s="6" r="X1426">
        <v>0</v>
      </c>
      <c s="6" r="Y1426">
        <v>0</v>
      </c>
      <c s="6" r="Z1426">
        <v>0</v>
      </c>
      <c s="6" r="AA1426">
        <v>4</v>
      </c>
      <c s="6" r="AB1426">
        <v>4</v>
      </c>
      <c s="6" r="AC1426">
        <v>4</v>
      </c>
      <c t="s" s="6" r="AD1426">
        <v>92</v>
      </c>
      <c t="s" s="6" r="AE1426">
        <v>92</v>
      </c>
      <c t="s" s="6" r="AF1426">
        <v>92</v>
      </c>
      <c t="s" s="6" r="AG1426">
        <v>92</v>
      </c>
      <c t="s" s="6" r="AH1426">
        <v>92</v>
      </c>
      <c t="s" s="6" r="AI1426">
        <v>92</v>
      </c>
      <c s="6" r="AJ1426">
        <v>4</v>
      </c>
      <c s="6" r="AK1426">
        <v>4</v>
      </c>
      <c s="6" r="AL1426">
        <v>4</v>
      </c>
      <c t="s" s="6" r="AM1426">
        <v>92</v>
      </c>
      <c t="s" s="6" r="AN1426">
        <v>92</v>
      </c>
      <c s="6" r="AP1426">
        <v>4</v>
      </c>
      <c s="6" r="AS1426">
        <v>0</v>
      </c>
      <c s="6" r="AT1426">
        <v>0</v>
      </c>
      <c s="6" r="AU1426">
        <v>0</v>
      </c>
      <c s="6" r="AV1426">
        <v>0</v>
      </c>
      <c s="6" r="AW1426">
        <v>0</v>
      </c>
      <c s="6" r="AX1426">
        <v>0</v>
      </c>
      <c s="6" r="AY1426">
        <v>1</v>
      </c>
      <c s="6" r="AZ1426">
        <v>0</v>
      </c>
      <c s="6" r="BA1426">
        <v>0</v>
      </c>
      <c s="6" r="BB1426">
        <v>0</v>
      </c>
      <c s="6" r="BC1426">
        <v>0</v>
      </c>
      <c s="6" r="BD1426">
        <v>1</v>
      </c>
      <c s="6" r="BE1426">
        <v>0</v>
      </c>
      <c s="6" r="BF1426">
        <v>0</v>
      </c>
      <c s="6" r="BG1426">
        <v>0</v>
      </c>
      <c s="6" r="BH1426">
        <v>0</v>
      </c>
      <c s="6" r="BI1426">
        <v>0</v>
      </c>
      <c s="6" r="BJ1426">
        <v>0</v>
      </c>
      <c s="6" r="BK1426">
        <v>0</v>
      </c>
      <c s="6" r="BL1426">
        <v>0</v>
      </c>
      <c s="6" r="BM1426">
        <v>0</v>
      </c>
      <c s="6" r="BN1426">
        <v>0</v>
      </c>
      <c s="6" r="BO1426">
        <v>0</v>
      </c>
      <c s="6" r="BP1426">
        <v>0</v>
      </c>
      <c s="6" r="BQ1426">
        <v>0</v>
      </c>
      <c t="s" s="6" r="BR1426">
        <v>92</v>
      </c>
      <c s="6" r="BS1426">
        <v>1449</v>
      </c>
      <c t="s" s="6" r="BT1426">
        <v>92</v>
      </c>
      <c s="6" r="BY1426">
        <v>0</v>
      </c>
    </row>
    <row customHeight="1" r="1427" ht="14.25">
      <c t="s" s="6" r="A1427">
        <v>10193</v>
      </c>
      <c t="s" s="6" r="B1427">
        <v>227</v>
      </c>
      <c t="s" s="6" r="D1427">
        <v>1177</v>
      </c>
      <c t="s" s="6" r="E1427">
        <v>10194</v>
      </c>
      <c t="s" s="6" r="F1427">
        <v>81</v>
      </c>
      <c t="s" s="6" r="G1427">
        <v>106</v>
      </c>
      <c s="6" r="H1427">
        <v>0</v>
      </c>
      <c t="s" s="6" r="I1427">
        <v>804</v>
      </c>
      <c t="s" s="6" r="J1427">
        <v>10189</v>
      </c>
      <c t="s" s="6" r="M1427">
        <v>483</v>
      </c>
      <c s="6" r="N1427">
        <v>1</v>
      </c>
      <c s="6" r="O1427">
        <v>0</v>
      </c>
      <c t="s" s="6" r="P1427">
        <v>221</v>
      </c>
      <c t="s" s="6" r="Q1427">
        <v>188</v>
      </c>
      <c t="s" s="6" r="R1427">
        <v>10195</v>
      </c>
      <c t="s" s="6" r="S1427">
        <v>10196</v>
      </c>
      <c t="s" s="6" r="T1427">
        <v>10169</v>
      </c>
      <c t="s" s="6" r="U1427">
        <v>10197</v>
      </c>
      <c s="6" r="V1427">
        <v>1</v>
      </c>
      <c s="6" r="W1427">
        <v>1</v>
      </c>
      <c s="6" r="X1427">
        <v>0</v>
      </c>
      <c s="6" r="Y1427">
        <v>0</v>
      </c>
      <c s="6" r="Z1427">
        <v>0</v>
      </c>
      <c s="6" r="AA1427">
        <v>6</v>
      </c>
      <c s="6" r="AB1427">
        <v>6</v>
      </c>
      <c s="6" r="AC1427">
        <v>6</v>
      </c>
      <c t="s" s="6" r="AD1427">
        <v>92</v>
      </c>
      <c t="s" s="6" r="AE1427">
        <v>92</v>
      </c>
      <c t="s" s="6" r="AF1427">
        <v>92</v>
      </c>
      <c t="s" s="6" r="AG1427">
        <v>92</v>
      </c>
      <c t="s" s="6" r="AH1427">
        <v>92</v>
      </c>
      <c t="s" s="6" r="AI1427">
        <v>92</v>
      </c>
      <c s="6" r="AJ1427">
        <v>6</v>
      </c>
      <c s="6" r="AK1427">
        <v>6</v>
      </c>
      <c s="6" r="AL1427">
        <v>6</v>
      </c>
      <c t="s" s="6" r="AM1427">
        <v>92</v>
      </c>
      <c t="s" s="6" r="AN1427">
        <v>92</v>
      </c>
      <c s="6" r="AP1427">
        <v>6</v>
      </c>
      <c s="6" r="AS1427">
        <v>0</v>
      </c>
      <c s="6" r="AT1427">
        <v>0</v>
      </c>
      <c s="6" r="AU1427">
        <v>0</v>
      </c>
      <c s="6" r="AV1427">
        <v>0</v>
      </c>
      <c s="6" r="AW1427">
        <v>0</v>
      </c>
      <c s="6" r="AX1427">
        <v>0</v>
      </c>
      <c s="6" r="AY1427">
        <v>1</v>
      </c>
      <c s="6" r="AZ1427">
        <v>0</v>
      </c>
      <c s="6" r="BA1427">
        <v>0</v>
      </c>
      <c s="6" r="BB1427">
        <v>0</v>
      </c>
      <c s="6" r="BC1427">
        <v>0</v>
      </c>
      <c s="6" r="BD1427">
        <v>1</v>
      </c>
      <c s="6" r="BE1427">
        <v>0</v>
      </c>
      <c s="6" r="BF1427">
        <v>0</v>
      </c>
      <c s="6" r="BG1427">
        <v>0</v>
      </c>
      <c s="6" r="BH1427">
        <v>0</v>
      </c>
      <c s="6" r="BI1427">
        <v>0</v>
      </c>
      <c s="6" r="BJ1427">
        <v>0</v>
      </c>
      <c s="6" r="BK1427">
        <v>0</v>
      </c>
      <c s="6" r="BL1427">
        <v>0</v>
      </c>
      <c s="6" r="BM1427">
        <v>0</v>
      </c>
      <c s="6" r="BN1427">
        <v>0</v>
      </c>
      <c s="6" r="BO1427">
        <v>0</v>
      </c>
      <c s="6" r="BP1427">
        <v>0</v>
      </c>
      <c s="6" r="BQ1427">
        <v>0</v>
      </c>
      <c t="s" s="6" r="BR1427">
        <v>92</v>
      </c>
      <c s="6" r="BS1427">
        <v>1450</v>
      </c>
      <c t="s" s="6" r="BT1427">
        <v>92</v>
      </c>
      <c s="6" r="BY1427">
        <v>0</v>
      </c>
    </row>
    <row customHeight="1" r="1428" ht="14.25">
      <c t="s" s="6" r="A1428">
        <v>10198</v>
      </c>
      <c t="s" s="6" r="B1428">
        <v>227</v>
      </c>
      <c t="s" s="6" r="D1428">
        <v>55</v>
      </c>
      <c t="s" s="6" r="E1428">
        <v>10199</v>
      </c>
      <c t="s" s="6" r="F1428">
        <v>81</v>
      </c>
      <c t="s" s="6" r="G1428">
        <v>106</v>
      </c>
      <c s="6" r="H1428">
        <v>0</v>
      </c>
      <c t="s" s="6" r="I1428">
        <v>155</v>
      </c>
      <c t="s" s="6" r="L1428">
        <v>156</v>
      </c>
      <c t="s" s="6" r="M1428">
        <v>99</v>
      </c>
      <c s="6" r="N1428">
        <v>0</v>
      </c>
      <c s="6" r="O1428">
        <v>0</v>
      </c>
      <c t="s" s="6" r="R1428">
        <v>10200</v>
      </c>
      <c t="s" s="6" r="S1428">
        <v>10201</v>
      </c>
      <c t="s" s="6" r="T1428">
        <v>10169</v>
      </c>
      <c t="s" s="6" r="U1428">
        <v>10202</v>
      </c>
      <c s="6" r="V1428">
        <v>1</v>
      </c>
      <c s="6" r="W1428">
        <v>1</v>
      </c>
      <c s="6" r="X1428">
        <v>0</v>
      </c>
      <c s="6" r="Y1428">
        <v>0</v>
      </c>
      <c s="6" r="Z1428">
        <v>0</v>
      </c>
      <c s="6" r="AA1428">
        <v>6</v>
      </c>
      <c s="6" r="AB1428">
        <v>6</v>
      </c>
      <c s="6" r="AC1428">
        <v>6</v>
      </c>
      <c t="s" s="6" r="AD1428">
        <v>92</v>
      </c>
      <c t="s" s="6" r="AE1428">
        <v>92</v>
      </c>
      <c t="s" s="6" r="AF1428">
        <v>92</v>
      </c>
      <c t="s" s="6" r="AG1428">
        <v>92</v>
      </c>
      <c t="s" s="6" r="AH1428">
        <v>92</v>
      </c>
      <c t="s" s="6" r="AI1428">
        <v>92</v>
      </c>
      <c s="6" r="AJ1428">
        <v>6</v>
      </c>
      <c t="s" s="6" r="AK1428">
        <v>92</v>
      </c>
      <c s="6" r="AL1428">
        <v>6</v>
      </c>
      <c t="s" s="6" r="AM1428">
        <v>92</v>
      </c>
      <c s="6" r="AN1428">
        <v>5</v>
      </c>
      <c s="6" r="AP1428">
        <v>6</v>
      </c>
      <c s="6" r="AS1428">
        <v>0</v>
      </c>
      <c s="6" r="AT1428">
        <v>0</v>
      </c>
      <c s="6" r="AU1428">
        <v>0</v>
      </c>
      <c s="6" r="AV1428">
        <v>0</v>
      </c>
      <c s="6" r="AW1428">
        <v>0</v>
      </c>
      <c s="6" r="AX1428">
        <v>0</v>
      </c>
      <c s="6" r="AY1428">
        <v>0</v>
      </c>
      <c s="6" r="AZ1428">
        <v>0</v>
      </c>
      <c s="6" r="BA1428">
        <v>0</v>
      </c>
      <c s="6" r="BB1428">
        <v>0</v>
      </c>
      <c s="6" r="BC1428">
        <v>0</v>
      </c>
      <c s="6" r="BD1428">
        <v>1</v>
      </c>
      <c s="6" r="BE1428">
        <v>0</v>
      </c>
      <c s="6" r="BF1428">
        <v>0</v>
      </c>
      <c s="6" r="BG1428">
        <v>0</v>
      </c>
      <c s="6" r="BH1428">
        <v>0</v>
      </c>
      <c s="6" r="BI1428">
        <v>0</v>
      </c>
      <c s="6" r="BJ1428">
        <v>0</v>
      </c>
      <c s="6" r="BK1428">
        <v>0</v>
      </c>
      <c s="6" r="BL1428">
        <v>0</v>
      </c>
      <c s="6" r="BM1428">
        <v>0</v>
      </c>
      <c s="6" r="BN1428">
        <v>0</v>
      </c>
      <c s="6" r="BO1428">
        <v>0</v>
      </c>
      <c s="6" r="BP1428">
        <v>0</v>
      </c>
      <c s="6" r="BQ1428">
        <v>0</v>
      </c>
      <c t="s" s="6" r="BR1428">
        <v>92</v>
      </c>
      <c s="6" r="BS1428">
        <v>1451</v>
      </c>
      <c t="s" s="6" r="BT1428">
        <v>92</v>
      </c>
      <c s="6" r="BY1428">
        <v>0</v>
      </c>
    </row>
    <row customHeight="1" r="1429" ht="14.25">
      <c t="s" s="6" r="A1429">
        <v>10203</v>
      </c>
      <c t="s" s="6" r="B1429">
        <v>227</v>
      </c>
      <c t="s" s="6" r="D1429">
        <v>1177</v>
      </c>
      <c t="s" s="6" r="E1429">
        <v>350</v>
      </c>
      <c t="s" s="6" r="F1429">
        <v>81</v>
      </c>
      <c t="s" s="6" r="G1429">
        <v>2805</v>
      </c>
      <c s="6" r="H1429">
        <v>1</v>
      </c>
      <c t="s" s="6" r="I1429">
        <v>97</v>
      </c>
      <c t="s" s="6" r="L1429">
        <v>1235</v>
      </c>
      <c t="s" s="6" r="M1429">
        <v>561</v>
      </c>
      <c s="6" r="N1429">
        <v>1</v>
      </c>
      <c s="6" r="O1429">
        <v>0</v>
      </c>
      <c t="s" s="6" r="P1429">
        <v>221</v>
      </c>
      <c t="s" s="6" r="Q1429">
        <v>188</v>
      </c>
      <c t="s" s="6" r="R1429">
        <v>10204</v>
      </c>
      <c t="s" s="6" r="S1429">
        <v>10205</v>
      </c>
      <c t="s" s="6" r="T1429">
        <v>10169</v>
      </c>
      <c t="s" s="6" r="U1429">
        <v>10206</v>
      </c>
      <c s="6" r="V1429">
        <v>1</v>
      </c>
      <c s="6" r="W1429">
        <v>1</v>
      </c>
      <c s="6" r="X1429">
        <v>0</v>
      </c>
      <c s="6" r="Y1429">
        <v>0</v>
      </c>
      <c s="6" r="Z1429">
        <v>0</v>
      </c>
      <c s="6" r="AA1429">
        <v>9</v>
      </c>
      <c s="6" r="AB1429">
        <v>9</v>
      </c>
      <c s="6" r="AC1429">
        <v>9</v>
      </c>
      <c t="s" s="6" r="AD1429">
        <v>92</v>
      </c>
      <c t="s" s="6" r="AE1429">
        <v>92</v>
      </c>
      <c t="s" s="6" r="AF1429">
        <v>92</v>
      </c>
      <c t="s" s="6" r="AG1429">
        <v>92</v>
      </c>
      <c t="s" s="6" r="AH1429">
        <v>92</v>
      </c>
      <c t="s" s="6" r="AI1429">
        <v>92</v>
      </c>
      <c s="6" r="AJ1429">
        <v>9</v>
      </c>
      <c t="s" s="6" r="AK1429">
        <v>92</v>
      </c>
      <c s="6" r="AL1429">
        <v>9</v>
      </c>
      <c t="s" s="6" r="AM1429">
        <v>92</v>
      </c>
      <c t="s" s="6" r="AN1429">
        <v>92</v>
      </c>
      <c s="6" r="AP1429">
        <v>9</v>
      </c>
      <c s="6" r="AS1429">
        <v>0</v>
      </c>
      <c s="6" r="AT1429">
        <v>0</v>
      </c>
      <c s="6" r="AU1429">
        <v>0</v>
      </c>
      <c s="6" r="AV1429">
        <v>0</v>
      </c>
      <c s="6" r="AW1429">
        <v>0</v>
      </c>
      <c s="6" r="AX1429">
        <v>0</v>
      </c>
      <c s="6" r="AY1429">
        <v>1</v>
      </c>
      <c s="6" r="AZ1429">
        <v>0</v>
      </c>
      <c s="6" r="BA1429">
        <v>0</v>
      </c>
      <c s="6" r="BB1429">
        <v>0</v>
      </c>
      <c s="6" r="BC1429">
        <v>0</v>
      </c>
      <c s="6" r="BD1429">
        <v>1</v>
      </c>
      <c s="6" r="BE1429">
        <v>0</v>
      </c>
      <c s="6" r="BF1429">
        <v>0</v>
      </c>
      <c s="6" r="BG1429">
        <v>0</v>
      </c>
      <c s="6" r="BH1429">
        <v>0</v>
      </c>
      <c s="6" r="BI1429">
        <v>0</v>
      </c>
      <c s="6" r="BJ1429">
        <v>0</v>
      </c>
      <c s="6" r="BK1429">
        <v>0</v>
      </c>
      <c s="6" r="BL1429">
        <v>0</v>
      </c>
      <c s="6" r="BM1429">
        <v>0</v>
      </c>
      <c s="6" r="BN1429">
        <v>0</v>
      </c>
      <c s="6" r="BO1429">
        <v>0</v>
      </c>
      <c s="6" r="BP1429">
        <v>0</v>
      </c>
      <c s="6" r="BQ1429">
        <v>0</v>
      </c>
      <c t="s" s="6" r="BR1429">
        <v>92</v>
      </c>
      <c s="6" r="BS1429">
        <v>1452</v>
      </c>
      <c s="6" r="BT1429">
        <v>100</v>
      </c>
      <c s="6" r="BY1429">
        <v>0</v>
      </c>
    </row>
    <row customHeight="1" r="1430" ht="14.25">
      <c t="s" s="6" r="A1430">
        <v>10207</v>
      </c>
      <c t="s" s="6" r="B1430">
        <v>227</v>
      </c>
      <c t="s" s="6" r="D1430">
        <v>10208</v>
      </c>
      <c t="s" s="6" r="E1430">
        <v>1599</v>
      </c>
      <c t="s" s="6" r="F1430">
        <v>81</v>
      </c>
      <c t="s" s="6" r="G1430">
        <v>106</v>
      </c>
      <c s="6" r="H1430">
        <v>0</v>
      </c>
      <c t="s" s="6" r="I1430">
        <v>97</v>
      </c>
      <c t="s" s="6" r="J1430">
        <v>10209</v>
      </c>
      <c t="s" s="6" r="M1430">
        <v>109</v>
      </c>
      <c s="6" r="N1430">
        <v>0</v>
      </c>
      <c s="6" r="O1430">
        <v>0</v>
      </c>
      <c t="s" s="6" r="P1430">
        <v>2384</v>
      </c>
      <c t="s" s="6" r="Q1430">
        <v>188</v>
      </c>
      <c t="s" s="6" r="R1430">
        <v>10210</v>
      </c>
      <c t="s" s="6" r="S1430">
        <v>10211</v>
      </c>
      <c t="s" s="6" r="T1430">
        <v>10169</v>
      </c>
      <c t="s" s="6" r="U1430">
        <v>10212</v>
      </c>
      <c s="6" r="V1430">
        <v>1</v>
      </c>
      <c s="6" r="W1430">
        <v>1</v>
      </c>
      <c s="6" r="X1430">
        <v>0</v>
      </c>
      <c s="6" r="Y1430">
        <v>0</v>
      </c>
      <c s="6" r="Z1430">
        <v>0</v>
      </c>
      <c s="6" r="AA1430">
        <v>9</v>
      </c>
      <c s="6" r="AB1430">
        <v>9</v>
      </c>
      <c s="6" r="AC1430">
        <v>9</v>
      </c>
      <c t="s" s="6" r="AD1430">
        <v>92</v>
      </c>
      <c t="s" s="6" r="AE1430">
        <v>92</v>
      </c>
      <c t="s" s="6" r="AF1430">
        <v>92</v>
      </c>
      <c t="s" s="6" r="AG1430">
        <v>92</v>
      </c>
      <c t="s" s="6" r="AH1430">
        <v>92</v>
      </c>
      <c t="s" s="6" r="AI1430">
        <v>92</v>
      </c>
      <c t="s" s="6" r="AJ1430">
        <v>92</v>
      </c>
      <c t="s" s="6" r="AK1430">
        <v>92</v>
      </c>
      <c s="6" r="AL1430">
        <v>9</v>
      </c>
      <c t="s" s="6" r="AM1430">
        <v>92</v>
      </c>
      <c t="s" s="6" r="AN1430">
        <v>92</v>
      </c>
      <c s="6" r="AP1430">
        <v>9</v>
      </c>
      <c s="6" r="AS1430">
        <v>1</v>
      </c>
      <c s="6" r="AT1430">
        <v>0</v>
      </c>
      <c s="6" r="AU1430">
        <v>0</v>
      </c>
      <c s="6" r="AV1430">
        <v>0</v>
      </c>
      <c s="6" r="AW1430">
        <v>0</v>
      </c>
      <c s="6" r="AX1430">
        <v>0</v>
      </c>
      <c s="6" r="AY1430">
        <v>0</v>
      </c>
      <c s="6" r="AZ1430">
        <v>0</v>
      </c>
      <c s="6" r="BA1430">
        <v>0</v>
      </c>
      <c s="6" r="BB1430">
        <v>0</v>
      </c>
      <c s="6" r="BC1430">
        <v>0</v>
      </c>
      <c s="6" r="BD1430">
        <v>1</v>
      </c>
      <c s="6" r="BE1430">
        <v>0</v>
      </c>
      <c s="6" r="BF1430">
        <v>0</v>
      </c>
      <c s="6" r="BG1430">
        <v>0</v>
      </c>
      <c s="6" r="BH1430">
        <v>0</v>
      </c>
      <c s="6" r="BI1430">
        <v>0</v>
      </c>
      <c s="6" r="BJ1430">
        <v>0</v>
      </c>
      <c s="6" r="BK1430">
        <v>0</v>
      </c>
      <c s="6" r="BL1430">
        <v>0</v>
      </c>
      <c s="6" r="BM1430">
        <v>0</v>
      </c>
      <c s="6" r="BN1430">
        <v>0</v>
      </c>
      <c s="6" r="BO1430">
        <v>0</v>
      </c>
      <c s="6" r="BP1430">
        <v>0</v>
      </c>
      <c s="6" r="BQ1430">
        <v>0</v>
      </c>
      <c t="s" s="6" r="BR1430">
        <v>92</v>
      </c>
      <c s="6" r="BS1430">
        <v>1453</v>
      </c>
      <c t="s" s="6" r="BT1430">
        <v>92</v>
      </c>
      <c s="6" r="BY1430">
        <v>0</v>
      </c>
    </row>
    <row customHeight="1" r="1431" ht="14.25">
      <c t="s" s="6" r="A1431">
        <v>10213</v>
      </c>
      <c t="s" s="6" r="B1431">
        <v>78</v>
      </c>
      <c t="s" s="6" r="C1431">
        <v>1042</v>
      </c>
      <c t="s" s="6" r="E1431">
        <v>4399</v>
      </c>
      <c t="s" s="6" r="F1431">
        <v>4552</v>
      </c>
      <c t="s" s="6" r="G1431">
        <v>4553</v>
      </c>
      <c s="6" r="H1431">
        <v>1</v>
      </c>
      <c t="s" s="6" r="I1431">
        <v>107</v>
      </c>
      <c t="s" s="6" r="L1431">
        <v>10214</v>
      </c>
      <c t="s" s="6" r="M1431">
        <v>2896</v>
      </c>
      <c s="6" r="N1431">
        <v>0</v>
      </c>
      <c s="6" r="O1431">
        <v>0</v>
      </c>
      <c t="s" s="6" r="P1431">
        <v>221</v>
      </c>
      <c t="s" s="6" r="Q1431">
        <v>3831</v>
      </c>
      <c t="s" s="6" r="R1431">
        <v>10215</v>
      </c>
      <c t="s" s="6" r="S1431">
        <v>10216</v>
      </c>
      <c t="s" s="6" r="T1431">
        <v>10169</v>
      </c>
      <c t="s" s="6" r="U1431">
        <v>10217</v>
      </c>
      <c s="6" r="V1431">
        <v>1</v>
      </c>
      <c s="6" r="W1431">
        <v>1</v>
      </c>
      <c s="6" r="X1431">
        <v>1</v>
      </c>
      <c s="6" r="Y1431">
        <v>0</v>
      </c>
      <c s="6" r="Z1431">
        <v>0</v>
      </c>
      <c s="6" r="AA1431">
        <v>7</v>
      </c>
      <c s="6" r="AB1431">
        <v>7</v>
      </c>
      <c s="6" r="AC1431">
        <v>7</v>
      </c>
      <c t="s" s="6" r="AD1431">
        <v>92</v>
      </c>
      <c t="s" s="6" r="AE1431">
        <v>92</v>
      </c>
      <c t="s" s="6" r="AF1431">
        <v>92</v>
      </c>
      <c t="s" s="6" r="AG1431">
        <v>92</v>
      </c>
      <c t="s" s="6" r="AH1431">
        <v>92</v>
      </c>
      <c t="s" s="6" r="AI1431">
        <v>92</v>
      </c>
      <c s="6" r="AJ1431">
        <v>7</v>
      </c>
      <c t="s" s="6" r="AK1431">
        <v>92</v>
      </c>
      <c s="6" r="AL1431">
        <v>7</v>
      </c>
      <c t="s" s="6" r="AM1431">
        <v>92</v>
      </c>
      <c t="s" s="6" r="AN1431">
        <v>92</v>
      </c>
      <c s="6" r="AP1431">
        <v>7</v>
      </c>
      <c s="6" r="AS1431">
        <v>0</v>
      </c>
      <c s="6" r="AT1431">
        <v>0</v>
      </c>
      <c s="6" r="AU1431">
        <v>0</v>
      </c>
      <c s="6" r="AV1431">
        <v>0</v>
      </c>
      <c s="6" r="AW1431">
        <v>0</v>
      </c>
      <c s="6" r="AX1431">
        <v>0</v>
      </c>
      <c s="6" r="AY1431">
        <v>0</v>
      </c>
      <c s="6" r="AZ1431">
        <v>0</v>
      </c>
      <c s="6" r="BA1431">
        <v>0</v>
      </c>
      <c s="6" r="BB1431">
        <v>0</v>
      </c>
      <c s="6" r="BC1431">
        <v>0</v>
      </c>
      <c s="6" r="BD1431">
        <v>0</v>
      </c>
      <c s="6" r="BE1431">
        <v>0</v>
      </c>
      <c s="6" r="BF1431">
        <v>0</v>
      </c>
      <c s="6" r="BG1431">
        <v>0</v>
      </c>
      <c s="6" r="BH1431">
        <v>0</v>
      </c>
      <c s="6" r="BI1431">
        <v>0</v>
      </c>
      <c s="6" r="BJ1431">
        <v>0</v>
      </c>
      <c s="6" r="BK1431">
        <v>0</v>
      </c>
      <c s="6" r="BL1431">
        <v>0</v>
      </c>
      <c s="6" r="BM1431">
        <v>0</v>
      </c>
      <c s="6" r="BN1431">
        <v>0</v>
      </c>
      <c s="6" r="BO1431">
        <v>0</v>
      </c>
      <c s="6" r="BP1431">
        <v>0</v>
      </c>
      <c s="6" r="BQ1431">
        <v>0</v>
      </c>
      <c t="s" s="6" r="BR1431">
        <v>92</v>
      </c>
      <c s="6" r="BS1431">
        <v>1454</v>
      </c>
      <c s="6" r="BT1431">
        <v>1000</v>
      </c>
      <c s="6" r="BY1431">
        <v>0</v>
      </c>
    </row>
    <row customHeight="1" r="1432" ht="14.25">
      <c t="s" s="6" r="A1432">
        <v>10218</v>
      </c>
      <c t="s" s="6" r="B1432">
        <v>78</v>
      </c>
      <c t="s" s="6" r="C1432">
        <v>1042</v>
      </c>
      <c t="s" s="6" r="D1432">
        <v>55</v>
      </c>
      <c t="s" s="6" r="E1432">
        <v>10219</v>
      </c>
      <c t="s" s="6" r="F1432">
        <v>272</v>
      </c>
      <c t="s" s="6" r="G1432">
        <v>10220</v>
      </c>
      <c s="6" r="H1432">
        <v>0</v>
      </c>
      <c t="s" s="6" r="I1432">
        <v>107</v>
      </c>
      <c t="s" s="6" r="K1432">
        <v>4244</v>
      </c>
      <c t="s" s="6" r="M1432">
        <v>483</v>
      </c>
      <c s="6" r="N1432">
        <v>1</v>
      </c>
      <c s="6" r="O1432">
        <v>0</v>
      </c>
      <c t="s" s="6" r="P1432">
        <v>86</v>
      </c>
      <c t="s" s="6" r="Q1432">
        <v>87</v>
      </c>
      <c t="s" s="6" r="R1432">
        <v>10221</v>
      </c>
      <c t="s" s="6" r="S1432">
        <v>10222</v>
      </c>
      <c t="s" s="6" r="T1432">
        <v>10169</v>
      </c>
      <c t="s" s="6" r="U1432">
        <v>10223</v>
      </c>
      <c s="6" r="V1432">
        <v>1</v>
      </c>
      <c s="6" r="W1432">
        <v>1</v>
      </c>
      <c s="6" r="X1432">
        <v>0</v>
      </c>
      <c s="6" r="Y1432">
        <v>0</v>
      </c>
      <c s="6" r="Z1432">
        <v>0</v>
      </c>
      <c s="6" r="AA1432">
        <v>2</v>
      </c>
      <c s="6" r="AB1432">
        <v>2</v>
      </c>
      <c s="6" r="AC1432">
        <v>2</v>
      </c>
      <c t="s" s="6" r="AD1432">
        <v>92</v>
      </c>
      <c t="s" s="6" r="AE1432">
        <v>92</v>
      </c>
      <c t="s" s="6" r="AF1432">
        <v>92</v>
      </c>
      <c t="s" s="6" r="AG1432">
        <v>92</v>
      </c>
      <c t="s" s="6" r="AH1432">
        <v>92</v>
      </c>
      <c s="6" r="AI1432">
        <v>2</v>
      </c>
      <c s="6" r="AJ1432">
        <v>2</v>
      </c>
      <c t="s" s="6" r="AK1432">
        <v>92</v>
      </c>
      <c s="6" r="AL1432">
        <v>2</v>
      </c>
      <c t="s" s="6" r="AM1432">
        <v>92</v>
      </c>
      <c t="s" s="6" r="AN1432">
        <v>92</v>
      </c>
      <c s="6" r="AP1432">
        <v>2</v>
      </c>
      <c s="6" r="AS1432">
        <v>0</v>
      </c>
      <c s="6" r="AT1432">
        <v>0</v>
      </c>
      <c s="6" r="AU1432">
        <v>0</v>
      </c>
      <c s="6" r="AV1432">
        <v>0</v>
      </c>
      <c s="6" r="AW1432">
        <v>0</v>
      </c>
      <c s="6" r="AX1432">
        <v>0</v>
      </c>
      <c s="6" r="AY1432">
        <v>0</v>
      </c>
      <c s="6" r="AZ1432">
        <v>0</v>
      </c>
      <c s="6" r="BA1432">
        <v>0</v>
      </c>
      <c s="6" r="BB1432">
        <v>0</v>
      </c>
      <c s="6" r="BC1432">
        <v>0</v>
      </c>
      <c s="6" r="BD1432">
        <v>1</v>
      </c>
      <c s="6" r="BE1432">
        <v>0</v>
      </c>
      <c s="6" r="BF1432">
        <v>0</v>
      </c>
      <c s="6" r="BG1432">
        <v>0</v>
      </c>
      <c s="6" r="BH1432">
        <v>0</v>
      </c>
      <c s="6" r="BI1432">
        <v>0</v>
      </c>
      <c s="6" r="BJ1432">
        <v>0</v>
      </c>
      <c s="6" r="BK1432">
        <v>0</v>
      </c>
      <c s="6" r="BL1432">
        <v>0</v>
      </c>
      <c s="6" r="BM1432">
        <v>0</v>
      </c>
      <c s="6" r="BN1432">
        <v>0</v>
      </c>
      <c s="6" r="BO1432">
        <v>0</v>
      </c>
      <c s="6" r="BP1432">
        <v>0</v>
      </c>
      <c s="6" r="BQ1432">
        <v>0</v>
      </c>
      <c t="s" s="6" r="BR1432">
        <v>92</v>
      </c>
      <c s="6" r="BS1432">
        <v>1455</v>
      </c>
      <c t="s" s="6" r="BT1432">
        <v>92</v>
      </c>
      <c s="6" r="BY1432">
        <v>0</v>
      </c>
    </row>
    <row customHeight="1" r="1433" ht="14.25">
      <c t="s" s="6" r="A1433">
        <v>10224</v>
      </c>
      <c t="s" s="6" r="B1433">
        <v>78</v>
      </c>
      <c t="s" s="6" r="C1433">
        <v>1042</v>
      </c>
      <c t="s" s="6" r="D1433">
        <v>55</v>
      </c>
      <c t="s" s="6" r="E1433">
        <v>10225</v>
      </c>
      <c t="s" s="6" r="F1433">
        <v>272</v>
      </c>
      <c t="s" s="6" r="G1433">
        <v>10220</v>
      </c>
      <c s="6" r="H1433">
        <v>0</v>
      </c>
      <c t="s" s="6" r="I1433">
        <v>107</v>
      </c>
      <c t="s" s="6" r="K1433">
        <v>4244</v>
      </c>
      <c t="s" s="6" r="M1433">
        <v>483</v>
      </c>
      <c s="6" r="N1433">
        <v>1</v>
      </c>
      <c s="6" r="O1433">
        <v>0</v>
      </c>
      <c t="s" s="6" r="P1433">
        <v>86</v>
      </c>
      <c t="s" s="6" r="Q1433">
        <v>87</v>
      </c>
      <c t="s" s="6" r="R1433">
        <v>10226</v>
      </c>
      <c t="s" s="6" r="S1433">
        <v>10227</v>
      </c>
      <c t="s" s="6" r="T1433">
        <v>10169</v>
      </c>
      <c t="s" s="6" r="U1433">
        <v>10228</v>
      </c>
      <c s="6" r="V1433">
        <v>1</v>
      </c>
      <c s="6" r="W1433">
        <v>1</v>
      </c>
      <c s="6" r="X1433">
        <v>0</v>
      </c>
      <c s="6" r="Y1433">
        <v>0</v>
      </c>
      <c s="6" r="Z1433">
        <v>0</v>
      </c>
      <c s="6" r="AA1433">
        <v>4</v>
      </c>
      <c s="6" r="AB1433">
        <v>4</v>
      </c>
      <c s="6" r="AC1433">
        <v>4</v>
      </c>
      <c t="s" s="6" r="AD1433">
        <v>92</v>
      </c>
      <c t="s" s="6" r="AE1433">
        <v>92</v>
      </c>
      <c t="s" s="6" r="AF1433">
        <v>92</v>
      </c>
      <c t="s" s="6" r="AG1433">
        <v>92</v>
      </c>
      <c t="s" s="6" r="AH1433">
        <v>92</v>
      </c>
      <c s="6" r="AI1433">
        <v>3</v>
      </c>
      <c s="6" r="AJ1433">
        <v>4</v>
      </c>
      <c t="s" s="6" r="AK1433">
        <v>92</v>
      </c>
      <c s="6" r="AL1433">
        <v>4</v>
      </c>
      <c t="s" s="6" r="AM1433">
        <v>92</v>
      </c>
      <c t="s" s="6" r="AN1433">
        <v>92</v>
      </c>
      <c s="6" r="AP1433">
        <v>4</v>
      </c>
      <c s="6" r="AS1433">
        <v>0</v>
      </c>
      <c s="6" r="AT1433">
        <v>0</v>
      </c>
      <c s="6" r="AU1433">
        <v>0</v>
      </c>
      <c s="6" r="AV1433">
        <v>0</v>
      </c>
      <c s="6" r="AW1433">
        <v>0</v>
      </c>
      <c s="6" r="AX1433">
        <v>0</v>
      </c>
      <c s="6" r="AY1433">
        <v>0</v>
      </c>
      <c s="6" r="AZ1433">
        <v>0</v>
      </c>
      <c s="6" r="BA1433">
        <v>0</v>
      </c>
      <c s="6" r="BB1433">
        <v>0</v>
      </c>
      <c s="6" r="BC1433">
        <v>0</v>
      </c>
      <c s="6" r="BD1433">
        <v>1</v>
      </c>
      <c s="6" r="BE1433">
        <v>0</v>
      </c>
      <c s="6" r="BF1433">
        <v>0</v>
      </c>
      <c s="6" r="BG1433">
        <v>0</v>
      </c>
      <c s="6" r="BH1433">
        <v>0</v>
      </c>
      <c s="6" r="BI1433">
        <v>0</v>
      </c>
      <c s="6" r="BJ1433">
        <v>0</v>
      </c>
      <c s="6" r="BK1433">
        <v>0</v>
      </c>
      <c s="6" r="BL1433">
        <v>0</v>
      </c>
      <c s="6" r="BM1433">
        <v>0</v>
      </c>
      <c s="6" r="BN1433">
        <v>0</v>
      </c>
      <c s="6" r="BO1433">
        <v>0</v>
      </c>
      <c s="6" r="BP1433">
        <v>0</v>
      </c>
      <c s="6" r="BQ1433">
        <v>0</v>
      </c>
      <c t="s" s="6" r="BR1433">
        <v>92</v>
      </c>
      <c s="6" r="BS1433">
        <v>1456</v>
      </c>
      <c t="s" s="6" r="BT1433">
        <v>92</v>
      </c>
      <c s="6" r="BY1433">
        <v>0</v>
      </c>
    </row>
    <row customHeight="1" r="1434" ht="14.25">
      <c t="s" s="6" r="A1434">
        <v>10229</v>
      </c>
      <c t="s" s="6" r="B1434">
        <v>78</v>
      </c>
      <c t="s" s="6" r="C1434">
        <v>1042</v>
      </c>
      <c t="s" s="6" r="D1434">
        <v>55</v>
      </c>
      <c t="s" s="6" r="E1434">
        <v>10230</v>
      </c>
      <c t="s" s="6" r="F1434">
        <v>272</v>
      </c>
      <c t="s" s="6" r="G1434">
        <v>10231</v>
      </c>
      <c s="6" r="H1434">
        <v>0</v>
      </c>
      <c t="s" s="6" r="I1434">
        <v>107</v>
      </c>
      <c t="s" s="6" r="K1434">
        <v>4244</v>
      </c>
      <c t="s" s="6" r="M1434">
        <v>483</v>
      </c>
      <c s="6" r="N1434">
        <v>1</v>
      </c>
      <c s="6" r="O1434">
        <v>0</v>
      </c>
      <c t="s" s="6" r="P1434">
        <v>86</v>
      </c>
      <c t="s" s="6" r="Q1434">
        <v>87</v>
      </c>
      <c t="s" s="6" r="R1434">
        <v>10232</v>
      </c>
      <c t="s" s="6" r="S1434">
        <v>10233</v>
      </c>
      <c t="s" s="6" r="T1434">
        <v>10169</v>
      </c>
      <c t="s" s="6" r="U1434">
        <v>10234</v>
      </c>
      <c s="6" r="V1434">
        <v>1</v>
      </c>
      <c s="6" r="W1434">
        <v>1</v>
      </c>
      <c s="6" r="X1434">
        <v>0</v>
      </c>
      <c s="6" r="Y1434">
        <v>0</v>
      </c>
      <c s="6" r="Z1434">
        <v>0</v>
      </c>
      <c s="6" r="AA1434">
        <v>5</v>
      </c>
      <c s="6" r="AB1434">
        <v>5</v>
      </c>
      <c s="6" r="AC1434">
        <v>5</v>
      </c>
      <c t="s" s="6" r="AD1434">
        <v>92</v>
      </c>
      <c t="s" s="6" r="AE1434">
        <v>92</v>
      </c>
      <c t="s" s="6" r="AF1434">
        <v>92</v>
      </c>
      <c t="s" s="6" r="AG1434">
        <v>92</v>
      </c>
      <c t="s" s="6" r="AH1434">
        <v>92</v>
      </c>
      <c s="6" r="AI1434">
        <v>4</v>
      </c>
      <c s="6" r="AJ1434">
        <v>5</v>
      </c>
      <c t="s" s="6" r="AK1434">
        <v>92</v>
      </c>
      <c s="6" r="AL1434">
        <v>5</v>
      </c>
      <c t="s" s="6" r="AM1434">
        <v>92</v>
      </c>
      <c t="s" s="6" r="AN1434">
        <v>92</v>
      </c>
      <c s="6" r="AP1434">
        <v>5</v>
      </c>
      <c s="6" r="AS1434">
        <v>0</v>
      </c>
      <c s="6" r="AT1434">
        <v>0</v>
      </c>
      <c s="6" r="AU1434">
        <v>0</v>
      </c>
      <c s="6" r="AV1434">
        <v>0</v>
      </c>
      <c s="6" r="AW1434">
        <v>0</v>
      </c>
      <c s="6" r="AX1434">
        <v>0</v>
      </c>
      <c s="6" r="AY1434">
        <v>0</v>
      </c>
      <c s="6" r="AZ1434">
        <v>0</v>
      </c>
      <c s="6" r="BA1434">
        <v>0</v>
      </c>
      <c s="6" r="BB1434">
        <v>0</v>
      </c>
      <c s="6" r="BC1434">
        <v>0</v>
      </c>
      <c s="6" r="BD1434">
        <v>1</v>
      </c>
      <c s="6" r="BE1434">
        <v>0</v>
      </c>
      <c s="6" r="BF1434">
        <v>0</v>
      </c>
      <c s="6" r="BG1434">
        <v>0</v>
      </c>
      <c s="6" r="BH1434">
        <v>0</v>
      </c>
      <c s="6" r="BI1434">
        <v>0</v>
      </c>
      <c s="6" r="BJ1434">
        <v>0</v>
      </c>
      <c s="6" r="BK1434">
        <v>0</v>
      </c>
      <c s="6" r="BL1434">
        <v>0</v>
      </c>
      <c s="6" r="BM1434">
        <v>0</v>
      </c>
      <c s="6" r="BN1434">
        <v>0</v>
      </c>
      <c s="6" r="BO1434">
        <v>0</v>
      </c>
      <c s="6" r="BP1434">
        <v>0</v>
      </c>
      <c s="6" r="BQ1434">
        <v>0</v>
      </c>
      <c t="s" s="6" r="BR1434">
        <v>92</v>
      </c>
      <c s="6" r="BS1434">
        <v>1457</v>
      </c>
      <c t="s" s="6" r="BT1434">
        <v>92</v>
      </c>
      <c s="6" r="BY1434">
        <v>0</v>
      </c>
    </row>
    <row customHeight="1" r="1435" ht="14.25">
      <c t="s" s="6" r="A1435">
        <v>10235</v>
      </c>
      <c t="s" s="6" r="B1435">
        <v>78</v>
      </c>
      <c t="s" s="6" r="C1435">
        <v>1042</v>
      </c>
      <c t="s" s="6" r="D1435">
        <v>55</v>
      </c>
      <c t="s" s="6" r="E1435">
        <v>350</v>
      </c>
      <c t="s" s="6" r="F1435">
        <v>272</v>
      </c>
      <c t="s" s="6" r="G1435">
        <v>10236</v>
      </c>
      <c s="6" r="H1435">
        <v>0</v>
      </c>
      <c t="s" s="6" r="I1435">
        <v>107</v>
      </c>
      <c t="s" s="6" r="K1435">
        <v>4244</v>
      </c>
      <c t="s" s="6" r="M1435">
        <v>483</v>
      </c>
      <c s="6" r="N1435">
        <v>1</v>
      </c>
      <c s="6" r="O1435">
        <v>0</v>
      </c>
      <c t="s" s="6" r="P1435">
        <v>86</v>
      </c>
      <c t="s" s="6" r="Q1435">
        <v>87</v>
      </c>
      <c t="s" s="6" r="R1435">
        <v>10237</v>
      </c>
      <c t="s" s="6" r="S1435">
        <v>10238</v>
      </c>
      <c t="s" s="6" r="T1435">
        <v>10169</v>
      </c>
      <c t="s" s="6" r="U1435">
        <v>10239</v>
      </c>
      <c s="6" r="V1435">
        <v>1</v>
      </c>
      <c s="6" r="W1435">
        <v>1</v>
      </c>
      <c s="6" r="X1435">
        <v>0</v>
      </c>
      <c s="6" r="Y1435">
        <v>0</v>
      </c>
      <c s="6" r="Z1435">
        <v>0</v>
      </c>
      <c s="6" r="AA1435">
        <v>9</v>
      </c>
      <c s="6" r="AB1435">
        <v>9</v>
      </c>
      <c s="6" r="AC1435">
        <v>9</v>
      </c>
      <c t="s" s="6" r="AD1435">
        <v>92</v>
      </c>
      <c t="s" s="6" r="AE1435">
        <v>92</v>
      </c>
      <c t="s" s="6" r="AF1435">
        <v>92</v>
      </c>
      <c t="s" s="6" r="AG1435">
        <v>92</v>
      </c>
      <c t="s" s="6" r="AH1435">
        <v>92</v>
      </c>
      <c t="s" s="6" r="AI1435">
        <v>92</v>
      </c>
      <c s="6" r="AJ1435">
        <v>9</v>
      </c>
      <c t="s" s="6" r="AK1435">
        <v>92</v>
      </c>
      <c s="6" r="AL1435">
        <v>9</v>
      </c>
      <c t="s" s="6" r="AM1435">
        <v>92</v>
      </c>
      <c t="s" s="6" r="AN1435">
        <v>92</v>
      </c>
      <c s="6" r="AP1435">
        <v>9</v>
      </c>
      <c s="6" r="AS1435">
        <v>0</v>
      </c>
      <c s="6" r="AT1435">
        <v>0</v>
      </c>
      <c s="6" r="AU1435">
        <v>0</v>
      </c>
      <c s="6" r="AV1435">
        <v>0</v>
      </c>
      <c s="6" r="AW1435">
        <v>0</v>
      </c>
      <c s="6" r="AX1435">
        <v>0</v>
      </c>
      <c s="6" r="AY1435">
        <v>0</v>
      </c>
      <c s="6" r="AZ1435">
        <v>0</v>
      </c>
      <c s="6" r="BA1435">
        <v>0</v>
      </c>
      <c s="6" r="BB1435">
        <v>0</v>
      </c>
      <c s="6" r="BC1435">
        <v>0</v>
      </c>
      <c s="6" r="BD1435">
        <v>1</v>
      </c>
      <c s="6" r="BE1435">
        <v>0</v>
      </c>
      <c s="6" r="BF1435">
        <v>0</v>
      </c>
      <c s="6" r="BG1435">
        <v>0</v>
      </c>
      <c s="6" r="BH1435">
        <v>0</v>
      </c>
      <c s="6" r="BI1435">
        <v>0</v>
      </c>
      <c s="6" r="BJ1435">
        <v>0</v>
      </c>
      <c s="6" r="BK1435">
        <v>0</v>
      </c>
      <c s="6" r="BL1435">
        <v>0</v>
      </c>
      <c s="6" r="BM1435">
        <v>0</v>
      </c>
      <c s="6" r="BN1435">
        <v>0</v>
      </c>
      <c s="6" r="BO1435">
        <v>0</v>
      </c>
      <c s="6" r="BP1435">
        <v>0</v>
      </c>
      <c s="6" r="BQ1435">
        <v>0</v>
      </c>
      <c t="s" s="6" r="BR1435">
        <v>92</v>
      </c>
      <c s="6" r="BS1435">
        <v>1458</v>
      </c>
      <c t="s" s="6" r="BT1435">
        <v>92</v>
      </c>
      <c s="6" r="BY1435">
        <v>0</v>
      </c>
    </row>
    <row customHeight="1" r="1436" ht="14.25">
      <c t="s" s="6" r="A1436">
        <v>10240</v>
      </c>
      <c t="s" s="6" r="B1436">
        <v>78</v>
      </c>
      <c t="s" s="6" r="C1436">
        <v>1042</v>
      </c>
      <c t="s" s="6" r="D1436">
        <v>55</v>
      </c>
      <c t="s" s="6" r="E1436">
        <v>1379</v>
      </c>
      <c t="s" s="6" r="F1436">
        <v>272</v>
      </c>
      <c t="s" s="6" r="G1436">
        <v>10241</v>
      </c>
      <c s="6" r="H1436">
        <v>0</v>
      </c>
      <c t="s" s="6" r="I1436">
        <v>107</v>
      </c>
      <c t="s" s="6" r="K1436">
        <v>4244</v>
      </c>
      <c t="s" s="6" r="M1436">
        <v>483</v>
      </c>
      <c s="6" r="N1436">
        <v>1</v>
      </c>
      <c s="6" r="O1436">
        <v>0</v>
      </c>
      <c t="s" s="6" r="P1436">
        <v>86</v>
      </c>
      <c t="s" s="6" r="Q1436">
        <v>87</v>
      </c>
      <c t="s" s="6" r="R1436">
        <v>10242</v>
      </c>
      <c t="s" s="6" r="S1436">
        <v>10243</v>
      </c>
      <c t="s" s="6" r="T1436">
        <v>10169</v>
      </c>
      <c t="s" s="6" r="U1436">
        <v>10244</v>
      </c>
      <c s="6" r="V1436">
        <v>1</v>
      </c>
      <c s="6" r="W1436">
        <v>1</v>
      </c>
      <c s="6" r="X1436">
        <v>0</v>
      </c>
      <c s="6" r="Y1436">
        <v>0</v>
      </c>
      <c s="6" r="Z1436">
        <v>0</v>
      </c>
      <c s="6" r="AA1436">
        <v>8</v>
      </c>
      <c s="6" r="AB1436">
        <v>8</v>
      </c>
      <c s="6" r="AC1436">
        <v>8</v>
      </c>
      <c t="s" s="6" r="AD1436">
        <v>92</v>
      </c>
      <c t="s" s="6" r="AE1436">
        <v>92</v>
      </c>
      <c t="s" s="6" r="AF1436">
        <v>92</v>
      </c>
      <c t="s" s="6" r="AG1436">
        <v>92</v>
      </c>
      <c t="s" s="6" r="AH1436">
        <v>92</v>
      </c>
      <c s="6" r="AI1436">
        <v>6</v>
      </c>
      <c s="6" r="AJ1436">
        <v>8</v>
      </c>
      <c t="s" s="6" r="AK1436">
        <v>92</v>
      </c>
      <c s="6" r="AL1436">
        <v>8</v>
      </c>
      <c t="s" s="6" r="AM1436">
        <v>92</v>
      </c>
      <c t="s" s="6" r="AN1436">
        <v>92</v>
      </c>
      <c s="6" r="AP1436">
        <v>8</v>
      </c>
      <c s="6" r="AS1436">
        <v>0</v>
      </c>
      <c s="6" r="AT1436">
        <v>0</v>
      </c>
      <c s="6" r="AU1436">
        <v>0</v>
      </c>
      <c s="6" r="AV1436">
        <v>0</v>
      </c>
      <c s="6" r="AW1436">
        <v>0</v>
      </c>
      <c s="6" r="AX1436">
        <v>0</v>
      </c>
      <c s="6" r="AY1436">
        <v>0</v>
      </c>
      <c s="6" r="AZ1436">
        <v>0</v>
      </c>
      <c s="6" r="BA1436">
        <v>0</v>
      </c>
      <c s="6" r="BB1436">
        <v>0</v>
      </c>
      <c s="6" r="BC1436">
        <v>0</v>
      </c>
      <c s="6" r="BD1436">
        <v>1</v>
      </c>
      <c s="6" r="BE1436">
        <v>0</v>
      </c>
      <c s="6" r="BF1436">
        <v>0</v>
      </c>
      <c s="6" r="BG1436">
        <v>0</v>
      </c>
      <c s="6" r="BH1436">
        <v>0</v>
      </c>
      <c s="6" r="BI1436">
        <v>0</v>
      </c>
      <c s="6" r="BJ1436">
        <v>0</v>
      </c>
      <c s="6" r="BK1436">
        <v>0</v>
      </c>
      <c s="6" r="BL1436">
        <v>0</v>
      </c>
      <c s="6" r="BM1436">
        <v>0</v>
      </c>
      <c s="6" r="BN1436">
        <v>0</v>
      </c>
      <c s="6" r="BO1436">
        <v>0</v>
      </c>
      <c s="6" r="BP1436">
        <v>0</v>
      </c>
      <c s="6" r="BQ1436">
        <v>0</v>
      </c>
      <c t="s" s="6" r="BR1436">
        <v>92</v>
      </c>
      <c s="6" r="BS1436">
        <v>1459</v>
      </c>
      <c t="s" s="6" r="BT1436">
        <v>92</v>
      </c>
      <c s="6" r="BY1436">
        <v>0</v>
      </c>
    </row>
    <row customHeight="1" r="1437" ht="14.25">
      <c t="s" s="6" r="A1437">
        <v>10245</v>
      </c>
      <c t="s" s="6" r="B1437">
        <v>78</v>
      </c>
      <c t="s" s="6" r="C1437">
        <v>1042</v>
      </c>
      <c t="s" s="6" r="D1437">
        <v>55</v>
      </c>
      <c t="s" s="6" r="E1437">
        <v>1379</v>
      </c>
      <c t="s" s="6" r="F1437">
        <v>272</v>
      </c>
      <c t="s" s="6" r="G1437">
        <v>10246</v>
      </c>
      <c s="6" r="H1437">
        <v>0</v>
      </c>
      <c t="s" s="6" r="I1437">
        <v>107</v>
      </c>
      <c t="s" s="6" r="K1437">
        <v>4244</v>
      </c>
      <c t="s" s="6" r="M1437">
        <v>483</v>
      </c>
      <c s="6" r="N1437">
        <v>1</v>
      </c>
      <c s="6" r="O1437">
        <v>0</v>
      </c>
      <c t="s" s="6" r="P1437">
        <v>86</v>
      </c>
      <c t="s" s="6" r="Q1437">
        <v>87</v>
      </c>
      <c t="s" s="6" r="R1437">
        <v>10247</v>
      </c>
      <c t="s" s="6" r="S1437">
        <v>10248</v>
      </c>
      <c t="s" s="6" r="T1437">
        <v>10169</v>
      </c>
      <c t="s" s="6" r="U1437">
        <v>10249</v>
      </c>
      <c s="6" r="V1437">
        <v>1</v>
      </c>
      <c s="6" r="W1437">
        <v>1</v>
      </c>
      <c s="6" r="X1437">
        <v>0</v>
      </c>
      <c s="6" r="Y1437">
        <v>0</v>
      </c>
      <c s="6" r="Z1437">
        <v>0</v>
      </c>
      <c s="6" r="AA1437">
        <v>8</v>
      </c>
      <c s="6" r="AB1437">
        <v>8</v>
      </c>
      <c s="6" r="AC1437">
        <v>8</v>
      </c>
      <c t="s" s="6" r="AD1437">
        <v>92</v>
      </c>
      <c t="s" s="6" r="AE1437">
        <v>92</v>
      </c>
      <c t="s" s="6" r="AF1437">
        <v>92</v>
      </c>
      <c t="s" s="6" r="AG1437">
        <v>92</v>
      </c>
      <c t="s" s="6" r="AH1437">
        <v>92</v>
      </c>
      <c s="6" r="AI1437">
        <v>6</v>
      </c>
      <c s="6" r="AJ1437">
        <v>8</v>
      </c>
      <c t="s" s="6" r="AK1437">
        <v>92</v>
      </c>
      <c s="6" r="AL1437">
        <v>8</v>
      </c>
      <c t="s" s="6" r="AM1437">
        <v>92</v>
      </c>
      <c t="s" s="6" r="AN1437">
        <v>92</v>
      </c>
      <c s="6" r="AP1437">
        <v>8</v>
      </c>
      <c s="6" r="AS1437">
        <v>0</v>
      </c>
      <c s="6" r="AT1437">
        <v>0</v>
      </c>
      <c s="6" r="AU1437">
        <v>0</v>
      </c>
      <c s="6" r="AV1437">
        <v>0</v>
      </c>
      <c s="6" r="AW1437">
        <v>0</v>
      </c>
      <c s="6" r="AX1437">
        <v>0</v>
      </c>
      <c s="6" r="AY1437">
        <v>0</v>
      </c>
      <c s="6" r="AZ1437">
        <v>0</v>
      </c>
      <c s="6" r="BA1437">
        <v>0</v>
      </c>
      <c s="6" r="BB1437">
        <v>0</v>
      </c>
      <c s="6" r="BC1437">
        <v>0</v>
      </c>
      <c s="6" r="BD1437">
        <v>1</v>
      </c>
      <c s="6" r="BE1437">
        <v>0</v>
      </c>
      <c s="6" r="BF1437">
        <v>0</v>
      </c>
      <c s="6" r="BG1437">
        <v>0</v>
      </c>
      <c s="6" r="BH1437">
        <v>0</v>
      </c>
      <c s="6" r="BI1437">
        <v>0</v>
      </c>
      <c s="6" r="BJ1437">
        <v>0</v>
      </c>
      <c s="6" r="BK1437">
        <v>0</v>
      </c>
      <c s="6" r="BL1437">
        <v>0</v>
      </c>
      <c s="6" r="BM1437">
        <v>0</v>
      </c>
      <c s="6" r="BN1437">
        <v>0</v>
      </c>
      <c s="6" r="BO1437">
        <v>0</v>
      </c>
      <c s="6" r="BP1437">
        <v>0</v>
      </c>
      <c s="6" r="BQ1437">
        <v>0</v>
      </c>
      <c t="s" s="6" r="BR1437">
        <v>92</v>
      </c>
      <c s="6" r="BS1437">
        <v>1460</v>
      </c>
      <c t="s" s="6" r="BT1437">
        <v>92</v>
      </c>
      <c s="6" r="BY1437">
        <v>0</v>
      </c>
    </row>
    <row customHeight="1" r="1438" ht="14.25">
      <c t="s" s="6" r="A1438">
        <v>10250</v>
      </c>
      <c t="s" s="6" r="B1438">
        <v>78</v>
      </c>
      <c t="s" s="6" r="C1438">
        <v>1042</v>
      </c>
      <c t="s" s="6" r="D1438">
        <v>55</v>
      </c>
      <c t="s" s="6" r="E1438">
        <v>350</v>
      </c>
      <c t="s" s="6" r="F1438">
        <v>272</v>
      </c>
      <c t="s" s="6" r="G1438">
        <v>10251</v>
      </c>
      <c s="6" r="H1438">
        <v>0</v>
      </c>
      <c t="s" s="6" r="I1438">
        <v>107</v>
      </c>
      <c t="s" s="6" r="K1438">
        <v>4244</v>
      </c>
      <c t="s" s="6" r="M1438">
        <v>483</v>
      </c>
      <c s="6" r="N1438">
        <v>1</v>
      </c>
      <c s="6" r="O1438">
        <v>0</v>
      </c>
      <c t="s" s="6" r="P1438">
        <v>86</v>
      </c>
      <c t="s" s="6" r="Q1438">
        <v>87</v>
      </c>
      <c t="s" s="6" r="R1438">
        <v>10252</v>
      </c>
      <c t="s" s="6" r="S1438">
        <v>10253</v>
      </c>
      <c t="s" s="6" r="T1438">
        <v>10169</v>
      </c>
      <c t="s" s="6" r="U1438">
        <v>10254</v>
      </c>
      <c s="6" r="V1438">
        <v>1</v>
      </c>
      <c s="6" r="W1438">
        <v>1</v>
      </c>
      <c s="6" r="X1438">
        <v>0</v>
      </c>
      <c s="6" r="Y1438">
        <v>0</v>
      </c>
      <c s="6" r="Z1438">
        <v>0</v>
      </c>
      <c s="6" r="AA1438">
        <v>9</v>
      </c>
      <c s="6" r="AB1438">
        <v>9</v>
      </c>
      <c s="6" r="AC1438">
        <v>9</v>
      </c>
      <c t="s" s="6" r="AD1438">
        <v>92</v>
      </c>
      <c t="s" s="6" r="AE1438">
        <v>92</v>
      </c>
      <c t="s" s="6" r="AF1438">
        <v>92</v>
      </c>
      <c t="s" s="6" r="AG1438">
        <v>92</v>
      </c>
      <c t="s" s="6" r="AH1438">
        <v>92</v>
      </c>
      <c t="s" s="6" r="AI1438">
        <v>92</v>
      </c>
      <c s="6" r="AJ1438">
        <v>9</v>
      </c>
      <c t="s" s="6" r="AK1438">
        <v>92</v>
      </c>
      <c s="6" r="AL1438">
        <v>9</v>
      </c>
      <c t="s" s="6" r="AM1438">
        <v>92</v>
      </c>
      <c t="s" s="6" r="AN1438">
        <v>92</v>
      </c>
      <c s="6" r="AP1438">
        <v>9</v>
      </c>
      <c s="6" r="AS1438">
        <v>0</v>
      </c>
      <c s="6" r="AT1438">
        <v>0</v>
      </c>
      <c s="6" r="AU1438">
        <v>0</v>
      </c>
      <c s="6" r="AV1438">
        <v>0</v>
      </c>
      <c s="6" r="AW1438">
        <v>0</v>
      </c>
      <c s="6" r="AX1438">
        <v>0</v>
      </c>
      <c s="6" r="AY1438">
        <v>0</v>
      </c>
      <c s="6" r="AZ1438">
        <v>0</v>
      </c>
      <c s="6" r="BA1438">
        <v>0</v>
      </c>
      <c s="6" r="BB1438">
        <v>0</v>
      </c>
      <c s="6" r="BC1438">
        <v>0</v>
      </c>
      <c s="6" r="BD1438">
        <v>1</v>
      </c>
      <c s="6" r="BE1438">
        <v>0</v>
      </c>
      <c s="6" r="BF1438">
        <v>0</v>
      </c>
      <c s="6" r="BG1438">
        <v>0</v>
      </c>
      <c s="6" r="BH1438">
        <v>0</v>
      </c>
      <c s="6" r="BI1438">
        <v>0</v>
      </c>
      <c s="6" r="BJ1438">
        <v>0</v>
      </c>
      <c s="6" r="BK1438">
        <v>0</v>
      </c>
      <c s="6" r="BL1438">
        <v>0</v>
      </c>
      <c s="6" r="BM1438">
        <v>0</v>
      </c>
      <c s="6" r="BN1438">
        <v>0</v>
      </c>
      <c s="6" r="BO1438">
        <v>0</v>
      </c>
      <c s="6" r="BP1438">
        <v>0</v>
      </c>
      <c s="6" r="BQ1438">
        <v>0</v>
      </c>
      <c t="s" s="6" r="BR1438">
        <v>92</v>
      </c>
      <c s="6" r="BS1438">
        <v>1461</v>
      </c>
      <c t="s" s="6" r="BT1438">
        <v>92</v>
      </c>
      <c s="6" r="BY1438">
        <v>0</v>
      </c>
    </row>
    <row customHeight="1" r="1439" ht="14.25">
      <c t="s" s="6" r="A1439">
        <v>10255</v>
      </c>
      <c t="s" s="6" r="B1439">
        <v>78</v>
      </c>
      <c t="s" s="6" r="C1439">
        <v>598</v>
      </c>
      <c t="s" s="6" r="E1439">
        <v>2442</v>
      </c>
      <c t="s" s="6" r="F1439">
        <v>197</v>
      </c>
      <c t="s" s="6" r="G1439">
        <v>119</v>
      </c>
      <c s="6" r="H1439">
        <v>0</v>
      </c>
      <c t="s" s="6" r="I1439">
        <v>120</v>
      </c>
      <c t="s" s="6" r="L1439">
        <v>420</v>
      </c>
      <c t="s" s="6" r="M1439">
        <v>109</v>
      </c>
      <c s="6" r="N1439">
        <v>0</v>
      </c>
      <c s="6" r="O1439">
        <v>0</v>
      </c>
      <c t="s" s="6" r="R1439">
        <v>10256</v>
      </c>
      <c t="s" s="6" r="S1439">
        <v>10257</v>
      </c>
      <c t="s" s="6" r="T1439">
        <v>10258</v>
      </c>
      <c t="s" s="6" r="U1439">
        <v>10259</v>
      </c>
      <c s="6" r="V1439">
        <v>1</v>
      </c>
      <c s="6" r="W1439">
        <v>1</v>
      </c>
      <c s="6" r="X1439">
        <v>0</v>
      </c>
      <c s="6" r="Y1439">
        <v>0</v>
      </c>
      <c s="6" r="Z1439">
        <v>1</v>
      </c>
      <c t="s" s="6" r="AA1439">
        <v>92</v>
      </c>
      <c t="s" s="6" r="AB1439">
        <v>92</v>
      </c>
      <c s="6" r="AC1439">
        <v>4</v>
      </c>
      <c t="s" s="6" r="AD1439">
        <v>92</v>
      </c>
      <c t="s" s="6" r="AE1439">
        <v>92</v>
      </c>
      <c t="s" s="6" r="AF1439">
        <v>92</v>
      </c>
      <c t="s" s="6" r="AG1439">
        <v>92</v>
      </c>
      <c t="s" s="6" r="AH1439">
        <v>92</v>
      </c>
      <c t="s" s="6" r="AI1439">
        <v>92</v>
      </c>
      <c t="s" s="6" r="AJ1439">
        <v>92</v>
      </c>
      <c t="s" s="6" r="AK1439">
        <v>92</v>
      </c>
      <c s="6" r="AL1439">
        <v>4</v>
      </c>
      <c t="s" s="6" r="AM1439">
        <v>92</v>
      </c>
      <c t="s" s="6" r="AN1439">
        <v>92</v>
      </c>
      <c s="6" r="AP1439">
        <v>4</v>
      </c>
      <c s="6" r="AS1439">
        <v>0</v>
      </c>
      <c s="6" r="AT1439">
        <v>0</v>
      </c>
      <c s="6" r="AU1439">
        <v>0</v>
      </c>
      <c s="6" r="AV1439">
        <v>0</v>
      </c>
      <c s="6" r="AW1439">
        <v>0</v>
      </c>
      <c s="6" r="AX1439">
        <v>0</v>
      </c>
      <c s="6" r="AY1439">
        <v>0</v>
      </c>
      <c s="6" r="AZ1439">
        <v>0</v>
      </c>
      <c s="6" r="BA1439">
        <v>0</v>
      </c>
      <c s="6" r="BB1439">
        <v>0</v>
      </c>
      <c s="6" r="BC1439">
        <v>0</v>
      </c>
      <c s="6" r="BD1439">
        <v>0</v>
      </c>
      <c s="6" r="BE1439">
        <v>0</v>
      </c>
      <c s="6" r="BF1439">
        <v>0</v>
      </c>
      <c s="6" r="BG1439">
        <v>0</v>
      </c>
      <c s="6" r="BH1439">
        <v>0</v>
      </c>
      <c s="6" r="BI1439">
        <v>0</v>
      </c>
      <c s="6" r="BJ1439">
        <v>0</v>
      </c>
      <c s="6" r="BK1439">
        <v>0</v>
      </c>
      <c s="6" r="BL1439">
        <v>0</v>
      </c>
      <c s="6" r="BM1439">
        <v>0</v>
      </c>
      <c s="6" r="BN1439">
        <v>0</v>
      </c>
      <c s="6" r="BO1439">
        <v>0</v>
      </c>
      <c s="6" r="BP1439">
        <v>0</v>
      </c>
      <c s="6" r="BQ1439">
        <v>0</v>
      </c>
      <c t="s" s="6" r="BR1439">
        <v>92</v>
      </c>
      <c s="6" r="BS1439">
        <v>1462</v>
      </c>
      <c t="s" s="6" r="BT1439">
        <v>92</v>
      </c>
      <c s="6" r="BY1439">
        <v>0</v>
      </c>
    </row>
    <row customHeight="1" r="1440" ht="14.25">
      <c t="s" s="6" r="A1440">
        <v>10260</v>
      </c>
      <c t="s" s="6" r="B1440">
        <v>493</v>
      </c>
      <c t="s" s="6" r="E1440">
        <v>6274</v>
      </c>
      <c t="s" s="6" r="F1440">
        <v>81</v>
      </c>
      <c t="s" s="6" r="G1440">
        <v>106</v>
      </c>
      <c s="6" r="H1440">
        <v>0</v>
      </c>
      <c t="s" s="6" r="I1440">
        <v>155</v>
      </c>
      <c t="s" s="6" r="L1440">
        <v>156</v>
      </c>
      <c t="s" s="6" r="M1440">
        <v>483</v>
      </c>
      <c s="6" r="N1440">
        <v>1</v>
      </c>
      <c s="6" r="O1440">
        <v>0</v>
      </c>
      <c t="s" s="6" r="P1440">
        <v>10261</v>
      </c>
      <c t="s" s="6" r="Q1440">
        <v>188</v>
      </c>
      <c t="s" s="6" r="R1440">
        <v>10262</v>
      </c>
      <c t="s" s="6" r="S1440">
        <v>10263</v>
      </c>
      <c t="s" s="6" r="T1440">
        <v>10264</v>
      </c>
      <c t="s" s="6" r="U1440">
        <v>10265</v>
      </c>
      <c s="6" r="V1440">
        <v>1</v>
      </c>
      <c s="6" r="W1440">
        <v>1</v>
      </c>
      <c s="6" r="X1440">
        <v>0</v>
      </c>
      <c s="6" r="Y1440">
        <v>0</v>
      </c>
      <c s="6" r="Z1440">
        <v>0</v>
      </c>
      <c s="6" r="AA1440">
        <v>3</v>
      </c>
      <c s="6" r="AB1440">
        <v>3</v>
      </c>
      <c t="s" s="6" r="AC1440">
        <v>92</v>
      </c>
      <c t="s" s="6" r="AD1440">
        <v>92</v>
      </c>
      <c t="s" s="6" r="AE1440">
        <v>92</v>
      </c>
      <c t="s" s="6" r="AF1440">
        <v>92</v>
      </c>
      <c t="s" s="6" r="AG1440">
        <v>92</v>
      </c>
      <c t="s" s="6" r="AH1440">
        <v>92</v>
      </c>
      <c t="s" s="6" r="AI1440">
        <v>92</v>
      </c>
      <c s="6" r="AJ1440">
        <v>3</v>
      </c>
      <c t="s" s="6" r="AK1440">
        <v>92</v>
      </c>
      <c t="s" s="6" r="AL1440">
        <v>92</v>
      </c>
      <c t="s" s="6" r="AM1440">
        <v>92</v>
      </c>
      <c t="s" s="6" r="AN1440">
        <v>92</v>
      </c>
      <c s="6" r="AP1440">
        <v>3</v>
      </c>
      <c s="6" r="AS1440">
        <v>0</v>
      </c>
      <c s="6" r="AT1440">
        <v>0</v>
      </c>
      <c s="6" r="AU1440">
        <v>0</v>
      </c>
      <c s="6" r="AV1440">
        <v>0</v>
      </c>
      <c s="6" r="AW1440">
        <v>0</v>
      </c>
      <c s="6" r="AX1440">
        <v>0</v>
      </c>
      <c s="6" r="AY1440">
        <v>0</v>
      </c>
      <c s="6" r="AZ1440">
        <v>0</v>
      </c>
      <c s="6" r="BA1440">
        <v>0</v>
      </c>
      <c s="6" r="BB1440">
        <v>0</v>
      </c>
      <c s="6" r="BC1440">
        <v>0</v>
      </c>
      <c s="6" r="BD1440">
        <v>0</v>
      </c>
      <c s="6" r="BE1440">
        <v>0</v>
      </c>
      <c s="6" r="BF1440">
        <v>0</v>
      </c>
      <c s="6" r="BG1440">
        <v>0</v>
      </c>
      <c s="6" r="BH1440">
        <v>0</v>
      </c>
      <c s="6" r="BI1440">
        <v>0</v>
      </c>
      <c s="6" r="BJ1440">
        <v>0</v>
      </c>
      <c s="6" r="BK1440">
        <v>0</v>
      </c>
      <c s="6" r="BL1440">
        <v>0</v>
      </c>
      <c s="6" r="BM1440">
        <v>0</v>
      </c>
      <c s="6" r="BN1440">
        <v>0</v>
      </c>
      <c s="6" r="BO1440">
        <v>0</v>
      </c>
      <c s="6" r="BP1440">
        <v>0</v>
      </c>
      <c s="6" r="BQ1440">
        <v>0</v>
      </c>
      <c t="s" s="6" r="BR1440">
        <v>92</v>
      </c>
      <c s="6" r="BS1440">
        <v>1463</v>
      </c>
      <c t="s" s="6" r="BT1440">
        <v>92</v>
      </c>
      <c s="6" r="BY1440">
        <v>0</v>
      </c>
    </row>
    <row customHeight="1" r="1441" ht="14.25">
      <c t="s" s="6" r="A1441">
        <v>10266</v>
      </c>
      <c t="s" s="6" r="B1441">
        <v>227</v>
      </c>
      <c t="s" s="6" r="E1441">
        <v>10267</v>
      </c>
      <c t="s" s="6" r="F1441">
        <v>81</v>
      </c>
      <c t="s" s="6" r="G1441">
        <v>106</v>
      </c>
      <c s="6" r="H1441">
        <v>0</v>
      </c>
      <c t="s" s="6" r="I1441">
        <v>120</v>
      </c>
      <c t="s" s="6" r="L1441">
        <v>420</v>
      </c>
      <c t="s" s="6" r="M1441">
        <v>323</v>
      </c>
      <c s="6" r="N1441">
        <v>0</v>
      </c>
      <c s="6" r="O1441">
        <v>0</v>
      </c>
      <c t="s" s="6" r="P1441">
        <v>221</v>
      </c>
      <c t="s" s="6" r="Q1441">
        <v>188</v>
      </c>
      <c t="s" s="6" r="R1441">
        <v>10268</v>
      </c>
      <c t="s" s="6" r="S1441">
        <v>10269</v>
      </c>
      <c t="s" s="6" r="T1441">
        <v>10270</v>
      </c>
      <c t="s" s="6" r="U1441">
        <v>10271</v>
      </c>
      <c s="6" r="V1441">
        <v>1</v>
      </c>
      <c s="6" r="W1441">
        <v>1</v>
      </c>
      <c s="6" r="X1441">
        <v>0</v>
      </c>
      <c s="6" r="Y1441">
        <v>0</v>
      </c>
      <c s="6" r="Z1441">
        <v>0</v>
      </c>
      <c s="6" r="AA1441">
        <v>5</v>
      </c>
      <c s="6" r="AB1441">
        <v>5</v>
      </c>
      <c s="6" r="AC1441">
        <v>4</v>
      </c>
      <c t="s" s="6" r="AD1441">
        <v>92</v>
      </c>
      <c t="s" s="6" r="AE1441">
        <v>92</v>
      </c>
      <c t="s" s="6" r="AF1441">
        <v>92</v>
      </c>
      <c t="s" s="6" r="AG1441">
        <v>92</v>
      </c>
      <c t="s" s="6" r="AH1441">
        <v>92</v>
      </c>
      <c t="s" s="6" r="AI1441">
        <v>92</v>
      </c>
      <c s="6" r="AJ1441">
        <v>4</v>
      </c>
      <c t="s" s="6" r="AK1441">
        <v>92</v>
      </c>
      <c s="6" r="AL1441">
        <v>4</v>
      </c>
      <c t="s" s="6" r="AM1441">
        <v>92</v>
      </c>
      <c t="s" s="6" r="AN1441">
        <v>92</v>
      </c>
      <c s="6" r="AP1441">
        <v>5</v>
      </c>
      <c s="6" r="AS1441">
        <v>0</v>
      </c>
      <c s="6" r="AT1441">
        <v>0</v>
      </c>
      <c s="6" r="AU1441">
        <v>0</v>
      </c>
      <c s="6" r="AV1441">
        <v>0</v>
      </c>
      <c s="6" r="AW1441">
        <v>0</v>
      </c>
      <c s="6" r="AX1441">
        <v>0</v>
      </c>
      <c s="6" r="AY1441">
        <v>0</v>
      </c>
      <c s="6" r="AZ1441">
        <v>0</v>
      </c>
      <c s="6" r="BA1441">
        <v>0</v>
      </c>
      <c s="6" r="BB1441">
        <v>0</v>
      </c>
      <c s="6" r="BC1441">
        <v>0</v>
      </c>
      <c s="6" r="BD1441">
        <v>0</v>
      </c>
      <c s="6" r="BE1441">
        <v>0</v>
      </c>
      <c s="6" r="BF1441">
        <v>0</v>
      </c>
      <c s="6" r="BG1441">
        <v>0</v>
      </c>
      <c s="6" r="BH1441">
        <v>0</v>
      </c>
      <c s="6" r="BI1441">
        <v>0</v>
      </c>
      <c s="6" r="BJ1441">
        <v>0</v>
      </c>
      <c s="6" r="BK1441">
        <v>0</v>
      </c>
      <c s="6" r="BL1441">
        <v>0</v>
      </c>
      <c s="6" r="BM1441">
        <v>0</v>
      </c>
      <c s="6" r="BN1441">
        <v>0</v>
      </c>
      <c s="6" r="BO1441">
        <v>0</v>
      </c>
      <c s="6" r="BP1441">
        <v>0</v>
      </c>
      <c s="6" r="BQ1441">
        <v>0</v>
      </c>
      <c t="s" s="6" r="BR1441">
        <v>92</v>
      </c>
      <c s="6" r="BS1441">
        <v>1464</v>
      </c>
      <c t="s" s="6" r="BT1441">
        <v>92</v>
      </c>
      <c s="6" r="BY1441">
        <v>0</v>
      </c>
    </row>
    <row customHeight="1" r="1442" ht="14.25">
      <c t="s" s="6" r="A1442">
        <v>10272</v>
      </c>
      <c t="s" s="6" r="B1442">
        <v>131</v>
      </c>
      <c t="s" s="6" r="E1442">
        <v>2392</v>
      </c>
      <c t="s" s="6" r="F1442">
        <v>1743</v>
      </c>
      <c t="s" s="6" r="G1442">
        <v>251</v>
      </c>
      <c s="6" r="H1442">
        <v>0</v>
      </c>
      <c t="s" s="6" r="I1442">
        <v>107</v>
      </c>
      <c t="s" s="6" r="L1442">
        <v>10273</v>
      </c>
      <c t="s" s="6" r="M1442">
        <v>10274</v>
      </c>
      <c s="6" r="N1442">
        <v>0</v>
      </c>
      <c s="6" r="O1442">
        <v>0</v>
      </c>
      <c t="s" s="6" r="P1442">
        <v>1746</v>
      </c>
      <c t="s" s="6" r="Q1442">
        <v>536</v>
      </c>
      <c t="s" s="6" r="R1442">
        <v>10275</v>
      </c>
      <c t="s" s="6" r="S1442">
        <v>10276</v>
      </c>
      <c t="s" s="6" r="T1442">
        <v>10270</v>
      </c>
      <c t="s" s="6" r="U1442">
        <v>10277</v>
      </c>
      <c s="6" r="V1442">
        <v>1</v>
      </c>
      <c s="6" r="W1442">
        <v>0</v>
      </c>
      <c s="6" r="X1442">
        <v>0</v>
      </c>
      <c s="6" r="Y1442">
        <v>0</v>
      </c>
      <c s="6" r="Z1442">
        <v>0</v>
      </c>
      <c s="6" r="AA1442">
        <v>2</v>
      </c>
      <c s="6" r="AB1442">
        <v>2</v>
      </c>
      <c t="s" s="6" r="AC1442">
        <v>92</v>
      </c>
      <c t="s" s="6" r="AD1442">
        <v>92</v>
      </c>
      <c t="s" s="6" r="AE1442">
        <v>92</v>
      </c>
      <c s="6" r="AF1442">
        <v>2</v>
      </c>
      <c t="s" s="6" r="AG1442">
        <v>92</v>
      </c>
      <c t="s" s="6" r="AH1442">
        <v>92</v>
      </c>
      <c t="s" s="6" r="AI1442">
        <v>92</v>
      </c>
      <c t="s" s="6" r="AJ1442">
        <v>92</v>
      </c>
      <c t="s" s="6" r="AK1442">
        <v>92</v>
      </c>
      <c t="s" s="6" r="AL1442">
        <v>92</v>
      </c>
      <c t="s" s="6" r="AM1442">
        <v>92</v>
      </c>
      <c t="s" s="6" r="AN1442">
        <v>92</v>
      </c>
      <c s="6" r="AP1442">
        <v>2</v>
      </c>
      <c s="6" r="AS1442">
        <v>0</v>
      </c>
      <c s="6" r="AT1442">
        <v>0</v>
      </c>
      <c s="6" r="AU1442">
        <v>0</v>
      </c>
      <c s="6" r="AV1442">
        <v>0</v>
      </c>
      <c s="6" r="AW1442">
        <v>0</v>
      </c>
      <c s="6" r="AX1442">
        <v>0</v>
      </c>
      <c s="6" r="AY1442">
        <v>0</v>
      </c>
      <c s="6" r="AZ1442">
        <v>0</v>
      </c>
      <c s="6" r="BA1442">
        <v>0</v>
      </c>
      <c s="6" r="BB1442">
        <v>0</v>
      </c>
      <c s="6" r="BC1442">
        <v>0</v>
      </c>
      <c s="6" r="BD1442">
        <v>0</v>
      </c>
      <c s="6" r="BE1442">
        <v>0</v>
      </c>
      <c s="6" r="BF1442">
        <v>0</v>
      </c>
      <c s="6" r="BG1442">
        <v>0</v>
      </c>
      <c s="6" r="BH1442">
        <v>0</v>
      </c>
      <c s="6" r="BI1442">
        <v>0</v>
      </c>
      <c s="6" r="BJ1442">
        <v>0</v>
      </c>
      <c s="6" r="BK1442">
        <v>0</v>
      </c>
      <c s="6" r="BL1442">
        <v>0</v>
      </c>
      <c s="6" r="BM1442">
        <v>0</v>
      </c>
      <c s="6" r="BN1442">
        <v>0</v>
      </c>
      <c s="6" r="BO1442">
        <v>0</v>
      </c>
      <c s="6" r="BP1442">
        <v>0</v>
      </c>
      <c s="6" r="BQ1442">
        <v>0</v>
      </c>
      <c t="s" s="6" r="BR1442">
        <v>92</v>
      </c>
      <c s="6" r="BS1442">
        <v>1465</v>
      </c>
      <c t="s" s="6" r="BT1442">
        <v>92</v>
      </c>
      <c s="6" r="BY1442">
        <v>0</v>
      </c>
    </row>
    <row customHeight="1" r="1443" ht="14.25">
      <c t="s" s="6" r="A1443">
        <v>10278</v>
      </c>
      <c t="s" s="6" r="B1443">
        <v>131</v>
      </c>
      <c t="s" s="6" r="E1443">
        <v>1599</v>
      </c>
      <c t="s" s="6" r="F1443">
        <v>81</v>
      </c>
      <c t="s" s="6" r="G1443">
        <v>1051</v>
      </c>
      <c s="6" r="H1443">
        <v>0</v>
      </c>
      <c t="s" s="6" r="I1443">
        <v>83</v>
      </c>
      <c t="s" s="6" r="L1443">
        <v>10279</v>
      </c>
      <c t="s" s="6" r="M1443">
        <v>141</v>
      </c>
      <c s="6" r="N1443">
        <v>0</v>
      </c>
      <c s="6" r="O1443">
        <v>0</v>
      </c>
      <c t="s" s="6" r="P1443">
        <v>5197</v>
      </c>
      <c t="s" s="6" r="Q1443">
        <v>536</v>
      </c>
      <c t="s" s="6" r="R1443">
        <v>10280</v>
      </c>
      <c t="s" s="6" r="S1443">
        <v>10281</v>
      </c>
      <c t="s" s="6" r="T1443">
        <v>10270</v>
      </c>
      <c t="s" s="6" r="U1443">
        <v>10282</v>
      </c>
      <c s="6" r="V1443">
        <v>1</v>
      </c>
      <c s="6" r="W1443">
        <v>1</v>
      </c>
      <c s="6" r="X1443">
        <v>1</v>
      </c>
      <c s="6" r="Y1443">
        <v>0</v>
      </c>
      <c s="6" r="Z1443">
        <v>0</v>
      </c>
      <c s="6" r="AA1443">
        <v>9</v>
      </c>
      <c s="6" r="AB1443">
        <v>9</v>
      </c>
      <c s="6" r="AC1443">
        <v>9</v>
      </c>
      <c t="s" s="6" r="AD1443">
        <v>92</v>
      </c>
      <c t="s" s="6" r="AE1443">
        <v>92</v>
      </c>
      <c t="s" s="6" r="AF1443">
        <v>92</v>
      </c>
      <c t="s" s="6" r="AG1443">
        <v>92</v>
      </c>
      <c t="s" s="6" r="AH1443">
        <v>92</v>
      </c>
      <c t="s" s="6" r="AI1443">
        <v>92</v>
      </c>
      <c t="s" s="6" r="AJ1443">
        <v>92</v>
      </c>
      <c t="s" s="6" r="AK1443">
        <v>92</v>
      </c>
      <c s="6" r="AL1443">
        <v>9</v>
      </c>
      <c t="s" s="6" r="AM1443">
        <v>92</v>
      </c>
      <c t="s" s="6" r="AN1443">
        <v>92</v>
      </c>
      <c s="6" r="AP1443">
        <v>9</v>
      </c>
      <c s="6" r="AS1443">
        <v>0</v>
      </c>
      <c s="6" r="AT1443">
        <v>0</v>
      </c>
      <c s="6" r="AU1443">
        <v>0</v>
      </c>
      <c s="6" r="AV1443">
        <v>0</v>
      </c>
      <c s="6" r="AW1443">
        <v>0</v>
      </c>
      <c s="6" r="AX1443">
        <v>0</v>
      </c>
      <c s="6" r="AY1443">
        <v>0</v>
      </c>
      <c s="6" r="AZ1443">
        <v>0</v>
      </c>
      <c s="6" r="BA1443">
        <v>0</v>
      </c>
      <c s="6" r="BB1443">
        <v>0</v>
      </c>
      <c s="6" r="BC1443">
        <v>0</v>
      </c>
      <c s="6" r="BD1443">
        <v>0</v>
      </c>
      <c s="6" r="BE1443">
        <v>0</v>
      </c>
      <c s="6" r="BF1443">
        <v>0</v>
      </c>
      <c s="6" r="BG1443">
        <v>0</v>
      </c>
      <c s="6" r="BH1443">
        <v>0</v>
      </c>
      <c s="6" r="BI1443">
        <v>0</v>
      </c>
      <c s="6" r="BJ1443">
        <v>0</v>
      </c>
      <c s="6" r="BK1443">
        <v>0</v>
      </c>
      <c s="6" r="BL1443">
        <v>0</v>
      </c>
      <c s="6" r="BM1443">
        <v>0</v>
      </c>
      <c s="6" r="BN1443">
        <v>0</v>
      </c>
      <c s="6" r="BO1443">
        <v>0</v>
      </c>
      <c s="6" r="BP1443">
        <v>0</v>
      </c>
      <c s="6" r="BQ1443">
        <v>0</v>
      </c>
      <c t="s" s="6" r="BR1443">
        <v>92</v>
      </c>
      <c s="6" r="BS1443">
        <v>1466</v>
      </c>
      <c t="s" s="6" r="BT1443">
        <v>92</v>
      </c>
      <c s="6" r="BY1443">
        <v>0</v>
      </c>
    </row>
    <row customHeight="1" r="1444" ht="14.25">
      <c t="s" s="6" r="A1444">
        <v>10283</v>
      </c>
      <c t="s" s="6" r="B1444">
        <v>227</v>
      </c>
      <c t="s" s="6" r="E1444">
        <v>10284</v>
      </c>
      <c t="s" s="6" r="F1444">
        <v>81</v>
      </c>
      <c t="s" s="6" r="G1444">
        <v>1051</v>
      </c>
      <c s="6" r="H1444">
        <v>0</v>
      </c>
      <c t="s" s="6" r="I1444">
        <v>120</v>
      </c>
      <c t="s" s="6" r="L1444">
        <v>10285</v>
      </c>
      <c t="s" s="6" r="M1444">
        <v>200</v>
      </c>
      <c s="6" r="N1444">
        <v>0</v>
      </c>
      <c s="6" r="O1444">
        <v>0</v>
      </c>
      <c t="s" s="6" r="P1444">
        <v>86</v>
      </c>
      <c t="s" s="6" r="Q1444">
        <v>87</v>
      </c>
      <c t="s" s="6" r="R1444">
        <v>10286</v>
      </c>
      <c t="s" s="6" r="S1444">
        <v>10287</v>
      </c>
      <c t="s" s="6" r="T1444">
        <v>10270</v>
      </c>
      <c t="s" s="6" r="U1444">
        <v>10288</v>
      </c>
      <c s="6" r="V1444">
        <v>1</v>
      </c>
      <c s="6" r="W1444">
        <v>1</v>
      </c>
      <c s="6" r="X1444">
        <v>1</v>
      </c>
      <c s="6" r="Y1444">
        <v>0</v>
      </c>
      <c s="6" r="Z1444">
        <v>0</v>
      </c>
      <c s="6" r="AA1444">
        <v>4</v>
      </c>
      <c s="6" r="AB1444">
        <v>4</v>
      </c>
      <c s="6" r="AC1444">
        <v>3</v>
      </c>
      <c t="s" s="6" r="AD1444">
        <v>92</v>
      </c>
      <c t="s" s="6" r="AE1444">
        <v>92</v>
      </c>
      <c t="s" s="6" r="AF1444">
        <v>92</v>
      </c>
      <c t="s" s="6" r="AG1444">
        <v>92</v>
      </c>
      <c t="s" s="6" r="AH1444">
        <v>92</v>
      </c>
      <c s="6" r="AI1444">
        <v>4</v>
      </c>
      <c s="6" r="AJ1444">
        <v>4</v>
      </c>
      <c t="s" s="6" r="AK1444">
        <v>92</v>
      </c>
      <c s="6" r="AL1444">
        <v>3</v>
      </c>
      <c t="s" s="6" r="AM1444">
        <v>92</v>
      </c>
      <c t="s" s="6" r="AN1444">
        <v>92</v>
      </c>
      <c s="6" r="AP1444">
        <v>4</v>
      </c>
      <c s="6" r="AS1444">
        <v>0</v>
      </c>
      <c s="6" r="AT1444">
        <v>0</v>
      </c>
      <c s="6" r="AU1444">
        <v>0</v>
      </c>
      <c s="6" r="AV1444">
        <v>0</v>
      </c>
      <c s="6" r="AW1444">
        <v>0</v>
      </c>
      <c s="6" r="AX1444">
        <v>0</v>
      </c>
      <c s="6" r="AY1444">
        <v>0</v>
      </c>
      <c s="6" r="AZ1444">
        <v>0</v>
      </c>
      <c s="6" r="BA1444">
        <v>0</v>
      </c>
      <c s="6" r="BB1444">
        <v>0</v>
      </c>
      <c s="6" r="BC1444">
        <v>0</v>
      </c>
      <c s="6" r="BD1444">
        <v>0</v>
      </c>
      <c s="6" r="BE1444">
        <v>0</v>
      </c>
      <c s="6" r="BF1444">
        <v>0</v>
      </c>
      <c s="6" r="BG1444">
        <v>0</v>
      </c>
      <c s="6" r="BH1444">
        <v>0</v>
      </c>
      <c s="6" r="BI1444">
        <v>0</v>
      </c>
      <c s="6" r="BJ1444">
        <v>0</v>
      </c>
      <c s="6" r="BK1444">
        <v>0</v>
      </c>
      <c s="6" r="BL1444">
        <v>0</v>
      </c>
      <c s="6" r="BM1444">
        <v>0</v>
      </c>
      <c s="6" r="BN1444">
        <v>0</v>
      </c>
      <c s="6" r="BO1444">
        <v>0</v>
      </c>
      <c s="6" r="BP1444">
        <v>0</v>
      </c>
      <c s="6" r="BQ1444">
        <v>0</v>
      </c>
      <c t="s" s="6" r="BR1444">
        <v>92</v>
      </c>
      <c s="6" r="BS1444">
        <v>1467</v>
      </c>
      <c t="s" s="6" r="BT1444">
        <v>92</v>
      </c>
      <c s="6" r="BY1444">
        <v>0</v>
      </c>
    </row>
    <row customHeight="1" r="1445" ht="14.25">
      <c t="s" s="6" r="A1445">
        <v>10289</v>
      </c>
      <c t="s" s="6" r="B1445">
        <v>174</v>
      </c>
      <c t="s" s="6" r="C1445">
        <v>309</v>
      </c>
      <c t="s" s="6" r="D1445">
        <v>10290</v>
      </c>
      <c t="s" s="6" r="E1445">
        <v>7380</v>
      </c>
      <c t="s" s="6" r="F1445">
        <v>81</v>
      </c>
      <c t="s" s="6" r="G1445">
        <v>10291</v>
      </c>
      <c s="6" r="H1445">
        <v>0</v>
      </c>
      <c t="s" s="6" r="I1445">
        <v>141</v>
      </c>
      <c t="s" s="6" r="K1445">
        <v>10292</v>
      </c>
      <c t="s" s="6" r="M1445">
        <v>209</v>
      </c>
      <c s="6" r="N1445">
        <v>0</v>
      </c>
      <c s="6" r="O1445">
        <v>0</v>
      </c>
      <c t="s" s="6" r="P1445">
        <v>535</v>
      </c>
      <c t="s" s="6" r="Q1445">
        <v>536</v>
      </c>
      <c t="s" s="6" r="R1445">
        <v>10293</v>
      </c>
      <c t="s" s="6" r="S1445">
        <v>10294</v>
      </c>
      <c t="s" s="6" r="T1445">
        <v>10270</v>
      </c>
      <c t="s" s="6" r="U1445">
        <v>10295</v>
      </c>
      <c s="6" r="V1445">
        <v>1</v>
      </c>
      <c s="6" r="W1445">
        <v>1</v>
      </c>
      <c s="6" r="X1445">
        <v>0</v>
      </c>
      <c s="6" r="Y1445">
        <v>0</v>
      </c>
      <c s="6" r="Z1445">
        <v>0</v>
      </c>
      <c s="6" r="AA1445">
        <v>2</v>
      </c>
      <c s="6" r="AB1445">
        <v>2</v>
      </c>
      <c s="6" r="AC1445">
        <v>2</v>
      </c>
      <c t="s" s="6" r="AD1445">
        <v>92</v>
      </c>
      <c t="s" s="6" r="AE1445">
        <v>92</v>
      </c>
      <c s="6" r="AF1445">
        <v>2</v>
      </c>
      <c t="s" s="6" r="AG1445">
        <v>92</v>
      </c>
      <c t="s" s="6" r="AH1445">
        <v>92</v>
      </c>
      <c t="s" s="6" r="AI1445">
        <v>92</v>
      </c>
      <c t="s" s="6" r="AJ1445">
        <v>92</v>
      </c>
      <c t="s" s="6" r="AK1445">
        <v>92</v>
      </c>
      <c s="6" r="AL1445">
        <v>2</v>
      </c>
      <c t="s" s="6" r="AM1445">
        <v>92</v>
      </c>
      <c t="s" s="6" r="AN1445">
        <v>92</v>
      </c>
      <c s="6" r="AP1445">
        <v>2</v>
      </c>
      <c s="6" r="AS1445">
        <v>0</v>
      </c>
      <c s="6" r="AT1445">
        <v>0</v>
      </c>
      <c s="6" r="AU1445">
        <v>0</v>
      </c>
      <c s="6" r="AV1445">
        <v>0</v>
      </c>
      <c s="6" r="AW1445">
        <v>0</v>
      </c>
      <c s="6" r="AX1445">
        <v>0</v>
      </c>
      <c s="6" r="AY1445">
        <v>0</v>
      </c>
      <c s="6" r="AZ1445">
        <v>0</v>
      </c>
      <c s="6" r="BA1445">
        <v>0</v>
      </c>
      <c s="6" r="BB1445">
        <v>0</v>
      </c>
      <c s="6" r="BC1445">
        <v>0</v>
      </c>
      <c s="6" r="BD1445">
        <v>0</v>
      </c>
      <c s="6" r="BE1445">
        <v>0</v>
      </c>
      <c s="6" r="BF1445">
        <v>0</v>
      </c>
      <c s="6" r="BG1445">
        <v>0</v>
      </c>
      <c s="6" r="BH1445">
        <v>0</v>
      </c>
      <c s="6" r="BI1445">
        <v>0</v>
      </c>
      <c s="6" r="BJ1445">
        <v>0</v>
      </c>
      <c s="6" r="BK1445">
        <v>0</v>
      </c>
      <c s="6" r="BL1445">
        <v>0</v>
      </c>
      <c s="6" r="BM1445">
        <v>0</v>
      </c>
      <c s="6" r="BN1445">
        <v>0</v>
      </c>
      <c s="6" r="BO1445">
        <v>0</v>
      </c>
      <c s="6" r="BP1445">
        <v>0</v>
      </c>
      <c s="6" r="BQ1445">
        <v>0</v>
      </c>
      <c t="s" s="6" r="BR1445">
        <v>92</v>
      </c>
      <c s="6" r="BS1445">
        <v>1468</v>
      </c>
      <c t="s" s="6" r="BT1445">
        <v>92</v>
      </c>
      <c s="6" r="BY1445">
        <v>0</v>
      </c>
    </row>
    <row customHeight="1" r="1446" ht="14.25">
      <c t="s" s="6" r="A1446">
        <v>10296</v>
      </c>
      <c t="s" s="6" r="B1446">
        <v>78</v>
      </c>
      <c t="s" s="6" r="C1446">
        <v>79</v>
      </c>
      <c t="s" s="6" r="E1446">
        <v>10297</v>
      </c>
      <c t="s" s="6" r="F1446">
        <v>81</v>
      </c>
      <c t="s" s="6" r="G1446">
        <v>1051</v>
      </c>
      <c s="6" r="H1446">
        <v>0</v>
      </c>
      <c t="s" s="6" r="I1446">
        <v>83</v>
      </c>
      <c t="s" s="6" r="K1446">
        <v>10298</v>
      </c>
      <c t="s" s="6" r="M1446">
        <v>200</v>
      </c>
      <c s="6" r="N1446">
        <v>0</v>
      </c>
      <c s="6" r="O1446">
        <v>0</v>
      </c>
      <c t="s" s="6" r="P1446">
        <v>86</v>
      </c>
      <c t="s" s="6" r="Q1446">
        <v>87</v>
      </c>
      <c t="s" s="6" r="R1446">
        <v>10299</v>
      </c>
      <c t="s" s="6" r="S1446">
        <v>10300</v>
      </c>
      <c t="s" s="6" r="T1446">
        <v>10270</v>
      </c>
      <c t="s" s="6" r="U1446">
        <v>10301</v>
      </c>
      <c s="6" r="V1446">
        <v>1</v>
      </c>
      <c s="6" r="W1446">
        <v>1</v>
      </c>
      <c s="6" r="X1446">
        <v>1</v>
      </c>
      <c s="6" r="Y1446">
        <v>0</v>
      </c>
      <c s="6" r="Z1446">
        <v>0</v>
      </c>
      <c s="6" r="AA1446">
        <v>5</v>
      </c>
      <c s="6" r="AB1446">
        <v>5</v>
      </c>
      <c t="s" s="6" r="AC1446">
        <v>92</v>
      </c>
      <c t="s" s="6" r="AD1446">
        <v>92</v>
      </c>
      <c t="s" s="6" r="AE1446">
        <v>92</v>
      </c>
      <c s="6" r="AF1446">
        <v>4</v>
      </c>
      <c t="s" s="6" r="AG1446">
        <v>92</v>
      </c>
      <c t="s" s="6" r="AH1446">
        <v>92</v>
      </c>
      <c s="6" r="AI1446">
        <v>5</v>
      </c>
      <c s="6" r="AJ1446">
        <v>5</v>
      </c>
      <c t="s" s="6" r="AK1446">
        <v>92</v>
      </c>
      <c t="s" s="6" r="AL1446">
        <v>92</v>
      </c>
      <c t="s" s="6" r="AM1446">
        <v>92</v>
      </c>
      <c t="s" s="6" r="AN1446">
        <v>92</v>
      </c>
      <c s="6" r="AP1446">
        <v>5</v>
      </c>
      <c s="6" r="AS1446">
        <v>0</v>
      </c>
      <c s="6" r="AT1446">
        <v>0</v>
      </c>
      <c s="6" r="AU1446">
        <v>0</v>
      </c>
      <c s="6" r="AV1446">
        <v>0</v>
      </c>
      <c s="6" r="AW1446">
        <v>0</v>
      </c>
      <c s="6" r="AX1446">
        <v>0</v>
      </c>
      <c s="6" r="AY1446">
        <v>0</v>
      </c>
      <c s="6" r="AZ1446">
        <v>0</v>
      </c>
      <c s="6" r="BA1446">
        <v>0</v>
      </c>
      <c s="6" r="BB1446">
        <v>0</v>
      </c>
      <c s="6" r="BC1446">
        <v>0</v>
      </c>
      <c s="6" r="BD1446">
        <v>0</v>
      </c>
      <c s="6" r="BE1446">
        <v>0</v>
      </c>
      <c s="6" r="BF1446">
        <v>0</v>
      </c>
      <c s="6" r="BG1446">
        <v>0</v>
      </c>
      <c s="6" r="BH1446">
        <v>0</v>
      </c>
      <c s="6" r="BI1446">
        <v>0</v>
      </c>
      <c s="6" r="BJ1446">
        <v>0</v>
      </c>
      <c s="6" r="BK1446">
        <v>0</v>
      </c>
      <c s="6" r="BL1446">
        <v>0</v>
      </c>
      <c s="6" r="BM1446">
        <v>0</v>
      </c>
      <c s="6" r="BN1446">
        <v>0</v>
      </c>
      <c s="6" r="BO1446">
        <v>0</v>
      </c>
      <c s="6" r="BP1446">
        <v>0</v>
      </c>
      <c s="6" r="BQ1446">
        <v>0</v>
      </c>
      <c t="s" s="6" r="BR1446">
        <v>92</v>
      </c>
      <c s="6" r="BS1446">
        <v>1469</v>
      </c>
      <c t="s" s="6" r="BT1446">
        <v>92</v>
      </c>
      <c s="6" r="BY1446">
        <v>0</v>
      </c>
    </row>
    <row customHeight="1" r="1447" ht="14.25">
      <c t="s" s="6" r="A1447">
        <v>10302</v>
      </c>
      <c t="s" s="6" r="B1447">
        <v>131</v>
      </c>
      <c t="s" s="6" r="E1447">
        <v>6320</v>
      </c>
      <c t="s" s="6" r="F1447">
        <v>81</v>
      </c>
      <c t="s" s="6" r="G1447">
        <v>251</v>
      </c>
      <c s="6" r="H1447">
        <v>0</v>
      </c>
      <c t="s" s="6" r="I1447">
        <v>155</v>
      </c>
      <c t="s" s="6" r="L1447">
        <v>156</v>
      </c>
      <c t="s" s="6" r="M1447">
        <v>209</v>
      </c>
      <c s="6" r="N1447">
        <v>0</v>
      </c>
      <c s="6" r="O1447">
        <v>0</v>
      </c>
      <c t="s" s="6" r="R1447">
        <v>10303</v>
      </c>
      <c t="s" s="6" r="S1447">
        <v>10304</v>
      </c>
      <c t="s" s="6" r="T1447">
        <v>10305</v>
      </c>
      <c t="s" s="6" r="U1447">
        <v>10306</v>
      </c>
      <c s="6" r="V1447">
        <v>1</v>
      </c>
      <c s="6" r="W1447">
        <v>0</v>
      </c>
      <c s="6" r="X1447">
        <v>0</v>
      </c>
      <c s="6" r="Y1447">
        <v>0</v>
      </c>
      <c s="6" r="Z1447">
        <v>0</v>
      </c>
      <c s="6" r="AA1447">
        <v>5</v>
      </c>
      <c s="6" r="AB1447">
        <v>5</v>
      </c>
      <c s="6" r="AC1447">
        <v>4</v>
      </c>
      <c t="s" s="6" r="AD1447">
        <v>92</v>
      </c>
      <c t="s" s="6" r="AE1447">
        <v>92</v>
      </c>
      <c t="s" s="6" r="AF1447">
        <v>92</v>
      </c>
      <c t="s" s="6" r="AG1447">
        <v>92</v>
      </c>
      <c s="6" r="AH1447">
        <v>5</v>
      </c>
      <c s="6" r="AI1447">
        <v>5</v>
      </c>
      <c t="s" s="6" r="AJ1447">
        <v>92</v>
      </c>
      <c t="s" s="6" r="AK1447">
        <v>92</v>
      </c>
      <c s="6" r="AL1447">
        <v>4</v>
      </c>
      <c t="s" s="6" r="AM1447">
        <v>92</v>
      </c>
      <c t="s" s="6" r="AN1447">
        <v>92</v>
      </c>
      <c s="6" r="AP1447">
        <v>5</v>
      </c>
      <c s="6" r="AS1447">
        <v>0</v>
      </c>
      <c s="6" r="AT1447">
        <v>0</v>
      </c>
      <c s="6" r="AU1447">
        <v>0</v>
      </c>
      <c s="6" r="AV1447">
        <v>0</v>
      </c>
      <c s="6" r="AW1447">
        <v>0</v>
      </c>
      <c s="6" r="AX1447">
        <v>0</v>
      </c>
      <c s="6" r="AY1447">
        <v>0</v>
      </c>
      <c s="6" r="AZ1447">
        <v>0</v>
      </c>
      <c s="6" r="BA1447">
        <v>0</v>
      </c>
      <c s="6" r="BB1447">
        <v>0</v>
      </c>
      <c s="6" r="BC1447">
        <v>0</v>
      </c>
      <c s="6" r="BD1447">
        <v>0</v>
      </c>
      <c s="6" r="BE1447">
        <v>0</v>
      </c>
      <c s="6" r="BF1447">
        <v>0</v>
      </c>
      <c s="6" r="BG1447">
        <v>0</v>
      </c>
      <c s="6" r="BH1447">
        <v>0</v>
      </c>
      <c s="6" r="BI1447">
        <v>0</v>
      </c>
      <c s="6" r="BJ1447">
        <v>0</v>
      </c>
      <c s="6" r="BK1447">
        <v>0</v>
      </c>
      <c s="6" r="BL1447">
        <v>0</v>
      </c>
      <c s="6" r="BM1447">
        <v>0</v>
      </c>
      <c s="6" r="BN1447">
        <v>0</v>
      </c>
      <c s="6" r="BO1447">
        <v>0</v>
      </c>
      <c s="6" r="BP1447">
        <v>0</v>
      </c>
      <c s="6" r="BQ1447">
        <v>0</v>
      </c>
      <c t="s" s="6" r="BR1447">
        <v>92</v>
      </c>
      <c s="6" r="BS1447">
        <v>1470</v>
      </c>
      <c t="s" s="6" r="BT1447">
        <v>92</v>
      </c>
      <c s="6" r="BY1447">
        <v>0</v>
      </c>
    </row>
    <row customHeight="1" r="1448" ht="14.25">
      <c t="s" s="6" r="A1448">
        <v>10307</v>
      </c>
      <c t="s" s="6" r="B1448">
        <v>131</v>
      </c>
      <c t="s" s="6" r="E1448">
        <v>6326</v>
      </c>
      <c t="s" s="6" r="F1448">
        <v>81</v>
      </c>
      <c t="s" s="6" r="G1448">
        <v>106</v>
      </c>
      <c s="6" r="H1448">
        <v>0</v>
      </c>
      <c t="s" s="6" r="I1448">
        <v>107</v>
      </c>
      <c t="s" s="6" r="L1448">
        <v>620</v>
      </c>
      <c t="s" s="6" r="M1448">
        <v>209</v>
      </c>
      <c s="6" r="N1448">
        <v>0</v>
      </c>
      <c s="6" r="O1448">
        <v>0</v>
      </c>
      <c t="s" s="6" r="P1448">
        <v>421</v>
      </c>
      <c t="s" s="6" r="Q1448">
        <v>123</v>
      </c>
      <c t="s" s="6" r="R1448">
        <v>10308</v>
      </c>
      <c t="s" s="6" r="S1448">
        <v>10309</v>
      </c>
      <c t="s" s="6" r="T1448">
        <v>10305</v>
      </c>
      <c t="s" s="6" r="U1448">
        <v>10310</v>
      </c>
      <c s="6" r="V1448">
        <v>1</v>
      </c>
      <c s="6" r="W1448">
        <v>1</v>
      </c>
      <c s="6" r="X1448">
        <v>0</v>
      </c>
      <c s="6" r="Y1448">
        <v>0</v>
      </c>
      <c s="6" r="Z1448">
        <v>0</v>
      </c>
      <c s="6" r="AA1448">
        <v>7</v>
      </c>
      <c s="6" r="AB1448">
        <v>7</v>
      </c>
      <c s="6" r="AC1448">
        <v>6</v>
      </c>
      <c t="s" s="6" r="AD1448">
        <v>92</v>
      </c>
      <c t="s" s="6" r="AE1448">
        <v>92</v>
      </c>
      <c t="s" s="6" r="AF1448">
        <v>92</v>
      </c>
      <c t="s" s="6" r="AG1448">
        <v>92</v>
      </c>
      <c t="s" s="6" r="AH1448">
        <v>92</v>
      </c>
      <c s="6" r="AI1448">
        <v>6</v>
      </c>
      <c t="s" s="6" r="AJ1448">
        <v>92</v>
      </c>
      <c t="s" s="6" r="AK1448">
        <v>92</v>
      </c>
      <c s="6" r="AL1448">
        <v>6</v>
      </c>
      <c t="s" s="6" r="AM1448">
        <v>92</v>
      </c>
      <c t="s" s="6" r="AN1448">
        <v>92</v>
      </c>
      <c s="6" r="AP1448">
        <v>7</v>
      </c>
      <c s="6" r="AS1448">
        <v>0</v>
      </c>
      <c s="6" r="AT1448">
        <v>0</v>
      </c>
      <c s="6" r="AU1448">
        <v>0</v>
      </c>
      <c s="6" r="AV1448">
        <v>0</v>
      </c>
      <c s="6" r="AW1448">
        <v>0</v>
      </c>
      <c s="6" r="AX1448">
        <v>0</v>
      </c>
      <c s="6" r="AY1448">
        <v>0</v>
      </c>
      <c s="6" r="AZ1448">
        <v>0</v>
      </c>
      <c s="6" r="BA1448">
        <v>0</v>
      </c>
      <c s="6" r="BB1448">
        <v>0</v>
      </c>
      <c s="6" r="BC1448">
        <v>0</v>
      </c>
      <c s="6" r="BD1448">
        <v>0</v>
      </c>
      <c s="6" r="BE1448">
        <v>0</v>
      </c>
      <c s="6" r="BF1448">
        <v>0</v>
      </c>
      <c s="6" r="BG1448">
        <v>0</v>
      </c>
      <c s="6" r="BH1448">
        <v>0</v>
      </c>
      <c s="6" r="BI1448">
        <v>0</v>
      </c>
      <c s="6" r="BJ1448">
        <v>0</v>
      </c>
      <c s="6" r="BK1448">
        <v>0</v>
      </c>
      <c s="6" r="BL1448">
        <v>0</v>
      </c>
      <c s="6" r="BM1448">
        <v>0</v>
      </c>
      <c s="6" r="BN1448">
        <v>0</v>
      </c>
      <c s="6" r="BO1448">
        <v>0</v>
      </c>
      <c s="6" r="BP1448">
        <v>0</v>
      </c>
      <c s="6" r="BQ1448">
        <v>0</v>
      </c>
      <c t="s" s="6" r="BR1448">
        <v>92</v>
      </c>
      <c s="6" r="BS1448">
        <v>1471</v>
      </c>
      <c t="s" s="6" r="BT1448">
        <v>92</v>
      </c>
      <c s="6" r="BY1448">
        <v>0</v>
      </c>
    </row>
    <row customHeight="1" r="1449" ht="14.25">
      <c t="s" s="6" r="A1449">
        <v>10311</v>
      </c>
      <c t="s" s="6" r="B1449">
        <v>227</v>
      </c>
      <c t="s" s="6" r="D1449">
        <v>7394</v>
      </c>
      <c t="s" s="6" r="E1449">
        <v>6934</v>
      </c>
      <c t="s" s="6" r="F1449">
        <v>81</v>
      </c>
      <c t="s" s="6" r="G1449">
        <v>106</v>
      </c>
      <c s="6" r="H1449">
        <v>0</v>
      </c>
      <c t="s" s="6" r="I1449">
        <v>120</v>
      </c>
      <c t="s" s="6" r="L1449">
        <v>121</v>
      </c>
      <c t="s" s="6" r="M1449">
        <v>109</v>
      </c>
      <c s="6" r="N1449">
        <v>0</v>
      </c>
      <c s="6" r="O1449">
        <v>0</v>
      </c>
      <c t="s" s="6" r="P1449">
        <v>187</v>
      </c>
      <c t="s" s="6" r="Q1449">
        <v>188</v>
      </c>
      <c t="s" s="6" r="R1449">
        <v>10312</v>
      </c>
      <c t="s" s="6" r="S1449">
        <v>10313</v>
      </c>
      <c t="s" s="6" r="T1449">
        <v>10314</v>
      </c>
      <c t="s" s="6" r="U1449">
        <v>10315</v>
      </c>
      <c s="6" r="V1449">
        <v>1</v>
      </c>
      <c s="6" r="W1449">
        <v>1</v>
      </c>
      <c s="6" r="X1449">
        <v>0</v>
      </c>
      <c s="6" r="Y1449">
        <v>0</v>
      </c>
      <c s="6" r="Z1449">
        <v>0</v>
      </c>
      <c t="s" s="6" r="AA1449">
        <v>92</v>
      </c>
      <c t="s" s="6" r="AB1449">
        <v>92</v>
      </c>
      <c s="6" r="AC1449">
        <v>1</v>
      </c>
      <c s="6" r="AD1449">
        <v>1</v>
      </c>
      <c t="s" s="6" r="AE1449">
        <v>92</v>
      </c>
      <c t="s" s="6" r="AF1449">
        <v>92</v>
      </c>
      <c t="s" s="6" r="AG1449">
        <v>92</v>
      </c>
      <c t="s" s="6" r="AH1449">
        <v>92</v>
      </c>
      <c t="s" s="6" r="AI1449">
        <v>92</v>
      </c>
      <c t="s" s="6" r="AJ1449">
        <v>92</v>
      </c>
      <c t="s" s="6" r="AK1449">
        <v>92</v>
      </c>
      <c s="6" r="AL1449">
        <v>1</v>
      </c>
      <c t="s" s="6" r="AM1449">
        <v>92</v>
      </c>
      <c t="s" s="6" r="AN1449">
        <v>92</v>
      </c>
      <c t="s" s="6" r="AO1449">
        <v>10316</v>
      </c>
      <c s="6" r="AP1449">
        <v>1</v>
      </c>
      <c s="6" r="AS1449">
        <v>0</v>
      </c>
      <c s="6" r="AT1449">
        <v>0</v>
      </c>
      <c s="6" r="AU1449">
        <v>0</v>
      </c>
      <c s="6" r="AV1449">
        <v>0</v>
      </c>
      <c s="6" r="AW1449">
        <v>0</v>
      </c>
      <c s="6" r="AX1449">
        <v>0</v>
      </c>
      <c s="6" r="AY1449">
        <v>0</v>
      </c>
      <c s="6" r="AZ1449">
        <v>1</v>
      </c>
      <c s="6" r="BA1449">
        <v>0</v>
      </c>
      <c s="6" r="BB1449">
        <v>0</v>
      </c>
      <c s="6" r="BC1449">
        <v>0</v>
      </c>
      <c s="6" r="BD1449">
        <v>1</v>
      </c>
      <c s="6" r="BE1449">
        <v>0</v>
      </c>
      <c s="6" r="BF1449">
        <v>0</v>
      </c>
      <c s="6" r="BG1449">
        <v>0</v>
      </c>
      <c s="6" r="BH1449">
        <v>0</v>
      </c>
      <c s="6" r="BI1449">
        <v>0</v>
      </c>
      <c s="6" r="BJ1449">
        <v>0</v>
      </c>
      <c s="6" r="BK1449">
        <v>0</v>
      </c>
      <c s="6" r="BL1449">
        <v>0</v>
      </c>
      <c s="6" r="BM1449">
        <v>0</v>
      </c>
      <c s="6" r="BN1449">
        <v>0</v>
      </c>
      <c s="6" r="BO1449">
        <v>0</v>
      </c>
      <c s="6" r="BP1449">
        <v>0</v>
      </c>
      <c s="6" r="BQ1449">
        <v>0</v>
      </c>
      <c t="s" s="6" r="BR1449">
        <v>92</v>
      </c>
      <c s="6" r="BS1449">
        <v>1472</v>
      </c>
      <c t="s" s="6" r="BT1449">
        <v>92</v>
      </c>
      <c s="6" r="BY1449">
        <v>0</v>
      </c>
    </row>
    <row customHeight="1" r="1450" ht="14.25">
      <c t="s" s="6" r="A1450">
        <v>10317</v>
      </c>
      <c t="s" s="6" r="B1450">
        <v>78</v>
      </c>
      <c t="s" s="6" r="C1450">
        <v>79</v>
      </c>
      <c t="s" s="6" r="D1450">
        <v>65</v>
      </c>
      <c t="s" s="6" r="E1450">
        <v>10318</v>
      </c>
      <c t="s" s="6" r="F1450">
        <v>81</v>
      </c>
      <c t="s" s="6" r="G1450">
        <v>10319</v>
      </c>
      <c s="6" r="H1450">
        <v>0</v>
      </c>
      <c t="s" s="6" r="I1450">
        <v>107</v>
      </c>
      <c t="s" s="6" r="K1450">
        <v>821</v>
      </c>
      <c t="s" s="6" r="M1450">
        <v>99</v>
      </c>
      <c s="6" r="N1450">
        <v>0</v>
      </c>
      <c s="6" r="O1450">
        <v>0</v>
      </c>
      <c t="s" s="6" r="P1450">
        <v>3271</v>
      </c>
      <c t="s" s="6" r="Q1450">
        <v>87</v>
      </c>
      <c t="s" s="6" r="R1450">
        <v>10320</v>
      </c>
      <c t="s" s="6" r="S1450">
        <v>10321</v>
      </c>
      <c t="s" s="6" r="T1450">
        <v>10314</v>
      </c>
      <c t="s" s="6" r="U1450">
        <v>10322</v>
      </c>
      <c s="6" r="V1450">
        <v>1</v>
      </c>
      <c s="6" r="W1450">
        <v>1</v>
      </c>
      <c s="6" r="X1450">
        <v>1</v>
      </c>
      <c s="6" r="Y1450">
        <v>0</v>
      </c>
      <c s="6" r="Z1450">
        <v>0</v>
      </c>
      <c s="6" r="AA1450">
        <v>2</v>
      </c>
      <c s="6" r="AB1450">
        <v>2</v>
      </c>
      <c s="6" r="AC1450">
        <v>2</v>
      </c>
      <c s="6" r="AD1450">
        <v>2</v>
      </c>
      <c t="s" s="6" r="AE1450">
        <v>92</v>
      </c>
      <c t="s" s="6" r="AF1450">
        <v>92</v>
      </c>
      <c t="s" s="6" r="AG1450">
        <v>92</v>
      </c>
      <c t="s" s="6" r="AH1450">
        <v>92</v>
      </c>
      <c t="s" s="6" r="AI1450">
        <v>92</v>
      </c>
      <c t="s" s="6" r="AJ1450">
        <v>92</v>
      </c>
      <c t="s" s="6" r="AK1450">
        <v>92</v>
      </c>
      <c s="6" r="AL1450">
        <v>2</v>
      </c>
      <c t="s" s="6" r="AM1450">
        <v>92</v>
      </c>
      <c t="s" s="6" r="AN1450">
        <v>92</v>
      </c>
      <c t="s" s="6" r="AO1450">
        <v>10316</v>
      </c>
      <c s="6" r="AP1450">
        <v>2</v>
      </c>
      <c s="6" r="AS1450">
        <v>0</v>
      </c>
      <c s="6" r="AT1450">
        <v>0</v>
      </c>
      <c s="6" r="AU1450">
        <v>0</v>
      </c>
      <c s="6" r="AV1450">
        <v>0</v>
      </c>
      <c s="6" r="AW1450">
        <v>0</v>
      </c>
      <c s="6" r="AX1450">
        <v>0</v>
      </c>
      <c s="6" r="AY1450">
        <v>0</v>
      </c>
      <c s="6" r="AZ1450">
        <v>0</v>
      </c>
      <c s="6" r="BA1450">
        <v>0</v>
      </c>
      <c s="6" r="BB1450">
        <v>0</v>
      </c>
      <c s="6" r="BC1450">
        <v>0</v>
      </c>
      <c s="6" r="BD1450">
        <v>0</v>
      </c>
      <c s="6" r="BE1450">
        <v>0</v>
      </c>
      <c s="6" r="BF1450">
        <v>0</v>
      </c>
      <c s="6" r="BG1450">
        <v>0</v>
      </c>
      <c s="6" r="BH1450">
        <v>0</v>
      </c>
      <c s="6" r="BI1450">
        <v>0</v>
      </c>
      <c s="6" r="BJ1450">
        <v>0</v>
      </c>
      <c s="6" r="BK1450">
        <v>0</v>
      </c>
      <c s="6" r="BL1450">
        <v>0</v>
      </c>
      <c s="6" r="BM1450">
        <v>0</v>
      </c>
      <c s="6" r="BN1450">
        <v>1</v>
      </c>
      <c s="6" r="BO1450">
        <v>0</v>
      </c>
      <c s="6" r="BP1450">
        <v>0</v>
      </c>
      <c s="6" r="BQ1450">
        <v>0</v>
      </c>
      <c t="s" s="6" r="BR1450">
        <v>92</v>
      </c>
      <c s="6" r="BS1450">
        <v>1473</v>
      </c>
      <c t="s" s="6" r="BT1450">
        <v>92</v>
      </c>
      <c s="6" r="BY1450">
        <v>0</v>
      </c>
    </row>
    <row customHeight="1" r="1451" ht="14.25">
      <c t="s" s="6" r="A1451">
        <v>10323</v>
      </c>
      <c t="s" s="6" r="B1451">
        <v>131</v>
      </c>
      <c t="s" s="6" r="E1451">
        <v>1667</v>
      </c>
      <c t="s" s="6" r="F1451">
        <v>197</v>
      </c>
      <c t="s" s="6" r="G1451">
        <v>10324</v>
      </c>
      <c s="6" r="H1451">
        <v>0</v>
      </c>
      <c t="s" s="6" r="I1451">
        <v>120</v>
      </c>
      <c t="s" s="6" r="L1451">
        <v>10325</v>
      </c>
      <c t="s" s="6" r="M1451">
        <v>5005</v>
      </c>
      <c s="6" r="N1451">
        <v>0</v>
      </c>
      <c s="6" r="O1451">
        <v>0</v>
      </c>
      <c t="s" s="6" r="P1451">
        <v>421</v>
      </c>
      <c t="s" s="6" r="Q1451">
        <v>87</v>
      </c>
      <c t="s" s="6" r="R1451">
        <v>10326</v>
      </c>
      <c t="s" s="6" r="S1451">
        <v>10327</v>
      </c>
      <c t="s" s="6" r="T1451">
        <v>10328</v>
      </c>
      <c t="s" s="6" r="U1451">
        <v>10329</v>
      </c>
      <c s="6" r="V1451">
        <v>1</v>
      </c>
      <c s="6" r="W1451">
        <v>1</v>
      </c>
      <c s="6" r="X1451">
        <v>1</v>
      </c>
      <c s="6" r="Y1451">
        <v>0</v>
      </c>
      <c s="6" r="Z1451">
        <v>1</v>
      </c>
      <c s="6" r="AA1451">
        <v>7</v>
      </c>
      <c s="6" r="AB1451">
        <v>7</v>
      </c>
      <c s="6" r="AC1451">
        <v>7</v>
      </c>
      <c t="s" s="6" r="AD1451">
        <v>92</v>
      </c>
      <c t="s" s="6" r="AE1451">
        <v>92</v>
      </c>
      <c t="s" s="6" r="AF1451">
        <v>92</v>
      </c>
      <c t="s" s="6" r="AG1451">
        <v>92</v>
      </c>
      <c t="s" s="6" r="AH1451">
        <v>92</v>
      </c>
      <c t="s" s="6" r="AI1451">
        <v>92</v>
      </c>
      <c t="s" s="6" r="AJ1451">
        <v>92</v>
      </c>
      <c t="s" s="6" r="AK1451">
        <v>92</v>
      </c>
      <c s="6" r="AL1451">
        <v>7</v>
      </c>
      <c t="s" s="6" r="AM1451">
        <v>92</v>
      </c>
      <c t="s" s="6" r="AN1451">
        <v>92</v>
      </c>
      <c s="6" r="AP1451">
        <v>7</v>
      </c>
      <c s="6" r="AS1451">
        <v>0</v>
      </c>
      <c s="6" r="AT1451">
        <v>0</v>
      </c>
      <c s="6" r="AU1451">
        <v>0</v>
      </c>
      <c s="6" r="AV1451">
        <v>0</v>
      </c>
      <c s="6" r="AW1451">
        <v>0</v>
      </c>
      <c s="6" r="AX1451">
        <v>0</v>
      </c>
      <c s="6" r="AY1451">
        <v>0</v>
      </c>
      <c s="6" r="AZ1451">
        <v>0</v>
      </c>
      <c s="6" r="BA1451">
        <v>0</v>
      </c>
      <c s="6" r="BB1451">
        <v>0</v>
      </c>
      <c s="6" r="BC1451">
        <v>0</v>
      </c>
      <c s="6" r="BD1451">
        <v>0</v>
      </c>
      <c s="6" r="BE1451">
        <v>0</v>
      </c>
      <c s="6" r="BF1451">
        <v>0</v>
      </c>
      <c s="6" r="BG1451">
        <v>0</v>
      </c>
      <c s="6" r="BH1451">
        <v>0</v>
      </c>
      <c s="6" r="BI1451">
        <v>0</v>
      </c>
      <c s="6" r="BJ1451">
        <v>0</v>
      </c>
      <c s="6" r="BK1451">
        <v>0</v>
      </c>
      <c s="6" r="BL1451">
        <v>0</v>
      </c>
      <c s="6" r="BM1451">
        <v>0</v>
      </c>
      <c s="6" r="BN1451">
        <v>0</v>
      </c>
      <c s="6" r="BO1451">
        <v>0</v>
      </c>
      <c s="6" r="BP1451">
        <v>0</v>
      </c>
      <c s="6" r="BQ1451">
        <v>0</v>
      </c>
      <c t="s" s="6" r="BR1451">
        <v>92</v>
      </c>
      <c s="6" r="BS1451">
        <v>1474</v>
      </c>
      <c t="s" s="6" r="BT1451">
        <v>92</v>
      </c>
      <c s="6" r="BY1451">
        <v>0</v>
      </c>
    </row>
    <row customHeight="1" r="1452" ht="14.25">
      <c t="s" s="6" r="A1452">
        <v>10330</v>
      </c>
      <c t="s" s="6" r="B1452">
        <v>493</v>
      </c>
      <c t="s" s="6" r="E1452">
        <v>10331</v>
      </c>
      <c t="s" s="6" r="F1452">
        <v>81</v>
      </c>
      <c t="s" s="6" r="G1452">
        <v>10332</v>
      </c>
      <c s="6" r="H1452">
        <v>1</v>
      </c>
      <c t="s" s="6" r="I1452">
        <v>120</v>
      </c>
      <c t="s" s="6" r="L1452">
        <v>420</v>
      </c>
      <c t="s" s="6" r="M1452">
        <v>99</v>
      </c>
      <c s="6" r="N1452">
        <v>0</v>
      </c>
      <c s="6" r="O1452">
        <v>0</v>
      </c>
      <c t="s" s="6" r="P1452">
        <v>421</v>
      </c>
      <c t="s" s="6" r="Q1452">
        <v>87</v>
      </c>
      <c t="s" s="6" r="R1452">
        <v>10333</v>
      </c>
      <c t="s" s="6" r="S1452">
        <v>10334</v>
      </c>
      <c t="s" s="6" r="T1452">
        <v>5200</v>
      </c>
      <c t="s" s="6" r="U1452">
        <v>10335</v>
      </c>
      <c s="6" r="V1452">
        <v>1</v>
      </c>
      <c s="6" r="W1452">
        <v>1</v>
      </c>
      <c s="6" r="X1452">
        <v>1</v>
      </c>
      <c s="6" r="Y1452">
        <v>0</v>
      </c>
      <c s="6" r="Z1452">
        <v>1</v>
      </c>
      <c t="s" s="6" r="AA1452">
        <v>92</v>
      </c>
      <c t="s" s="6" r="AB1452">
        <v>92</v>
      </c>
      <c s="6" r="AC1452">
        <v>2</v>
      </c>
      <c t="s" s="6" r="AD1452">
        <v>92</v>
      </c>
      <c t="s" s="6" r="AE1452">
        <v>92</v>
      </c>
      <c s="6" r="AF1452">
        <v>2</v>
      </c>
      <c s="6" r="AG1452">
        <v>3</v>
      </c>
      <c s="6" r="AH1452">
        <v>2</v>
      </c>
      <c t="s" s="6" r="AI1452">
        <v>92</v>
      </c>
      <c t="s" s="6" r="AJ1452">
        <v>92</v>
      </c>
      <c t="s" s="6" r="AK1452">
        <v>92</v>
      </c>
      <c s="6" r="AL1452">
        <v>2</v>
      </c>
      <c t="s" s="6" r="AM1452">
        <v>92</v>
      </c>
      <c t="s" s="6" r="AN1452">
        <v>92</v>
      </c>
      <c s="6" r="AP1452">
        <v>2</v>
      </c>
      <c s="6" r="AS1452">
        <v>0</v>
      </c>
      <c s="6" r="AT1452">
        <v>0</v>
      </c>
      <c s="6" r="AU1452">
        <v>0</v>
      </c>
      <c s="6" r="AV1452">
        <v>0</v>
      </c>
      <c s="6" r="AW1452">
        <v>0</v>
      </c>
      <c s="6" r="AX1452">
        <v>0</v>
      </c>
      <c s="6" r="AY1452">
        <v>0</v>
      </c>
      <c s="6" r="AZ1452">
        <v>0</v>
      </c>
      <c s="6" r="BA1452">
        <v>0</v>
      </c>
      <c s="6" r="BB1452">
        <v>0</v>
      </c>
      <c s="6" r="BC1452">
        <v>0</v>
      </c>
      <c s="6" r="BD1452">
        <v>0</v>
      </c>
      <c s="6" r="BE1452">
        <v>0</v>
      </c>
      <c s="6" r="BF1452">
        <v>0</v>
      </c>
      <c s="6" r="BG1452">
        <v>0</v>
      </c>
      <c s="6" r="BH1452">
        <v>0</v>
      </c>
      <c s="6" r="BI1452">
        <v>0</v>
      </c>
      <c s="6" r="BJ1452">
        <v>0</v>
      </c>
      <c s="6" r="BK1452">
        <v>0</v>
      </c>
      <c s="6" r="BL1452">
        <v>0</v>
      </c>
      <c s="6" r="BM1452">
        <v>0</v>
      </c>
      <c s="6" r="BN1452">
        <v>0</v>
      </c>
      <c s="6" r="BO1452">
        <v>0</v>
      </c>
      <c s="6" r="BP1452">
        <v>0</v>
      </c>
      <c s="6" r="BQ1452">
        <v>0</v>
      </c>
      <c t="s" s="6" r="BR1452">
        <v>92</v>
      </c>
      <c s="6" r="BS1452">
        <v>1475</v>
      </c>
      <c s="6" r="BT1452">
        <v>100</v>
      </c>
      <c s="6" r="BY1452">
        <v>0</v>
      </c>
    </row>
    <row customHeight="1" r="1453" ht="14.25">
      <c t="s" s="6" r="A1453">
        <v>10336</v>
      </c>
      <c t="s" s="6" r="B1453">
        <v>493</v>
      </c>
      <c t="s" s="6" r="E1453">
        <v>10337</v>
      </c>
      <c t="s" s="6" r="F1453">
        <v>81</v>
      </c>
      <c t="s" s="6" r="G1453">
        <v>10338</v>
      </c>
      <c s="6" r="H1453">
        <v>1</v>
      </c>
      <c t="s" s="6" r="I1453">
        <v>107</v>
      </c>
      <c t="s" s="6" r="L1453">
        <v>2241</v>
      </c>
      <c t="s" s="6" r="M1453">
        <v>99</v>
      </c>
      <c s="6" r="N1453">
        <v>0</v>
      </c>
      <c s="6" r="O1453">
        <v>0</v>
      </c>
      <c t="s" s="6" r="P1453">
        <v>421</v>
      </c>
      <c t="s" s="6" r="Q1453">
        <v>87</v>
      </c>
      <c t="s" s="6" r="R1453">
        <v>10339</v>
      </c>
      <c t="s" s="6" r="S1453">
        <v>10340</v>
      </c>
      <c t="s" s="6" r="T1453">
        <v>5200</v>
      </c>
      <c t="s" s="6" r="U1453">
        <v>10341</v>
      </c>
      <c s="6" r="V1453">
        <v>1</v>
      </c>
      <c s="6" r="W1453">
        <v>1</v>
      </c>
      <c s="6" r="X1453">
        <v>1</v>
      </c>
      <c s="6" r="Y1453">
        <v>0</v>
      </c>
      <c s="6" r="Z1453">
        <v>1</v>
      </c>
      <c t="s" s="6" r="AA1453">
        <v>92</v>
      </c>
      <c t="s" s="6" r="AB1453">
        <v>92</v>
      </c>
      <c s="6" r="AC1453">
        <v>5</v>
      </c>
      <c t="s" s="6" r="AD1453">
        <v>92</v>
      </c>
      <c t="s" s="6" r="AE1453">
        <v>92</v>
      </c>
      <c s="6" r="AF1453">
        <v>4</v>
      </c>
      <c t="s" s="6" r="AG1453">
        <v>92</v>
      </c>
      <c t="s" s="6" r="AH1453">
        <v>92</v>
      </c>
      <c t="s" s="6" r="AI1453">
        <v>92</v>
      </c>
      <c t="s" s="6" r="AJ1453">
        <v>92</v>
      </c>
      <c t="s" s="6" r="AK1453">
        <v>92</v>
      </c>
      <c s="6" r="AL1453">
        <v>5</v>
      </c>
      <c t="s" s="6" r="AM1453">
        <v>92</v>
      </c>
      <c t="s" s="6" r="AN1453">
        <v>92</v>
      </c>
      <c s="6" r="AP1453">
        <v>5</v>
      </c>
      <c s="6" r="AS1453">
        <v>0</v>
      </c>
      <c s="6" r="AT1453">
        <v>0</v>
      </c>
      <c s="6" r="AU1453">
        <v>0</v>
      </c>
      <c s="6" r="AV1453">
        <v>0</v>
      </c>
      <c s="6" r="AW1453">
        <v>0</v>
      </c>
      <c s="6" r="AX1453">
        <v>0</v>
      </c>
      <c s="6" r="AY1453">
        <v>0</v>
      </c>
      <c s="6" r="AZ1453">
        <v>0</v>
      </c>
      <c s="6" r="BA1453">
        <v>0</v>
      </c>
      <c s="6" r="BB1453">
        <v>0</v>
      </c>
      <c s="6" r="BC1453">
        <v>0</v>
      </c>
      <c s="6" r="BD1453">
        <v>0</v>
      </c>
      <c s="6" r="BE1453">
        <v>0</v>
      </c>
      <c s="6" r="BF1453">
        <v>0</v>
      </c>
      <c s="6" r="BG1453">
        <v>0</v>
      </c>
      <c s="6" r="BH1453">
        <v>0</v>
      </c>
      <c s="6" r="BI1453">
        <v>0</v>
      </c>
      <c s="6" r="BJ1453">
        <v>0</v>
      </c>
      <c s="6" r="BK1453">
        <v>0</v>
      </c>
      <c s="6" r="BL1453">
        <v>0</v>
      </c>
      <c s="6" r="BM1453">
        <v>0</v>
      </c>
      <c s="6" r="BN1453">
        <v>0</v>
      </c>
      <c s="6" r="BO1453">
        <v>0</v>
      </c>
      <c s="6" r="BP1453">
        <v>0</v>
      </c>
      <c s="6" r="BQ1453">
        <v>0</v>
      </c>
      <c t="s" s="6" r="BR1453">
        <v>92</v>
      </c>
      <c s="6" r="BS1453">
        <v>1476</v>
      </c>
      <c s="6" r="BT1453">
        <v>1000</v>
      </c>
      <c s="6" r="BY1453">
        <v>0</v>
      </c>
    </row>
    <row customHeight="1" r="1454" ht="14.25">
      <c t="s" s="6" r="A1454">
        <v>10342</v>
      </c>
      <c t="s" s="6" r="B1454">
        <v>227</v>
      </c>
      <c t="s" s="6" r="D1454">
        <v>1177</v>
      </c>
      <c t="s" s="6" r="E1454">
        <v>6274</v>
      </c>
      <c t="s" s="6" r="F1454">
        <v>81</v>
      </c>
      <c t="s" s="6" r="G1454">
        <v>10343</v>
      </c>
      <c s="6" r="H1454">
        <v>1</v>
      </c>
      <c t="s" s="6" r="I1454">
        <v>120</v>
      </c>
      <c t="s" s="6" r="L1454">
        <v>121</v>
      </c>
      <c t="s" s="6" r="M1454">
        <v>10344</v>
      </c>
      <c s="6" r="N1454">
        <v>0</v>
      </c>
      <c s="6" r="O1454">
        <v>0</v>
      </c>
      <c t="s" s="6" r="P1454">
        <v>221</v>
      </c>
      <c t="s" s="6" r="Q1454">
        <v>188</v>
      </c>
      <c t="s" s="6" r="R1454">
        <v>10345</v>
      </c>
      <c t="s" s="6" r="S1454">
        <v>10346</v>
      </c>
      <c t="s" s="6" r="T1454">
        <v>5200</v>
      </c>
      <c t="s" s="6" r="U1454">
        <v>10347</v>
      </c>
      <c s="6" r="V1454">
        <v>1</v>
      </c>
      <c s="6" r="W1454">
        <v>1</v>
      </c>
      <c s="6" r="X1454">
        <v>0</v>
      </c>
      <c s="6" r="Y1454">
        <v>0</v>
      </c>
      <c s="6" r="Z1454">
        <v>0</v>
      </c>
      <c s="6" r="AA1454">
        <v>3</v>
      </c>
      <c s="6" r="AB1454">
        <v>3</v>
      </c>
      <c t="s" s="6" r="AC1454">
        <v>92</v>
      </c>
      <c t="s" s="6" r="AD1454">
        <v>92</v>
      </c>
      <c t="s" s="6" r="AE1454">
        <v>92</v>
      </c>
      <c t="s" s="6" r="AF1454">
        <v>92</v>
      </c>
      <c t="s" s="6" r="AG1454">
        <v>92</v>
      </c>
      <c t="s" s="6" r="AH1454">
        <v>92</v>
      </c>
      <c t="s" s="6" r="AI1454">
        <v>92</v>
      </c>
      <c s="6" r="AJ1454">
        <v>3</v>
      </c>
      <c t="s" s="6" r="AK1454">
        <v>92</v>
      </c>
      <c t="s" s="6" r="AL1454">
        <v>92</v>
      </c>
      <c t="s" s="6" r="AM1454">
        <v>92</v>
      </c>
      <c t="s" s="6" r="AN1454">
        <v>92</v>
      </c>
      <c s="6" r="AP1454">
        <v>3</v>
      </c>
      <c s="6" r="AS1454">
        <v>0</v>
      </c>
      <c s="6" r="AT1454">
        <v>0</v>
      </c>
      <c s="6" r="AU1454">
        <v>0</v>
      </c>
      <c s="6" r="AV1454">
        <v>0</v>
      </c>
      <c s="6" r="AW1454">
        <v>0</v>
      </c>
      <c s="6" r="AX1454">
        <v>1</v>
      </c>
      <c s="6" r="AY1454">
        <v>0</v>
      </c>
      <c s="6" r="AZ1454">
        <v>0</v>
      </c>
      <c s="6" r="BA1454">
        <v>0</v>
      </c>
      <c s="6" r="BB1454">
        <v>0</v>
      </c>
      <c s="6" r="BC1454">
        <v>0</v>
      </c>
      <c s="6" r="BD1454">
        <v>1</v>
      </c>
      <c s="6" r="BE1454">
        <v>0</v>
      </c>
      <c s="6" r="BF1454">
        <v>0</v>
      </c>
      <c s="6" r="BG1454">
        <v>0</v>
      </c>
      <c s="6" r="BH1454">
        <v>0</v>
      </c>
      <c s="6" r="BI1454">
        <v>0</v>
      </c>
      <c s="6" r="BJ1454">
        <v>0</v>
      </c>
      <c s="6" r="BK1454">
        <v>0</v>
      </c>
      <c s="6" r="BL1454">
        <v>0</v>
      </c>
      <c s="6" r="BM1454">
        <v>0</v>
      </c>
      <c s="6" r="BN1454">
        <v>0</v>
      </c>
      <c s="6" r="BO1454">
        <v>0</v>
      </c>
      <c s="6" r="BP1454">
        <v>0</v>
      </c>
      <c s="6" r="BQ1454">
        <v>0</v>
      </c>
      <c t="s" s="6" r="BR1454">
        <v>92</v>
      </c>
      <c s="6" r="BS1454">
        <v>1477</v>
      </c>
      <c s="6" r="BT1454">
        <v>500</v>
      </c>
      <c s="6" r="BY1454">
        <v>0</v>
      </c>
    </row>
    <row customHeight="1" r="1455" ht="14.25">
      <c t="s" s="6" r="A1455">
        <v>10348</v>
      </c>
      <c t="s" s="6" r="B1455">
        <v>115</v>
      </c>
      <c t="s" s="6" r="E1455">
        <v>10349</v>
      </c>
      <c t="s" s="6" r="F1455">
        <v>81</v>
      </c>
      <c t="s" s="6" r="G1455">
        <v>106</v>
      </c>
      <c s="6" r="H1455">
        <v>0</v>
      </c>
      <c t="s" s="6" r="I1455">
        <v>107</v>
      </c>
      <c t="s" s="6" r="L1455">
        <v>473</v>
      </c>
      <c t="s" s="6" r="M1455">
        <v>5005</v>
      </c>
      <c s="6" r="N1455">
        <v>0</v>
      </c>
      <c s="6" r="O1455">
        <v>0</v>
      </c>
      <c t="s" s="6" r="P1455">
        <v>221</v>
      </c>
      <c t="s" s="6" r="Q1455">
        <v>188</v>
      </c>
      <c t="s" s="6" r="R1455">
        <v>10350</v>
      </c>
      <c t="s" s="6" r="S1455">
        <v>10351</v>
      </c>
      <c t="s" s="6" r="T1455">
        <v>5200</v>
      </c>
      <c t="s" s="6" r="U1455">
        <v>10352</v>
      </c>
      <c s="6" r="V1455">
        <v>1</v>
      </c>
      <c s="6" r="W1455">
        <v>1</v>
      </c>
      <c s="6" r="X1455">
        <v>0</v>
      </c>
      <c s="6" r="Y1455">
        <v>0</v>
      </c>
      <c s="6" r="Z1455">
        <v>0</v>
      </c>
      <c t="s" s="6" r="AA1455">
        <v>92</v>
      </c>
      <c t="s" s="6" r="AB1455">
        <v>92</v>
      </c>
      <c s="6" r="AC1455">
        <v>3</v>
      </c>
      <c t="s" s="6" r="AD1455">
        <v>92</v>
      </c>
      <c t="s" s="6" r="AE1455">
        <v>92</v>
      </c>
      <c t="s" s="6" r="AF1455">
        <v>92</v>
      </c>
      <c t="s" s="6" r="AG1455">
        <v>92</v>
      </c>
      <c t="s" s="6" r="AH1455">
        <v>92</v>
      </c>
      <c t="s" s="6" r="AI1455">
        <v>92</v>
      </c>
      <c s="6" r="AJ1455">
        <v>2</v>
      </c>
      <c t="s" s="6" r="AK1455">
        <v>92</v>
      </c>
      <c s="6" r="AL1455">
        <v>3</v>
      </c>
      <c t="s" s="6" r="AM1455">
        <v>92</v>
      </c>
      <c t="s" s="6" r="AN1455">
        <v>92</v>
      </c>
      <c s="6" r="AP1455">
        <v>3</v>
      </c>
      <c s="6" r="AS1455">
        <v>0</v>
      </c>
      <c s="6" r="AT1455">
        <v>0</v>
      </c>
      <c s="6" r="AU1455">
        <v>0</v>
      </c>
      <c s="6" r="AV1455">
        <v>0</v>
      </c>
      <c s="6" r="AW1455">
        <v>0</v>
      </c>
      <c s="6" r="AX1455">
        <v>0</v>
      </c>
      <c s="6" r="AY1455">
        <v>0</v>
      </c>
      <c s="6" r="AZ1455">
        <v>0</v>
      </c>
      <c s="6" r="BA1455">
        <v>0</v>
      </c>
      <c s="6" r="BB1455">
        <v>0</v>
      </c>
      <c s="6" r="BC1455">
        <v>0</v>
      </c>
      <c s="6" r="BD1455">
        <v>0</v>
      </c>
      <c s="6" r="BE1455">
        <v>0</v>
      </c>
      <c s="6" r="BF1455">
        <v>0</v>
      </c>
      <c s="6" r="BG1455">
        <v>0</v>
      </c>
      <c s="6" r="BH1455">
        <v>0</v>
      </c>
      <c s="6" r="BI1455">
        <v>0</v>
      </c>
      <c s="6" r="BJ1455">
        <v>0</v>
      </c>
      <c s="6" r="BK1455">
        <v>0</v>
      </c>
      <c s="6" r="BL1455">
        <v>0</v>
      </c>
      <c s="6" r="BM1455">
        <v>0</v>
      </c>
      <c s="6" r="BN1455">
        <v>0</v>
      </c>
      <c s="6" r="BO1455">
        <v>0</v>
      </c>
      <c s="6" r="BP1455">
        <v>0</v>
      </c>
      <c s="6" r="BQ1455">
        <v>0</v>
      </c>
      <c t="s" s="6" r="BR1455">
        <v>92</v>
      </c>
      <c s="6" r="BS1455">
        <v>1478</v>
      </c>
      <c t="s" s="6" r="BT1455">
        <v>92</v>
      </c>
      <c s="6" r="BY1455">
        <v>0</v>
      </c>
    </row>
    <row customHeight="1" r="1456" ht="14.25">
      <c t="s" s="6" r="A1456">
        <v>10353</v>
      </c>
      <c t="s" s="6" r="B1456">
        <v>174</v>
      </c>
      <c t="s" s="6" r="E1456">
        <v>7850</v>
      </c>
      <c t="s" s="6" r="F1456">
        <v>81</v>
      </c>
      <c t="s" s="6" r="G1456">
        <v>119</v>
      </c>
      <c s="6" r="H1456">
        <v>0</v>
      </c>
      <c t="s" s="6" r="I1456">
        <v>9059</v>
      </c>
      <c t="s" s="6" r="L1456">
        <v>1235</v>
      </c>
      <c t="s" s="6" r="M1456">
        <v>99</v>
      </c>
      <c s="6" r="N1456">
        <v>0</v>
      </c>
      <c s="6" r="O1456">
        <v>0</v>
      </c>
      <c t="s" s="6" r="P1456">
        <v>221</v>
      </c>
      <c t="s" s="6" r="Q1456">
        <v>188</v>
      </c>
      <c t="s" s="6" r="R1456">
        <v>10354</v>
      </c>
      <c t="s" s="6" r="S1456">
        <v>10355</v>
      </c>
      <c t="s" s="6" r="T1456">
        <v>5200</v>
      </c>
      <c t="s" s="6" r="U1456">
        <v>10356</v>
      </c>
      <c s="6" r="V1456">
        <v>1</v>
      </c>
      <c s="6" r="W1456">
        <v>1</v>
      </c>
      <c s="6" r="X1456">
        <v>0</v>
      </c>
      <c s="6" r="Y1456">
        <v>0</v>
      </c>
      <c s="6" r="Z1456">
        <v>1</v>
      </c>
      <c s="6" r="AA1456">
        <v>3</v>
      </c>
      <c s="6" r="AB1456">
        <v>3</v>
      </c>
      <c s="6" r="AC1456">
        <v>3</v>
      </c>
      <c t="s" s="6" r="AD1456">
        <v>92</v>
      </c>
      <c t="s" s="6" r="AE1456">
        <v>92</v>
      </c>
      <c t="s" s="6" r="AF1456">
        <v>92</v>
      </c>
      <c t="s" s="6" r="AG1456">
        <v>92</v>
      </c>
      <c t="s" s="6" r="AH1456">
        <v>92</v>
      </c>
      <c t="s" s="6" r="AI1456">
        <v>92</v>
      </c>
      <c s="6" r="AJ1456">
        <v>3</v>
      </c>
      <c t="s" s="6" r="AK1456">
        <v>92</v>
      </c>
      <c s="6" r="AL1456">
        <v>3</v>
      </c>
      <c t="s" s="6" r="AM1456">
        <v>92</v>
      </c>
      <c t="s" s="6" r="AN1456">
        <v>92</v>
      </c>
      <c s="6" r="AP1456">
        <v>3</v>
      </c>
      <c s="6" r="AS1456">
        <v>0</v>
      </c>
      <c s="6" r="AT1456">
        <v>0</v>
      </c>
      <c s="6" r="AU1456">
        <v>0</v>
      </c>
      <c s="6" r="AV1456">
        <v>0</v>
      </c>
      <c s="6" r="AW1456">
        <v>0</v>
      </c>
      <c s="6" r="AX1456">
        <v>0</v>
      </c>
      <c s="6" r="AY1456">
        <v>0</v>
      </c>
      <c s="6" r="AZ1456">
        <v>0</v>
      </c>
      <c s="6" r="BA1456">
        <v>0</v>
      </c>
      <c s="6" r="BB1456">
        <v>0</v>
      </c>
      <c s="6" r="BC1456">
        <v>0</v>
      </c>
      <c s="6" r="BD1456">
        <v>0</v>
      </c>
      <c s="6" r="BE1456">
        <v>0</v>
      </c>
      <c s="6" r="BF1456">
        <v>0</v>
      </c>
      <c s="6" r="BG1456">
        <v>0</v>
      </c>
      <c s="6" r="BH1456">
        <v>0</v>
      </c>
      <c s="6" r="BI1456">
        <v>0</v>
      </c>
      <c s="6" r="BJ1456">
        <v>0</v>
      </c>
      <c s="6" r="BK1456">
        <v>0</v>
      </c>
      <c s="6" r="BL1456">
        <v>0</v>
      </c>
      <c s="6" r="BM1456">
        <v>0</v>
      </c>
      <c s="6" r="BN1456">
        <v>0</v>
      </c>
      <c s="6" r="BO1456">
        <v>0</v>
      </c>
      <c s="6" r="BP1456">
        <v>0</v>
      </c>
      <c s="6" r="BQ1456">
        <v>0</v>
      </c>
      <c t="s" s="6" r="BR1456">
        <v>92</v>
      </c>
      <c s="6" r="BS1456">
        <v>1479</v>
      </c>
      <c t="s" s="6" r="BT1456">
        <v>92</v>
      </c>
      <c s="6" r="BY1456">
        <v>0</v>
      </c>
    </row>
    <row customHeight="1" r="1457" ht="14.25">
      <c t="s" s="6" r="A1457">
        <v>10357</v>
      </c>
      <c t="s" s="6" r="B1457">
        <v>174</v>
      </c>
      <c t="s" s="6" r="E1457">
        <v>10358</v>
      </c>
      <c t="s" s="6" r="F1457">
        <v>81</v>
      </c>
      <c t="s" s="6" r="G1457">
        <v>106</v>
      </c>
      <c s="6" r="H1457">
        <v>0</v>
      </c>
      <c t="s" s="6" r="I1457">
        <v>155</v>
      </c>
      <c t="s" s="6" r="L1457">
        <v>156</v>
      </c>
      <c t="s" s="6" r="M1457">
        <v>6977</v>
      </c>
      <c s="6" r="N1457">
        <v>0</v>
      </c>
      <c s="6" r="O1457">
        <v>0</v>
      </c>
      <c t="s" s="6" r="R1457">
        <v>10359</v>
      </c>
      <c t="s" s="6" r="S1457">
        <v>10360</v>
      </c>
      <c t="s" s="6" r="T1457">
        <v>10361</v>
      </c>
      <c t="s" s="6" r="U1457">
        <v>10362</v>
      </c>
      <c s="6" r="V1457">
        <v>1</v>
      </c>
      <c s="6" r="W1457">
        <v>1</v>
      </c>
      <c s="6" r="X1457">
        <v>0</v>
      </c>
      <c s="6" r="Y1457">
        <v>0</v>
      </c>
      <c s="6" r="Z1457">
        <v>0</v>
      </c>
      <c s="6" r="AA1457">
        <v>2</v>
      </c>
      <c s="6" r="AB1457">
        <v>2</v>
      </c>
      <c t="s" s="6" r="AC1457">
        <v>92</v>
      </c>
      <c t="s" s="6" r="AD1457">
        <v>92</v>
      </c>
      <c t="s" s="6" r="AE1457">
        <v>92</v>
      </c>
      <c t="s" s="6" r="AF1457">
        <v>92</v>
      </c>
      <c t="s" s="6" r="AG1457">
        <v>92</v>
      </c>
      <c t="s" s="6" r="AH1457">
        <v>92</v>
      </c>
      <c t="s" s="6" r="AI1457">
        <v>92</v>
      </c>
      <c s="6" r="AJ1457">
        <v>2</v>
      </c>
      <c t="s" s="6" r="AK1457">
        <v>92</v>
      </c>
      <c s="6" r="AL1457">
        <v>1</v>
      </c>
      <c t="s" s="6" r="AM1457">
        <v>92</v>
      </c>
      <c t="s" s="6" r="AN1457">
        <v>92</v>
      </c>
      <c s="6" r="AP1457">
        <v>2</v>
      </c>
      <c s="6" r="AS1457">
        <v>0</v>
      </c>
      <c s="6" r="AT1457">
        <v>0</v>
      </c>
      <c s="6" r="AU1457">
        <v>0</v>
      </c>
      <c s="6" r="AV1457">
        <v>0</v>
      </c>
      <c s="6" r="AW1457">
        <v>0</v>
      </c>
      <c s="6" r="AX1457">
        <v>0</v>
      </c>
      <c s="6" r="AY1457">
        <v>0</v>
      </c>
      <c s="6" r="AZ1457">
        <v>0</v>
      </c>
      <c s="6" r="BA1457">
        <v>0</v>
      </c>
      <c s="6" r="BB1457">
        <v>0</v>
      </c>
      <c s="6" r="BC1457">
        <v>0</v>
      </c>
      <c s="6" r="BD1457">
        <v>0</v>
      </c>
      <c s="6" r="BE1457">
        <v>0</v>
      </c>
      <c s="6" r="BF1457">
        <v>0</v>
      </c>
      <c s="6" r="BG1457">
        <v>0</v>
      </c>
      <c s="6" r="BH1457">
        <v>0</v>
      </c>
      <c s="6" r="BI1457">
        <v>0</v>
      </c>
      <c s="6" r="BJ1457">
        <v>0</v>
      </c>
      <c s="6" r="BK1457">
        <v>0</v>
      </c>
      <c s="6" r="BL1457">
        <v>0</v>
      </c>
      <c s="6" r="BM1457">
        <v>0</v>
      </c>
      <c s="6" r="BN1457">
        <v>0</v>
      </c>
      <c s="6" r="BO1457">
        <v>0</v>
      </c>
      <c s="6" r="BP1457">
        <v>0</v>
      </c>
      <c s="6" r="BQ1457">
        <v>0</v>
      </c>
      <c t="s" s="6" r="BR1457">
        <v>92</v>
      </c>
      <c s="6" r="BS1457">
        <v>1480</v>
      </c>
      <c t="s" s="6" r="BT1457">
        <v>92</v>
      </c>
      <c s="6" r="BY1457">
        <v>0</v>
      </c>
    </row>
    <row customHeight="1" r="1458" ht="14.25">
      <c t="s" s="6" r="A1458">
        <v>10363</v>
      </c>
      <c t="s" s="6" r="B1458">
        <v>131</v>
      </c>
      <c t="s" s="6" r="D1458">
        <v>52</v>
      </c>
      <c t="s" s="6" r="E1458">
        <v>10364</v>
      </c>
      <c t="s" s="6" r="F1458">
        <v>81</v>
      </c>
      <c t="s" s="6" r="G1458">
        <v>106</v>
      </c>
      <c s="6" r="H1458">
        <v>0</v>
      </c>
      <c t="s" s="6" r="I1458">
        <v>120</v>
      </c>
      <c t="s" s="6" r="L1458">
        <v>420</v>
      </c>
      <c t="s" s="6" r="M1458">
        <v>2718</v>
      </c>
      <c s="6" r="N1458">
        <v>0</v>
      </c>
      <c s="6" r="O1458">
        <v>0</v>
      </c>
      <c t="s" s="6" r="P1458">
        <v>1227</v>
      </c>
      <c t="s" s="6" r="Q1458">
        <v>123</v>
      </c>
      <c t="s" s="6" r="R1458">
        <v>10365</v>
      </c>
      <c t="s" s="6" r="S1458">
        <v>10366</v>
      </c>
      <c t="s" s="6" r="T1458">
        <v>10367</v>
      </c>
      <c t="s" s="6" r="U1458">
        <v>10368</v>
      </c>
      <c s="6" r="V1458">
        <v>1</v>
      </c>
      <c s="6" r="W1458">
        <v>1</v>
      </c>
      <c s="6" r="X1458">
        <v>0</v>
      </c>
      <c s="6" r="Y1458">
        <v>0</v>
      </c>
      <c s="6" r="Z1458">
        <v>0</v>
      </c>
      <c t="s" s="6" r="AA1458">
        <v>92</v>
      </c>
      <c t="s" s="6" r="AB1458">
        <v>92</v>
      </c>
      <c s="6" r="AC1458">
        <v>2</v>
      </c>
      <c s="6" r="AD1458">
        <v>2</v>
      </c>
      <c s="6" r="AE1458">
        <v>2</v>
      </c>
      <c t="s" s="6" r="AF1458">
        <v>92</v>
      </c>
      <c t="s" s="6" r="AG1458">
        <v>92</v>
      </c>
      <c t="s" s="6" r="AH1458">
        <v>92</v>
      </c>
      <c t="s" s="6" r="AI1458">
        <v>92</v>
      </c>
      <c t="s" s="6" r="AJ1458">
        <v>92</v>
      </c>
      <c t="s" s="6" r="AK1458">
        <v>92</v>
      </c>
      <c s="6" r="AL1458">
        <v>2</v>
      </c>
      <c t="s" s="6" r="AM1458">
        <v>92</v>
      </c>
      <c s="6" r="AN1458">
        <v>2</v>
      </c>
      <c s="6" r="AP1458">
        <v>2</v>
      </c>
      <c s="6" r="AS1458">
        <v>0</v>
      </c>
      <c s="6" r="AT1458">
        <v>0</v>
      </c>
      <c s="6" r="AU1458">
        <v>0</v>
      </c>
      <c s="6" r="AV1458">
        <v>0</v>
      </c>
      <c s="6" r="AW1458">
        <v>0</v>
      </c>
      <c s="6" r="AX1458">
        <v>0</v>
      </c>
      <c s="6" r="AY1458">
        <v>0</v>
      </c>
      <c s="6" r="AZ1458">
        <v>0</v>
      </c>
      <c s="6" r="BA1458">
        <v>1</v>
      </c>
      <c s="6" r="BB1458">
        <v>0</v>
      </c>
      <c s="6" r="BC1458">
        <v>0</v>
      </c>
      <c s="6" r="BD1458">
        <v>0</v>
      </c>
      <c s="6" r="BE1458">
        <v>0</v>
      </c>
      <c s="6" r="BF1458">
        <v>0</v>
      </c>
      <c s="6" r="BG1458">
        <v>0</v>
      </c>
      <c s="6" r="BH1458">
        <v>0</v>
      </c>
      <c s="6" r="BI1458">
        <v>0</v>
      </c>
      <c s="6" r="BJ1458">
        <v>0</v>
      </c>
      <c s="6" r="BK1458">
        <v>0</v>
      </c>
      <c s="6" r="BL1458">
        <v>0</v>
      </c>
      <c s="6" r="BM1458">
        <v>0</v>
      </c>
      <c s="6" r="BN1458">
        <v>0</v>
      </c>
      <c s="6" r="BO1458">
        <v>0</v>
      </c>
      <c s="6" r="BP1458">
        <v>0</v>
      </c>
      <c s="6" r="BQ1458">
        <v>0</v>
      </c>
      <c t="s" s="6" r="BR1458">
        <v>92</v>
      </c>
      <c s="6" r="BS1458">
        <v>1481</v>
      </c>
      <c t="s" s="6" r="BT1458">
        <v>92</v>
      </c>
      <c s="6" r="BY1458">
        <v>0</v>
      </c>
    </row>
    <row customHeight="1" r="1459" ht="14.25">
      <c t="s" s="6" r="A1459">
        <v>10369</v>
      </c>
      <c t="s" s="6" r="B1459">
        <v>131</v>
      </c>
      <c t="s" s="6" r="E1459">
        <v>10370</v>
      </c>
      <c t="s" s="6" r="F1459">
        <v>81</v>
      </c>
      <c t="s" s="6" r="G1459">
        <v>106</v>
      </c>
      <c s="6" r="H1459">
        <v>0</v>
      </c>
      <c t="s" s="6" r="I1459">
        <v>120</v>
      </c>
      <c t="s" s="6" r="L1459">
        <v>420</v>
      </c>
      <c t="s" s="6" r="M1459">
        <v>2718</v>
      </c>
      <c s="6" r="N1459">
        <v>0</v>
      </c>
      <c s="6" r="O1459">
        <v>0</v>
      </c>
      <c t="s" s="6" r="P1459">
        <v>1227</v>
      </c>
      <c t="s" s="6" r="Q1459">
        <v>123</v>
      </c>
      <c t="s" s="6" r="R1459">
        <v>10371</v>
      </c>
      <c t="s" s="6" r="S1459">
        <v>10372</v>
      </c>
      <c t="s" s="6" r="T1459">
        <v>10367</v>
      </c>
      <c t="s" s="6" r="U1459">
        <v>10373</v>
      </c>
      <c s="6" r="V1459">
        <v>1</v>
      </c>
      <c s="6" r="W1459">
        <v>1</v>
      </c>
      <c s="6" r="X1459">
        <v>0</v>
      </c>
      <c s="6" r="Y1459">
        <v>0</v>
      </c>
      <c s="6" r="Z1459">
        <v>0</v>
      </c>
      <c t="s" s="6" r="AA1459">
        <v>92</v>
      </c>
      <c t="s" s="6" r="AB1459">
        <v>92</v>
      </c>
      <c s="6" r="AC1459">
        <v>1</v>
      </c>
      <c t="s" s="6" r="AD1459">
        <v>92</v>
      </c>
      <c s="6" r="AE1459">
        <v>1</v>
      </c>
      <c t="s" s="6" r="AF1459">
        <v>92</v>
      </c>
      <c s="6" r="AG1459">
        <v>1</v>
      </c>
      <c t="s" s="6" r="AH1459">
        <v>92</v>
      </c>
      <c t="s" s="6" r="AI1459">
        <v>92</v>
      </c>
      <c t="s" s="6" r="AJ1459">
        <v>92</v>
      </c>
      <c t="s" s="6" r="AK1459">
        <v>92</v>
      </c>
      <c s="6" r="AL1459">
        <v>1</v>
      </c>
      <c s="6" r="AM1459">
        <v>1</v>
      </c>
      <c s="6" r="AN1459">
        <v>1</v>
      </c>
      <c s="6" r="AP1459">
        <v>1</v>
      </c>
      <c s="6" r="AS1459">
        <v>0</v>
      </c>
      <c s="6" r="AT1459">
        <v>0</v>
      </c>
      <c s="6" r="AU1459">
        <v>0</v>
      </c>
      <c s="6" r="AV1459">
        <v>0</v>
      </c>
      <c s="6" r="AW1459">
        <v>0</v>
      </c>
      <c s="6" r="AX1459">
        <v>0</v>
      </c>
      <c s="6" r="AY1459">
        <v>0</v>
      </c>
      <c s="6" r="AZ1459">
        <v>0</v>
      </c>
      <c s="6" r="BA1459">
        <v>0</v>
      </c>
      <c s="6" r="BB1459">
        <v>0</v>
      </c>
      <c s="6" r="BC1459">
        <v>0</v>
      </c>
      <c s="6" r="BD1459">
        <v>0</v>
      </c>
      <c s="6" r="BE1459">
        <v>0</v>
      </c>
      <c s="6" r="BF1459">
        <v>0</v>
      </c>
      <c s="6" r="BG1459">
        <v>0</v>
      </c>
      <c s="6" r="BH1459">
        <v>0</v>
      </c>
      <c s="6" r="BI1459">
        <v>0</v>
      </c>
      <c s="6" r="BJ1459">
        <v>0</v>
      </c>
      <c s="6" r="BK1459">
        <v>0</v>
      </c>
      <c s="6" r="BL1459">
        <v>0</v>
      </c>
      <c s="6" r="BM1459">
        <v>0</v>
      </c>
      <c s="6" r="BN1459">
        <v>0</v>
      </c>
      <c s="6" r="BO1459">
        <v>0</v>
      </c>
      <c s="6" r="BP1459">
        <v>0</v>
      </c>
      <c s="6" r="BQ1459">
        <v>0</v>
      </c>
      <c t="s" s="6" r="BR1459">
        <v>92</v>
      </c>
      <c s="6" r="BS1459">
        <v>1482</v>
      </c>
      <c t="s" s="6" r="BT1459">
        <v>92</v>
      </c>
      <c s="6" r="BY1459">
        <v>0</v>
      </c>
    </row>
    <row customHeight="1" r="1460" ht="14.25">
      <c t="s" s="6" r="A1460">
        <v>10374</v>
      </c>
      <c t="s" s="6" r="B1460">
        <v>115</v>
      </c>
      <c t="s" s="6" r="C1460">
        <v>116</v>
      </c>
      <c t="s" s="6" r="D1460">
        <v>117</v>
      </c>
      <c t="s" s="6" r="E1460">
        <v>915</v>
      </c>
      <c t="s" s="6" r="F1460">
        <v>141</v>
      </c>
      <c t="s" s="6" r="G1460">
        <v>106</v>
      </c>
      <c s="6" r="H1460">
        <v>0</v>
      </c>
      <c t="s" s="6" r="I1460">
        <v>107</v>
      </c>
      <c t="s" s="6" r="L1460">
        <v>473</v>
      </c>
      <c t="s" s="6" r="M1460">
        <v>141</v>
      </c>
      <c s="6" r="N1460">
        <v>0</v>
      </c>
      <c s="6" r="O1460">
        <v>0</v>
      </c>
      <c t="s" s="6" r="P1460">
        <v>421</v>
      </c>
      <c t="s" s="6" r="Q1460">
        <v>123</v>
      </c>
      <c t="s" s="6" r="R1460">
        <v>10375</v>
      </c>
      <c t="s" s="6" r="S1460">
        <v>10376</v>
      </c>
      <c t="s" s="6" r="T1460">
        <v>10367</v>
      </c>
      <c t="s" s="6" r="U1460">
        <v>10377</v>
      </c>
      <c s="6" r="V1460">
        <v>1</v>
      </c>
      <c s="6" r="W1460">
        <v>1</v>
      </c>
      <c s="6" r="X1460">
        <v>0</v>
      </c>
      <c s="6" r="Y1460">
        <v>0</v>
      </c>
      <c s="6" r="Z1460">
        <v>0</v>
      </c>
      <c t="s" s="6" r="AA1460">
        <v>92</v>
      </c>
      <c t="s" s="6" r="AB1460">
        <v>92</v>
      </c>
      <c t="s" s="6" r="AC1460">
        <v>92</v>
      </c>
      <c t="s" s="6" r="AD1460">
        <v>92</v>
      </c>
      <c t="s" s="6" r="AE1460">
        <v>92</v>
      </c>
      <c s="6" r="AF1460">
        <v>1</v>
      </c>
      <c t="s" s="6" r="AG1460">
        <v>92</v>
      </c>
      <c t="s" s="6" r="AH1460">
        <v>92</v>
      </c>
      <c t="s" s="6" r="AI1460">
        <v>92</v>
      </c>
      <c t="s" s="6" r="AJ1460">
        <v>92</v>
      </c>
      <c t="s" s="6" r="AK1460">
        <v>92</v>
      </c>
      <c t="s" s="6" r="AL1460">
        <v>92</v>
      </c>
      <c t="s" s="6" r="AM1460">
        <v>92</v>
      </c>
      <c t="s" s="6" r="AN1460">
        <v>92</v>
      </c>
      <c s="6" r="AP1460">
        <v>1</v>
      </c>
      <c s="6" r="AS1460">
        <v>0</v>
      </c>
      <c s="6" r="AT1460">
        <v>0</v>
      </c>
      <c s="6" r="AU1460">
        <v>0</v>
      </c>
      <c s="6" r="AV1460">
        <v>0</v>
      </c>
      <c s="6" r="AW1460">
        <v>0</v>
      </c>
      <c s="6" r="AX1460">
        <v>0</v>
      </c>
      <c s="6" r="AY1460">
        <v>0</v>
      </c>
      <c s="6" r="AZ1460">
        <v>0</v>
      </c>
      <c s="6" r="BA1460">
        <v>0</v>
      </c>
      <c s="6" r="BB1460">
        <v>0</v>
      </c>
      <c s="6" r="BC1460">
        <v>0</v>
      </c>
      <c s="6" r="BD1460">
        <v>0</v>
      </c>
      <c s="6" r="BE1460">
        <v>0</v>
      </c>
      <c s="6" r="BF1460">
        <v>0</v>
      </c>
      <c s="6" r="BG1460">
        <v>0</v>
      </c>
      <c s="6" r="BH1460">
        <v>0</v>
      </c>
      <c s="6" r="BI1460">
        <v>0</v>
      </c>
      <c s="6" r="BJ1460">
        <v>0</v>
      </c>
      <c s="6" r="BK1460">
        <v>0</v>
      </c>
      <c s="6" r="BL1460">
        <v>1</v>
      </c>
      <c s="6" r="BM1460">
        <v>0</v>
      </c>
      <c s="6" r="BN1460">
        <v>0</v>
      </c>
      <c s="6" r="BO1460">
        <v>0</v>
      </c>
      <c s="6" r="BP1460">
        <v>0</v>
      </c>
      <c s="6" r="BQ1460">
        <v>0</v>
      </c>
      <c t="s" s="6" r="BR1460">
        <v>92</v>
      </c>
      <c s="6" r="BS1460">
        <v>1483</v>
      </c>
      <c t="s" s="6" r="BT1460">
        <v>92</v>
      </c>
      <c s="6" r="BY1460">
        <v>0</v>
      </c>
    </row>
    <row customHeight="1" r="1461" ht="14.25">
      <c t="s" s="6" r="A1461">
        <v>10378</v>
      </c>
      <c t="s" s="6" r="B1461">
        <v>579</v>
      </c>
      <c t="s" s="6" r="C1461">
        <v>580</v>
      </c>
      <c t="s" s="6" r="E1461">
        <v>10379</v>
      </c>
      <c t="s" s="6" r="F1461">
        <v>81</v>
      </c>
      <c t="s" s="6" r="G1461">
        <v>2086</v>
      </c>
      <c s="6" r="H1461">
        <v>0</v>
      </c>
      <c t="s" s="6" r="I1461">
        <v>155</v>
      </c>
      <c t="s" s="6" r="L1461">
        <v>156</v>
      </c>
      <c t="s" s="6" r="M1461">
        <v>5005</v>
      </c>
      <c s="6" r="N1461">
        <v>0</v>
      </c>
      <c s="6" r="O1461">
        <v>0</v>
      </c>
      <c t="s" s="6" r="R1461">
        <v>10380</v>
      </c>
      <c t="s" s="6" r="S1461">
        <v>10381</v>
      </c>
      <c t="s" s="6" r="T1461">
        <v>10367</v>
      </c>
      <c t="s" s="6" r="U1461">
        <v>10382</v>
      </c>
      <c s="6" r="V1461">
        <v>0</v>
      </c>
      <c s="6" r="W1461">
        <v>1</v>
      </c>
      <c s="6" r="X1461">
        <v>0</v>
      </c>
      <c s="6" r="Y1461">
        <v>0</v>
      </c>
      <c s="6" r="Z1461">
        <v>0</v>
      </c>
      <c s="6" r="AA1461">
        <v>1</v>
      </c>
      <c s="6" r="AB1461">
        <v>1</v>
      </c>
      <c t="s" s="6" r="AC1461">
        <v>92</v>
      </c>
      <c s="6" r="AD1461">
        <v>1</v>
      </c>
      <c s="6" r="AE1461">
        <v>1</v>
      </c>
      <c t="s" s="6" r="AF1461">
        <v>92</v>
      </c>
      <c t="s" s="6" r="AG1461">
        <v>92</v>
      </c>
      <c s="6" r="AH1461">
        <v>1</v>
      </c>
      <c t="s" s="6" r="AI1461">
        <v>92</v>
      </c>
      <c s="6" r="AJ1461">
        <v>1</v>
      </c>
      <c t="s" s="6" r="AK1461">
        <v>92</v>
      </c>
      <c t="s" s="6" r="AL1461">
        <v>92</v>
      </c>
      <c t="s" s="6" r="AM1461">
        <v>92</v>
      </c>
      <c s="6" r="AN1461">
        <v>1</v>
      </c>
      <c s="6" r="AP1461">
        <v>1</v>
      </c>
      <c s="6" r="AS1461">
        <v>0</v>
      </c>
      <c s="6" r="AT1461">
        <v>0</v>
      </c>
      <c s="6" r="AU1461">
        <v>0</v>
      </c>
      <c s="6" r="AV1461">
        <v>0</v>
      </c>
      <c s="6" r="AW1461">
        <v>0</v>
      </c>
      <c s="6" r="AX1461">
        <v>0</v>
      </c>
      <c s="6" r="AY1461">
        <v>0</v>
      </c>
      <c s="6" r="AZ1461">
        <v>0</v>
      </c>
      <c s="6" r="BA1461">
        <v>0</v>
      </c>
      <c s="6" r="BB1461">
        <v>0</v>
      </c>
      <c s="6" r="BC1461">
        <v>0</v>
      </c>
      <c s="6" r="BD1461">
        <v>0</v>
      </c>
      <c s="6" r="BE1461">
        <v>0</v>
      </c>
      <c s="6" r="BF1461">
        <v>0</v>
      </c>
      <c s="6" r="BG1461">
        <v>0</v>
      </c>
      <c s="6" r="BH1461">
        <v>0</v>
      </c>
      <c s="6" r="BI1461">
        <v>0</v>
      </c>
      <c s="6" r="BJ1461">
        <v>0</v>
      </c>
      <c s="6" r="BK1461">
        <v>0</v>
      </c>
      <c s="6" r="BL1461">
        <v>0</v>
      </c>
      <c s="6" r="BM1461">
        <v>0</v>
      </c>
      <c s="6" r="BN1461">
        <v>0</v>
      </c>
      <c s="6" r="BO1461">
        <v>0</v>
      </c>
      <c s="6" r="BP1461">
        <v>0</v>
      </c>
      <c s="6" r="BQ1461">
        <v>0</v>
      </c>
      <c t="s" s="6" r="BR1461">
        <v>92</v>
      </c>
      <c s="6" r="BS1461">
        <v>1484</v>
      </c>
      <c t="s" s="6" r="BT1461">
        <v>92</v>
      </c>
      <c s="6" r="BY1461">
        <v>0</v>
      </c>
    </row>
    <row customHeight="1" r="1462" ht="14.25">
      <c t="s" s="6" r="A1462">
        <v>10383</v>
      </c>
      <c t="s" s="6" r="B1462">
        <v>162</v>
      </c>
      <c t="s" s="6" r="E1462">
        <v>10384</v>
      </c>
      <c t="s" s="6" r="F1462">
        <v>81</v>
      </c>
      <c t="s" s="6" r="G1462">
        <v>106</v>
      </c>
      <c s="6" r="H1462">
        <v>0</v>
      </c>
      <c t="s" s="6" r="I1462">
        <v>120</v>
      </c>
      <c t="s" s="6" r="L1462">
        <v>1235</v>
      </c>
      <c t="s" s="6" r="M1462">
        <v>209</v>
      </c>
      <c s="6" r="N1462">
        <v>0</v>
      </c>
      <c s="6" r="O1462">
        <v>0</v>
      </c>
      <c t="s" s="6" r="P1462">
        <v>421</v>
      </c>
      <c t="s" s="6" r="Q1462">
        <v>87</v>
      </c>
      <c t="s" s="6" r="R1462">
        <v>10385</v>
      </c>
      <c t="s" s="6" r="S1462">
        <v>10386</v>
      </c>
      <c t="s" s="6" r="T1462">
        <v>10367</v>
      </c>
      <c t="s" s="6" r="U1462">
        <v>10387</v>
      </c>
      <c s="6" r="V1462">
        <v>1</v>
      </c>
      <c s="6" r="W1462">
        <v>1</v>
      </c>
      <c s="6" r="X1462">
        <v>0</v>
      </c>
      <c s="6" r="Y1462">
        <v>0</v>
      </c>
      <c s="6" r="Z1462">
        <v>0</v>
      </c>
      <c t="s" s="6" r="AA1462">
        <v>92</v>
      </c>
      <c t="s" s="6" r="AB1462">
        <v>92</v>
      </c>
      <c s="6" r="AC1462">
        <v>4</v>
      </c>
      <c s="6" r="AD1462">
        <v>3</v>
      </c>
      <c s="6" r="AE1462">
        <v>3</v>
      </c>
      <c t="s" s="6" r="AF1462">
        <v>92</v>
      </c>
      <c t="s" s="6" r="AG1462">
        <v>92</v>
      </c>
      <c t="s" s="6" r="AH1462">
        <v>92</v>
      </c>
      <c t="s" s="6" r="AI1462">
        <v>92</v>
      </c>
      <c s="6" r="AJ1462">
        <v>3</v>
      </c>
      <c t="s" s="6" r="AK1462">
        <v>92</v>
      </c>
      <c s="6" r="AL1462">
        <v>4</v>
      </c>
      <c t="s" s="6" r="AM1462">
        <v>92</v>
      </c>
      <c t="s" s="6" r="AN1462">
        <v>92</v>
      </c>
      <c s="6" r="AP1462">
        <v>4</v>
      </c>
      <c s="6" r="AS1462">
        <v>0</v>
      </c>
      <c s="6" r="AT1462">
        <v>0</v>
      </c>
      <c s="6" r="AU1462">
        <v>0</v>
      </c>
      <c s="6" r="AV1462">
        <v>0</v>
      </c>
      <c s="6" r="AW1462">
        <v>0</v>
      </c>
      <c s="6" r="AX1462">
        <v>0</v>
      </c>
      <c s="6" r="AY1462">
        <v>0</v>
      </c>
      <c s="6" r="AZ1462">
        <v>0</v>
      </c>
      <c s="6" r="BA1462">
        <v>0</v>
      </c>
      <c s="6" r="BB1462">
        <v>0</v>
      </c>
      <c s="6" r="BC1462">
        <v>0</v>
      </c>
      <c s="6" r="BD1462">
        <v>0</v>
      </c>
      <c s="6" r="BE1462">
        <v>0</v>
      </c>
      <c s="6" r="BF1462">
        <v>0</v>
      </c>
      <c s="6" r="BG1462">
        <v>0</v>
      </c>
      <c s="6" r="BH1462">
        <v>0</v>
      </c>
      <c s="6" r="BI1462">
        <v>0</v>
      </c>
      <c s="6" r="BJ1462">
        <v>0</v>
      </c>
      <c s="6" r="BK1462">
        <v>0</v>
      </c>
      <c s="6" r="BL1462">
        <v>0</v>
      </c>
      <c s="6" r="BM1462">
        <v>0</v>
      </c>
      <c s="6" r="BN1462">
        <v>0</v>
      </c>
      <c s="6" r="BO1462">
        <v>0</v>
      </c>
      <c s="6" r="BP1462">
        <v>0</v>
      </c>
      <c s="6" r="BQ1462">
        <v>0</v>
      </c>
      <c t="s" s="6" r="BR1462">
        <v>92</v>
      </c>
      <c s="6" r="BS1462">
        <v>1485</v>
      </c>
      <c t="s" s="6" r="BT1462">
        <v>92</v>
      </c>
      <c s="6" r="BY1462">
        <v>0</v>
      </c>
    </row>
    <row customHeight="1" r="1463" ht="14.25">
      <c t="s" s="6" r="A1463">
        <v>10388</v>
      </c>
      <c t="s" s="6" r="B1463">
        <v>174</v>
      </c>
      <c t="s" s="6" r="E1463">
        <v>10389</v>
      </c>
      <c t="s" s="6" r="F1463">
        <v>8748</v>
      </c>
      <c t="s" s="6" r="G1463">
        <v>10390</v>
      </c>
      <c s="6" r="H1463">
        <v>0</v>
      </c>
      <c t="s" s="6" r="I1463">
        <v>155</v>
      </c>
      <c t="s" s="6" r="L1463">
        <v>156</v>
      </c>
      <c t="s" s="6" r="M1463">
        <v>5954</v>
      </c>
      <c s="6" r="N1463">
        <v>1</v>
      </c>
      <c s="6" r="O1463">
        <v>0</v>
      </c>
      <c t="s" s="6" r="R1463">
        <v>10391</v>
      </c>
      <c t="s" s="6" r="S1463">
        <v>10392</v>
      </c>
      <c t="s" s="6" r="T1463">
        <v>10367</v>
      </c>
      <c t="s" s="6" r="U1463">
        <v>10393</v>
      </c>
      <c s="6" r="V1463">
        <v>1</v>
      </c>
      <c s="6" r="W1463">
        <v>1</v>
      </c>
      <c s="6" r="X1463">
        <v>1</v>
      </c>
      <c s="6" r="Y1463">
        <v>0</v>
      </c>
      <c s="6" r="Z1463">
        <v>1</v>
      </c>
      <c t="s" s="6" r="AA1463">
        <v>92</v>
      </c>
      <c t="s" s="6" r="AB1463">
        <v>92</v>
      </c>
      <c s="6" r="AC1463">
        <v>2</v>
      </c>
      <c s="6" r="AD1463">
        <v>1</v>
      </c>
      <c s="6" r="AE1463">
        <v>1</v>
      </c>
      <c t="s" s="6" r="AF1463">
        <v>92</v>
      </c>
      <c t="s" s="6" r="AG1463">
        <v>92</v>
      </c>
      <c t="s" s="6" r="AH1463">
        <v>92</v>
      </c>
      <c t="s" s="6" r="AI1463">
        <v>92</v>
      </c>
      <c s="6" r="AJ1463">
        <v>1</v>
      </c>
      <c t="s" s="6" r="AK1463">
        <v>92</v>
      </c>
      <c s="6" r="AL1463">
        <v>2</v>
      </c>
      <c t="s" s="6" r="AM1463">
        <v>92</v>
      </c>
      <c t="s" s="6" r="AN1463">
        <v>92</v>
      </c>
      <c s="6" r="AP1463">
        <v>2</v>
      </c>
      <c s="6" r="AS1463">
        <v>0</v>
      </c>
      <c s="6" r="AT1463">
        <v>0</v>
      </c>
      <c s="6" r="AU1463">
        <v>0</v>
      </c>
      <c s="6" r="AV1463">
        <v>0</v>
      </c>
      <c s="6" r="AW1463">
        <v>0</v>
      </c>
      <c s="6" r="AX1463">
        <v>0</v>
      </c>
      <c s="6" r="AY1463">
        <v>0</v>
      </c>
      <c s="6" r="AZ1463">
        <v>0</v>
      </c>
      <c s="6" r="BA1463">
        <v>0</v>
      </c>
      <c s="6" r="BB1463">
        <v>0</v>
      </c>
      <c s="6" r="BC1463">
        <v>0</v>
      </c>
      <c s="6" r="BD1463">
        <v>0</v>
      </c>
      <c s="6" r="BE1463">
        <v>0</v>
      </c>
      <c s="6" r="BF1463">
        <v>0</v>
      </c>
      <c s="6" r="BG1463">
        <v>0</v>
      </c>
      <c s="6" r="BH1463">
        <v>0</v>
      </c>
      <c s="6" r="BI1463">
        <v>0</v>
      </c>
      <c s="6" r="BJ1463">
        <v>0</v>
      </c>
      <c s="6" r="BK1463">
        <v>0</v>
      </c>
      <c s="6" r="BL1463">
        <v>0</v>
      </c>
      <c s="6" r="BM1463">
        <v>0</v>
      </c>
      <c s="6" r="BN1463">
        <v>0</v>
      </c>
      <c s="6" r="BO1463">
        <v>0</v>
      </c>
      <c s="6" r="BP1463">
        <v>0</v>
      </c>
      <c s="6" r="BQ1463">
        <v>0</v>
      </c>
      <c t="s" s="6" r="BR1463">
        <v>92</v>
      </c>
      <c s="6" r="BS1463">
        <v>1486</v>
      </c>
      <c t="s" s="6" r="BT1463">
        <v>92</v>
      </c>
      <c s="6" r="BY1463">
        <v>0</v>
      </c>
    </row>
    <row customHeight="1" r="1464" ht="14.25">
      <c t="s" s="6" r="A1464">
        <v>10394</v>
      </c>
      <c t="s" s="6" r="B1464">
        <v>162</v>
      </c>
      <c t="s" s="6" r="E1464">
        <v>10395</v>
      </c>
      <c t="s" s="6" r="F1464">
        <v>81</v>
      </c>
      <c t="s" s="6" r="G1464">
        <v>106</v>
      </c>
      <c s="6" r="H1464">
        <v>0</v>
      </c>
      <c t="s" s="6" r="I1464">
        <v>120</v>
      </c>
      <c t="s" s="6" r="L1464">
        <v>420</v>
      </c>
      <c t="s" s="6" r="M1464">
        <v>99</v>
      </c>
      <c s="6" r="N1464">
        <v>0</v>
      </c>
      <c s="6" r="O1464">
        <v>0</v>
      </c>
      <c t="s" s="6" r="P1464">
        <v>1227</v>
      </c>
      <c t="s" s="6" r="Q1464">
        <v>123</v>
      </c>
      <c t="s" s="6" r="R1464">
        <v>10396</v>
      </c>
      <c t="s" s="6" r="S1464">
        <v>10397</v>
      </c>
      <c t="s" s="6" r="T1464">
        <v>10367</v>
      </c>
      <c t="s" s="6" r="U1464">
        <v>10398</v>
      </c>
      <c s="6" r="V1464">
        <v>1</v>
      </c>
      <c s="6" r="W1464">
        <v>1</v>
      </c>
      <c s="6" r="X1464">
        <v>0</v>
      </c>
      <c s="6" r="Y1464">
        <v>0</v>
      </c>
      <c s="6" r="Z1464">
        <v>0</v>
      </c>
      <c s="6" r="AA1464">
        <v>2</v>
      </c>
      <c s="6" r="AB1464">
        <v>2</v>
      </c>
      <c t="s" s="6" r="AC1464">
        <v>92</v>
      </c>
      <c t="s" s="6" r="AD1464">
        <v>92</v>
      </c>
      <c t="s" s="6" r="AE1464">
        <v>92</v>
      </c>
      <c s="6" r="AF1464">
        <v>3</v>
      </c>
      <c t="s" s="6" r="AG1464">
        <v>92</v>
      </c>
      <c t="s" s="6" r="AH1464">
        <v>92</v>
      </c>
      <c t="s" s="6" r="AI1464">
        <v>92</v>
      </c>
      <c t="s" s="6" r="AJ1464">
        <v>92</v>
      </c>
      <c t="s" s="6" r="AK1464">
        <v>92</v>
      </c>
      <c t="s" s="6" r="AL1464">
        <v>92</v>
      </c>
      <c t="s" s="6" r="AM1464">
        <v>92</v>
      </c>
      <c t="s" s="6" r="AN1464">
        <v>92</v>
      </c>
      <c s="6" r="AP1464">
        <v>2</v>
      </c>
      <c s="6" r="AS1464">
        <v>0</v>
      </c>
      <c s="6" r="AT1464">
        <v>0</v>
      </c>
      <c s="6" r="AU1464">
        <v>0</v>
      </c>
      <c s="6" r="AV1464">
        <v>0</v>
      </c>
      <c s="6" r="AW1464">
        <v>0</v>
      </c>
      <c s="6" r="AX1464">
        <v>0</v>
      </c>
      <c s="6" r="AY1464">
        <v>0</v>
      </c>
      <c s="6" r="AZ1464">
        <v>0</v>
      </c>
      <c s="6" r="BA1464">
        <v>0</v>
      </c>
      <c s="6" r="BB1464">
        <v>0</v>
      </c>
      <c s="6" r="BC1464">
        <v>0</v>
      </c>
      <c s="6" r="BD1464">
        <v>0</v>
      </c>
      <c s="6" r="BE1464">
        <v>0</v>
      </c>
      <c s="6" r="BF1464">
        <v>0</v>
      </c>
      <c s="6" r="BG1464">
        <v>0</v>
      </c>
      <c s="6" r="BH1464">
        <v>0</v>
      </c>
      <c s="6" r="BI1464">
        <v>0</v>
      </c>
      <c s="6" r="BJ1464">
        <v>0</v>
      </c>
      <c s="6" r="BK1464">
        <v>0</v>
      </c>
      <c s="6" r="BL1464">
        <v>0</v>
      </c>
      <c s="6" r="BM1464">
        <v>0</v>
      </c>
      <c s="6" r="BN1464">
        <v>0</v>
      </c>
      <c s="6" r="BO1464">
        <v>0</v>
      </c>
      <c s="6" r="BP1464">
        <v>0</v>
      </c>
      <c s="6" r="BQ1464">
        <v>0</v>
      </c>
      <c t="s" s="6" r="BR1464">
        <v>92</v>
      </c>
      <c s="6" r="BS1464">
        <v>1487</v>
      </c>
      <c t="s" s="6" r="BT1464">
        <v>92</v>
      </c>
      <c s="6" r="BY1464">
        <v>0</v>
      </c>
    </row>
    <row customHeight="1" r="1465" ht="14.25">
      <c t="s" s="6" r="A1465">
        <v>10399</v>
      </c>
      <c t="s" s="6" r="B1465">
        <v>579</v>
      </c>
      <c t="s" s="6" r="C1465">
        <v>2047</v>
      </c>
      <c t="s" s="6" r="D1465">
        <v>117</v>
      </c>
      <c t="s" s="6" r="E1465">
        <v>2309</v>
      </c>
      <c t="s" s="6" r="F1465">
        <v>81</v>
      </c>
      <c t="s" s="6" r="G1465">
        <v>106</v>
      </c>
      <c s="6" r="H1465">
        <v>0</v>
      </c>
      <c t="s" s="6" r="I1465">
        <v>10400</v>
      </c>
      <c t="s" s="6" r="L1465">
        <v>1235</v>
      </c>
      <c t="s" s="6" r="M1465">
        <v>99</v>
      </c>
      <c s="6" r="N1465">
        <v>0</v>
      </c>
      <c s="6" r="O1465">
        <v>0</v>
      </c>
      <c t="s" s="6" r="P1465">
        <v>221</v>
      </c>
      <c t="s" s="6" r="Q1465">
        <v>188</v>
      </c>
      <c t="s" s="6" r="R1465">
        <v>10401</v>
      </c>
      <c t="s" s="6" r="S1465">
        <v>10402</v>
      </c>
      <c t="s" s="6" r="T1465">
        <v>10367</v>
      </c>
      <c t="s" s="6" r="U1465">
        <v>10403</v>
      </c>
      <c s="6" r="V1465">
        <v>1</v>
      </c>
      <c s="6" r="W1465">
        <v>1</v>
      </c>
      <c s="6" r="X1465">
        <v>0</v>
      </c>
      <c s="6" r="Y1465">
        <v>0</v>
      </c>
      <c s="6" r="Z1465">
        <v>0</v>
      </c>
      <c s="6" r="AA1465">
        <v>2</v>
      </c>
      <c s="6" r="AB1465">
        <v>2</v>
      </c>
      <c t="s" s="6" r="AC1465">
        <v>92</v>
      </c>
      <c t="s" s="6" r="AD1465">
        <v>92</v>
      </c>
      <c t="s" s="6" r="AE1465">
        <v>92</v>
      </c>
      <c s="6" r="AF1465">
        <v>1</v>
      </c>
      <c t="s" s="6" r="AG1465">
        <v>92</v>
      </c>
      <c t="s" s="6" r="AH1465">
        <v>92</v>
      </c>
      <c t="s" s="6" r="AI1465">
        <v>92</v>
      </c>
      <c t="s" s="6" r="AJ1465">
        <v>92</v>
      </c>
      <c t="s" s="6" r="AK1465">
        <v>92</v>
      </c>
      <c t="s" s="6" r="AL1465">
        <v>92</v>
      </c>
      <c t="s" s="6" r="AM1465">
        <v>92</v>
      </c>
      <c t="s" s="6" r="AN1465">
        <v>92</v>
      </c>
      <c s="6" r="AP1465">
        <v>2</v>
      </c>
      <c s="6" r="AS1465">
        <v>0</v>
      </c>
      <c s="6" r="AT1465">
        <v>0</v>
      </c>
      <c s="6" r="AU1465">
        <v>0</v>
      </c>
      <c s="6" r="AV1465">
        <v>0</v>
      </c>
      <c s="6" r="AW1465">
        <v>0</v>
      </c>
      <c s="6" r="AX1465">
        <v>0</v>
      </c>
      <c s="6" r="AY1465">
        <v>0</v>
      </c>
      <c s="6" r="AZ1465">
        <v>0</v>
      </c>
      <c s="6" r="BA1465">
        <v>0</v>
      </c>
      <c s="6" r="BB1465">
        <v>0</v>
      </c>
      <c s="6" r="BC1465">
        <v>0</v>
      </c>
      <c s="6" r="BD1465">
        <v>0</v>
      </c>
      <c s="6" r="BE1465">
        <v>0</v>
      </c>
      <c s="6" r="BF1465">
        <v>0</v>
      </c>
      <c s="6" r="BG1465">
        <v>0</v>
      </c>
      <c s="6" r="BH1465">
        <v>0</v>
      </c>
      <c s="6" r="BI1465">
        <v>0</v>
      </c>
      <c s="6" r="BJ1465">
        <v>0</v>
      </c>
      <c s="6" r="BK1465">
        <v>0</v>
      </c>
      <c s="6" r="BL1465">
        <v>1</v>
      </c>
      <c s="6" r="BM1465">
        <v>0</v>
      </c>
      <c s="6" r="BN1465">
        <v>0</v>
      </c>
      <c s="6" r="BO1465">
        <v>0</v>
      </c>
      <c s="6" r="BP1465">
        <v>0</v>
      </c>
      <c s="6" r="BQ1465">
        <v>0</v>
      </c>
      <c t="s" s="6" r="BR1465">
        <v>92</v>
      </c>
      <c s="6" r="BS1465">
        <v>1488</v>
      </c>
      <c t="s" s="6" r="BT1465">
        <v>92</v>
      </c>
      <c t="s" s="6" r="BW1465">
        <v>10404</v>
      </c>
      <c s="6" r="BY1465">
        <v>1</v>
      </c>
    </row>
    <row customHeight="1" r="1466" ht="14.25">
      <c t="s" s="6" r="A1466">
        <v>10405</v>
      </c>
      <c t="s" s="6" r="B1466">
        <v>579</v>
      </c>
      <c t="s" s="6" r="C1466">
        <v>2047</v>
      </c>
      <c t="s" s="6" r="D1466">
        <v>117</v>
      </c>
      <c t="s" s="6" r="E1466">
        <v>1709</v>
      </c>
      <c t="s" s="6" r="F1466">
        <v>311</v>
      </c>
      <c t="s" s="6" r="G1466">
        <v>106</v>
      </c>
      <c s="6" r="H1466">
        <v>0</v>
      </c>
      <c t="s" s="6" r="I1466">
        <v>107</v>
      </c>
      <c t="s" s="6" r="K1466">
        <v>10406</v>
      </c>
      <c t="s" s="6" r="M1466">
        <v>5954</v>
      </c>
      <c s="6" r="N1466">
        <v>1</v>
      </c>
      <c s="6" r="O1466">
        <v>0</v>
      </c>
      <c t="s" s="6" r="P1466">
        <v>221</v>
      </c>
      <c t="s" s="6" r="Q1466">
        <v>188</v>
      </c>
      <c t="s" s="6" r="R1466">
        <v>10407</v>
      </c>
      <c t="s" s="6" r="S1466">
        <v>10408</v>
      </c>
      <c t="s" s="6" r="T1466">
        <v>10367</v>
      </c>
      <c t="s" s="6" r="U1466">
        <v>10409</v>
      </c>
      <c s="6" r="V1466">
        <v>1</v>
      </c>
      <c s="6" r="W1466">
        <v>1</v>
      </c>
      <c s="6" r="X1466">
        <v>0</v>
      </c>
      <c s="6" r="Y1466">
        <v>0</v>
      </c>
      <c s="6" r="Z1466">
        <v>0</v>
      </c>
      <c s="6" r="AA1466">
        <v>5</v>
      </c>
      <c s="6" r="AB1466">
        <v>5</v>
      </c>
      <c t="s" s="6" r="AC1466">
        <v>92</v>
      </c>
      <c t="s" s="6" r="AD1466">
        <v>92</v>
      </c>
      <c t="s" s="6" r="AE1466">
        <v>92</v>
      </c>
      <c t="s" s="6" r="AF1466">
        <v>92</v>
      </c>
      <c t="s" s="6" r="AG1466">
        <v>92</v>
      </c>
      <c t="s" s="6" r="AH1466">
        <v>92</v>
      </c>
      <c t="s" s="6" r="AI1466">
        <v>92</v>
      </c>
      <c t="s" s="6" r="AJ1466">
        <v>92</v>
      </c>
      <c t="s" s="6" r="AK1466">
        <v>92</v>
      </c>
      <c t="s" s="6" r="AL1466">
        <v>92</v>
      </c>
      <c t="s" s="6" r="AM1466">
        <v>92</v>
      </c>
      <c t="s" s="6" r="AN1466">
        <v>92</v>
      </c>
      <c s="6" r="AP1466">
        <v>5</v>
      </c>
      <c s="6" r="AS1466">
        <v>0</v>
      </c>
      <c s="6" r="AT1466">
        <v>0</v>
      </c>
      <c s="6" r="AU1466">
        <v>0</v>
      </c>
      <c s="6" r="AV1466">
        <v>0</v>
      </c>
      <c s="6" r="AW1466">
        <v>0</v>
      </c>
      <c s="6" r="AX1466">
        <v>0</v>
      </c>
      <c s="6" r="AY1466">
        <v>0</v>
      </c>
      <c s="6" r="AZ1466">
        <v>0</v>
      </c>
      <c s="6" r="BA1466">
        <v>0</v>
      </c>
      <c s="6" r="BB1466">
        <v>0</v>
      </c>
      <c s="6" r="BC1466">
        <v>0</v>
      </c>
      <c s="6" r="BD1466">
        <v>0</v>
      </c>
      <c s="6" r="BE1466">
        <v>0</v>
      </c>
      <c s="6" r="BF1466">
        <v>0</v>
      </c>
      <c s="6" r="BG1466">
        <v>0</v>
      </c>
      <c s="6" r="BH1466">
        <v>0</v>
      </c>
      <c s="6" r="BI1466">
        <v>0</v>
      </c>
      <c s="6" r="BJ1466">
        <v>0</v>
      </c>
      <c s="6" r="BK1466">
        <v>0</v>
      </c>
      <c s="6" r="BL1466">
        <v>1</v>
      </c>
      <c s="6" r="BM1466">
        <v>0</v>
      </c>
      <c s="6" r="BN1466">
        <v>0</v>
      </c>
      <c s="6" r="BO1466">
        <v>0</v>
      </c>
      <c s="6" r="BP1466">
        <v>0</v>
      </c>
      <c s="6" r="BQ1466">
        <v>0</v>
      </c>
      <c t="s" s="6" r="BR1466">
        <v>92</v>
      </c>
      <c s="6" r="BS1466">
        <v>1489</v>
      </c>
      <c t="s" s="6" r="BT1466">
        <v>92</v>
      </c>
      <c s="6" r="BY1466">
        <v>0</v>
      </c>
    </row>
    <row customHeight="1" r="1467" ht="14.25">
      <c t="s" s="6" r="A1467">
        <v>10410</v>
      </c>
      <c t="s" s="6" r="B1467">
        <v>579</v>
      </c>
      <c t="s" s="6" r="C1467">
        <v>2047</v>
      </c>
      <c t="s" s="6" r="D1467">
        <v>117</v>
      </c>
      <c t="s" s="6" r="E1467">
        <v>10411</v>
      </c>
      <c t="s" s="6" r="F1467">
        <v>197</v>
      </c>
      <c t="s" s="6" r="G1467">
        <v>106</v>
      </c>
      <c s="6" r="H1467">
        <v>0</v>
      </c>
      <c t="s" s="6" r="I1467">
        <v>313</v>
      </c>
      <c t="s" s="6" r="L1467">
        <v>10412</v>
      </c>
      <c t="s" s="6" r="M1467">
        <v>141</v>
      </c>
      <c s="6" r="N1467">
        <v>0</v>
      </c>
      <c s="6" r="O1467">
        <v>0</v>
      </c>
      <c t="s" s="6" r="P1467">
        <v>86</v>
      </c>
      <c t="s" s="6" r="Q1467">
        <v>188</v>
      </c>
      <c t="s" s="6" r="R1467">
        <v>10413</v>
      </c>
      <c t="s" s="6" r="S1467">
        <v>10414</v>
      </c>
      <c t="s" s="6" r="T1467">
        <v>10367</v>
      </c>
      <c t="s" s="6" r="U1467">
        <v>10415</v>
      </c>
      <c s="6" r="V1467">
        <v>1</v>
      </c>
      <c s="6" r="W1467">
        <v>1</v>
      </c>
      <c s="6" r="X1467">
        <v>0</v>
      </c>
      <c s="6" r="Y1467">
        <v>0</v>
      </c>
      <c s="6" r="Z1467">
        <v>0</v>
      </c>
      <c s="6" r="AA1467">
        <v>3</v>
      </c>
      <c s="6" r="AB1467">
        <v>3</v>
      </c>
      <c t="s" s="6" r="AC1467">
        <v>92</v>
      </c>
      <c t="s" s="6" r="AD1467">
        <v>92</v>
      </c>
      <c t="s" s="6" r="AE1467">
        <v>92</v>
      </c>
      <c s="6" r="AF1467">
        <v>3</v>
      </c>
      <c t="s" s="6" r="AG1467">
        <v>92</v>
      </c>
      <c s="6" r="AH1467">
        <v>2</v>
      </c>
      <c t="s" s="6" r="AI1467">
        <v>92</v>
      </c>
      <c s="6" r="AJ1467">
        <v>2</v>
      </c>
      <c t="s" s="6" r="AK1467">
        <v>92</v>
      </c>
      <c t="s" s="6" r="AL1467">
        <v>92</v>
      </c>
      <c t="s" s="6" r="AM1467">
        <v>92</v>
      </c>
      <c t="s" s="6" r="AN1467">
        <v>92</v>
      </c>
      <c s="6" r="AP1467">
        <v>3</v>
      </c>
      <c s="6" r="AS1467">
        <v>0</v>
      </c>
      <c s="6" r="AT1467">
        <v>0</v>
      </c>
      <c s="6" r="AU1467">
        <v>0</v>
      </c>
      <c s="6" r="AV1467">
        <v>0</v>
      </c>
      <c s="6" r="AW1467">
        <v>0</v>
      </c>
      <c s="6" r="AX1467">
        <v>0</v>
      </c>
      <c s="6" r="AY1467">
        <v>0</v>
      </c>
      <c s="6" r="AZ1467">
        <v>0</v>
      </c>
      <c s="6" r="BA1467">
        <v>0</v>
      </c>
      <c s="6" r="BB1467">
        <v>0</v>
      </c>
      <c s="6" r="BC1467">
        <v>0</v>
      </c>
      <c s="6" r="BD1467">
        <v>0</v>
      </c>
      <c s="6" r="BE1467">
        <v>0</v>
      </c>
      <c s="6" r="BF1467">
        <v>0</v>
      </c>
      <c s="6" r="BG1467">
        <v>0</v>
      </c>
      <c s="6" r="BH1467">
        <v>0</v>
      </c>
      <c s="6" r="BI1467">
        <v>0</v>
      </c>
      <c s="6" r="BJ1467">
        <v>0</v>
      </c>
      <c s="6" r="BK1467">
        <v>0</v>
      </c>
      <c s="6" r="BL1467">
        <v>1</v>
      </c>
      <c s="6" r="BM1467">
        <v>0</v>
      </c>
      <c s="6" r="BN1467">
        <v>0</v>
      </c>
      <c s="6" r="BO1467">
        <v>0</v>
      </c>
      <c s="6" r="BP1467">
        <v>0</v>
      </c>
      <c s="6" r="BQ1467">
        <v>0</v>
      </c>
      <c t="s" s="6" r="BR1467">
        <v>92</v>
      </c>
      <c s="6" r="BS1467">
        <v>1490</v>
      </c>
      <c t="s" s="6" r="BT1467">
        <v>92</v>
      </c>
      <c s="6" r="BY1467">
        <v>0</v>
      </c>
    </row>
    <row customHeight="1" r="1468" ht="14.25">
      <c t="s" s="6" r="A1468">
        <v>10416</v>
      </c>
      <c t="s" s="6" r="B1468">
        <v>579</v>
      </c>
      <c t="s" s="6" r="C1468">
        <v>2047</v>
      </c>
      <c t="s" s="6" r="D1468">
        <v>117</v>
      </c>
      <c t="s" s="6" r="E1468">
        <v>2102</v>
      </c>
      <c t="s" s="6" r="F1468">
        <v>197</v>
      </c>
      <c t="s" s="6" r="G1468">
        <v>106</v>
      </c>
      <c s="6" r="H1468">
        <v>0</v>
      </c>
      <c t="s" s="6" r="I1468">
        <v>813</v>
      </c>
      <c t="s" s="6" r="K1468">
        <v>10417</v>
      </c>
      <c t="s" s="6" r="M1468">
        <v>5954</v>
      </c>
      <c s="6" r="N1468">
        <v>1</v>
      </c>
      <c s="6" r="O1468">
        <v>0</v>
      </c>
      <c t="s" s="6" r="P1468">
        <v>221</v>
      </c>
      <c t="s" s="6" r="Q1468">
        <v>188</v>
      </c>
      <c t="s" s="6" r="R1468">
        <v>10418</v>
      </c>
      <c t="s" s="6" r="S1468">
        <v>10419</v>
      </c>
      <c t="s" s="6" r="T1468">
        <v>10367</v>
      </c>
      <c t="s" s="6" r="U1468">
        <v>10420</v>
      </c>
      <c s="6" r="V1468">
        <v>1</v>
      </c>
      <c s="6" r="W1468">
        <v>1</v>
      </c>
      <c s="6" r="X1468">
        <v>0</v>
      </c>
      <c s="6" r="Y1468">
        <v>0</v>
      </c>
      <c s="6" r="Z1468">
        <v>0</v>
      </c>
      <c s="6" r="AA1468">
        <v>4</v>
      </c>
      <c s="6" r="AB1468">
        <v>4</v>
      </c>
      <c t="s" s="6" r="AC1468">
        <v>92</v>
      </c>
      <c t="s" s="6" r="AD1468">
        <v>92</v>
      </c>
      <c t="s" s="6" r="AE1468">
        <v>92</v>
      </c>
      <c t="s" s="6" r="AF1468">
        <v>92</v>
      </c>
      <c t="s" s="6" r="AG1468">
        <v>92</v>
      </c>
      <c t="s" s="6" r="AH1468">
        <v>92</v>
      </c>
      <c t="s" s="6" r="AI1468">
        <v>92</v>
      </c>
      <c t="s" s="6" r="AJ1468">
        <v>92</v>
      </c>
      <c t="s" s="6" r="AK1468">
        <v>92</v>
      </c>
      <c t="s" s="6" r="AL1468">
        <v>92</v>
      </c>
      <c t="s" s="6" r="AM1468">
        <v>92</v>
      </c>
      <c t="s" s="6" r="AN1468">
        <v>92</v>
      </c>
      <c s="6" r="AP1468">
        <v>4</v>
      </c>
      <c s="6" r="AS1468">
        <v>0</v>
      </c>
      <c s="6" r="AT1468">
        <v>0</v>
      </c>
      <c s="6" r="AU1468">
        <v>0</v>
      </c>
      <c s="6" r="AV1468">
        <v>0</v>
      </c>
      <c s="6" r="AW1468">
        <v>0</v>
      </c>
      <c s="6" r="AX1468">
        <v>0</v>
      </c>
      <c s="6" r="AY1468">
        <v>0</v>
      </c>
      <c s="6" r="AZ1468">
        <v>0</v>
      </c>
      <c s="6" r="BA1468">
        <v>0</v>
      </c>
      <c s="6" r="BB1468">
        <v>0</v>
      </c>
      <c s="6" r="BC1468">
        <v>0</v>
      </c>
      <c s="6" r="BD1468">
        <v>0</v>
      </c>
      <c s="6" r="BE1468">
        <v>0</v>
      </c>
      <c s="6" r="BF1468">
        <v>0</v>
      </c>
      <c s="6" r="BG1468">
        <v>0</v>
      </c>
      <c s="6" r="BH1468">
        <v>0</v>
      </c>
      <c s="6" r="BI1468">
        <v>0</v>
      </c>
      <c s="6" r="BJ1468">
        <v>0</v>
      </c>
      <c s="6" r="BK1468">
        <v>0</v>
      </c>
      <c s="6" r="BL1468">
        <v>1</v>
      </c>
      <c s="6" r="BM1468">
        <v>0</v>
      </c>
      <c s="6" r="BN1468">
        <v>0</v>
      </c>
      <c s="6" r="BO1468">
        <v>0</v>
      </c>
      <c s="6" r="BP1468">
        <v>0</v>
      </c>
      <c s="6" r="BQ1468">
        <v>0</v>
      </c>
      <c t="s" s="6" r="BR1468">
        <v>92</v>
      </c>
      <c s="6" r="BS1468">
        <v>1491</v>
      </c>
      <c t="s" s="6" r="BT1468">
        <v>92</v>
      </c>
      <c s="6" r="BY1468">
        <v>0</v>
      </c>
    </row>
    <row customHeight="1" r="1469" ht="14.25">
      <c t="s" s="6" r="A1469">
        <v>10421</v>
      </c>
      <c t="s" s="6" r="B1469">
        <v>131</v>
      </c>
      <c t="s" s="6" r="E1469">
        <v>10422</v>
      </c>
      <c t="s" s="6" r="F1469">
        <v>81</v>
      </c>
      <c t="s" s="6" r="G1469">
        <v>106</v>
      </c>
      <c s="6" r="H1469">
        <v>0</v>
      </c>
      <c t="s" s="6" r="I1469">
        <v>155</v>
      </c>
      <c t="s" s="6" r="L1469">
        <v>156</v>
      </c>
      <c t="s" s="6" r="M1469">
        <v>109</v>
      </c>
      <c s="6" r="N1469">
        <v>0</v>
      </c>
      <c s="6" r="O1469">
        <v>0</v>
      </c>
      <c t="s" s="6" r="R1469">
        <v>10423</v>
      </c>
      <c t="s" s="6" r="S1469">
        <v>10424</v>
      </c>
      <c t="s" s="6" r="T1469">
        <v>10367</v>
      </c>
      <c t="s" s="6" r="U1469">
        <v>10425</v>
      </c>
      <c s="6" r="V1469">
        <v>1</v>
      </c>
      <c s="6" r="W1469">
        <v>1</v>
      </c>
      <c s="6" r="X1469">
        <v>0</v>
      </c>
      <c s="6" r="Y1469">
        <v>0</v>
      </c>
      <c s="6" r="Z1469">
        <v>0</v>
      </c>
      <c s="6" r="AA1469">
        <v>1</v>
      </c>
      <c s="6" r="AB1469">
        <v>1</v>
      </c>
      <c s="6" r="AC1469">
        <v>1</v>
      </c>
      <c s="6" r="AD1469">
        <v>1</v>
      </c>
      <c t="s" s="6" r="AE1469">
        <v>92</v>
      </c>
      <c s="6" r="AF1469">
        <v>1</v>
      </c>
      <c t="s" s="6" r="AG1469">
        <v>92</v>
      </c>
      <c s="6" r="AH1469">
        <v>1</v>
      </c>
      <c t="s" s="6" r="AI1469">
        <v>92</v>
      </c>
      <c s="6" r="AJ1469">
        <v>1</v>
      </c>
      <c s="6" r="AK1469">
        <v>1</v>
      </c>
      <c s="6" r="AL1469">
        <v>1</v>
      </c>
      <c t="s" s="6" r="AM1469">
        <v>92</v>
      </c>
      <c s="6" r="AN1469">
        <v>1</v>
      </c>
      <c s="6" r="AP1469">
        <v>1</v>
      </c>
      <c s="6" r="AS1469">
        <v>0</v>
      </c>
      <c s="6" r="AT1469">
        <v>0</v>
      </c>
      <c s="6" r="AU1469">
        <v>0</v>
      </c>
      <c s="6" r="AV1469">
        <v>0</v>
      </c>
      <c s="6" r="AW1469">
        <v>0</v>
      </c>
      <c s="6" r="AX1469">
        <v>0</v>
      </c>
      <c s="6" r="AY1469">
        <v>0</v>
      </c>
      <c s="6" r="AZ1469">
        <v>0</v>
      </c>
      <c s="6" r="BA1469">
        <v>0</v>
      </c>
      <c s="6" r="BB1469">
        <v>0</v>
      </c>
      <c s="6" r="BC1469">
        <v>0</v>
      </c>
      <c s="6" r="BD1469">
        <v>0</v>
      </c>
      <c s="6" r="BE1469">
        <v>0</v>
      </c>
      <c s="6" r="BF1469">
        <v>0</v>
      </c>
      <c s="6" r="BG1469">
        <v>0</v>
      </c>
      <c s="6" r="BH1469">
        <v>0</v>
      </c>
      <c s="6" r="BI1469">
        <v>0</v>
      </c>
      <c s="6" r="BJ1469">
        <v>0</v>
      </c>
      <c s="6" r="BK1469">
        <v>0</v>
      </c>
      <c s="6" r="BL1469">
        <v>0</v>
      </c>
      <c s="6" r="BM1469">
        <v>0</v>
      </c>
      <c s="6" r="BN1469">
        <v>0</v>
      </c>
      <c s="6" r="BO1469">
        <v>0</v>
      </c>
      <c s="6" r="BP1469">
        <v>0</v>
      </c>
      <c s="6" r="BQ1469">
        <v>0</v>
      </c>
      <c t="s" s="6" r="BR1469">
        <v>92</v>
      </c>
      <c s="6" r="BS1469">
        <v>1492</v>
      </c>
      <c t="s" s="6" r="BT1469">
        <v>92</v>
      </c>
      <c s="6" r="BY1469">
        <v>0</v>
      </c>
    </row>
    <row customHeight="1" r="1470" ht="14.25">
      <c t="s" s="6" r="A1470">
        <v>10426</v>
      </c>
      <c t="s" s="6" r="B1470">
        <v>115</v>
      </c>
      <c t="s" s="6" r="C1470">
        <v>116</v>
      </c>
      <c t="s" s="6" r="D1470">
        <v>117</v>
      </c>
      <c t="s" s="6" r="E1470">
        <v>3785</v>
      </c>
      <c t="s" s="6" r="F1470">
        <v>272</v>
      </c>
      <c t="s" s="6" r="G1470">
        <v>10427</v>
      </c>
      <c s="6" r="H1470">
        <v>0</v>
      </c>
      <c t="s" s="6" r="I1470">
        <v>107</v>
      </c>
      <c t="s" s="6" r="L1470">
        <v>473</v>
      </c>
      <c t="s" s="6" r="M1470">
        <v>2718</v>
      </c>
      <c s="6" r="N1470">
        <v>0</v>
      </c>
      <c s="6" r="O1470">
        <v>0</v>
      </c>
      <c t="s" s="6" r="P1470">
        <v>221</v>
      </c>
      <c t="s" s="6" r="Q1470">
        <v>188</v>
      </c>
      <c t="s" s="6" r="R1470">
        <v>10428</v>
      </c>
      <c t="s" s="6" r="S1470">
        <v>10429</v>
      </c>
      <c t="s" s="6" r="T1470">
        <v>10367</v>
      </c>
      <c t="s" s="6" r="U1470">
        <v>10430</v>
      </c>
      <c s="6" r="V1470">
        <v>1</v>
      </c>
      <c s="6" r="W1470">
        <v>1</v>
      </c>
      <c s="6" r="X1470">
        <v>1</v>
      </c>
      <c s="6" r="Y1470">
        <v>0</v>
      </c>
      <c s="6" r="Z1470">
        <v>0</v>
      </c>
      <c s="6" r="AA1470">
        <v>4</v>
      </c>
      <c s="6" r="AB1470">
        <v>4</v>
      </c>
      <c t="s" s="6" r="AC1470">
        <v>92</v>
      </c>
      <c t="s" s="6" r="AD1470">
        <v>92</v>
      </c>
      <c t="s" s="6" r="AE1470">
        <v>92</v>
      </c>
      <c s="6" r="AF1470">
        <v>4</v>
      </c>
      <c t="s" s="6" r="AG1470">
        <v>92</v>
      </c>
      <c t="s" s="6" r="AH1470">
        <v>92</v>
      </c>
      <c t="s" s="6" r="AI1470">
        <v>92</v>
      </c>
      <c s="6" r="AJ1470">
        <v>4</v>
      </c>
      <c t="s" s="6" r="AK1470">
        <v>92</v>
      </c>
      <c t="s" s="6" r="AL1470">
        <v>92</v>
      </c>
      <c t="s" s="6" r="AM1470">
        <v>92</v>
      </c>
      <c t="s" s="6" r="AN1470">
        <v>92</v>
      </c>
      <c s="6" r="AP1470">
        <v>4</v>
      </c>
      <c s="6" r="AS1470">
        <v>0</v>
      </c>
      <c s="6" r="AT1470">
        <v>0</v>
      </c>
      <c s="6" r="AU1470">
        <v>0</v>
      </c>
      <c s="6" r="AV1470">
        <v>0</v>
      </c>
      <c s="6" r="AW1470">
        <v>0</v>
      </c>
      <c s="6" r="AX1470">
        <v>0</v>
      </c>
      <c s="6" r="AY1470">
        <v>0</v>
      </c>
      <c s="6" r="AZ1470">
        <v>0</v>
      </c>
      <c s="6" r="BA1470">
        <v>0</v>
      </c>
      <c s="6" r="BB1470">
        <v>0</v>
      </c>
      <c s="6" r="BC1470">
        <v>0</v>
      </c>
      <c s="6" r="BD1470">
        <v>0</v>
      </c>
      <c s="6" r="BE1470">
        <v>0</v>
      </c>
      <c s="6" r="BF1470">
        <v>0</v>
      </c>
      <c s="6" r="BG1470">
        <v>0</v>
      </c>
      <c s="6" r="BH1470">
        <v>0</v>
      </c>
      <c s="6" r="BI1470">
        <v>0</v>
      </c>
      <c s="6" r="BJ1470">
        <v>0</v>
      </c>
      <c s="6" r="BK1470">
        <v>0</v>
      </c>
      <c s="6" r="BL1470">
        <v>1</v>
      </c>
      <c s="6" r="BM1470">
        <v>0</v>
      </c>
      <c s="6" r="BN1470">
        <v>0</v>
      </c>
      <c s="6" r="BO1470">
        <v>0</v>
      </c>
      <c s="6" r="BP1470">
        <v>0</v>
      </c>
      <c s="6" r="BQ1470">
        <v>0</v>
      </c>
      <c t="s" s="6" r="BR1470">
        <v>92</v>
      </c>
      <c s="6" r="BS1470">
        <v>1493</v>
      </c>
      <c t="s" s="6" r="BT1470">
        <v>92</v>
      </c>
      <c s="6" r="BY1470">
        <v>0</v>
      </c>
    </row>
    <row customHeight="1" r="1471" ht="14.25">
      <c t="s" s="6" r="A1471">
        <v>10431</v>
      </c>
      <c t="s" s="6" r="B1471">
        <v>131</v>
      </c>
      <c t="s" s="6" r="C1471">
        <v>152</v>
      </c>
      <c t="s" s="6" r="E1471">
        <v>10432</v>
      </c>
      <c t="s" s="6" r="F1471">
        <v>81</v>
      </c>
      <c t="s" s="6" r="G1471">
        <v>106</v>
      </c>
      <c s="6" r="H1471">
        <v>0</v>
      </c>
      <c t="s" s="6" r="I1471">
        <v>10433</v>
      </c>
      <c t="s" s="6" r="M1471">
        <v>2718</v>
      </c>
      <c s="6" r="N1471">
        <v>0</v>
      </c>
      <c s="6" r="O1471">
        <v>0</v>
      </c>
      <c t="s" s="6" r="R1471">
        <v>10434</v>
      </c>
      <c t="s" s="6" r="S1471">
        <v>10435</v>
      </c>
      <c t="s" s="6" r="T1471">
        <v>10367</v>
      </c>
      <c t="s" s="6" r="U1471">
        <v>10436</v>
      </c>
      <c s="6" r="V1471">
        <v>1</v>
      </c>
      <c s="6" r="W1471">
        <v>1</v>
      </c>
      <c s="6" r="X1471">
        <v>0</v>
      </c>
      <c s="6" r="Y1471">
        <v>0</v>
      </c>
      <c s="6" r="Z1471">
        <v>0</v>
      </c>
      <c s="6" r="AA1471">
        <v>3</v>
      </c>
      <c s="6" r="AB1471">
        <v>3</v>
      </c>
      <c s="6" r="AC1471">
        <v>3</v>
      </c>
      <c t="s" s="6" r="AD1471">
        <v>92</v>
      </c>
      <c t="s" s="6" r="AE1471">
        <v>92</v>
      </c>
      <c t="s" s="6" r="AF1471">
        <v>92</v>
      </c>
      <c s="6" r="AG1471">
        <v>4</v>
      </c>
      <c s="6" r="AH1471">
        <v>3</v>
      </c>
      <c t="s" s="6" r="AI1471">
        <v>92</v>
      </c>
      <c s="6" r="AJ1471">
        <v>3</v>
      </c>
      <c t="s" s="6" r="AK1471">
        <v>92</v>
      </c>
      <c s="6" r="AL1471">
        <v>3</v>
      </c>
      <c t="s" s="6" r="AM1471">
        <v>92</v>
      </c>
      <c s="6" r="AN1471">
        <v>4</v>
      </c>
      <c s="6" r="AP1471">
        <v>3</v>
      </c>
      <c s="6" r="AS1471">
        <v>0</v>
      </c>
      <c s="6" r="AT1471">
        <v>0</v>
      </c>
      <c s="6" r="AU1471">
        <v>0</v>
      </c>
      <c s="6" r="AV1471">
        <v>0</v>
      </c>
      <c s="6" r="AW1471">
        <v>0</v>
      </c>
      <c s="6" r="AX1471">
        <v>0</v>
      </c>
      <c s="6" r="AY1471">
        <v>0</v>
      </c>
      <c s="6" r="AZ1471">
        <v>0</v>
      </c>
      <c s="6" r="BA1471">
        <v>0</v>
      </c>
      <c s="6" r="BB1471">
        <v>0</v>
      </c>
      <c s="6" r="BC1471">
        <v>0</v>
      </c>
      <c s="6" r="BD1471">
        <v>0</v>
      </c>
      <c s="6" r="BE1471">
        <v>0</v>
      </c>
      <c s="6" r="BF1471">
        <v>0</v>
      </c>
      <c s="6" r="BG1471">
        <v>0</v>
      </c>
      <c s="6" r="BH1471">
        <v>0</v>
      </c>
      <c s="6" r="BI1471">
        <v>0</v>
      </c>
      <c s="6" r="BJ1471">
        <v>0</v>
      </c>
      <c s="6" r="BK1471">
        <v>0</v>
      </c>
      <c s="6" r="BL1471">
        <v>0</v>
      </c>
      <c s="6" r="BM1471">
        <v>0</v>
      </c>
      <c s="6" r="BN1471">
        <v>0</v>
      </c>
      <c s="6" r="BO1471">
        <v>0</v>
      </c>
      <c s="6" r="BP1471">
        <v>0</v>
      </c>
      <c s="6" r="BQ1471">
        <v>0</v>
      </c>
      <c t="s" s="6" r="BR1471">
        <v>92</v>
      </c>
      <c s="6" r="BS1471">
        <v>1494</v>
      </c>
      <c t="s" s="6" r="BT1471">
        <v>92</v>
      </c>
      <c s="6" r="BY1471">
        <v>0</v>
      </c>
    </row>
    <row customHeight="1" r="1472" ht="14.25">
      <c t="s" s="6" r="A1472">
        <v>10437</v>
      </c>
      <c t="s" s="6" r="B1472">
        <v>131</v>
      </c>
      <c t="s" s="6" r="E1472">
        <v>10438</v>
      </c>
      <c t="s" s="6" r="F1472">
        <v>81</v>
      </c>
      <c t="s" s="6" r="G1472">
        <v>106</v>
      </c>
      <c s="6" r="H1472">
        <v>0</v>
      </c>
      <c t="s" s="6" r="I1472">
        <v>155</v>
      </c>
      <c t="s" s="6" r="J1472">
        <v>10439</v>
      </c>
      <c t="s" s="6" r="M1472">
        <v>10440</v>
      </c>
      <c s="6" r="N1472">
        <v>0</v>
      </c>
      <c s="6" r="O1472">
        <v>0</v>
      </c>
      <c t="s" s="6" r="P1472">
        <v>10441</v>
      </c>
      <c t="s" s="6" r="Q1472">
        <v>188</v>
      </c>
      <c t="s" s="6" r="R1472">
        <v>10442</v>
      </c>
      <c t="s" s="6" r="S1472">
        <v>10443</v>
      </c>
      <c t="s" s="6" r="T1472">
        <v>10367</v>
      </c>
      <c t="s" s="6" r="U1472">
        <v>10444</v>
      </c>
      <c s="6" r="V1472">
        <v>1</v>
      </c>
      <c s="6" r="W1472">
        <v>1</v>
      </c>
      <c s="6" r="X1472">
        <v>0</v>
      </c>
      <c s="6" r="Y1472">
        <v>0</v>
      </c>
      <c s="6" r="Z1472">
        <v>0</v>
      </c>
      <c s="6" r="AA1472">
        <v>4</v>
      </c>
      <c s="6" r="AB1472">
        <v>4</v>
      </c>
      <c t="s" s="6" r="AC1472">
        <v>92</v>
      </c>
      <c t="s" s="6" r="AD1472">
        <v>92</v>
      </c>
      <c t="s" s="6" r="AE1472">
        <v>92</v>
      </c>
      <c t="s" s="6" r="AF1472">
        <v>92</v>
      </c>
      <c s="6" r="AG1472">
        <v>3</v>
      </c>
      <c t="s" s="6" r="AH1472">
        <v>92</v>
      </c>
      <c t="s" s="6" r="AI1472">
        <v>92</v>
      </c>
      <c s="6" r="AJ1472">
        <v>4</v>
      </c>
      <c t="s" s="6" r="AK1472">
        <v>92</v>
      </c>
      <c t="s" s="6" r="AL1472">
        <v>92</v>
      </c>
      <c t="s" s="6" r="AM1472">
        <v>92</v>
      </c>
      <c s="6" r="AN1472">
        <v>3</v>
      </c>
      <c s="6" r="AP1472">
        <v>3</v>
      </c>
      <c s="6" r="AS1472">
        <v>0</v>
      </c>
      <c s="6" r="AT1472">
        <v>0</v>
      </c>
      <c s="6" r="AU1472">
        <v>0</v>
      </c>
      <c s="6" r="AV1472">
        <v>0</v>
      </c>
      <c s="6" r="AW1472">
        <v>0</v>
      </c>
      <c s="6" r="AX1472">
        <v>0</v>
      </c>
      <c s="6" r="AY1472">
        <v>0</v>
      </c>
      <c s="6" r="AZ1472">
        <v>0</v>
      </c>
      <c s="6" r="BA1472">
        <v>0</v>
      </c>
      <c s="6" r="BB1472">
        <v>0</v>
      </c>
      <c s="6" r="BC1472">
        <v>0</v>
      </c>
      <c s="6" r="BD1472">
        <v>0</v>
      </c>
      <c s="6" r="BE1472">
        <v>0</v>
      </c>
      <c s="6" r="BF1472">
        <v>0</v>
      </c>
      <c s="6" r="BG1472">
        <v>0</v>
      </c>
      <c s="6" r="BH1472">
        <v>0</v>
      </c>
      <c s="6" r="BI1472">
        <v>0</v>
      </c>
      <c s="6" r="BJ1472">
        <v>0</v>
      </c>
      <c s="6" r="BK1472">
        <v>0</v>
      </c>
      <c s="6" r="BL1472">
        <v>0</v>
      </c>
      <c s="6" r="BM1472">
        <v>0</v>
      </c>
      <c s="6" r="BN1472">
        <v>0</v>
      </c>
      <c s="6" r="BO1472">
        <v>0</v>
      </c>
      <c s="6" r="BP1472">
        <v>0</v>
      </c>
      <c s="6" r="BQ1472">
        <v>0</v>
      </c>
      <c t="s" s="6" r="BR1472">
        <v>92</v>
      </c>
      <c s="6" r="BS1472">
        <v>1495</v>
      </c>
      <c t="s" s="6" r="BT1472">
        <v>92</v>
      </c>
      <c s="6" r="BY1472">
        <v>0</v>
      </c>
    </row>
    <row customHeight="1" r="1473" ht="14.25">
      <c t="s" s="6" r="A1473">
        <v>10445</v>
      </c>
      <c t="s" s="6" r="B1473">
        <v>131</v>
      </c>
      <c t="s" s="6" r="E1473">
        <v>10446</v>
      </c>
      <c t="s" s="6" r="F1473">
        <v>81</v>
      </c>
      <c t="s" s="6" r="G1473">
        <v>106</v>
      </c>
      <c s="6" r="H1473">
        <v>0</v>
      </c>
      <c t="s" s="6" r="I1473">
        <v>155</v>
      </c>
      <c t="s" s="6" r="M1473">
        <v>2718</v>
      </c>
      <c s="6" r="N1473">
        <v>0</v>
      </c>
      <c s="6" r="O1473">
        <v>0</v>
      </c>
      <c t="s" s="6" r="R1473">
        <v>10447</v>
      </c>
      <c t="s" s="6" r="S1473">
        <v>10448</v>
      </c>
      <c t="s" s="6" r="T1473">
        <v>10367</v>
      </c>
      <c t="s" s="6" r="U1473">
        <v>10449</v>
      </c>
      <c s="6" r="V1473">
        <v>1</v>
      </c>
      <c s="6" r="W1473">
        <v>1</v>
      </c>
      <c s="6" r="X1473">
        <v>0</v>
      </c>
      <c s="6" r="Y1473">
        <v>0</v>
      </c>
      <c s="6" r="Z1473">
        <v>0</v>
      </c>
      <c s="6" r="AA1473">
        <v>1</v>
      </c>
      <c s="6" r="AB1473">
        <v>1</v>
      </c>
      <c t="s" s="6" r="AC1473">
        <v>92</v>
      </c>
      <c t="s" s="6" r="AD1473">
        <v>92</v>
      </c>
      <c s="6" r="AE1473">
        <v>1</v>
      </c>
      <c s="6" r="AF1473">
        <v>1</v>
      </c>
      <c t="s" s="6" r="AG1473">
        <v>92</v>
      </c>
      <c s="6" r="AH1473">
        <v>1</v>
      </c>
      <c t="s" s="6" r="AI1473">
        <v>92</v>
      </c>
      <c s="6" r="AJ1473">
        <v>1</v>
      </c>
      <c t="s" s="6" r="AK1473">
        <v>92</v>
      </c>
      <c t="s" s="6" r="AL1473">
        <v>92</v>
      </c>
      <c t="s" s="6" r="AM1473">
        <v>92</v>
      </c>
      <c t="s" s="6" r="AN1473">
        <v>92</v>
      </c>
      <c s="6" r="AP1473">
        <v>1</v>
      </c>
      <c s="6" r="AS1473">
        <v>0</v>
      </c>
      <c s="6" r="AT1473">
        <v>0</v>
      </c>
      <c s="6" r="AU1473">
        <v>0</v>
      </c>
      <c s="6" r="AV1473">
        <v>0</v>
      </c>
      <c s="6" r="AW1473">
        <v>0</v>
      </c>
      <c s="6" r="AX1473">
        <v>0</v>
      </c>
      <c s="6" r="AY1473">
        <v>0</v>
      </c>
      <c s="6" r="AZ1473">
        <v>0</v>
      </c>
      <c s="6" r="BA1473">
        <v>0</v>
      </c>
      <c s="6" r="BB1473">
        <v>0</v>
      </c>
      <c s="6" r="BC1473">
        <v>0</v>
      </c>
      <c s="6" r="BD1473">
        <v>0</v>
      </c>
      <c s="6" r="BE1473">
        <v>0</v>
      </c>
      <c s="6" r="BF1473">
        <v>0</v>
      </c>
      <c s="6" r="BG1473">
        <v>0</v>
      </c>
      <c s="6" r="BH1473">
        <v>0</v>
      </c>
      <c s="6" r="BI1473">
        <v>0</v>
      </c>
      <c s="6" r="BJ1473">
        <v>0</v>
      </c>
      <c s="6" r="BK1473">
        <v>0</v>
      </c>
      <c s="6" r="BL1473">
        <v>0</v>
      </c>
      <c s="6" r="BM1473">
        <v>0</v>
      </c>
      <c s="6" r="BN1473">
        <v>0</v>
      </c>
      <c s="6" r="BO1473">
        <v>0</v>
      </c>
      <c s="6" r="BP1473">
        <v>0</v>
      </c>
      <c s="6" r="BQ1473">
        <v>0</v>
      </c>
      <c t="s" s="6" r="BR1473">
        <v>92</v>
      </c>
      <c s="6" r="BS1473">
        <v>1496</v>
      </c>
      <c t="s" s="6" r="BT1473">
        <v>92</v>
      </c>
      <c s="6" r="BY1473">
        <v>0</v>
      </c>
    </row>
    <row customHeight="1" r="1474" ht="14.25">
      <c t="s" s="6" r="A1474">
        <v>10450</v>
      </c>
      <c t="s" s="6" r="B1474">
        <v>115</v>
      </c>
      <c t="s" s="6" r="C1474">
        <v>116</v>
      </c>
      <c t="s" s="6" r="D1474">
        <v>7379</v>
      </c>
      <c t="s" s="6" r="E1474">
        <v>10451</v>
      </c>
      <c t="s" s="6" r="F1474">
        <v>81</v>
      </c>
      <c t="s" s="6" r="G1474">
        <v>106</v>
      </c>
      <c s="6" r="H1474">
        <v>0</v>
      </c>
      <c t="s" s="6" r="I1474">
        <v>155</v>
      </c>
      <c t="s" s="6" r="L1474">
        <v>156</v>
      </c>
      <c t="s" s="6" r="M1474">
        <v>2718</v>
      </c>
      <c s="6" r="N1474">
        <v>0</v>
      </c>
      <c s="6" r="O1474">
        <v>0</v>
      </c>
      <c t="s" s="6" r="P1474">
        <v>221</v>
      </c>
      <c t="s" s="6" r="Q1474">
        <v>188</v>
      </c>
      <c t="s" s="6" r="R1474">
        <v>10452</v>
      </c>
      <c t="s" s="6" r="S1474">
        <v>10453</v>
      </c>
      <c t="s" s="6" r="T1474">
        <v>10367</v>
      </c>
      <c t="s" s="6" r="U1474">
        <v>10454</v>
      </c>
      <c s="6" r="V1474">
        <v>1</v>
      </c>
      <c s="6" r="W1474">
        <v>1</v>
      </c>
      <c s="6" r="X1474">
        <v>0</v>
      </c>
      <c s="6" r="Y1474">
        <v>0</v>
      </c>
      <c s="6" r="Z1474">
        <v>0</v>
      </c>
      <c t="s" s="6" r="AA1474">
        <v>92</v>
      </c>
      <c t="s" s="6" r="AB1474">
        <v>92</v>
      </c>
      <c s="6" r="AC1474">
        <v>4</v>
      </c>
      <c t="s" s="6" r="AD1474">
        <v>92</v>
      </c>
      <c s="6" r="AE1474">
        <v>3</v>
      </c>
      <c t="s" s="6" r="AF1474">
        <v>92</v>
      </c>
      <c t="s" s="6" r="AG1474">
        <v>92</v>
      </c>
      <c s="6" r="AH1474">
        <v>3</v>
      </c>
      <c t="s" s="6" r="AI1474">
        <v>92</v>
      </c>
      <c s="6" r="AJ1474">
        <v>4</v>
      </c>
      <c s="6" r="AK1474">
        <v>3</v>
      </c>
      <c s="6" r="AL1474">
        <v>4</v>
      </c>
      <c s="6" r="AM1474">
        <v>3</v>
      </c>
      <c t="s" s="6" r="AN1474">
        <v>92</v>
      </c>
      <c s="6" r="AP1474">
        <v>4</v>
      </c>
      <c s="6" r="AS1474">
        <v>0</v>
      </c>
      <c s="6" r="AT1474">
        <v>0</v>
      </c>
      <c s="6" r="AU1474">
        <v>0</v>
      </c>
      <c s="6" r="AV1474">
        <v>0</v>
      </c>
      <c s="6" r="AW1474">
        <v>0</v>
      </c>
      <c s="6" r="AX1474">
        <v>0</v>
      </c>
      <c s="6" r="AY1474">
        <v>0</v>
      </c>
      <c s="6" r="AZ1474">
        <v>0</v>
      </c>
      <c s="6" r="BA1474">
        <v>0</v>
      </c>
      <c s="6" r="BB1474">
        <v>0</v>
      </c>
      <c s="6" r="BC1474">
        <v>1</v>
      </c>
      <c s="6" r="BD1474">
        <v>0</v>
      </c>
      <c s="6" r="BE1474">
        <v>0</v>
      </c>
      <c s="6" r="BF1474">
        <v>0</v>
      </c>
      <c s="6" r="BG1474">
        <v>0</v>
      </c>
      <c s="6" r="BH1474">
        <v>0</v>
      </c>
      <c s="6" r="BI1474">
        <v>0</v>
      </c>
      <c s="6" r="BJ1474">
        <v>0</v>
      </c>
      <c s="6" r="BK1474">
        <v>0</v>
      </c>
      <c s="6" r="BL1474">
        <v>1</v>
      </c>
      <c s="6" r="BM1474">
        <v>0</v>
      </c>
      <c s="6" r="BN1474">
        <v>0</v>
      </c>
      <c s="6" r="BO1474">
        <v>0</v>
      </c>
      <c s="6" r="BP1474">
        <v>0</v>
      </c>
      <c s="6" r="BQ1474">
        <v>0</v>
      </c>
      <c t="s" s="6" r="BR1474">
        <v>92</v>
      </c>
      <c s="6" r="BS1474">
        <v>1497</v>
      </c>
      <c t="s" s="6" r="BT1474">
        <v>92</v>
      </c>
      <c t="s" s="6" r="BW1474">
        <v>10455</v>
      </c>
      <c t="s" s="6" r="BX1474">
        <v>10456</v>
      </c>
      <c s="6" r="BY1474">
        <v>1</v>
      </c>
    </row>
    <row customHeight="1" r="1475" ht="14.25">
      <c t="s" s="6" r="A1475">
        <v>10457</v>
      </c>
      <c t="s" s="6" r="B1475">
        <v>78</v>
      </c>
      <c t="s" s="6" r="C1475">
        <v>79</v>
      </c>
      <c t="s" s="6" r="E1475">
        <v>10458</v>
      </c>
      <c t="s" s="6" r="F1475">
        <v>311</v>
      </c>
      <c t="s" s="6" r="G1475">
        <v>10459</v>
      </c>
      <c s="6" r="H1475">
        <v>0</v>
      </c>
      <c t="s" s="6" r="I1475">
        <v>813</v>
      </c>
      <c t="s" s="6" r="L1475">
        <v>10460</v>
      </c>
      <c t="s" s="6" r="M1475">
        <v>10461</v>
      </c>
      <c s="6" r="N1475">
        <v>1</v>
      </c>
      <c s="6" r="O1475">
        <v>0</v>
      </c>
      <c t="s" s="6" r="P1475">
        <v>10462</v>
      </c>
      <c t="s" s="6" r="Q1475">
        <v>87</v>
      </c>
      <c t="s" s="6" r="R1475">
        <v>10463</v>
      </c>
      <c t="s" s="6" r="S1475">
        <v>10464</v>
      </c>
      <c t="s" s="6" r="T1475">
        <v>10367</v>
      </c>
      <c t="s" s="6" r="U1475">
        <v>10465</v>
      </c>
      <c s="6" r="V1475">
        <v>1</v>
      </c>
      <c s="6" r="W1475">
        <v>1</v>
      </c>
      <c s="6" r="X1475">
        <v>0</v>
      </c>
      <c s="6" r="Y1475">
        <v>0</v>
      </c>
      <c s="6" r="Z1475">
        <v>0</v>
      </c>
      <c s="6" r="AA1475">
        <v>4</v>
      </c>
      <c s="6" r="AB1475">
        <v>4</v>
      </c>
      <c t="s" s="6" r="AC1475">
        <v>92</v>
      </c>
      <c t="s" s="6" r="AD1475">
        <v>92</v>
      </c>
      <c t="s" s="6" r="AE1475">
        <v>92</v>
      </c>
      <c t="s" s="6" r="AF1475">
        <v>92</v>
      </c>
      <c t="s" s="6" r="AG1475">
        <v>92</v>
      </c>
      <c t="s" s="6" r="AH1475">
        <v>92</v>
      </c>
      <c s="6" r="AI1475">
        <v>2</v>
      </c>
      <c t="s" s="6" r="AJ1475">
        <v>92</v>
      </c>
      <c t="s" s="6" r="AK1475">
        <v>92</v>
      </c>
      <c t="s" s="6" r="AL1475">
        <v>92</v>
      </c>
      <c t="s" s="6" r="AM1475">
        <v>92</v>
      </c>
      <c t="s" s="6" r="AN1475">
        <v>92</v>
      </c>
      <c s="6" r="AP1475">
        <v>4</v>
      </c>
      <c s="6" r="AS1475">
        <v>0</v>
      </c>
      <c s="6" r="AT1475">
        <v>0</v>
      </c>
      <c s="6" r="AU1475">
        <v>0</v>
      </c>
      <c s="6" r="AV1475">
        <v>0</v>
      </c>
      <c s="6" r="AW1475">
        <v>0</v>
      </c>
      <c s="6" r="AX1475">
        <v>0</v>
      </c>
      <c s="6" r="AY1475">
        <v>0</v>
      </c>
      <c s="6" r="AZ1475">
        <v>0</v>
      </c>
      <c s="6" r="BA1475">
        <v>0</v>
      </c>
      <c s="6" r="BB1475">
        <v>0</v>
      </c>
      <c s="6" r="BC1475">
        <v>0</v>
      </c>
      <c s="6" r="BD1475">
        <v>0</v>
      </c>
      <c s="6" r="BE1475">
        <v>0</v>
      </c>
      <c s="6" r="BF1475">
        <v>0</v>
      </c>
      <c s="6" r="BG1475">
        <v>0</v>
      </c>
      <c s="6" r="BH1475">
        <v>0</v>
      </c>
      <c s="6" r="BI1475">
        <v>0</v>
      </c>
      <c s="6" r="BJ1475">
        <v>0</v>
      </c>
      <c s="6" r="BK1475">
        <v>0</v>
      </c>
      <c s="6" r="BL1475">
        <v>0</v>
      </c>
      <c s="6" r="BM1475">
        <v>0</v>
      </c>
      <c s="6" r="BN1475">
        <v>0</v>
      </c>
      <c s="6" r="BO1475">
        <v>0</v>
      </c>
      <c s="6" r="BP1475">
        <v>0</v>
      </c>
      <c s="6" r="BQ1475">
        <v>0</v>
      </c>
      <c t="s" s="6" r="BR1475">
        <v>92</v>
      </c>
      <c s="6" r="BS1475">
        <v>1498</v>
      </c>
      <c t="s" s="6" r="BT1475">
        <v>92</v>
      </c>
      <c s="6" r="BY1475">
        <v>0</v>
      </c>
    </row>
    <row customHeight="1" r="1476" ht="14.25">
      <c t="s" s="6" r="A1476">
        <v>10466</v>
      </c>
      <c t="s" s="6" r="B1476">
        <v>131</v>
      </c>
      <c t="s" s="6" r="C1476">
        <v>152</v>
      </c>
      <c t="s" s="6" r="E1476">
        <v>10467</v>
      </c>
      <c t="s" s="6" r="F1476">
        <v>293</v>
      </c>
      <c t="s" s="6" r="G1476">
        <v>10468</v>
      </c>
      <c s="6" r="H1476">
        <v>1</v>
      </c>
      <c t="s" s="6" r="I1476">
        <v>120</v>
      </c>
      <c t="s" s="6" r="L1476">
        <v>10469</v>
      </c>
      <c t="s" s="6" r="M1476">
        <v>109</v>
      </c>
      <c s="6" r="N1476">
        <v>0</v>
      </c>
      <c s="6" r="O1476">
        <v>0</v>
      </c>
      <c t="s" s="6" r="P1476">
        <v>86</v>
      </c>
      <c t="s" s="6" r="Q1476">
        <v>87</v>
      </c>
      <c t="s" s="6" r="R1476">
        <v>10470</v>
      </c>
      <c t="s" s="6" r="S1476">
        <v>10471</v>
      </c>
      <c t="s" s="6" r="T1476">
        <v>10367</v>
      </c>
      <c t="s" s="6" r="U1476">
        <v>10472</v>
      </c>
      <c s="6" r="V1476">
        <v>1</v>
      </c>
      <c s="6" r="W1476">
        <v>1</v>
      </c>
      <c s="6" r="X1476">
        <v>1</v>
      </c>
      <c s="6" r="Y1476">
        <v>0</v>
      </c>
      <c s="6" r="Z1476">
        <v>1</v>
      </c>
      <c s="6" r="AA1476">
        <v>5</v>
      </c>
      <c s="6" r="AB1476">
        <v>5</v>
      </c>
      <c s="6" r="AC1476">
        <v>5</v>
      </c>
      <c s="6" r="AD1476">
        <v>5</v>
      </c>
      <c t="s" s="6" r="AE1476">
        <v>92</v>
      </c>
      <c t="s" s="6" r="AF1476">
        <v>92</v>
      </c>
      <c t="s" s="6" r="AG1476">
        <v>92</v>
      </c>
      <c s="6" r="AH1476">
        <v>5</v>
      </c>
      <c t="s" s="6" r="AI1476">
        <v>92</v>
      </c>
      <c s="6" r="AJ1476">
        <v>5</v>
      </c>
      <c t="s" s="6" r="AK1476">
        <v>92</v>
      </c>
      <c s="6" r="AL1476">
        <v>5</v>
      </c>
      <c t="s" s="6" r="AM1476">
        <v>92</v>
      </c>
      <c t="s" s="6" r="AN1476">
        <v>92</v>
      </c>
      <c s="6" r="AP1476">
        <v>5</v>
      </c>
      <c s="6" r="AS1476">
        <v>0</v>
      </c>
      <c s="6" r="AT1476">
        <v>0</v>
      </c>
      <c s="6" r="AU1476">
        <v>0</v>
      </c>
      <c s="6" r="AV1476">
        <v>0</v>
      </c>
      <c s="6" r="AW1476">
        <v>0</v>
      </c>
      <c s="6" r="AX1476">
        <v>0</v>
      </c>
      <c s="6" r="AY1476">
        <v>0</v>
      </c>
      <c s="6" r="AZ1476">
        <v>0</v>
      </c>
      <c s="6" r="BA1476">
        <v>0</v>
      </c>
      <c s="6" r="BB1476">
        <v>0</v>
      </c>
      <c s="6" r="BC1476">
        <v>0</v>
      </c>
      <c s="6" r="BD1476">
        <v>0</v>
      </c>
      <c s="6" r="BE1476">
        <v>0</v>
      </c>
      <c s="6" r="BF1476">
        <v>0</v>
      </c>
      <c s="6" r="BG1476">
        <v>0</v>
      </c>
      <c s="6" r="BH1476">
        <v>0</v>
      </c>
      <c s="6" r="BI1476">
        <v>0</v>
      </c>
      <c s="6" r="BJ1476">
        <v>0</v>
      </c>
      <c s="6" r="BK1476">
        <v>0</v>
      </c>
      <c s="6" r="BL1476">
        <v>0</v>
      </c>
      <c s="6" r="BM1476">
        <v>0</v>
      </c>
      <c s="6" r="BN1476">
        <v>0</v>
      </c>
      <c s="6" r="BO1476">
        <v>0</v>
      </c>
      <c s="6" r="BP1476">
        <v>0</v>
      </c>
      <c s="6" r="BQ1476">
        <v>0</v>
      </c>
      <c t="s" s="6" r="BR1476">
        <v>92</v>
      </c>
      <c s="6" r="BS1476">
        <v>1499</v>
      </c>
      <c s="6" r="BT1476">
        <v>3000</v>
      </c>
      <c s="6" r="BY1476">
        <v>0</v>
      </c>
    </row>
    <row customHeight="1" r="1477" ht="14.25">
      <c t="s" s="6" r="A1477">
        <v>10473</v>
      </c>
      <c t="s" s="6" r="B1477">
        <v>131</v>
      </c>
      <c t="s" s="6" r="E1477">
        <v>10474</v>
      </c>
      <c t="s" s="6" r="F1477">
        <v>81</v>
      </c>
      <c t="s" s="6" r="G1477">
        <v>106</v>
      </c>
      <c s="6" r="H1477">
        <v>0</v>
      </c>
      <c t="s" s="6" r="I1477">
        <v>155</v>
      </c>
      <c t="s" s="6" r="L1477">
        <v>156</v>
      </c>
      <c t="s" s="6" r="M1477">
        <v>2718</v>
      </c>
      <c s="6" r="N1477">
        <v>0</v>
      </c>
      <c s="6" r="O1477">
        <v>0</v>
      </c>
      <c t="s" s="6" r="R1477">
        <v>10475</v>
      </c>
      <c t="s" s="6" r="S1477">
        <v>10476</v>
      </c>
      <c t="s" s="6" r="T1477">
        <v>10367</v>
      </c>
      <c t="s" s="6" r="U1477">
        <v>10477</v>
      </c>
      <c s="6" r="V1477">
        <v>1</v>
      </c>
      <c s="6" r="W1477">
        <v>1</v>
      </c>
      <c s="6" r="X1477">
        <v>0</v>
      </c>
      <c s="6" r="Y1477">
        <v>0</v>
      </c>
      <c s="6" r="Z1477">
        <v>0</v>
      </c>
      <c t="s" s="6" r="AA1477">
        <v>92</v>
      </c>
      <c t="s" s="6" r="AB1477">
        <v>92</v>
      </c>
      <c t="s" s="6" r="AC1477">
        <v>92</v>
      </c>
      <c t="s" s="6" r="AD1477">
        <v>92</v>
      </c>
      <c s="6" r="AE1477">
        <v>1</v>
      </c>
      <c t="s" s="6" r="AF1477">
        <v>92</v>
      </c>
      <c s="6" r="AG1477">
        <v>1</v>
      </c>
      <c s="6" r="AH1477">
        <v>1</v>
      </c>
      <c t="s" s="6" r="AI1477">
        <v>92</v>
      </c>
      <c t="s" s="6" r="AJ1477">
        <v>92</v>
      </c>
      <c s="6" r="AK1477">
        <v>1</v>
      </c>
      <c t="s" s="6" r="AL1477">
        <v>92</v>
      </c>
      <c s="6" r="AM1477">
        <v>1</v>
      </c>
      <c s="6" r="AN1477">
        <v>1</v>
      </c>
      <c s="6" r="AP1477">
        <v>1</v>
      </c>
      <c s="6" r="AS1477">
        <v>0</v>
      </c>
      <c s="6" r="AT1477">
        <v>0</v>
      </c>
      <c s="6" r="AU1477">
        <v>0</v>
      </c>
      <c s="6" r="AV1477">
        <v>0</v>
      </c>
      <c s="6" r="AW1477">
        <v>0</v>
      </c>
      <c s="6" r="AX1477">
        <v>0</v>
      </c>
      <c s="6" r="AY1477">
        <v>0</v>
      </c>
      <c s="6" r="AZ1477">
        <v>0</v>
      </c>
      <c s="6" r="BA1477">
        <v>0</v>
      </c>
      <c s="6" r="BB1477">
        <v>0</v>
      </c>
      <c s="6" r="BC1477">
        <v>0</v>
      </c>
      <c s="6" r="BD1477">
        <v>0</v>
      </c>
      <c s="6" r="BE1477">
        <v>0</v>
      </c>
      <c s="6" r="BF1477">
        <v>0</v>
      </c>
      <c s="6" r="BG1477">
        <v>0</v>
      </c>
      <c s="6" r="BH1477">
        <v>0</v>
      </c>
      <c s="6" r="BI1477">
        <v>0</v>
      </c>
      <c s="6" r="BJ1477">
        <v>0</v>
      </c>
      <c s="6" r="BK1477">
        <v>0</v>
      </c>
      <c s="6" r="BL1477">
        <v>0</v>
      </c>
      <c s="6" r="BM1477">
        <v>0</v>
      </c>
      <c s="6" r="BN1477">
        <v>0</v>
      </c>
      <c s="6" r="BO1477">
        <v>0</v>
      </c>
      <c s="6" r="BP1477">
        <v>0</v>
      </c>
      <c s="6" r="BQ1477">
        <v>0</v>
      </c>
      <c t="s" s="6" r="BR1477">
        <v>92</v>
      </c>
      <c s="6" r="BS1477">
        <v>1500</v>
      </c>
      <c t="s" s="6" r="BT1477">
        <v>92</v>
      </c>
      <c s="6" r="BY1477">
        <v>0</v>
      </c>
    </row>
    <row customHeight="1" r="1478" ht="14.25">
      <c t="s" s="6" r="A1478">
        <v>10478</v>
      </c>
      <c t="s" s="6" r="B1478">
        <v>131</v>
      </c>
      <c t="s" s="6" r="E1478">
        <v>10479</v>
      </c>
      <c t="s" s="6" r="F1478">
        <v>81</v>
      </c>
      <c t="s" s="6" r="G1478">
        <v>106</v>
      </c>
      <c s="6" r="H1478">
        <v>0</v>
      </c>
      <c t="s" s="6" r="I1478">
        <v>155</v>
      </c>
      <c t="s" s="6" r="L1478">
        <v>156</v>
      </c>
      <c t="s" s="6" r="M1478">
        <v>10480</v>
      </c>
      <c s="6" r="N1478">
        <v>1</v>
      </c>
      <c s="6" r="O1478">
        <v>0</v>
      </c>
      <c t="s" s="6" r="R1478">
        <v>10481</v>
      </c>
      <c t="s" s="6" r="S1478">
        <v>10482</v>
      </c>
      <c t="s" s="6" r="T1478">
        <v>10367</v>
      </c>
      <c t="s" s="6" r="U1478">
        <v>10483</v>
      </c>
      <c s="6" r="V1478">
        <v>1</v>
      </c>
      <c s="6" r="W1478">
        <v>1</v>
      </c>
      <c s="6" r="X1478">
        <v>0</v>
      </c>
      <c s="6" r="Y1478">
        <v>0</v>
      </c>
      <c s="6" r="Z1478">
        <v>0</v>
      </c>
      <c t="s" s="6" r="AA1478">
        <v>92</v>
      </c>
      <c t="s" s="6" r="AB1478">
        <v>92</v>
      </c>
      <c s="6" r="AC1478">
        <v>2</v>
      </c>
      <c s="6" r="AD1478">
        <v>2</v>
      </c>
      <c s="6" r="AE1478">
        <v>1</v>
      </c>
      <c t="s" s="6" r="AF1478">
        <v>92</v>
      </c>
      <c t="s" s="6" r="AG1478">
        <v>92</v>
      </c>
      <c t="s" s="6" r="AH1478">
        <v>92</v>
      </c>
      <c t="s" s="6" r="AI1478">
        <v>92</v>
      </c>
      <c t="s" s="6" r="AJ1478">
        <v>92</v>
      </c>
      <c s="6" r="AK1478">
        <v>2</v>
      </c>
      <c s="6" r="AL1478">
        <v>2</v>
      </c>
      <c s="6" r="AM1478">
        <v>1</v>
      </c>
      <c s="6" r="AN1478">
        <v>2</v>
      </c>
      <c s="6" r="AP1478">
        <v>2</v>
      </c>
      <c s="6" r="AS1478">
        <v>0</v>
      </c>
      <c s="6" r="AT1478">
        <v>0</v>
      </c>
      <c s="6" r="AU1478">
        <v>0</v>
      </c>
      <c s="6" r="AV1478">
        <v>0</v>
      </c>
      <c s="6" r="AW1478">
        <v>0</v>
      </c>
      <c s="6" r="AX1478">
        <v>0</v>
      </c>
      <c s="6" r="AY1478">
        <v>0</v>
      </c>
      <c s="6" r="AZ1478">
        <v>0</v>
      </c>
      <c s="6" r="BA1478">
        <v>0</v>
      </c>
      <c s="6" r="BB1478">
        <v>0</v>
      </c>
      <c s="6" r="BC1478">
        <v>0</v>
      </c>
      <c s="6" r="BD1478">
        <v>0</v>
      </c>
      <c s="6" r="BE1478">
        <v>0</v>
      </c>
      <c s="6" r="BF1478">
        <v>0</v>
      </c>
      <c s="6" r="BG1478">
        <v>0</v>
      </c>
      <c s="6" r="BH1478">
        <v>0</v>
      </c>
      <c s="6" r="BI1478">
        <v>0</v>
      </c>
      <c s="6" r="BJ1478">
        <v>0</v>
      </c>
      <c s="6" r="BK1478">
        <v>0</v>
      </c>
      <c s="6" r="BL1478">
        <v>0</v>
      </c>
      <c s="6" r="BM1478">
        <v>0</v>
      </c>
      <c s="6" r="BN1478">
        <v>0</v>
      </c>
      <c s="6" r="BO1478">
        <v>0</v>
      </c>
      <c s="6" r="BP1478">
        <v>0</v>
      </c>
      <c s="6" r="BQ1478">
        <v>0</v>
      </c>
      <c t="s" s="6" r="BR1478">
        <v>92</v>
      </c>
      <c s="6" r="BS1478">
        <v>1501</v>
      </c>
      <c t="s" s="6" r="BT1478">
        <v>92</v>
      </c>
      <c s="6" r="BY1478">
        <v>0</v>
      </c>
    </row>
    <row customHeight="1" r="1479" ht="14.25">
      <c t="s" s="6" r="A1479">
        <v>10484</v>
      </c>
      <c t="s" s="6" r="B1479">
        <v>115</v>
      </c>
      <c t="s" s="6" r="C1479">
        <v>116</v>
      </c>
      <c t="s" s="6" r="D1479">
        <v>117</v>
      </c>
      <c t="s" s="6" r="E1479">
        <v>6900</v>
      </c>
      <c t="s" s="6" r="F1479">
        <v>81</v>
      </c>
      <c t="s" s="6" r="G1479">
        <v>106</v>
      </c>
      <c s="6" r="H1479">
        <v>0</v>
      </c>
      <c t="s" s="6" r="I1479">
        <v>120</v>
      </c>
      <c t="s" s="6" r="L1479">
        <v>1525</v>
      </c>
      <c t="s" s="6" r="M1479">
        <v>10485</v>
      </c>
      <c s="6" r="N1479">
        <v>1</v>
      </c>
      <c s="6" r="O1479">
        <v>0</v>
      </c>
      <c t="s" s="6" r="R1479">
        <v>10486</v>
      </c>
      <c t="s" s="6" r="S1479">
        <v>10487</v>
      </c>
      <c t="s" s="6" r="T1479">
        <v>10367</v>
      </c>
      <c t="s" s="6" r="U1479">
        <v>10488</v>
      </c>
      <c s="6" r="V1479">
        <v>1</v>
      </c>
      <c s="6" r="W1479">
        <v>1</v>
      </c>
      <c s="6" r="X1479">
        <v>0</v>
      </c>
      <c s="6" r="Y1479">
        <v>0</v>
      </c>
      <c s="6" r="Z1479">
        <v>0</v>
      </c>
      <c t="s" s="6" r="AA1479">
        <v>92</v>
      </c>
      <c t="s" s="6" r="AB1479">
        <v>92</v>
      </c>
      <c s="6" r="AC1479">
        <v>2</v>
      </c>
      <c t="s" s="6" r="AD1479">
        <v>92</v>
      </c>
      <c t="s" s="6" r="AE1479">
        <v>92</v>
      </c>
      <c t="s" s="6" r="AF1479">
        <v>92</v>
      </c>
      <c s="6" r="AG1479">
        <v>2</v>
      </c>
      <c t="s" s="6" r="AH1479">
        <v>92</v>
      </c>
      <c t="s" s="6" r="AI1479">
        <v>92</v>
      </c>
      <c t="s" s="6" r="AJ1479">
        <v>92</v>
      </c>
      <c s="6" r="AK1479">
        <v>2</v>
      </c>
      <c s="6" r="AL1479">
        <v>2</v>
      </c>
      <c t="s" s="6" r="AM1479">
        <v>92</v>
      </c>
      <c t="s" s="6" r="AN1479">
        <v>92</v>
      </c>
      <c s="6" r="AP1479">
        <v>2</v>
      </c>
      <c s="6" r="AS1479">
        <v>0</v>
      </c>
      <c s="6" r="AT1479">
        <v>0</v>
      </c>
      <c s="6" r="AU1479">
        <v>0</v>
      </c>
      <c s="6" r="AV1479">
        <v>0</v>
      </c>
      <c s="6" r="AW1479">
        <v>0</v>
      </c>
      <c s="6" r="AX1479">
        <v>0</v>
      </c>
      <c s="6" r="AY1479">
        <v>0</v>
      </c>
      <c s="6" r="AZ1479">
        <v>0</v>
      </c>
      <c s="6" r="BA1479">
        <v>0</v>
      </c>
      <c s="6" r="BB1479">
        <v>0</v>
      </c>
      <c s="6" r="BC1479">
        <v>0</v>
      </c>
      <c s="6" r="BD1479">
        <v>0</v>
      </c>
      <c s="6" r="BE1479">
        <v>0</v>
      </c>
      <c s="6" r="BF1479">
        <v>0</v>
      </c>
      <c s="6" r="BG1479">
        <v>0</v>
      </c>
      <c s="6" r="BH1479">
        <v>0</v>
      </c>
      <c s="6" r="BI1479">
        <v>0</v>
      </c>
      <c s="6" r="BJ1479">
        <v>0</v>
      </c>
      <c s="6" r="BK1479">
        <v>0</v>
      </c>
      <c s="6" r="BL1479">
        <v>1</v>
      </c>
      <c s="6" r="BM1479">
        <v>0</v>
      </c>
      <c s="6" r="BN1479">
        <v>0</v>
      </c>
      <c s="6" r="BO1479">
        <v>0</v>
      </c>
      <c s="6" r="BP1479">
        <v>0</v>
      </c>
      <c s="6" r="BQ1479">
        <v>0</v>
      </c>
      <c t="s" s="6" r="BR1479">
        <v>92</v>
      </c>
      <c s="6" r="BS1479">
        <v>1502</v>
      </c>
      <c t="s" s="6" r="BT1479">
        <v>92</v>
      </c>
      <c s="6" r="BY1479">
        <v>0</v>
      </c>
    </row>
    <row customHeight="1" r="1480" ht="14.25">
      <c t="s" s="6" r="A1480">
        <v>10489</v>
      </c>
      <c t="s" s="6" r="B1480">
        <v>115</v>
      </c>
      <c t="s" s="6" r="C1480">
        <v>116</v>
      </c>
      <c t="s" s="6" r="D1480">
        <v>117</v>
      </c>
      <c t="s" s="6" r="E1480">
        <v>10490</v>
      </c>
      <c t="s" s="6" r="F1480">
        <v>81</v>
      </c>
      <c t="s" s="6" r="G1480">
        <v>106</v>
      </c>
      <c s="6" r="H1480">
        <v>0</v>
      </c>
      <c t="s" s="6" r="I1480">
        <v>107</v>
      </c>
      <c t="s" s="6" r="L1480">
        <v>620</v>
      </c>
      <c t="s" s="6" r="M1480">
        <v>10485</v>
      </c>
      <c s="6" r="N1480">
        <v>1</v>
      </c>
      <c s="6" r="O1480">
        <v>0</v>
      </c>
      <c t="s" s="6" r="R1480">
        <v>10491</v>
      </c>
      <c t="s" s="6" r="S1480">
        <v>10492</v>
      </c>
      <c t="s" s="6" r="T1480">
        <v>10367</v>
      </c>
      <c t="s" s="6" r="U1480">
        <v>10493</v>
      </c>
      <c s="6" r="V1480">
        <v>1</v>
      </c>
      <c s="6" r="W1480">
        <v>1</v>
      </c>
      <c s="6" r="X1480">
        <v>0</v>
      </c>
      <c s="6" r="Y1480">
        <v>0</v>
      </c>
      <c s="6" r="Z1480">
        <v>0</v>
      </c>
      <c t="s" s="6" r="AA1480">
        <v>92</v>
      </c>
      <c t="s" s="6" r="AB1480">
        <v>92</v>
      </c>
      <c s="6" r="AC1480">
        <v>6</v>
      </c>
      <c t="s" s="6" r="AD1480">
        <v>92</v>
      </c>
      <c t="s" s="6" r="AE1480">
        <v>92</v>
      </c>
      <c t="s" s="6" r="AF1480">
        <v>92</v>
      </c>
      <c s="6" r="AG1480">
        <v>4</v>
      </c>
      <c t="s" s="6" r="AH1480">
        <v>92</v>
      </c>
      <c t="s" s="6" r="AI1480">
        <v>92</v>
      </c>
      <c t="s" s="6" r="AJ1480">
        <v>92</v>
      </c>
      <c s="6" r="AK1480">
        <v>6</v>
      </c>
      <c s="6" r="AL1480">
        <v>6</v>
      </c>
      <c t="s" s="6" r="AM1480">
        <v>92</v>
      </c>
      <c t="s" s="6" r="AN1480">
        <v>92</v>
      </c>
      <c s="6" r="AP1480">
        <v>6</v>
      </c>
      <c s="6" r="AS1480">
        <v>0</v>
      </c>
      <c s="6" r="AT1480">
        <v>0</v>
      </c>
      <c s="6" r="AU1480">
        <v>0</v>
      </c>
      <c s="6" r="AV1480">
        <v>0</v>
      </c>
      <c s="6" r="AW1480">
        <v>0</v>
      </c>
      <c s="6" r="AX1480">
        <v>0</v>
      </c>
      <c s="6" r="AY1480">
        <v>0</v>
      </c>
      <c s="6" r="AZ1480">
        <v>0</v>
      </c>
      <c s="6" r="BA1480">
        <v>0</v>
      </c>
      <c s="6" r="BB1480">
        <v>0</v>
      </c>
      <c s="6" r="BC1480">
        <v>0</v>
      </c>
      <c s="6" r="BD1480">
        <v>0</v>
      </c>
      <c s="6" r="BE1480">
        <v>0</v>
      </c>
      <c s="6" r="BF1480">
        <v>0</v>
      </c>
      <c s="6" r="BG1480">
        <v>0</v>
      </c>
      <c s="6" r="BH1480">
        <v>0</v>
      </c>
      <c s="6" r="BI1480">
        <v>0</v>
      </c>
      <c s="6" r="BJ1480">
        <v>0</v>
      </c>
      <c s="6" r="BK1480">
        <v>0</v>
      </c>
      <c s="6" r="BL1480">
        <v>1</v>
      </c>
      <c s="6" r="BM1480">
        <v>0</v>
      </c>
      <c s="6" r="BN1480">
        <v>0</v>
      </c>
      <c s="6" r="BO1480">
        <v>0</v>
      </c>
      <c s="6" r="BP1480">
        <v>0</v>
      </c>
      <c s="6" r="BQ1480">
        <v>0</v>
      </c>
      <c t="s" s="6" r="BR1480">
        <v>92</v>
      </c>
      <c s="6" r="BS1480">
        <v>1503</v>
      </c>
      <c t="s" s="6" r="BT1480">
        <v>92</v>
      </c>
      <c s="6" r="BY1480">
        <v>0</v>
      </c>
    </row>
    <row customHeight="1" r="1481" ht="14.25">
      <c t="s" s="6" r="A1481">
        <v>10494</v>
      </c>
      <c t="s" s="6" r="B1481">
        <v>162</v>
      </c>
      <c t="s" s="6" r="E1481">
        <v>10495</v>
      </c>
      <c t="s" s="6" r="F1481">
        <v>81</v>
      </c>
      <c t="s" s="6" r="G1481">
        <v>106</v>
      </c>
      <c s="6" r="H1481">
        <v>0</v>
      </c>
      <c t="s" s="6" r="I1481">
        <v>155</v>
      </c>
      <c t="s" s="6" r="L1481">
        <v>156</v>
      </c>
      <c t="s" s="6" r="M1481">
        <v>99</v>
      </c>
      <c s="6" r="N1481">
        <v>0</v>
      </c>
      <c s="6" r="O1481">
        <v>0</v>
      </c>
      <c t="s" s="6" r="R1481">
        <v>10496</v>
      </c>
      <c t="s" s="6" r="S1481">
        <v>10497</v>
      </c>
      <c t="s" s="6" r="T1481">
        <v>10367</v>
      </c>
      <c t="s" s="6" r="U1481">
        <v>10498</v>
      </c>
      <c s="6" r="V1481">
        <v>1</v>
      </c>
      <c s="6" r="W1481">
        <v>1</v>
      </c>
      <c s="6" r="X1481">
        <v>0</v>
      </c>
      <c s="6" r="Y1481">
        <v>0</v>
      </c>
      <c s="6" r="Z1481">
        <v>0</v>
      </c>
      <c s="6" r="AA1481">
        <v>2</v>
      </c>
      <c s="6" r="AB1481">
        <v>2</v>
      </c>
      <c t="s" s="6" r="AC1481">
        <v>92</v>
      </c>
      <c t="s" s="6" r="AD1481">
        <v>92</v>
      </c>
      <c s="6" r="AE1481">
        <v>2</v>
      </c>
      <c s="6" r="AF1481">
        <v>2</v>
      </c>
      <c t="s" s="6" r="AG1481">
        <v>92</v>
      </c>
      <c t="s" s="6" r="AH1481">
        <v>92</v>
      </c>
      <c t="s" s="6" r="AI1481">
        <v>92</v>
      </c>
      <c t="s" s="6" r="AJ1481">
        <v>92</v>
      </c>
      <c s="6" r="AK1481">
        <v>2</v>
      </c>
      <c t="s" s="6" r="AL1481">
        <v>92</v>
      </c>
      <c t="s" s="6" r="AM1481">
        <v>92</v>
      </c>
      <c s="6" r="AN1481">
        <v>2</v>
      </c>
      <c s="6" r="AP1481">
        <v>2</v>
      </c>
      <c s="6" r="AS1481">
        <v>0</v>
      </c>
      <c s="6" r="AT1481">
        <v>0</v>
      </c>
      <c s="6" r="AU1481">
        <v>0</v>
      </c>
      <c s="6" r="AV1481">
        <v>0</v>
      </c>
      <c s="6" r="AW1481">
        <v>0</v>
      </c>
      <c s="6" r="AX1481">
        <v>0</v>
      </c>
      <c s="6" r="AY1481">
        <v>0</v>
      </c>
      <c s="6" r="AZ1481">
        <v>0</v>
      </c>
      <c s="6" r="BA1481">
        <v>0</v>
      </c>
      <c s="6" r="BB1481">
        <v>0</v>
      </c>
      <c s="6" r="BC1481">
        <v>0</v>
      </c>
      <c s="6" r="BD1481">
        <v>0</v>
      </c>
      <c s="6" r="BE1481">
        <v>0</v>
      </c>
      <c s="6" r="BF1481">
        <v>0</v>
      </c>
      <c s="6" r="BG1481">
        <v>0</v>
      </c>
      <c s="6" r="BH1481">
        <v>0</v>
      </c>
      <c s="6" r="BI1481">
        <v>0</v>
      </c>
      <c s="6" r="BJ1481">
        <v>0</v>
      </c>
      <c s="6" r="BK1481">
        <v>0</v>
      </c>
      <c s="6" r="BL1481">
        <v>0</v>
      </c>
      <c s="6" r="BM1481">
        <v>0</v>
      </c>
      <c s="6" r="BN1481">
        <v>0</v>
      </c>
      <c s="6" r="BO1481">
        <v>0</v>
      </c>
      <c s="6" r="BP1481">
        <v>0</v>
      </c>
      <c s="6" r="BQ1481">
        <v>0</v>
      </c>
      <c t="s" s="6" r="BR1481">
        <v>92</v>
      </c>
      <c s="6" r="BS1481">
        <v>1504</v>
      </c>
      <c t="s" s="6" r="BT1481">
        <v>92</v>
      </c>
      <c s="6" r="BY1481">
        <v>0</v>
      </c>
    </row>
    <row customHeight="1" r="1482" ht="14.25">
      <c t="s" s="6" r="A1482">
        <v>10499</v>
      </c>
      <c t="s" s="6" r="B1482">
        <v>579</v>
      </c>
      <c t="s" s="6" r="C1482">
        <v>2047</v>
      </c>
      <c t="s" s="6" r="E1482">
        <v>10500</v>
      </c>
      <c t="s" s="6" r="F1482">
        <v>81</v>
      </c>
      <c t="s" s="6" r="G1482">
        <v>106</v>
      </c>
      <c s="6" r="H1482">
        <v>0</v>
      </c>
      <c t="s" s="6" r="I1482">
        <v>97</v>
      </c>
      <c t="s" s="6" r="K1482">
        <v>10501</v>
      </c>
      <c t="s" s="6" r="M1482">
        <v>5513</v>
      </c>
      <c s="6" r="N1482">
        <v>1</v>
      </c>
      <c s="6" r="O1482">
        <v>0</v>
      </c>
      <c t="s" s="6" r="P1482">
        <v>2197</v>
      </c>
      <c t="s" s="6" r="Q1482">
        <v>188</v>
      </c>
      <c t="s" s="6" r="R1482">
        <v>10502</v>
      </c>
      <c t="s" s="6" r="S1482">
        <v>10503</v>
      </c>
      <c t="s" s="6" r="T1482">
        <v>10367</v>
      </c>
      <c t="s" s="6" r="U1482">
        <v>10504</v>
      </c>
      <c s="6" r="V1482">
        <v>1</v>
      </c>
      <c s="6" r="W1482">
        <v>1</v>
      </c>
      <c s="6" r="X1482">
        <v>0</v>
      </c>
      <c s="6" r="Y1482">
        <v>0</v>
      </c>
      <c s="6" r="Z1482">
        <v>0</v>
      </c>
      <c s="6" r="AA1482">
        <v>3</v>
      </c>
      <c s="6" r="AB1482">
        <v>3</v>
      </c>
      <c t="s" s="6" r="AC1482">
        <v>92</v>
      </c>
      <c t="s" s="6" r="AD1482">
        <v>92</v>
      </c>
      <c t="s" s="6" r="AE1482">
        <v>92</v>
      </c>
      <c s="6" r="AF1482">
        <v>3</v>
      </c>
      <c t="s" s="6" r="AG1482">
        <v>92</v>
      </c>
      <c t="s" s="6" r="AH1482">
        <v>92</v>
      </c>
      <c t="s" s="6" r="AI1482">
        <v>92</v>
      </c>
      <c s="6" r="AJ1482">
        <v>3</v>
      </c>
      <c s="6" r="AK1482">
        <v>3</v>
      </c>
      <c t="s" s="6" r="AL1482">
        <v>92</v>
      </c>
      <c t="s" s="6" r="AM1482">
        <v>92</v>
      </c>
      <c t="s" s="6" r="AN1482">
        <v>92</v>
      </c>
      <c s="6" r="AP1482">
        <v>3</v>
      </c>
      <c s="6" r="AS1482">
        <v>0</v>
      </c>
      <c s="6" r="AT1482">
        <v>0</v>
      </c>
      <c s="6" r="AU1482">
        <v>0</v>
      </c>
      <c s="6" r="AV1482">
        <v>0</v>
      </c>
      <c s="6" r="AW1482">
        <v>0</v>
      </c>
      <c s="6" r="AX1482">
        <v>0</v>
      </c>
      <c s="6" r="AY1482">
        <v>0</v>
      </c>
      <c s="6" r="AZ1482">
        <v>0</v>
      </c>
      <c s="6" r="BA1482">
        <v>0</v>
      </c>
      <c s="6" r="BB1482">
        <v>0</v>
      </c>
      <c s="6" r="BC1482">
        <v>0</v>
      </c>
      <c s="6" r="BD1482">
        <v>0</v>
      </c>
      <c s="6" r="BE1482">
        <v>0</v>
      </c>
      <c s="6" r="BF1482">
        <v>0</v>
      </c>
      <c s="6" r="BG1482">
        <v>0</v>
      </c>
      <c s="6" r="BH1482">
        <v>0</v>
      </c>
      <c s="6" r="BI1482">
        <v>0</v>
      </c>
      <c s="6" r="BJ1482">
        <v>0</v>
      </c>
      <c s="6" r="BK1482">
        <v>0</v>
      </c>
      <c s="6" r="BL1482">
        <v>0</v>
      </c>
      <c s="6" r="BM1482">
        <v>0</v>
      </c>
      <c s="6" r="BN1482">
        <v>0</v>
      </c>
      <c s="6" r="BO1482">
        <v>0</v>
      </c>
      <c s="6" r="BP1482">
        <v>0</v>
      </c>
      <c s="6" r="BQ1482">
        <v>0</v>
      </c>
      <c t="s" s="6" r="BR1482">
        <v>92</v>
      </c>
      <c s="6" r="BS1482">
        <v>1505</v>
      </c>
      <c t="s" s="6" r="BT1482">
        <v>92</v>
      </c>
      <c s="6" r="BY1482">
        <v>0</v>
      </c>
    </row>
    <row customHeight="1" r="1483" ht="14.25">
      <c t="s" s="6" r="A1483">
        <v>10505</v>
      </c>
      <c t="s" s="6" r="B1483">
        <v>579</v>
      </c>
      <c t="s" s="6" r="C1483">
        <v>2047</v>
      </c>
      <c t="s" s="6" r="D1483">
        <v>117</v>
      </c>
      <c t="s" s="6" r="E1483">
        <v>10506</v>
      </c>
      <c t="s" s="6" r="F1483">
        <v>81</v>
      </c>
      <c t="s" s="6" r="G1483">
        <v>106</v>
      </c>
      <c s="6" r="H1483">
        <v>0</v>
      </c>
      <c t="s" s="6" r="I1483">
        <v>83</v>
      </c>
      <c t="s" s="6" r="J1483">
        <v>10507</v>
      </c>
      <c t="s" s="6" r="M1483">
        <v>200</v>
      </c>
      <c s="6" r="N1483">
        <v>0</v>
      </c>
      <c s="6" r="O1483">
        <v>0</v>
      </c>
      <c t="s" s="6" r="P1483">
        <v>2051</v>
      </c>
      <c t="s" s="6" r="Q1483">
        <v>188</v>
      </c>
      <c t="s" s="6" r="R1483">
        <v>10508</v>
      </c>
      <c t="s" s="6" r="S1483">
        <v>10509</v>
      </c>
      <c t="s" s="6" r="T1483">
        <v>10367</v>
      </c>
      <c t="s" s="6" r="U1483">
        <v>10510</v>
      </c>
      <c s="6" r="V1483">
        <v>1</v>
      </c>
      <c s="6" r="W1483">
        <v>1</v>
      </c>
      <c s="6" r="X1483">
        <v>0</v>
      </c>
      <c s="6" r="Y1483">
        <v>0</v>
      </c>
      <c s="6" r="Z1483">
        <v>0</v>
      </c>
      <c s="6" r="AA1483">
        <v>5</v>
      </c>
      <c s="6" r="AB1483">
        <v>5</v>
      </c>
      <c s="6" r="AC1483">
        <v>5</v>
      </c>
      <c t="s" s="6" r="AD1483">
        <v>92</v>
      </c>
      <c t="s" s="6" r="AE1483">
        <v>92</v>
      </c>
      <c s="6" r="AF1483">
        <v>5</v>
      </c>
      <c t="s" s="6" r="AG1483">
        <v>92</v>
      </c>
      <c t="s" s="6" r="AH1483">
        <v>92</v>
      </c>
      <c t="s" s="6" r="AI1483">
        <v>92</v>
      </c>
      <c s="6" r="AJ1483">
        <v>5</v>
      </c>
      <c t="s" s="6" r="AK1483">
        <v>92</v>
      </c>
      <c s="6" r="AL1483">
        <v>5</v>
      </c>
      <c t="s" s="6" r="AM1483">
        <v>92</v>
      </c>
      <c t="s" s="6" r="AN1483">
        <v>92</v>
      </c>
      <c s="6" r="AP1483">
        <v>5</v>
      </c>
      <c s="6" r="AS1483">
        <v>0</v>
      </c>
      <c s="6" r="AT1483">
        <v>0</v>
      </c>
      <c s="6" r="AU1483">
        <v>0</v>
      </c>
      <c s="6" r="AV1483">
        <v>0</v>
      </c>
      <c s="6" r="AW1483">
        <v>0</v>
      </c>
      <c s="6" r="AX1483">
        <v>0</v>
      </c>
      <c s="6" r="AY1483">
        <v>0</v>
      </c>
      <c s="6" r="AZ1483">
        <v>0</v>
      </c>
      <c s="6" r="BA1483">
        <v>0</v>
      </c>
      <c s="6" r="BB1483">
        <v>0</v>
      </c>
      <c s="6" r="BC1483">
        <v>0</v>
      </c>
      <c s="6" r="BD1483">
        <v>0</v>
      </c>
      <c s="6" r="BE1483">
        <v>0</v>
      </c>
      <c s="6" r="BF1483">
        <v>0</v>
      </c>
      <c s="6" r="BG1483">
        <v>0</v>
      </c>
      <c s="6" r="BH1483">
        <v>0</v>
      </c>
      <c s="6" r="BI1483">
        <v>0</v>
      </c>
      <c s="6" r="BJ1483">
        <v>0</v>
      </c>
      <c s="6" r="BK1483">
        <v>0</v>
      </c>
      <c s="6" r="BL1483">
        <v>1</v>
      </c>
      <c s="6" r="BM1483">
        <v>0</v>
      </c>
      <c s="6" r="BN1483">
        <v>0</v>
      </c>
      <c s="6" r="BO1483">
        <v>0</v>
      </c>
      <c s="6" r="BP1483">
        <v>0</v>
      </c>
      <c s="6" r="BQ1483">
        <v>0</v>
      </c>
      <c t="s" s="6" r="BR1483">
        <v>92</v>
      </c>
      <c s="6" r="BS1483">
        <v>1506</v>
      </c>
      <c t="s" s="6" r="BT1483">
        <v>92</v>
      </c>
      <c s="6" r="BY1483">
        <v>0</v>
      </c>
    </row>
    <row customHeight="1" r="1484" ht="14.25">
      <c t="s" s="6" r="A1484">
        <v>10511</v>
      </c>
      <c t="s" s="6" r="B1484">
        <v>115</v>
      </c>
      <c t="s" s="6" r="C1484">
        <v>116</v>
      </c>
      <c t="s" s="6" r="E1484">
        <v>10512</v>
      </c>
      <c t="s" s="6" r="F1484">
        <v>81</v>
      </c>
      <c t="s" s="6" r="G1484">
        <v>106</v>
      </c>
      <c s="6" r="H1484">
        <v>0</v>
      </c>
      <c t="s" s="6" r="I1484">
        <v>120</v>
      </c>
      <c t="s" s="6" r="L1484">
        <v>10513</v>
      </c>
      <c t="s" s="6" r="M1484">
        <v>2718</v>
      </c>
      <c s="6" r="N1484">
        <v>0</v>
      </c>
      <c s="6" r="O1484">
        <v>0</v>
      </c>
      <c t="s" s="6" r="R1484">
        <v>10514</v>
      </c>
      <c t="s" s="6" r="S1484">
        <v>10515</v>
      </c>
      <c t="s" s="6" r="T1484">
        <v>10367</v>
      </c>
      <c t="s" s="6" r="U1484">
        <v>10516</v>
      </c>
      <c s="6" r="V1484">
        <v>1</v>
      </c>
      <c s="6" r="W1484">
        <v>1</v>
      </c>
      <c s="6" r="X1484">
        <v>0</v>
      </c>
      <c s="6" r="Y1484">
        <v>0</v>
      </c>
      <c s="6" r="Z1484">
        <v>0</v>
      </c>
      <c s="6" r="AA1484">
        <v>2</v>
      </c>
      <c s="6" r="AB1484">
        <v>2</v>
      </c>
      <c s="6" r="AC1484">
        <v>3</v>
      </c>
      <c t="s" s="6" r="AD1484">
        <v>92</v>
      </c>
      <c t="s" s="6" r="AE1484">
        <v>92</v>
      </c>
      <c s="6" r="AF1484">
        <v>2</v>
      </c>
      <c t="s" s="6" r="AG1484">
        <v>92</v>
      </c>
      <c t="s" s="6" r="AH1484">
        <v>92</v>
      </c>
      <c t="s" s="6" r="AI1484">
        <v>92</v>
      </c>
      <c s="6" r="AJ1484">
        <v>2</v>
      </c>
      <c s="6" r="AK1484">
        <v>2</v>
      </c>
      <c s="6" r="AL1484">
        <v>3</v>
      </c>
      <c t="s" s="6" r="AM1484">
        <v>92</v>
      </c>
      <c t="s" s="6" r="AN1484">
        <v>92</v>
      </c>
      <c s="6" r="AP1484">
        <v>2</v>
      </c>
      <c s="6" r="AS1484">
        <v>0</v>
      </c>
      <c s="6" r="AT1484">
        <v>0</v>
      </c>
      <c s="6" r="AU1484">
        <v>0</v>
      </c>
      <c s="6" r="AV1484">
        <v>0</v>
      </c>
      <c s="6" r="AW1484">
        <v>0</v>
      </c>
      <c s="6" r="AX1484">
        <v>0</v>
      </c>
      <c s="6" r="AY1484">
        <v>0</v>
      </c>
      <c s="6" r="AZ1484">
        <v>0</v>
      </c>
      <c s="6" r="BA1484">
        <v>0</v>
      </c>
      <c s="6" r="BB1484">
        <v>0</v>
      </c>
      <c s="6" r="BC1484">
        <v>0</v>
      </c>
      <c s="6" r="BD1484">
        <v>0</v>
      </c>
      <c s="6" r="BE1484">
        <v>0</v>
      </c>
      <c s="6" r="BF1484">
        <v>0</v>
      </c>
      <c s="6" r="BG1484">
        <v>0</v>
      </c>
      <c s="6" r="BH1484">
        <v>0</v>
      </c>
      <c s="6" r="BI1484">
        <v>0</v>
      </c>
      <c s="6" r="BJ1484">
        <v>0</v>
      </c>
      <c s="6" r="BK1484">
        <v>0</v>
      </c>
      <c s="6" r="BL1484">
        <v>0</v>
      </c>
      <c s="6" r="BM1484">
        <v>0</v>
      </c>
      <c s="6" r="BN1484">
        <v>0</v>
      </c>
      <c s="6" r="BO1484">
        <v>0</v>
      </c>
      <c s="6" r="BP1484">
        <v>0</v>
      </c>
      <c s="6" r="BQ1484">
        <v>0</v>
      </c>
      <c t="s" s="6" r="BR1484">
        <v>92</v>
      </c>
      <c s="6" r="BS1484">
        <v>1507</v>
      </c>
      <c t="s" s="6" r="BT1484">
        <v>92</v>
      </c>
      <c s="6" r="BY1484">
        <v>0</v>
      </c>
    </row>
    <row customHeight="1" r="1485" ht="14.25">
      <c t="s" s="6" r="A1485">
        <v>10517</v>
      </c>
      <c t="s" s="6" r="B1485">
        <v>227</v>
      </c>
      <c t="s" s="6" r="D1485">
        <v>10518</v>
      </c>
      <c t="s" s="6" r="E1485">
        <v>10519</v>
      </c>
      <c t="s" s="6" r="F1485">
        <v>81</v>
      </c>
      <c t="s" s="6" r="G1485">
        <v>10520</v>
      </c>
      <c s="6" r="H1485">
        <v>0</v>
      </c>
      <c t="s" s="6" r="I1485">
        <v>120</v>
      </c>
      <c t="s" s="6" r="L1485">
        <v>1235</v>
      </c>
      <c t="s" s="6" r="M1485">
        <v>323</v>
      </c>
      <c s="6" r="N1485">
        <v>0</v>
      </c>
      <c s="6" r="O1485">
        <v>0</v>
      </c>
      <c t="s" s="6" r="P1485">
        <v>221</v>
      </c>
      <c t="s" s="6" r="Q1485">
        <v>188</v>
      </c>
      <c t="s" s="6" r="R1485">
        <v>10521</v>
      </c>
      <c t="s" s="6" r="S1485">
        <v>10522</v>
      </c>
      <c t="s" s="6" r="T1485">
        <v>10367</v>
      </c>
      <c t="s" s="6" r="U1485">
        <v>10523</v>
      </c>
      <c s="6" r="V1485">
        <v>1</v>
      </c>
      <c s="6" r="W1485">
        <v>1</v>
      </c>
      <c s="6" r="X1485">
        <v>1</v>
      </c>
      <c s="6" r="Y1485">
        <v>0</v>
      </c>
      <c s="6" r="Z1485">
        <v>0</v>
      </c>
      <c t="s" s="6" r="AA1485">
        <v>92</v>
      </c>
      <c t="s" s="6" r="AB1485">
        <v>92</v>
      </c>
      <c t="s" s="6" r="AC1485">
        <v>92</v>
      </c>
      <c s="6" r="AD1485">
        <v>7</v>
      </c>
      <c t="s" s="6" r="AE1485">
        <v>92</v>
      </c>
      <c t="s" s="6" r="AF1485">
        <v>92</v>
      </c>
      <c t="s" s="6" r="AG1485">
        <v>92</v>
      </c>
      <c t="s" s="6" r="AH1485">
        <v>92</v>
      </c>
      <c t="s" s="6" r="AI1485">
        <v>92</v>
      </c>
      <c s="6" r="AJ1485">
        <v>7</v>
      </c>
      <c t="s" s="6" r="AK1485">
        <v>92</v>
      </c>
      <c t="s" s="6" r="AL1485">
        <v>92</v>
      </c>
      <c t="s" s="6" r="AM1485">
        <v>92</v>
      </c>
      <c t="s" s="6" r="AN1485">
        <v>92</v>
      </c>
      <c s="6" r="AP1485">
        <v>7</v>
      </c>
      <c s="6" r="AS1485">
        <v>0</v>
      </c>
      <c s="6" r="AT1485">
        <v>0</v>
      </c>
      <c s="6" r="AU1485">
        <v>0</v>
      </c>
      <c s="6" r="AV1485">
        <v>0</v>
      </c>
      <c s="6" r="AW1485">
        <v>1</v>
      </c>
      <c s="6" r="AX1485">
        <v>0</v>
      </c>
      <c s="6" r="AY1485">
        <v>0</v>
      </c>
      <c s="6" r="AZ1485">
        <v>0</v>
      </c>
      <c s="6" r="BA1485">
        <v>0</v>
      </c>
      <c s="6" r="BB1485">
        <v>0</v>
      </c>
      <c s="6" r="BC1485">
        <v>0</v>
      </c>
      <c s="6" r="BD1485">
        <v>0</v>
      </c>
      <c s="6" r="BE1485">
        <v>1</v>
      </c>
      <c s="6" r="BF1485">
        <v>0</v>
      </c>
      <c s="6" r="BG1485">
        <v>0</v>
      </c>
      <c s="6" r="BH1485">
        <v>0</v>
      </c>
      <c s="6" r="BI1485">
        <v>0</v>
      </c>
      <c s="6" r="BJ1485">
        <v>0</v>
      </c>
      <c s="6" r="BK1485">
        <v>0</v>
      </c>
      <c s="6" r="BL1485">
        <v>0</v>
      </c>
      <c s="6" r="BM1485">
        <v>0</v>
      </c>
      <c s="6" r="BN1485">
        <v>0</v>
      </c>
      <c s="6" r="BO1485">
        <v>0</v>
      </c>
      <c s="6" r="BP1485">
        <v>0</v>
      </c>
      <c s="6" r="BQ1485">
        <v>0</v>
      </c>
      <c t="s" s="6" r="BR1485">
        <v>92</v>
      </c>
      <c s="6" r="BS1485">
        <v>1508</v>
      </c>
      <c t="s" s="6" r="BT1485">
        <v>92</v>
      </c>
      <c t="s" s="6" r="BW1485">
        <v>10524</v>
      </c>
      <c s="6" r="BY1485">
        <v>1</v>
      </c>
    </row>
    <row customHeight="1" r="1486" ht="14.25">
      <c t="s" s="6" r="A1486">
        <v>10525</v>
      </c>
      <c t="s" s="6" r="B1486">
        <v>227</v>
      </c>
      <c t="s" s="6" r="D1486">
        <v>48</v>
      </c>
      <c t="s" s="6" r="E1486">
        <v>10526</v>
      </c>
      <c t="s" s="6" r="F1486">
        <v>81</v>
      </c>
      <c t="s" s="6" r="G1486">
        <v>10520</v>
      </c>
      <c s="6" r="H1486">
        <v>0</v>
      </c>
      <c t="s" s="6" r="I1486">
        <v>120</v>
      </c>
      <c t="s" s="6" r="L1486">
        <v>1235</v>
      </c>
      <c t="s" s="6" r="M1486">
        <v>323</v>
      </c>
      <c s="6" r="N1486">
        <v>0</v>
      </c>
      <c s="6" r="O1486">
        <v>0</v>
      </c>
      <c t="s" s="6" r="P1486">
        <v>221</v>
      </c>
      <c t="s" s="6" r="Q1486">
        <v>188</v>
      </c>
      <c t="s" s="6" r="R1486">
        <v>10527</v>
      </c>
      <c t="s" s="6" r="S1486">
        <v>10528</v>
      </c>
      <c t="s" s="6" r="T1486">
        <v>10367</v>
      </c>
      <c t="s" s="6" r="U1486">
        <v>10529</v>
      </c>
      <c s="6" r="V1486">
        <v>1</v>
      </c>
      <c s="6" r="W1486">
        <v>1</v>
      </c>
      <c s="6" r="X1486">
        <v>1</v>
      </c>
      <c s="6" r="Y1486">
        <v>0</v>
      </c>
      <c s="6" r="Z1486">
        <v>0</v>
      </c>
      <c t="s" s="6" r="AA1486">
        <v>92</v>
      </c>
      <c t="s" s="6" r="AB1486">
        <v>92</v>
      </c>
      <c t="s" s="6" r="AC1486">
        <v>92</v>
      </c>
      <c s="6" r="AD1486">
        <v>5</v>
      </c>
      <c t="s" s="6" r="AE1486">
        <v>92</v>
      </c>
      <c t="s" s="6" r="AF1486">
        <v>92</v>
      </c>
      <c t="s" s="6" r="AG1486">
        <v>92</v>
      </c>
      <c t="s" s="6" r="AH1486">
        <v>92</v>
      </c>
      <c t="s" s="6" r="AI1486">
        <v>92</v>
      </c>
      <c s="6" r="AJ1486">
        <v>5</v>
      </c>
      <c t="s" s="6" r="AK1486">
        <v>92</v>
      </c>
      <c t="s" s="6" r="AL1486">
        <v>92</v>
      </c>
      <c t="s" s="6" r="AM1486">
        <v>92</v>
      </c>
      <c t="s" s="6" r="AN1486">
        <v>92</v>
      </c>
      <c s="6" r="AP1486">
        <v>5</v>
      </c>
      <c s="6" r="AS1486">
        <v>0</v>
      </c>
      <c s="6" r="AT1486">
        <v>0</v>
      </c>
      <c s="6" r="AU1486">
        <v>0</v>
      </c>
      <c s="6" r="AV1486">
        <v>0</v>
      </c>
      <c s="6" r="AW1486">
        <v>1</v>
      </c>
      <c s="6" r="AX1486">
        <v>0</v>
      </c>
      <c s="6" r="AY1486">
        <v>0</v>
      </c>
      <c s="6" r="AZ1486">
        <v>0</v>
      </c>
      <c s="6" r="BA1486">
        <v>0</v>
      </c>
      <c s="6" r="BB1486">
        <v>0</v>
      </c>
      <c s="6" r="BC1486">
        <v>0</v>
      </c>
      <c s="6" r="BD1486">
        <v>0</v>
      </c>
      <c s="6" r="BE1486">
        <v>0</v>
      </c>
      <c s="6" r="BF1486">
        <v>0</v>
      </c>
      <c s="6" r="BG1486">
        <v>0</v>
      </c>
      <c s="6" r="BH1486">
        <v>0</v>
      </c>
      <c s="6" r="BI1486">
        <v>0</v>
      </c>
      <c s="6" r="BJ1486">
        <v>0</v>
      </c>
      <c s="6" r="BK1486">
        <v>0</v>
      </c>
      <c s="6" r="BL1486">
        <v>0</v>
      </c>
      <c s="6" r="BM1486">
        <v>0</v>
      </c>
      <c s="6" r="BN1486">
        <v>0</v>
      </c>
      <c s="6" r="BO1486">
        <v>0</v>
      </c>
      <c s="6" r="BP1486">
        <v>0</v>
      </c>
      <c s="6" r="BQ1486">
        <v>0</v>
      </c>
      <c t="s" s="6" r="BR1486">
        <v>92</v>
      </c>
      <c s="6" r="BS1486">
        <v>1509</v>
      </c>
      <c t="s" s="6" r="BT1486">
        <v>92</v>
      </c>
      <c s="6" r="BY1486">
        <v>0</v>
      </c>
    </row>
    <row customHeight="1" r="1487" ht="14.25">
      <c t="s" s="6" r="A1487">
        <v>10530</v>
      </c>
      <c t="s" s="6" r="B1487">
        <v>493</v>
      </c>
      <c t="s" s="6" r="D1487">
        <v>59</v>
      </c>
      <c t="s" s="6" r="E1487">
        <v>6129</v>
      </c>
      <c t="s" s="6" r="F1487">
        <v>81</v>
      </c>
      <c t="s" s="6" r="G1487">
        <v>10531</v>
      </c>
      <c s="6" r="H1487">
        <v>0</v>
      </c>
      <c t="s" s="6" r="I1487">
        <v>107</v>
      </c>
      <c t="s" s="6" r="J1487">
        <v>924</v>
      </c>
      <c t="s" s="6" r="M1487">
        <v>166</v>
      </c>
      <c s="6" r="N1487">
        <v>0</v>
      </c>
      <c s="6" r="O1487">
        <v>0</v>
      </c>
      <c t="s" s="6" r="P1487">
        <v>86</v>
      </c>
      <c t="s" s="6" r="Q1487">
        <v>87</v>
      </c>
      <c t="s" s="6" r="R1487">
        <v>10532</v>
      </c>
      <c t="s" s="6" r="S1487">
        <v>10533</v>
      </c>
      <c t="s" s="6" r="T1487">
        <v>10367</v>
      </c>
      <c t="s" s="6" r="U1487">
        <v>10534</v>
      </c>
      <c s="6" r="V1487">
        <v>1</v>
      </c>
      <c s="6" r="W1487">
        <v>1</v>
      </c>
      <c s="6" r="X1487">
        <v>1</v>
      </c>
      <c s="6" r="Y1487">
        <v>0</v>
      </c>
      <c s="6" r="Z1487">
        <v>0</v>
      </c>
      <c t="s" s="6" r="AA1487">
        <v>92</v>
      </c>
      <c t="s" s="6" r="AB1487">
        <v>92</v>
      </c>
      <c s="6" r="AC1487">
        <v>2</v>
      </c>
      <c t="s" s="6" r="AD1487">
        <v>92</v>
      </c>
      <c t="s" s="6" r="AE1487">
        <v>92</v>
      </c>
      <c t="s" s="6" r="AF1487">
        <v>92</v>
      </c>
      <c s="6" r="AG1487">
        <v>2</v>
      </c>
      <c t="s" s="6" r="AH1487">
        <v>92</v>
      </c>
      <c t="s" s="6" r="AI1487">
        <v>92</v>
      </c>
      <c t="s" s="6" r="AJ1487">
        <v>92</v>
      </c>
      <c t="s" s="6" r="AK1487">
        <v>92</v>
      </c>
      <c s="6" r="AL1487">
        <v>2</v>
      </c>
      <c t="s" s="6" r="AM1487">
        <v>92</v>
      </c>
      <c t="s" s="6" r="AN1487">
        <v>92</v>
      </c>
      <c s="6" r="AP1487">
        <v>2</v>
      </c>
      <c s="6" r="AS1487">
        <v>0</v>
      </c>
      <c s="6" r="AT1487">
        <v>0</v>
      </c>
      <c s="6" r="AU1487">
        <v>0</v>
      </c>
      <c s="6" r="AV1487">
        <v>0</v>
      </c>
      <c s="6" r="AW1487">
        <v>0</v>
      </c>
      <c s="6" r="AX1487">
        <v>0</v>
      </c>
      <c s="6" r="AY1487">
        <v>0</v>
      </c>
      <c s="6" r="AZ1487">
        <v>0</v>
      </c>
      <c s="6" r="BA1487">
        <v>0</v>
      </c>
      <c s="6" r="BB1487">
        <v>0</v>
      </c>
      <c s="6" r="BC1487">
        <v>0</v>
      </c>
      <c s="6" r="BD1487">
        <v>0</v>
      </c>
      <c s="6" r="BE1487">
        <v>0</v>
      </c>
      <c s="6" r="BF1487">
        <v>0</v>
      </c>
      <c s="6" r="BG1487">
        <v>0</v>
      </c>
      <c s="6" r="BH1487">
        <v>1</v>
      </c>
      <c s="6" r="BI1487">
        <v>0</v>
      </c>
      <c s="6" r="BJ1487">
        <v>0</v>
      </c>
      <c s="6" r="BK1487">
        <v>0</v>
      </c>
      <c s="6" r="BL1487">
        <v>0</v>
      </c>
      <c s="6" r="BM1487">
        <v>0</v>
      </c>
      <c s="6" r="BN1487">
        <v>0</v>
      </c>
      <c s="6" r="BO1487">
        <v>0</v>
      </c>
      <c s="6" r="BP1487">
        <v>0</v>
      </c>
      <c s="6" r="BQ1487">
        <v>0</v>
      </c>
      <c t="s" s="6" r="BR1487">
        <v>92</v>
      </c>
      <c s="6" r="BS1487">
        <v>1510</v>
      </c>
      <c t="s" s="6" r="BT1487">
        <v>92</v>
      </c>
      <c s="6" r="BY1487">
        <v>0</v>
      </c>
    </row>
    <row customHeight="1" r="1488" ht="14.25">
      <c t="s" s="6" r="A1488">
        <v>10535</v>
      </c>
      <c t="s" s="6" r="B1488">
        <v>174</v>
      </c>
      <c t="s" s="6" r="E1488">
        <v>10536</v>
      </c>
      <c t="s" s="6" r="F1488">
        <v>81</v>
      </c>
      <c t="s" s="6" r="G1488">
        <v>251</v>
      </c>
      <c s="6" r="H1488">
        <v>0</v>
      </c>
      <c t="s" s="6" r="I1488">
        <v>155</v>
      </c>
      <c t="s" s="6" r="L1488">
        <v>156</v>
      </c>
      <c t="s" s="6" r="M1488">
        <v>2718</v>
      </c>
      <c s="6" r="N1488">
        <v>0</v>
      </c>
      <c s="6" r="O1488">
        <v>0</v>
      </c>
      <c t="s" s="6" r="R1488">
        <v>10537</v>
      </c>
      <c t="s" s="6" r="S1488">
        <v>10538</v>
      </c>
      <c t="s" s="6" r="T1488">
        <v>10367</v>
      </c>
      <c t="s" s="6" r="U1488">
        <v>10539</v>
      </c>
      <c s="6" r="V1488">
        <v>1</v>
      </c>
      <c s="6" r="W1488">
        <v>0</v>
      </c>
      <c s="6" r="X1488">
        <v>0</v>
      </c>
      <c s="6" r="Y1488">
        <v>0</v>
      </c>
      <c s="6" r="Z1488">
        <v>0</v>
      </c>
      <c s="6" r="AA1488">
        <v>5</v>
      </c>
      <c s="6" r="AB1488">
        <v>5</v>
      </c>
      <c s="6" r="AC1488">
        <v>6</v>
      </c>
      <c t="s" s="6" r="AD1488">
        <v>92</v>
      </c>
      <c t="s" s="6" r="AE1488">
        <v>92</v>
      </c>
      <c s="6" r="AF1488">
        <v>4</v>
      </c>
      <c t="s" s="6" r="AG1488">
        <v>92</v>
      </c>
      <c t="s" s="6" r="AH1488">
        <v>92</v>
      </c>
      <c t="s" s="6" r="AI1488">
        <v>92</v>
      </c>
      <c s="6" r="AJ1488">
        <v>5</v>
      </c>
      <c t="s" s="6" r="AK1488">
        <v>92</v>
      </c>
      <c s="6" r="AL1488">
        <v>6</v>
      </c>
      <c t="s" s="6" r="AM1488">
        <v>92</v>
      </c>
      <c t="s" s="6" r="AN1488">
        <v>92</v>
      </c>
      <c s="6" r="AP1488">
        <v>5</v>
      </c>
      <c s="6" r="AS1488">
        <v>0</v>
      </c>
      <c s="6" r="AT1488">
        <v>0</v>
      </c>
      <c s="6" r="AU1488">
        <v>0</v>
      </c>
      <c s="6" r="AV1488">
        <v>0</v>
      </c>
      <c s="6" r="AW1488">
        <v>0</v>
      </c>
      <c s="6" r="AX1488">
        <v>0</v>
      </c>
      <c s="6" r="AY1488">
        <v>0</v>
      </c>
      <c s="6" r="AZ1488">
        <v>0</v>
      </c>
      <c s="6" r="BA1488">
        <v>0</v>
      </c>
      <c s="6" r="BB1488">
        <v>0</v>
      </c>
      <c s="6" r="BC1488">
        <v>0</v>
      </c>
      <c s="6" r="BD1488">
        <v>0</v>
      </c>
      <c s="6" r="BE1488">
        <v>0</v>
      </c>
      <c s="6" r="BF1488">
        <v>0</v>
      </c>
      <c s="6" r="BG1488">
        <v>0</v>
      </c>
      <c s="6" r="BH1488">
        <v>0</v>
      </c>
      <c s="6" r="BI1488">
        <v>0</v>
      </c>
      <c s="6" r="BJ1488">
        <v>0</v>
      </c>
      <c s="6" r="BK1488">
        <v>0</v>
      </c>
      <c s="6" r="BL1488">
        <v>0</v>
      </c>
      <c s="6" r="BM1488">
        <v>0</v>
      </c>
      <c s="6" r="BN1488">
        <v>0</v>
      </c>
      <c s="6" r="BO1488">
        <v>0</v>
      </c>
      <c s="6" r="BP1488">
        <v>0</v>
      </c>
      <c s="6" r="BQ1488">
        <v>0</v>
      </c>
      <c t="s" s="6" r="BR1488">
        <v>92</v>
      </c>
      <c s="6" r="BS1488">
        <v>1511</v>
      </c>
      <c t="s" s="6" r="BT1488">
        <v>92</v>
      </c>
      <c s="6" r="BY1488">
        <v>0</v>
      </c>
    </row>
    <row customHeight="1" r="1489" ht="14.25">
      <c t="s" s="6" r="A1489">
        <v>10540</v>
      </c>
      <c t="s" s="6" r="B1489">
        <v>162</v>
      </c>
      <c t="s" s="6" r="D1489">
        <v>59</v>
      </c>
      <c t="s" s="6" r="E1489">
        <v>544</v>
      </c>
      <c t="s" s="6" r="F1489">
        <v>81</v>
      </c>
      <c t="s" s="6" r="G1489">
        <v>119</v>
      </c>
      <c s="6" r="H1489">
        <v>0</v>
      </c>
      <c t="s" s="6" r="I1489">
        <v>6830</v>
      </c>
      <c t="s" s="6" r="L1489">
        <v>6831</v>
      </c>
      <c t="s" s="6" r="M1489">
        <v>5954</v>
      </c>
      <c s="6" r="N1489">
        <v>1</v>
      </c>
      <c s="6" r="O1489">
        <v>0</v>
      </c>
      <c t="s" s="6" r="P1489">
        <v>2467</v>
      </c>
      <c t="s" s="6" r="Q1489">
        <v>86</v>
      </c>
      <c t="s" s="6" r="R1489">
        <v>10541</v>
      </c>
      <c t="s" s="6" r="S1489">
        <v>10542</v>
      </c>
      <c t="s" s="6" r="T1489">
        <v>10367</v>
      </c>
      <c t="s" s="6" r="U1489">
        <v>10543</v>
      </c>
      <c s="6" r="V1489">
        <v>1</v>
      </c>
      <c s="6" r="W1489">
        <v>1</v>
      </c>
      <c s="6" r="X1489">
        <v>0</v>
      </c>
      <c s="6" r="Y1489">
        <v>0</v>
      </c>
      <c s="6" r="Z1489">
        <v>1</v>
      </c>
      <c t="s" s="6" r="AA1489">
        <v>92</v>
      </c>
      <c t="s" s="6" r="AB1489">
        <v>92</v>
      </c>
      <c t="s" s="6" r="AC1489">
        <v>92</v>
      </c>
      <c t="s" s="6" r="AD1489">
        <v>92</v>
      </c>
      <c t="s" s="6" r="AE1489">
        <v>92</v>
      </c>
      <c t="s" s="6" r="AF1489">
        <v>92</v>
      </c>
      <c s="6" r="AG1489">
        <v>1</v>
      </c>
      <c t="s" s="6" r="AH1489">
        <v>92</v>
      </c>
      <c t="s" s="6" r="AI1489">
        <v>92</v>
      </c>
      <c t="s" s="6" r="AJ1489">
        <v>92</v>
      </c>
      <c t="s" s="6" r="AK1489">
        <v>92</v>
      </c>
      <c t="s" s="6" r="AL1489">
        <v>92</v>
      </c>
      <c t="s" s="6" r="AM1489">
        <v>92</v>
      </c>
      <c t="s" s="6" r="AN1489">
        <v>92</v>
      </c>
      <c s="6" r="AP1489">
        <v>1</v>
      </c>
      <c s="6" r="AS1489">
        <v>0</v>
      </c>
      <c s="6" r="AT1489">
        <v>0</v>
      </c>
      <c s="6" r="AU1489">
        <v>0</v>
      </c>
      <c s="6" r="AV1489">
        <v>0</v>
      </c>
      <c s="6" r="AW1489">
        <v>0</v>
      </c>
      <c s="6" r="AX1489">
        <v>0</v>
      </c>
      <c s="6" r="AY1489">
        <v>0</v>
      </c>
      <c s="6" r="AZ1489">
        <v>0</v>
      </c>
      <c s="6" r="BA1489">
        <v>0</v>
      </c>
      <c s="6" r="BB1489">
        <v>0</v>
      </c>
      <c s="6" r="BC1489">
        <v>0</v>
      </c>
      <c s="6" r="BD1489">
        <v>0</v>
      </c>
      <c s="6" r="BE1489">
        <v>0</v>
      </c>
      <c s="6" r="BF1489">
        <v>0</v>
      </c>
      <c s="6" r="BG1489">
        <v>0</v>
      </c>
      <c s="6" r="BH1489">
        <v>1</v>
      </c>
      <c s="6" r="BI1489">
        <v>0</v>
      </c>
      <c s="6" r="BJ1489">
        <v>0</v>
      </c>
      <c s="6" r="BK1489">
        <v>0</v>
      </c>
      <c s="6" r="BL1489">
        <v>0</v>
      </c>
      <c s="6" r="BM1489">
        <v>0</v>
      </c>
      <c s="6" r="BN1489">
        <v>0</v>
      </c>
      <c s="6" r="BO1489">
        <v>0</v>
      </c>
      <c s="6" r="BP1489">
        <v>0</v>
      </c>
      <c s="6" r="BQ1489">
        <v>0</v>
      </c>
      <c t="s" s="6" r="BR1489">
        <v>92</v>
      </c>
      <c s="6" r="BS1489">
        <v>1512</v>
      </c>
      <c t="s" s="6" r="BT1489">
        <v>92</v>
      </c>
      <c s="6" r="BY1489">
        <v>0</v>
      </c>
    </row>
    <row customHeight="1" r="1490" ht="14.25">
      <c t="s" s="6" r="A1490">
        <v>10544</v>
      </c>
      <c t="s" s="6" r="B1490">
        <v>162</v>
      </c>
      <c t="s" s="6" r="E1490">
        <v>10545</v>
      </c>
      <c t="s" s="6" r="F1490">
        <v>81</v>
      </c>
      <c t="s" s="6" r="G1490">
        <v>9437</v>
      </c>
      <c s="6" r="H1490">
        <v>0</v>
      </c>
      <c t="s" s="6" r="I1490">
        <v>120</v>
      </c>
      <c t="s" s="6" r="L1490">
        <v>10513</v>
      </c>
      <c t="s" s="6" r="M1490">
        <v>209</v>
      </c>
      <c s="6" r="N1490">
        <v>0</v>
      </c>
      <c s="6" r="O1490">
        <v>0</v>
      </c>
      <c t="s" s="6" r="P1490">
        <v>421</v>
      </c>
      <c t="s" s="6" r="Q1490">
        <v>123</v>
      </c>
      <c t="s" s="6" r="R1490">
        <v>10546</v>
      </c>
      <c t="s" s="6" r="S1490">
        <v>10547</v>
      </c>
      <c t="s" s="6" r="T1490">
        <v>10367</v>
      </c>
      <c t="s" s="6" r="U1490">
        <v>10548</v>
      </c>
      <c s="6" r="V1490">
        <v>0</v>
      </c>
      <c s="6" r="W1490">
        <v>0</v>
      </c>
      <c s="6" r="X1490">
        <v>0</v>
      </c>
      <c s="6" r="Y1490">
        <v>0</v>
      </c>
      <c s="6" r="Z1490">
        <v>0</v>
      </c>
      <c t="s" s="6" r="AA1490">
        <v>92</v>
      </c>
      <c t="s" s="6" r="AB1490">
        <v>92</v>
      </c>
      <c s="6" r="AC1490">
        <v>8</v>
      </c>
      <c t="s" s="6" r="AD1490">
        <v>92</v>
      </c>
      <c t="s" s="6" r="AE1490">
        <v>92</v>
      </c>
      <c t="s" s="6" r="AF1490">
        <v>92</v>
      </c>
      <c t="s" s="6" r="AG1490">
        <v>92</v>
      </c>
      <c t="s" s="6" r="AH1490">
        <v>92</v>
      </c>
      <c t="s" s="6" r="AI1490">
        <v>92</v>
      </c>
      <c s="6" r="AJ1490">
        <v>8</v>
      </c>
      <c t="s" s="6" r="AK1490">
        <v>92</v>
      </c>
      <c s="6" r="AL1490">
        <v>8</v>
      </c>
      <c t="s" s="6" r="AM1490">
        <v>92</v>
      </c>
      <c t="s" s="6" r="AN1490">
        <v>92</v>
      </c>
      <c s="6" r="AP1490">
        <v>8</v>
      </c>
      <c s="6" r="AS1490">
        <v>0</v>
      </c>
      <c s="6" r="AT1490">
        <v>0</v>
      </c>
      <c s="6" r="AU1490">
        <v>0</v>
      </c>
      <c s="6" r="AV1490">
        <v>0</v>
      </c>
      <c s="6" r="AW1490">
        <v>0</v>
      </c>
      <c s="6" r="AX1490">
        <v>0</v>
      </c>
      <c s="6" r="AY1490">
        <v>0</v>
      </c>
      <c s="6" r="AZ1490">
        <v>0</v>
      </c>
      <c s="6" r="BA1490">
        <v>0</v>
      </c>
      <c s="6" r="BB1490">
        <v>0</v>
      </c>
      <c s="6" r="BC1490">
        <v>0</v>
      </c>
      <c s="6" r="BD1490">
        <v>0</v>
      </c>
      <c s="6" r="BE1490">
        <v>0</v>
      </c>
      <c s="6" r="BF1490">
        <v>0</v>
      </c>
      <c s="6" r="BG1490">
        <v>0</v>
      </c>
      <c s="6" r="BH1490">
        <v>0</v>
      </c>
      <c s="6" r="BI1490">
        <v>0</v>
      </c>
      <c s="6" r="BJ1490">
        <v>0</v>
      </c>
      <c s="6" r="BK1490">
        <v>0</v>
      </c>
      <c s="6" r="BL1490">
        <v>0</v>
      </c>
      <c s="6" r="BM1490">
        <v>0</v>
      </c>
      <c s="6" r="BN1490">
        <v>0</v>
      </c>
      <c s="6" r="BO1490">
        <v>0</v>
      </c>
      <c s="6" r="BP1490">
        <v>0</v>
      </c>
      <c s="6" r="BQ1490">
        <v>0</v>
      </c>
      <c t="s" s="6" r="BR1490">
        <v>92</v>
      </c>
      <c s="6" r="BS1490">
        <v>1513</v>
      </c>
      <c t="s" s="6" r="BT1490">
        <v>92</v>
      </c>
      <c s="6" r="BY1490">
        <v>0</v>
      </c>
    </row>
    <row customHeight="1" r="1491" ht="14.25">
      <c t="s" s="6" r="A1491">
        <v>10549</v>
      </c>
      <c t="s" s="6" r="B1491">
        <v>131</v>
      </c>
      <c t="s" s="6" r="D1491">
        <v>45</v>
      </c>
      <c t="s" s="6" r="E1491">
        <v>10550</v>
      </c>
      <c t="s" s="6" r="F1491">
        <v>81</v>
      </c>
      <c t="s" s="6" r="G1491">
        <v>106</v>
      </c>
      <c s="6" r="H1491">
        <v>0</v>
      </c>
      <c t="s" s="6" r="I1491">
        <v>107</v>
      </c>
      <c t="s" s="6" r="L1491">
        <v>473</v>
      </c>
      <c t="s" s="6" r="M1491">
        <v>10551</v>
      </c>
      <c s="6" r="N1491">
        <v>0</v>
      </c>
      <c s="6" r="O1491">
        <v>0</v>
      </c>
      <c t="s" s="6" r="P1491">
        <v>3271</v>
      </c>
      <c t="s" s="6" r="Q1491">
        <v>188</v>
      </c>
      <c t="s" s="6" r="R1491">
        <v>10552</v>
      </c>
      <c t="s" s="6" r="S1491">
        <v>10553</v>
      </c>
      <c t="s" s="6" r="T1491">
        <v>10367</v>
      </c>
      <c t="s" s="6" r="U1491">
        <v>10554</v>
      </c>
      <c s="6" r="V1491">
        <v>1</v>
      </c>
      <c s="6" r="W1491">
        <v>1</v>
      </c>
      <c s="6" r="X1491">
        <v>0</v>
      </c>
      <c s="6" r="Y1491">
        <v>0</v>
      </c>
      <c s="6" r="Z1491">
        <v>0</v>
      </c>
      <c s="6" r="AA1491">
        <v>2</v>
      </c>
      <c s="6" r="AB1491">
        <v>2</v>
      </c>
      <c t="s" s="6" r="AC1491">
        <v>92</v>
      </c>
      <c s="6" r="AD1491">
        <v>2</v>
      </c>
      <c t="s" s="6" r="AE1491">
        <v>92</v>
      </c>
      <c s="6" r="AF1491">
        <v>2</v>
      </c>
      <c t="s" s="6" r="AG1491">
        <v>92</v>
      </c>
      <c t="s" s="6" r="AH1491">
        <v>92</v>
      </c>
      <c t="s" s="6" r="AI1491">
        <v>92</v>
      </c>
      <c s="6" r="AJ1491">
        <v>2</v>
      </c>
      <c t="s" s="6" r="AK1491">
        <v>92</v>
      </c>
      <c t="s" s="6" r="AL1491">
        <v>92</v>
      </c>
      <c t="s" s="6" r="AM1491">
        <v>92</v>
      </c>
      <c t="s" s="6" r="AN1491">
        <v>92</v>
      </c>
      <c s="6" r="AP1491">
        <v>2</v>
      </c>
      <c s="6" r="AS1491">
        <v>0</v>
      </c>
      <c s="6" r="AT1491">
        <v>1</v>
      </c>
      <c s="6" r="AU1491">
        <v>0</v>
      </c>
      <c s="6" r="AV1491">
        <v>0</v>
      </c>
      <c s="6" r="AW1491">
        <v>0</v>
      </c>
      <c s="6" r="AX1491">
        <v>0</v>
      </c>
      <c s="6" r="AY1491">
        <v>0</v>
      </c>
      <c s="6" r="AZ1491">
        <v>0</v>
      </c>
      <c s="6" r="BA1491">
        <v>0</v>
      </c>
      <c s="6" r="BB1491">
        <v>0</v>
      </c>
      <c s="6" r="BC1491">
        <v>0</v>
      </c>
      <c s="6" r="BD1491">
        <v>0</v>
      </c>
      <c s="6" r="BE1491">
        <v>0</v>
      </c>
      <c s="6" r="BF1491">
        <v>0</v>
      </c>
      <c s="6" r="BG1491">
        <v>0</v>
      </c>
      <c s="6" r="BH1491">
        <v>0</v>
      </c>
      <c s="6" r="BI1491">
        <v>0</v>
      </c>
      <c s="6" r="BJ1491">
        <v>0</v>
      </c>
      <c s="6" r="BK1491">
        <v>0</v>
      </c>
      <c s="6" r="BL1491">
        <v>0</v>
      </c>
      <c s="6" r="BM1491">
        <v>0</v>
      </c>
      <c s="6" r="BN1491">
        <v>0</v>
      </c>
      <c s="6" r="BO1491">
        <v>0</v>
      </c>
      <c s="6" r="BP1491">
        <v>0</v>
      </c>
      <c s="6" r="BQ1491">
        <v>0</v>
      </c>
      <c t="s" s="6" r="BR1491">
        <v>92</v>
      </c>
      <c s="6" r="BS1491">
        <v>1514</v>
      </c>
      <c t="s" s="6" r="BT1491">
        <v>92</v>
      </c>
      <c s="6" r="BY1491">
        <v>0</v>
      </c>
    </row>
    <row customHeight="1" r="1492" ht="14.25">
      <c t="s" s="6" r="A1492">
        <v>10555</v>
      </c>
      <c t="s" s="6" r="B1492">
        <v>493</v>
      </c>
      <c t="s" s="6" r="D1492">
        <v>6189</v>
      </c>
      <c t="s" s="6" r="E1492">
        <v>10556</v>
      </c>
      <c t="s" s="6" r="F1492">
        <v>81</v>
      </c>
      <c t="s" s="6" r="G1492">
        <v>119</v>
      </c>
      <c s="6" r="H1492">
        <v>0</v>
      </c>
      <c t="s" s="6" r="I1492">
        <v>107</v>
      </c>
      <c t="s" s="6" r="K1492">
        <v>10557</v>
      </c>
      <c t="s" s="6" r="M1492">
        <v>5059</v>
      </c>
      <c s="6" r="N1492">
        <v>0</v>
      </c>
      <c s="6" r="O1492">
        <v>0</v>
      </c>
      <c t="s" s="6" r="P1492">
        <v>187</v>
      </c>
      <c t="s" s="6" r="Q1492">
        <v>188</v>
      </c>
      <c t="s" s="6" r="R1492">
        <v>10558</v>
      </c>
      <c t="s" s="6" r="S1492">
        <v>10559</v>
      </c>
      <c t="s" s="6" r="T1492">
        <v>10367</v>
      </c>
      <c t="s" s="6" r="U1492">
        <v>10560</v>
      </c>
      <c s="6" r="V1492">
        <v>1</v>
      </c>
      <c s="6" r="W1492">
        <v>1</v>
      </c>
      <c s="6" r="X1492">
        <v>0</v>
      </c>
      <c s="6" r="Y1492">
        <v>0</v>
      </c>
      <c s="6" r="Z1492">
        <v>1</v>
      </c>
      <c t="s" s="6" r="AA1492">
        <v>92</v>
      </c>
      <c t="s" s="6" r="AB1492">
        <v>92</v>
      </c>
      <c s="6" r="AC1492">
        <v>2</v>
      </c>
      <c t="s" s="6" r="AD1492">
        <v>92</v>
      </c>
      <c t="s" s="6" r="AE1492">
        <v>92</v>
      </c>
      <c t="s" s="6" r="AF1492">
        <v>92</v>
      </c>
      <c s="6" r="AG1492">
        <v>2</v>
      </c>
      <c t="s" s="6" r="AH1492">
        <v>92</v>
      </c>
      <c t="s" s="6" r="AI1492">
        <v>92</v>
      </c>
      <c t="s" s="6" r="AJ1492">
        <v>92</v>
      </c>
      <c s="6" r="AK1492">
        <v>3</v>
      </c>
      <c s="6" r="AL1492">
        <v>2</v>
      </c>
      <c t="s" s="6" r="AM1492">
        <v>92</v>
      </c>
      <c t="s" s="6" r="AN1492">
        <v>92</v>
      </c>
      <c s="6" r="AP1492">
        <v>2</v>
      </c>
      <c s="6" r="AS1492">
        <v>0</v>
      </c>
      <c s="6" r="AT1492">
        <v>0</v>
      </c>
      <c s="6" r="AU1492">
        <v>0</v>
      </c>
      <c s="6" r="AV1492">
        <v>0</v>
      </c>
      <c s="6" r="AW1492">
        <v>0</v>
      </c>
      <c s="6" r="AX1492">
        <v>0</v>
      </c>
      <c s="6" r="AY1492">
        <v>0</v>
      </c>
      <c s="6" r="AZ1492">
        <v>0</v>
      </c>
      <c s="6" r="BA1492">
        <v>0</v>
      </c>
      <c s="6" r="BB1492">
        <v>0</v>
      </c>
      <c s="6" r="BC1492">
        <v>0</v>
      </c>
      <c s="6" r="BD1492">
        <v>0</v>
      </c>
      <c s="6" r="BE1492">
        <v>0</v>
      </c>
      <c s="6" r="BF1492">
        <v>0</v>
      </c>
      <c s="6" r="BG1492">
        <v>0</v>
      </c>
      <c s="6" r="BH1492">
        <v>1</v>
      </c>
      <c s="6" r="BI1492">
        <v>0</v>
      </c>
      <c s="6" r="BJ1492">
        <v>0</v>
      </c>
      <c s="6" r="BK1492">
        <v>1</v>
      </c>
      <c s="6" r="BL1492">
        <v>0</v>
      </c>
      <c s="6" r="BM1492">
        <v>0</v>
      </c>
      <c s="6" r="BN1492">
        <v>0</v>
      </c>
      <c s="6" r="BO1492">
        <v>0</v>
      </c>
      <c s="6" r="BP1492">
        <v>0</v>
      </c>
      <c s="6" r="BQ1492">
        <v>0</v>
      </c>
      <c t="s" s="6" r="BR1492">
        <v>92</v>
      </c>
      <c s="6" r="BS1492">
        <v>1515</v>
      </c>
      <c t="s" s="6" r="BT1492">
        <v>92</v>
      </c>
      <c t="s" s="6" r="BW1492">
        <v>10561</v>
      </c>
      <c s="6" r="BY1492">
        <v>1</v>
      </c>
    </row>
    <row customHeight="1" r="1493" ht="14.25">
      <c t="s" s="6" r="A1493">
        <v>10562</v>
      </c>
      <c t="s" s="6" r="B1493">
        <v>131</v>
      </c>
      <c t="s" s="6" r="E1493">
        <v>7814</v>
      </c>
      <c t="s" s="6" r="F1493">
        <v>81</v>
      </c>
      <c t="s" s="6" r="G1493">
        <v>106</v>
      </c>
      <c s="6" r="H1493">
        <v>0</v>
      </c>
      <c t="s" s="6" r="I1493">
        <v>120</v>
      </c>
      <c t="s" s="6" r="L1493">
        <v>10563</v>
      </c>
      <c t="s" s="6" r="M1493">
        <v>2718</v>
      </c>
      <c s="6" r="N1493">
        <v>0</v>
      </c>
      <c s="6" r="O1493">
        <v>0</v>
      </c>
      <c t="s" s="6" r="P1493">
        <v>1227</v>
      </c>
      <c t="s" s="6" r="Q1493">
        <v>123</v>
      </c>
      <c t="s" s="6" r="R1493">
        <v>10564</v>
      </c>
      <c t="s" s="6" r="S1493">
        <v>10565</v>
      </c>
      <c t="s" s="6" r="T1493">
        <v>10367</v>
      </c>
      <c t="s" s="6" r="U1493">
        <v>10566</v>
      </c>
      <c s="6" r="V1493">
        <v>1</v>
      </c>
      <c s="6" r="W1493">
        <v>1</v>
      </c>
      <c s="6" r="X1493">
        <v>0</v>
      </c>
      <c s="6" r="Y1493">
        <v>0</v>
      </c>
      <c s="6" r="Z1493">
        <v>0</v>
      </c>
      <c t="s" s="6" r="AA1493">
        <v>92</v>
      </c>
      <c t="s" s="6" r="AB1493">
        <v>92</v>
      </c>
      <c s="6" r="AC1493">
        <v>2</v>
      </c>
      <c t="s" s="6" r="AD1493">
        <v>92</v>
      </c>
      <c t="s" s="6" r="AE1493">
        <v>92</v>
      </c>
      <c t="s" s="6" r="AF1493">
        <v>92</v>
      </c>
      <c t="s" s="6" r="AG1493">
        <v>92</v>
      </c>
      <c t="s" s="6" r="AH1493">
        <v>92</v>
      </c>
      <c t="s" s="6" r="AI1493">
        <v>92</v>
      </c>
      <c t="s" s="6" r="AJ1493">
        <v>92</v>
      </c>
      <c t="s" s="6" r="AK1493">
        <v>92</v>
      </c>
      <c s="6" r="AL1493">
        <v>2</v>
      </c>
      <c t="s" s="6" r="AM1493">
        <v>92</v>
      </c>
      <c t="s" s="6" r="AN1493">
        <v>92</v>
      </c>
      <c s="6" r="AP1493">
        <v>2</v>
      </c>
      <c s="6" r="AS1493">
        <v>0</v>
      </c>
      <c s="6" r="AT1493">
        <v>0</v>
      </c>
      <c s="6" r="AU1493">
        <v>0</v>
      </c>
      <c s="6" r="AV1493">
        <v>0</v>
      </c>
      <c s="6" r="AW1493">
        <v>0</v>
      </c>
      <c s="6" r="AX1493">
        <v>0</v>
      </c>
      <c s="6" r="AY1493">
        <v>0</v>
      </c>
      <c s="6" r="AZ1493">
        <v>0</v>
      </c>
      <c s="6" r="BA1493">
        <v>0</v>
      </c>
      <c s="6" r="BB1493">
        <v>0</v>
      </c>
      <c s="6" r="BC1493">
        <v>0</v>
      </c>
      <c s="6" r="BD1493">
        <v>0</v>
      </c>
      <c s="6" r="BE1493">
        <v>0</v>
      </c>
      <c s="6" r="BF1493">
        <v>0</v>
      </c>
      <c s="6" r="BG1493">
        <v>0</v>
      </c>
      <c s="6" r="BH1493">
        <v>0</v>
      </c>
      <c s="6" r="BI1493">
        <v>0</v>
      </c>
      <c s="6" r="BJ1493">
        <v>0</v>
      </c>
      <c s="6" r="BK1493">
        <v>0</v>
      </c>
      <c s="6" r="BL1493">
        <v>0</v>
      </c>
      <c s="6" r="BM1493">
        <v>0</v>
      </c>
      <c s="6" r="BN1493">
        <v>0</v>
      </c>
      <c s="6" r="BO1493">
        <v>0</v>
      </c>
      <c s="6" r="BP1493">
        <v>0</v>
      </c>
      <c s="6" r="BQ1493">
        <v>0</v>
      </c>
      <c t="s" s="6" r="BR1493">
        <v>92</v>
      </c>
      <c s="6" r="BS1493">
        <v>1516</v>
      </c>
      <c t="s" s="6" r="BT1493">
        <v>92</v>
      </c>
      <c s="6" r="BY1493">
        <v>0</v>
      </c>
    </row>
    <row customHeight="1" r="1494" ht="14.25">
      <c t="s" s="6" r="A1494">
        <v>10567</v>
      </c>
      <c t="s" s="6" r="B1494">
        <v>227</v>
      </c>
      <c t="s" s="6" r="E1494">
        <v>851</v>
      </c>
      <c t="s" s="6" r="F1494">
        <v>81</v>
      </c>
      <c t="s" s="6" r="G1494">
        <v>106</v>
      </c>
      <c s="6" r="H1494">
        <v>0</v>
      </c>
      <c t="s" s="6" r="I1494">
        <v>120</v>
      </c>
      <c t="s" s="6" r="L1494">
        <v>420</v>
      </c>
      <c t="s" s="6" r="M1494">
        <v>5005</v>
      </c>
      <c s="6" r="N1494">
        <v>0</v>
      </c>
      <c s="6" r="O1494">
        <v>0</v>
      </c>
      <c t="s" s="6" r="P1494">
        <v>1227</v>
      </c>
      <c t="s" s="6" r="Q1494">
        <v>123</v>
      </c>
      <c t="s" s="6" r="R1494">
        <v>10568</v>
      </c>
      <c t="s" s="6" r="S1494">
        <v>10569</v>
      </c>
      <c t="s" s="6" r="T1494">
        <v>10367</v>
      </c>
      <c t="s" s="6" r="U1494">
        <v>10570</v>
      </c>
      <c s="6" r="V1494">
        <v>1</v>
      </c>
      <c s="6" r="W1494">
        <v>1</v>
      </c>
      <c s="6" r="X1494">
        <v>0</v>
      </c>
      <c s="6" r="Y1494">
        <v>0</v>
      </c>
      <c s="6" r="Z1494">
        <v>0</v>
      </c>
      <c t="s" s="6" r="AA1494">
        <v>92</v>
      </c>
      <c t="s" s="6" r="AB1494">
        <v>92</v>
      </c>
      <c s="6" r="AC1494">
        <v>5</v>
      </c>
      <c t="s" s="6" r="AD1494">
        <v>92</v>
      </c>
      <c t="s" s="6" r="AE1494">
        <v>92</v>
      </c>
      <c t="s" s="6" r="AF1494">
        <v>92</v>
      </c>
      <c t="s" s="6" r="AG1494">
        <v>92</v>
      </c>
      <c t="s" s="6" r="AH1494">
        <v>92</v>
      </c>
      <c t="s" s="6" r="AI1494">
        <v>92</v>
      </c>
      <c t="s" s="6" r="AJ1494">
        <v>92</v>
      </c>
      <c s="6" r="AK1494">
        <v>5</v>
      </c>
      <c s="6" r="AL1494">
        <v>5</v>
      </c>
      <c t="s" s="6" r="AM1494">
        <v>92</v>
      </c>
      <c t="s" s="6" r="AN1494">
        <v>92</v>
      </c>
      <c s="6" r="AP1494">
        <v>5</v>
      </c>
      <c s="6" r="AS1494">
        <v>0</v>
      </c>
      <c s="6" r="AT1494">
        <v>0</v>
      </c>
      <c s="6" r="AU1494">
        <v>0</v>
      </c>
      <c s="6" r="AV1494">
        <v>0</v>
      </c>
      <c s="6" r="AW1494">
        <v>0</v>
      </c>
      <c s="6" r="AX1494">
        <v>0</v>
      </c>
      <c s="6" r="AY1494">
        <v>0</v>
      </c>
      <c s="6" r="AZ1494">
        <v>0</v>
      </c>
      <c s="6" r="BA1494">
        <v>0</v>
      </c>
      <c s="6" r="BB1494">
        <v>0</v>
      </c>
      <c s="6" r="BC1494">
        <v>0</v>
      </c>
      <c s="6" r="BD1494">
        <v>0</v>
      </c>
      <c s="6" r="BE1494">
        <v>0</v>
      </c>
      <c s="6" r="BF1494">
        <v>0</v>
      </c>
      <c s="6" r="BG1494">
        <v>0</v>
      </c>
      <c s="6" r="BH1494">
        <v>0</v>
      </c>
      <c s="6" r="BI1494">
        <v>0</v>
      </c>
      <c s="6" r="BJ1494">
        <v>0</v>
      </c>
      <c s="6" r="BK1494">
        <v>0</v>
      </c>
      <c s="6" r="BL1494">
        <v>0</v>
      </c>
      <c s="6" r="BM1494">
        <v>0</v>
      </c>
      <c s="6" r="BN1494">
        <v>0</v>
      </c>
      <c s="6" r="BO1494">
        <v>0</v>
      </c>
      <c s="6" r="BP1494">
        <v>0</v>
      </c>
      <c s="6" r="BQ1494">
        <v>0</v>
      </c>
      <c t="s" s="6" r="BR1494">
        <v>92</v>
      </c>
      <c s="6" r="BS1494">
        <v>1517</v>
      </c>
      <c t="s" s="6" r="BT1494">
        <v>92</v>
      </c>
      <c s="6" r="BY1494">
        <v>0</v>
      </c>
    </row>
    <row customHeight="1" r="1495" ht="14.25">
      <c t="s" s="6" r="A1495">
        <v>10571</v>
      </c>
      <c t="s" s="6" r="B1495">
        <v>131</v>
      </c>
      <c t="s" s="6" r="C1495">
        <v>152</v>
      </c>
      <c t="s" s="6" r="E1495">
        <v>10572</v>
      </c>
      <c t="s" s="6" r="F1495">
        <v>81</v>
      </c>
      <c t="s" s="6" r="G1495">
        <v>106</v>
      </c>
      <c s="6" r="H1495">
        <v>0</v>
      </c>
      <c t="s" s="6" r="I1495">
        <v>120</v>
      </c>
      <c t="s" s="6" r="L1495">
        <v>10573</v>
      </c>
      <c t="s" s="6" r="M1495">
        <v>6703</v>
      </c>
      <c s="6" r="N1495">
        <v>1</v>
      </c>
      <c s="6" r="O1495">
        <v>0</v>
      </c>
      <c t="s" s="6" r="P1495">
        <v>421</v>
      </c>
      <c t="s" s="6" r="Q1495">
        <v>123</v>
      </c>
      <c t="s" s="6" r="R1495">
        <v>10574</v>
      </c>
      <c t="s" s="6" r="S1495">
        <v>10575</v>
      </c>
      <c t="s" s="6" r="T1495">
        <v>10367</v>
      </c>
      <c t="s" s="6" r="U1495">
        <v>10576</v>
      </c>
      <c s="6" r="V1495">
        <v>1</v>
      </c>
      <c s="6" r="W1495">
        <v>1</v>
      </c>
      <c s="6" r="X1495">
        <v>0</v>
      </c>
      <c s="6" r="Y1495">
        <v>0</v>
      </c>
      <c s="6" r="Z1495">
        <v>0</v>
      </c>
      <c s="6" r="AA1495">
        <v>3</v>
      </c>
      <c s="6" r="AB1495">
        <v>3</v>
      </c>
      <c s="6" r="AC1495">
        <v>2</v>
      </c>
      <c t="s" s="6" r="AD1495">
        <v>92</v>
      </c>
      <c t="s" s="6" r="AE1495">
        <v>92</v>
      </c>
      <c t="s" s="6" r="AF1495">
        <v>92</v>
      </c>
      <c t="s" s="6" r="AG1495">
        <v>92</v>
      </c>
      <c s="6" r="AH1495">
        <v>2</v>
      </c>
      <c t="s" s="6" r="AI1495">
        <v>92</v>
      </c>
      <c s="6" r="AJ1495">
        <v>2</v>
      </c>
      <c t="s" s="6" r="AK1495">
        <v>92</v>
      </c>
      <c s="6" r="AL1495">
        <v>2</v>
      </c>
      <c s="6" r="AM1495">
        <v>3</v>
      </c>
      <c t="s" s="6" r="AN1495">
        <v>92</v>
      </c>
      <c s="6" r="AP1495">
        <v>3</v>
      </c>
      <c s="6" r="AS1495">
        <v>0</v>
      </c>
      <c s="6" r="AT1495">
        <v>0</v>
      </c>
      <c s="6" r="AU1495">
        <v>0</v>
      </c>
      <c s="6" r="AV1495">
        <v>0</v>
      </c>
      <c s="6" r="AW1495">
        <v>0</v>
      </c>
      <c s="6" r="AX1495">
        <v>0</v>
      </c>
      <c s="6" r="AY1495">
        <v>0</v>
      </c>
      <c s="6" r="AZ1495">
        <v>0</v>
      </c>
      <c s="6" r="BA1495">
        <v>0</v>
      </c>
      <c s="6" r="BB1495">
        <v>0</v>
      </c>
      <c s="6" r="BC1495">
        <v>0</v>
      </c>
      <c s="6" r="BD1495">
        <v>0</v>
      </c>
      <c s="6" r="BE1495">
        <v>0</v>
      </c>
      <c s="6" r="BF1495">
        <v>0</v>
      </c>
      <c s="6" r="BG1495">
        <v>0</v>
      </c>
      <c s="6" r="BH1495">
        <v>0</v>
      </c>
      <c s="6" r="BI1495">
        <v>0</v>
      </c>
      <c s="6" r="BJ1495">
        <v>0</v>
      </c>
      <c s="6" r="BK1495">
        <v>0</v>
      </c>
      <c s="6" r="BL1495">
        <v>0</v>
      </c>
      <c s="6" r="BM1495">
        <v>0</v>
      </c>
      <c s="6" r="BN1495">
        <v>0</v>
      </c>
      <c s="6" r="BO1495">
        <v>0</v>
      </c>
      <c s="6" r="BP1495">
        <v>0</v>
      </c>
      <c s="6" r="BQ1495">
        <v>0</v>
      </c>
      <c t="s" s="6" r="BR1495">
        <v>92</v>
      </c>
      <c s="6" r="BS1495">
        <v>1518</v>
      </c>
      <c t="s" s="6" r="BT1495">
        <v>92</v>
      </c>
      <c s="6" r="BY1495">
        <v>0</v>
      </c>
    </row>
    <row customHeight="1" r="1496" ht="14.25">
      <c t="s" s="6" r="A1496">
        <v>10577</v>
      </c>
      <c t="s" s="6" r="B1496">
        <v>78</v>
      </c>
      <c t="s" s="6" r="C1496">
        <v>79</v>
      </c>
      <c t="s" s="6" r="E1496">
        <v>10578</v>
      </c>
      <c t="s" s="6" r="F1496">
        <v>81</v>
      </c>
      <c t="s" s="6" r="G1496">
        <v>106</v>
      </c>
      <c s="6" r="H1496">
        <v>0</v>
      </c>
      <c t="s" s="6" r="I1496">
        <v>107</v>
      </c>
      <c t="s" s="6" r="K1496">
        <v>10579</v>
      </c>
      <c t="s" s="6" r="M1496">
        <v>122</v>
      </c>
      <c s="6" r="N1496">
        <v>0</v>
      </c>
      <c s="6" r="O1496">
        <v>0</v>
      </c>
      <c t="s" s="6" r="P1496">
        <v>4701</v>
      </c>
      <c t="s" s="6" r="Q1496">
        <v>87</v>
      </c>
      <c t="s" s="6" r="R1496">
        <v>10580</v>
      </c>
      <c t="s" s="6" r="S1496">
        <v>10581</v>
      </c>
      <c t="s" s="6" r="T1496">
        <v>10367</v>
      </c>
      <c t="s" s="6" r="U1496">
        <v>10582</v>
      </c>
      <c s="6" r="V1496">
        <v>1</v>
      </c>
      <c s="6" r="W1496">
        <v>1</v>
      </c>
      <c s="6" r="X1496">
        <v>0</v>
      </c>
      <c s="6" r="Y1496">
        <v>0</v>
      </c>
      <c s="6" r="Z1496">
        <v>0</v>
      </c>
      <c s="6" r="AA1496">
        <v>1</v>
      </c>
      <c s="6" r="AB1496">
        <v>1</v>
      </c>
      <c t="s" s="6" r="AC1496">
        <v>92</v>
      </c>
      <c t="s" s="6" r="AD1496">
        <v>92</v>
      </c>
      <c t="s" s="6" r="AE1496">
        <v>92</v>
      </c>
      <c t="s" s="6" r="AF1496">
        <v>92</v>
      </c>
      <c t="s" s="6" r="AG1496">
        <v>92</v>
      </c>
      <c t="s" s="6" r="AH1496">
        <v>92</v>
      </c>
      <c t="s" s="6" r="AI1496">
        <v>92</v>
      </c>
      <c s="6" r="AJ1496">
        <v>1</v>
      </c>
      <c t="s" s="6" r="AK1496">
        <v>92</v>
      </c>
      <c t="s" s="6" r="AL1496">
        <v>92</v>
      </c>
      <c t="s" s="6" r="AM1496">
        <v>92</v>
      </c>
      <c s="6" r="AN1496">
        <v>1</v>
      </c>
      <c s="6" r="AP1496">
        <v>1</v>
      </c>
      <c s="6" r="AS1496">
        <v>0</v>
      </c>
      <c s="6" r="AT1496">
        <v>0</v>
      </c>
      <c s="6" r="AU1496">
        <v>0</v>
      </c>
      <c s="6" r="AV1496">
        <v>0</v>
      </c>
      <c s="6" r="AW1496">
        <v>0</v>
      </c>
      <c s="6" r="AX1496">
        <v>0</v>
      </c>
      <c s="6" r="AY1496">
        <v>0</v>
      </c>
      <c s="6" r="AZ1496">
        <v>0</v>
      </c>
      <c s="6" r="BA1496">
        <v>0</v>
      </c>
      <c s="6" r="BB1496">
        <v>0</v>
      </c>
      <c s="6" r="BC1496">
        <v>0</v>
      </c>
      <c s="6" r="BD1496">
        <v>0</v>
      </c>
      <c s="6" r="BE1496">
        <v>0</v>
      </c>
      <c s="6" r="BF1496">
        <v>0</v>
      </c>
      <c s="6" r="BG1496">
        <v>0</v>
      </c>
      <c s="6" r="BH1496">
        <v>0</v>
      </c>
      <c s="6" r="BI1496">
        <v>0</v>
      </c>
      <c s="6" r="BJ1496">
        <v>0</v>
      </c>
      <c s="6" r="BK1496">
        <v>0</v>
      </c>
      <c s="6" r="BL1496">
        <v>0</v>
      </c>
      <c s="6" r="BM1496">
        <v>0</v>
      </c>
      <c s="6" r="BN1496">
        <v>0</v>
      </c>
      <c s="6" r="BO1496">
        <v>0</v>
      </c>
      <c s="6" r="BP1496">
        <v>0</v>
      </c>
      <c s="6" r="BQ1496">
        <v>0</v>
      </c>
      <c t="s" s="6" r="BR1496">
        <v>92</v>
      </c>
      <c s="6" r="BS1496">
        <v>1519</v>
      </c>
      <c t="s" s="6" r="BT1496">
        <v>92</v>
      </c>
      <c s="6" r="BY1496">
        <v>0</v>
      </c>
    </row>
    <row customHeight="1" r="1497" ht="14.25">
      <c t="s" s="6" r="A1497">
        <v>10583</v>
      </c>
      <c t="s" s="6" r="B1497">
        <v>78</v>
      </c>
      <c t="s" s="6" r="C1497">
        <v>79</v>
      </c>
      <c t="s" s="6" r="E1497">
        <v>1609</v>
      </c>
      <c t="s" s="6" r="F1497">
        <v>81</v>
      </c>
      <c t="s" s="6" r="G1497">
        <v>106</v>
      </c>
      <c s="6" r="H1497">
        <v>0</v>
      </c>
      <c t="s" s="6" r="I1497">
        <v>97</v>
      </c>
      <c t="s" s="6" r="K1497">
        <v>821</v>
      </c>
      <c t="s" s="6" r="M1497">
        <v>2718</v>
      </c>
      <c s="6" r="N1497">
        <v>0</v>
      </c>
      <c s="6" r="O1497">
        <v>0</v>
      </c>
      <c t="s" s="6" r="P1497">
        <v>1635</v>
      </c>
      <c t="s" s="6" r="Q1497">
        <v>87</v>
      </c>
      <c t="s" s="6" r="R1497">
        <v>10584</v>
      </c>
      <c t="s" s="6" r="S1497">
        <v>10585</v>
      </c>
      <c t="s" s="6" r="T1497">
        <v>10367</v>
      </c>
      <c t="s" s="6" r="U1497">
        <v>10586</v>
      </c>
      <c s="6" r="V1497">
        <v>1</v>
      </c>
      <c s="6" r="W1497">
        <v>1</v>
      </c>
      <c s="6" r="X1497">
        <v>0</v>
      </c>
      <c s="6" r="Y1497">
        <v>0</v>
      </c>
      <c s="6" r="Z1497">
        <v>0</v>
      </c>
      <c s="6" r="AA1497">
        <v>4</v>
      </c>
      <c s="6" r="AB1497">
        <v>4</v>
      </c>
      <c t="s" s="6" r="AC1497">
        <v>92</v>
      </c>
      <c t="s" s="6" r="AD1497">
        <v>92</v>
      </c>
      <c t="s" s="6" r="AE1497">
        <v>92</v>
      </c>
      <c t="s" s="6" r="AF1497">
        <v>92</v>
      </c>
      <c t="s" s="6" r="AG1497">
        <v>92</v>
      </c>
      <c t="s" s="6" r="AH1497">
        <v>92</v>
      </c>
      <c t="s" s="6" r="AI1497">
        <v>92</v>
      </c>
      <c s="6" r="AJ1497">
        <v>4</v>
      </c>
      <c t="s" s="6" r="AK1497">
        <v>92</v>
      </c>
      <c t="s" s="6" r="AL1497">
        <v>92</v>
      </c>
      <c t="s" s="6" r="AM1497">
        <v>92</v>
      </c>
      <c t="s" s="6" r="AN1497">
        <v>92</v>
      </c>
      <c s="6" r="AP1497">
        <v>4</v>
      </c>
      <c s="6" r="AS1497">
        <v>0</v>
      </c>
      <c s="6" r="AT1497">
        <v>0</v>
      </c>
      <c s="6" r="AU1497">
        <v>0</v>
      </c>
      <c s="6" r="AV1497">
        <v>0</v>
      </c>
      <c s="6" r="AW1497">
        <v>0</v>
      </c>
      <c s="6" r="AX1497">
        <v>0</v>
      </c>
      <c s="6" r="AY1497">
        <v>0</v>
      </c>
      <c s="6" r="AZ1497">
        <v>0</v>
      </c>
      <c s="6" r="BA1497">
        <v>0</v>
      </c>
      <c s="6" r="BB1497">
        <v>0</v>
      </c>
      <c s="6" r="BC1497">
        <v>0</v>
      </c>
      <c s="6" r="BD1497">
        <v>0</v>
      </c>
      <c s="6" r="BE1497">
        <v>0</v>
      </c>
      <c s="6" r="BF1497">
        <v>0</v>
      </c>
      <c s="6" r="BG1497">
        <v>0</v>
      </c>
      <c s="6" r="BH1497">
        <v>0</v>
      </c>
      <c s="6" r="BI1497">
        <v>0</v>
      </c>
      <c s="6" r="BJ1497">
        <v>0</v>
      </c>
      <c s="6" r="BK1497">
        <v>0</v>
      </c>
      <c s="6" r="BL1497">
        <v>0</v>
      </c>
      <c s="6" r="BM1497">
        <v>0</v>
      </c>
      <c s="6" r="BN1497">
        <v>0</v>
      </c>
      <c s="6" r="BO1497">
        <v>0</v>
      </c>
      <c s="6" r="BP1497">
        <v>0</v>
      </c>
      <c s="6" r="BQ1497">
        <v>0</v>
      </c>
      <c t="s" s="6" r="BR1497">
        <v>92</v>
      </c>
      <c s="6" r="BS1497">
        <v>1520</v>
      </c>
      <c t="s" s="6" r="BT1497">
        <v>92</v>
      </c>
      <c s="6" r="BY1497">
        <v>0</v>
      </c>
    </row>
    <row customHeight="1" r="1498" ht="14.25">
      <c t="s" s="6" r="A1498">
        <v>10587</v>
      </c>
      <c t="s" s="6" r="B1498">
        <v>78</v>
      </c>
      <c t="s" s="6" r="C1498">
        <v>79</v>
      </c>
      <c t="s" s="6" r="D1498">
        <v>66</v>
      </c>
      <c t="s" s="6" r="E1498">
        <v>4166</v>
      </c>
      <c t="s" s="6" r="F1498">
        <v>81</v>
      </c>
      <c t="s" s="6" r="G1498">
        <v>106</v>
      </c>
      <c s="6" r="H1498">
        <v>0</v>
      </c>
      <c t="s" s="6" r="I1498">
        <v>97</v>
      </c>
      <c t="s" s="6" r="K1498">
        <v>10588</v>
      </c>
      <c t="s" s="6" r="M1498">
        <v>109</v>
      </c>
      <c s="6" r="N1498">
        <v>0</v>
      </c>
      <c s="6" r="O1498">
        <v>0</v>
      </c>
      <c t="s" s="6" r="P1498">
        <v>4701</v>
      </c>
      <c t="s" s="6" r="Q1498">
        <v>188</v>
      </c>
      <c t="s" s="6" r="R1498">
        <v>10589</v>
      </c>
      <c t="s" s="6" r="S1498">
        <v>10590</v>
      </c>
      <c t="s" s="6" r="T1498">
        <v>10367</v>
      </c>
      <c t="s" s="6" r="U1498">
        <v>10591</v>
      </c>
      <c s="6" r="V1498">
        <v>1</v>
      </c>
      <c s="6" r="W1498">
        <v>1</v>
      </c>
      <c s="6" r="X1498">
        <v>0</v>
      </c>
      <c s="6" r="Y1498">
        <v>0</v>
      </c>
      <c s="6" r="Z1498">
        <v>0</v>
      </c>
      <c s="6" r="AA1498">
        <v>3</v>
      </c>
      <c s="6" r="AB1498">
        <v>3</v>
      </c>
      <c t="s" s="6" r="AC1498">
        <v>92</v>
      </c>
      <c t="s" s="6" r="AD1498">
        <v>92</v>
      </c>
      <c t="s" s="6" r="AE1498">
        <v>92</v>
      </c>
      <c t="s" s="6" r="AF1498">
        <v>92</v>
      </c>
      <c t="s" s="6" r="AG1498">
        <v>92</v>
      </c>
      <c t="s" s="6" r="AH1498">
        <v>92</v>
      </c>
      <c t="s" s="6" r="AI1498">
        <v>92</v>
      </c>
      <c s="6" r="AJ1498">
        <v>3</v>
      </c>
      <c t="s" s="6" r="AK1498">
        <v>92</v>
      </c>
      <c t="s" s="6" r="AL1498">
        <v>92</v>
      </c>
      <c t="s" s="6" r="AM1498">
        <v>92</v>
      </c>
      <c s="6" r="AN1498">
        <v>3</v>
      </c>
      <c s="6" r="AP1498">
        <v>3</v>
      </c>
      <c s="6" r="AS1498">
        <v>0</v>
      </c>
      <c s="6" r="AT1498">
        <v>0</v>
      </c>
      <c s="6" r="AU1498">
        <v>0</v>
      </c>
      <c s="6" r="AV1498">
        <v>0</v>
      </c>
      <c s="6" r="AW1498">
        <v>0</v>
      </c>
      <c s="6" r="AX1498">
        <v>0</v>
      </c>
      <c s="6" r="AY1498">
        <v>0</v>
      </c>
      <c s="6" r="AZ1498">
        <v>0</v>
      </c>
      <c s="6" r="BA1498">
        <v>0</v>
      </c>
      <c s="6" r="BB1498">
        <v>0</v>
      </c>
      <c s="6" r="BC1498">
        <v>0</v>
      </c>
      <c s="6" r="BD1498">
        <v>0</v>
      </c>
      <c s="6" r="BE1498">
        <v>0</v>
      </c>
      <c s="6" r="BF1498">
        <v>0</v>
      </c>
      <c s="6" r="BG1498">
        <v>0</v>
      </c>
      <c s="6" r="BH1498">
        <v>0</v>
      </c>
      <c s="6" r="BI1498">
        <v>0</v>
      </c>
      <c s="6" r="BJ1498">
        <v>0</v>
      </c>
      <c s="6" r="BK1498">
        <v>0</v>
      </c>
      <c s="6" r="BL1498">
        <v>0</v>
      </c>
      <c s="6" r="BM1498">
        <v>0</v>
      </c>
      <c s="6" r="BN1498">
        <v>0</v>
      </c>
      <c s="6" r="BO1498">
        <v>1</v>
      </c>
      <c s="6" r="BP1498">
        <v>0</v>
      </c>
      <c s="6" r="BQ1498">
        <v>0</v>
      </c>
      <c t="s" s="6" r="BR1498">
        <v>92</v>
      </c>
      <c s="6" r="BS1498">
        <v>1521</v>
      </c>
      <c t="s" s="6" r="BT1498">
        <v>92</v>
      </c>
      <c s="6" r="BY1498">
        <v>0</v>
      </c>
    </row>
    <row customHeight="1" r="1499" ht="14.25">
      <c t="s" s="6" r="A1499">
        <v>10592</v>
      </c>
      <c t="s" s="6" r="B1499">
        <v>131</v>
      </c>
      <c t="s" s="6" r="E1499">
        <v>2102</v>
      </c>
      <c t="s" s="6" r="F1499">
        <v>81</v>
      </c>
      <c t="s" s="6" r="G1499">
        <v>10593</v>
      </c>
      <c s="6" r="H1499">
        <v>0</v>
      </c>
      <c t="s" s="6" r="I1499">
        <v>120</v>
      </c>
      <c t="s" s="6" r="L1499">
        <v>10594</v>
      </c>
      <c t="s" s="6" r="M1499">
        <v>6041</v>
      </c>
      <c s="6" r="N1499">
        <v>1</v>
      </c>
      <c s="6" r="O1499">
        <v>0</v>
      </c>
      <c t="s" s="6" r="P1499">
        <v>86</v>
      </c>
      <c t="s" s="6" r="Q1499">
        <v>87</v>
      </c>
      <c t="s" s="6" r="R1499">
        <v>10595</v>
      </c>
      <c t="s" s="6" r="S1499">
        <v>10596</v>
      </c>
      <c t="s" s="6" r="T1499">
        <v>10367</v>
      </c>
      <c t="s" s="6" r="U1499">
        <v>10597</v>
      </c>
      <c s="6" r="V1499">
        <v>1</v>
      </c>
      <c s="6" r="W1499">
        <v>1</v>
      </c>
      <c s="6" r="X1499">
        <v>1</v>
      </c>
      <c s="6" r="Y1499">
        <v>0</v>
      </c>
      <c s="6" r="Z1499">
        <v>0</v>
      </c>
      <c s="6" r="AA1499">
        <v>4</v>
      </c>
      <c s="6" r="AB1499">
        <v>4</v>
      </c>
      <c t="s" s="6" r="AC1499">
        <v>92</v>
      </c>
      <c t="s" s="6" r="AD1499">
        <v>92</v>
      </c>
      <c t="s" s="6" r="AE1499">
        <v>92</v>
      </c>
      <c t="s" s="6" r="AF1499">
        <v>92</v>
      </c>
      <c t="s" s="6" r="AG1499">
        <v>92</v>
      </c>
      <c t="s" s="6" r="AH1499">
        <v>92</v>
      </c>
      <c t="s" s="6" r="AI1499">
        <v>92</v>
      </c>
      <c t="s" s="6" r="AJ1499">
        <v>92</v>
      </c>
      <c t="s" s="6" r="AK1499">
        <v>92</v>
      </c>
      <c t="s" s="6" r="AL1499">
        <v>92</v>
      </c>
      <c t="s" s="6" r="AM1499">
        <v>92</v>
      </c>
      <c t="s" s="6" r="AN1499">
        <v>92</v>
      </c>
      <c s="6" r="AP1499">
        <v>4</v>
      </c>
      <c s="6" r="AS1499">
        <v>0</v>
      </c>
      <c s="6" r="AT1499">
        <v>0</v>
      </c>
      <c s="6" r="AU1499">
        <v>0</v>
      </c>
      <c s="6" r="AV1499">
        <v>0</v>
      </c>
      <c s="6" r="AW1499">
        <v>0</v>
      </c>
      <c s="6" r="AX1499">
        <v>0</v>
      </c>
      <c s="6" r="AY1499">
        <v>0</v>
      </c>
      <c s="6" r="AZ1499">
        <v>0</v>
      </c>
      <c s="6" r="BA1499">
        <v>0</v>
      </c>
      <c s="6" r="BB1499">
        <v>0</v>
      </c>
      <c s="6" r="BC1499">
        <v>0</v>
      </c>
      <c s="6" r="BD1499">
        <v>0</v>
      </c>
      <c s="6" r="BE1499">
        <v>0</v>
      </c>
      <c s="6" r="BF1499">
        <v>0</v>
      </c>
      <c s="6" r="BG1499">
        <v>0</v>
      </c>
      <c s="6" r="BH1499">
        <v>0</v>
      </c>
      <c s="6" r="BI1499">
        <v>0</v>
      </c>
      <c s="6" r="BJ1499">
        <v>0</v>
      </c>
      <c s="6" r="BK1499">
        <v>0</v>
      </c>
      <c s="6" r="BL1499">
        <v>0</v>
      </c>
      <c s="6" r="BM1499">
        <v>0</v>
      </c>
      <c s="6" r="BN1499">
        <v>0</v>
      </c>
      <c s="6" r="BO1499">
        <v>0</v>
      </c>
      <c s="6" r="BP1499">
        <v>0</v>
      </c>
      <c s="6" r="BQ1499">
        <v>0</v>
      </c>
      <c t="s" s="6" r="BR1499">
        <v>92</v>
      </c>
      <c s="6" r="BS1499">
        <v>1522</v>
      </c>
      <c t="s" s="6" r="BT1499">
        <v>92</v>
      </c>
      <c s="6" r="BY1499">
        <v>0</v>
      </c>
    </row>
    <row customHeight="1" r="1500" ht="14.25">
      <c t="s" s="6" r="A1500">
        <v>10598</v>
      </c>
      <c t="s" s="6" r="B1500">
        <v>131</v>
      </c>
      <c t="s" s="6" r="D1500">
        <v>57</v>
      </c>
      <c t="s" s="6" r="E1500">
        <v>7962</v>
      </c>
      <c t="s" s="6" r="F1500">
        <v>81</v>
      </c>
      <c t="s" s="6" r="G1500">
        <v>106</v>
      </c>
      <c s="6" r="H1500">
        <v>0</v>
      </c>
      <c t="s" s="6" r="I1500">
        <v>155</v>
      </c>
      <c t="s" s="6" r="K1500">
        <v>10599</v>
      </c>
      <c t="s" s="6" r="M1500">
        <v>99</v>
      </c>
      <c s="6" r="N1500">
        <v>0</v>
      </c>
      <c s="6" r="O1500">
        <v>0</v>
      </c>
      <c t="s" s="6" r="P1500">
        <v>86</v>
      </c>
      <c t="s" s="6" r="Q1500">
        <v>188</v>
      </c>
      <c t="s" s="6" r="R1500">
        <v>10600</v>
      </c>
      <c t="s" s="6" r="S1500">
        <v>10601</v>
      </c>
      <c t="s" s="6" r="T1500">
        <v>10367</v>
      </c>
      <c t="s" s="6" r="U1500">
        <v>10602</v>
      </c>
      <c s="6" r="V1500">
        <v>1</v>
      </c>
      <c s="6" r="W1500">
        <v>1</v>
      </c>
      <c s="6" r="X1500">
        <v>0</v>
      </c>
      <c s="6" r="Y1500">
        <v>0</v>
      </c>
      <c s="6" r="Z1500">
        <v>0</v>
      </c>
      <c s="6" r="AA1500">
        <v>3</v>
      </c>
      <c s="6" r="AB1500">
        <v>3</v>
      </c>
      <c t="s" s="6" r="AC1500">
        <v>92</v>
      </c>
      <c t="s" s="6" r="AD1500">
        <v>92</v>
      </c>
      <c t="s" s="6" r="AE1500">
        <v>92</v>
      </c>
      <c t="s" s="6" r="AF1500">
        <v>92</v>
      </c>
      <c t="s" s="6" r="AG1500">
        <v>92</v>
      </c>
      <c s="6" r="AH1500">
        <v>3</v>
      </c>
      <c t="s" s="6" r="AI1500">
        <v>92</v>
      </c>
      <c t="s" s="6" r="AJ1500">
        <v>92</v>
      </c>
      <c t="s" s="6" r="AK1500">
        <v>92</v>
      </c>
      <c t="s" s="6" r="AL1500">
        <v>92</v>
      </c>
      <c t="s" s="6" r="AM1500">
        <v>92</v>
      </c>
      <c s="6" r="AN1500">
        <v>3</v>
      </c>
      <c s="6" r="AP1500">
        <v>3</v>
      </c>
      <c s="6" r="AS1500">
        <v>0</v>
      </c>
      <c s="6" r="AT1500">
        <v>0</v>
      </c>
      <c s="6" r="AU1500">
        <v>0</v>
      </c>
      <c s="6" r="AV1500">
        <v>0</v>
      </c>
      <c s="6" r="AW1500">
        <v>0</v>
      </c>
      <c s="6" r="AX1500">
        <v>0</v>
      </c>
      <c s="6" r="AY1500">
        <v>0</v>
      </c>
      <c s="6" r="AZ1500">
        <v>0</v>
      </c>
      <c s="6" r="BA1500">
        <v>0</v>
      </c>
      <c s="6" r="BB1500">
        <v>0</v>
      </c>
      <c s="6" r="BC1500">
        <v>0</v>
      </c>
      <c s="6" r="BD1500">
        <v>0</v>
      </c>
      <c s="6" r="BE1500">
        <v>0</v>
      </c>
      <c s="6" r="BF1500">
        <v>1</v>
      </c>
      <c s="6" r="BG1500">
        <v>0</v>
      </c>
      <c s="6" r="BH1500">
        <v>0</v>
      </c>
      <c s="6" r="BI1500">
        <v>0</v>
      </c>
      <c s="6" r="BJ1500">
        <v>0</v>
      </c>
      <c s="6" r="BK1500">
        <v>0</v>
      </c>
      <c s="6" r="BL1500">
        <v>0</v>
      </c>
      <c s="6" r="BM1500">
        <v>0</v>
      </c>
      <c s="6" r="BN1500">
        <v>0</v>
      </c>
      <c s="6" r="BO1500">
        <v>0</v>
      </c>
      <c s="6" r="BP1500">
        <v>0</v>
      </c>
      <c s="6" r="BQ1500">
        <v>0</v>
      </c>
      <c t="s" s="6" r="BR1500">
        <v>92</v>
      </c>
      <c s="6" r="BS1500">
        <v>1523</v>
      </c>
      <c t="s" s="6" r="BT1500">
        <v>92</v>
      </c>
      <c s="6" r="BY1500">
        <v>0</v>
      </c>
    </row>
    <row customHeight="1" r="1501" ht="14.25">
      <c t="s" s="6" r="A1501">
        <v>10603</v>
      </c>
      <c t="s" s="6" r="B1501">
        <v>78</v>
      </c>
      <c t="s" s="6" r="D1501">
        <v>52</v>
      </c>
      <c t="s" s="6" r="E1501">
        <v>10604</v>
      </c>
      <c t="s" s="6" r="F1501">
        <v>81</v>
      </c>
      <c t="s" s="6" r="G1501">
        <v>106</v>
      </c>
      <c s="6" r="H1501">
        <v>0</v>
      </c>
      <c t="s" s="6" r="I1501">
        <v>107</v>
      </c>
      <c t="s" s="6" r="K1501">
        <v>10605</v>
      </c>
      <c t="s" s="6" r="M1501">
        <v>109</v>
      </c>
      <c s="6" r="N1501">
        <v>0</v>
      </c>
      <c s="6" r="O1501">
        <v>0</v>
      </c>
      <c t="s" s="6" r="P1501">
        <v>4701</v>
      </c>
      <c t="s" s="6" r="Q1501">
        <v>87</v>
      </c>
      <c t="s" s="6" r="R1501">
        <v>10606</v>
      </c>
      <c t="s" s="6" r="S1501">
        <v>10607</v>
      </c>
      <c t="s" s="6" r="T1501">
        <v>10367</v>
      </c>
      <c t="s" s="6" r="U1501">
        <v>10608</v>
      </c>
      <c s="6" r="V1501">
        <v>1</v>
      </c>
      <c s="6" r="W1501">
        <v>1</v>
      </c>
      <c s="6" r="X1501">
        <v>0</v>
      </c>
      <c s="6" r="Y1501">
        <v>0</v>
      </c>
      <c s="6" r="Z1501">
        <v>0</v>
      </c>
      <c s="6" r="AA1501">
        <v>1</v>
      </c>
      <c s="6" r="AB1501">
        <v>1</v>
      </c>
      <c t="s" s="6" r="AC1501">
        <v>92</v>
      </c>
      <c s="6" r="AD1501">
        <v>1</v>
      </c>
      <c t="s" s="6" r="AE1501">
        <v>92</v>
      </c>
      <c t="s" s="6" r="AF1501">
        <v>92</v>
      </c>
      <c t="s" s="6" r="AG1501">
        <v>92</v>
      </c>
      <c t="s" s="6" r="AH1501">
        <v>92</v>
      </c>
      <c t="s" s="6" r="AI1501">
        <v>92</v>
      </c>
      <c s="6" r="AJ1501">
        <v>1</v>
      </c>
      <c t="s" s="6" r="AK1501">
        <v>92</v>
      </c>
      <c t="s" s="6" r="AL1501">
        <v>92</v>
      </c>
      <c t="s" s="6" r="AM1501">
        <v>92</v>
      </c>
      <c s="6" r="AN1501">
        <v>1</v>
      </c>
      <c s="6" r="AP1501">
        <v>1</v>
      </c>
      <c s="6" r="AS1501">
        <v>0</v>
      </c>
      <c s="6" r="AT1501">
        <v>0</v>
      </c>
      <c s="6" r="AU1501">
        <v>0</v>
      </c>
      <c s="6" r="AV1501">
        <v>0</v>
      </c>
      <c s="6" r="AW1501">
        <v>0</v>
      </c>
      <c s="6" r="AX1501">
        <v>0</v>
      </c>
      <c s="6" r="AY1501">
        <v>0</v>
      </c>
      <c s="6" r="AZ1501">
        <v>0</v>
      </c>
      <c s="6" r="BA1501">
        <v>1</v>
      </c>
      <c s="6" r="BB1501">
        <v>0</v>
      </c>
      <c s="6" r="BC1501">
        <v>0</v>
      </c>
      <c s="6" r="BD1501">
        <v>0</v>
      </c>
      <c s="6" r="BE1501">
        <v>0</v>
      </c>
      <c s="6" r="BF1501">
        <v>0</v>
      </c>
      <c s="6" r="BG1501">
        <v>0</v>
      </c>
      <c s="6" r="BH1501">
        <v>0</v>
      </c>
      <c s="6" r="BI1501">
        <v>0</v>
      </c>
      <c s="6" r="BJ1501">
        <v>0</v>
      </c>
      <c s="6" r="BK1501">
        <v>0</v>
      </c>
      <c s="6" r="BL1501">
        <v>0</v>
      </c>
      <c s="6" r="BM1501">
        <v>0</v>
      </c>
      <c s="6" r="BN1501">
        <v>0</v>
      </c>
      <c s="6" r="BO1501">
        <v>0</v>
      </c>
      <c s="6" r="BP1501">
        <v>0</v>
      </c>
      <c s="6" r="BQ1501">
        <v>0</v>
      </c>
      <c t="s" s="6" r="BR1501">
        <v>92</v>
      </c>
      <c s="6" r="BS1501">
        <v>1524</v>
      </c>
      <c t="s" s="6" r="BT1501">
        <v>92</v>
      </c>
      <c s="6" r="BY1501">
        <v>0</v>
      </c>
    </row>
    <row customHeight="1" r="1502" ht="14.25">
      <c t="s" s="6" r="A1502">
        <v>10609</v>
      </c>
      <c t="s" s="6" r="B1502">
        <v>78</v>
      </c>
      <c t="s" s="6" r="C1502">
        <v>10610</v>
      </c>
      <c t="s" s="6" r="E1502">
        <v>10611</v>
      </c>
      <c t="s" s="6" r="F1502">
        <v>81</v>
      </c>
      <c t="s" s="6" r="G1502">
        <v>106</v>
      </c>
      <c s="6" r="H1502">
        <v>0</v>
      </c>
      <c t="s" s="6" r="I1502">
        <v>155</v>
      </c>
      <c t="s" s="6" r="K1502">
        <v>10612</v>
      </c>
      <c t="s" s="6" r="M1502">
        <v>99</v>
      </c>
      <c s="6" r="N1502">
        <v>0</v>
      </c>
      <c s="6" r="O1502">
        <v>0</v>
      </c>
      <c t="s" s="6" r="R1502">
        <v>10613</v>
      </c>
      <c t="s" s="6" r="S1502">
        <v>10614</v>
      </c>
      <c t="s" s="6" r="T1502">
        <v>10367</v>
      </c>
      <c t="s" s="6" r="U1502">
        <v>10615</v>
      </c>
      <c s="6" r="V1502">
        <v>1</v>
      </c>
      <c s="6" r="W1502">
        <v>1</v>
      </c>
      <c s="6" r="X1502">
        <v>0</v>
      </c>
      <c s="6" r="Y1502">
        <v>0</v>
      </c>
      <c s="6" r="Z1502">
        <v>0</v>
      </c>
      <c s="6" r="AA1502">
        <v>4</v>
      </c>
      <c s="6" r="AB1502">
        <v>4</v>
      </c>
      <c t="s" s="6" r="AC1502">
        <v>92</v>
      </c>
      <c t="s" s="6" r="AD1502">
        <v>92</v>
      </c>
      <c t="s" s="6" r="AE1502">
        <v>92</v>
      </c>
      <c t="s" s="6" r="AF1502">
        <v>92</v>
      </c>
      <c t="s" s="6" r="AG1502">
        <v>92</v>
      </c>
      <c s="6" r="AH1502">
        <v>3</v>
      </c>
      <c s="6" r="AI1502">
        <v>3</v>
      </c>
      <c t="s" s="6" r="AJ1502">
        <v>92</v>
      </c>
      <c t="s" s="6" r="AK1502">
        <v>92</v>
      </c>
      <c t="s" s="6" r="AL1502">
        <v>92</v>
      </c>
      <c t="s" s="6" r="AM1502">
        <v>92</v>
      </c>
      <c s="6" r="AN1502">
        <v>3</v>
      </c>
      <c s="6" r="AP1502">
        <v>4</v>
      </c>
      <c s="6" r="AS1502">
        <v>0</v>
      </c>
      <c s="6" r="AT1502">
        <v>0</v>
      </c>
      <c s="6" r="AU1502">
        <v>0</v>
      </c>
      <c s="6" r="AV1502">
        <v>0</v>
      </c>
      <c s="6" r="AW1502">
        <v>0</v>
      </c>
      <c s="6" r="AX1502">
        <v>0</v>
      </c>
      <c s="6" r="AY1502">
        <v>0</v>
      </c>
      <c s="6" r="AZ1502">
        <v>0</v>
      </c>
      <c s="6" r="BA1502">
        <v>0</v>
      </c>
      <c s="6" r="BB1502">
        <v>0</v>
      </c>
      <c s="6" r="BC1502">
        <v>0</v>
      </c>
      <c s="6" r="BD1502">
        <v>0</v>
      </c>
      <c s="6" r="BE1502">
        <v>0</v>
      </c>
      <c s="6" r="BF1502">
        <v>0</v>
      </c>
      <c s="6" r="BG1502">
        <v>0</v>
      </c>
      <c s="6" r="BH1502">
        <v>0</v>
      </c>
      <c s="6" r="BI1502">
        <v>0</v>
      </c>
      <c s="6" r="BJ1502">
        <v>0</v>
      </c>
      <c s="6" r="BK1502">
        <v>0</v>
      </c>
      <c s="6" r="BL1502">
        <v>0</v>
      </c>
      <c s="6" r="BM1502">
        <v>0</v>
      </c>
      <c s="6" r="BN1502">
        <v>0</v>
      </c>
      <c s="6" r="BO1502">
        <v>0</v>
      </c>
      <c s="6" r="BP1502">
        <v>0</v>
      </c>
      <c s="6" r="BQ1502">
        <v>0</v>
      </c>
      <c t="s" s="6" r="BR1502">
        <v>92</v>
      </c>
      <c s="6" r="BS1502">
        <v>1525</v>
      </c>
      <c t="s" s="6" r="BT1502">
        <v>92</v>
      </c>
      <c t="s" s="6" r="BW1502">
        <v>10616</v>
      </c>
      <c t="s" s="6" r="BX1502">
        <v>10617</v>
      </c>
      <c s="6" r="BY1502">
        <v>1</v>
      </c>
    </row>
    <row customHeight="1" r="1503" ht="14.25">
      <c t="s" s="6" r="A1503">
        <v>10618</v>
      </c>
      <c t="s" s="6" r="B1503">
        <v>579</v>
      </c>
      <c t="s" s="6" r="C1503">
        <v>1523</v>
      </c>
      <c t="s" s="6" r="D1503">
        <v>7379</v>
      </c>
      <c t="s" s="6" r="E1503">
        <v>10619</v>
      </c>
      <c t="s" s="6" r="F1503">
        <v>81</v>
      </c>
      <c t="s" s="6" r="G1503">
        <v>106</v>
      </c>
      <c s="6" r="H1503">
        <v>0</v>
      </c>
      <c t="s" s="6" r="I1503">
        <v>7387</v>
      </c>
      <c t="s" s="6" r="L1503">
        <v>473</v>
      </c>
      <c t="s" s="6" r="M1503">
        <v>99</v>
      </c>
      <c s="6" r="N1503">
        <v>0</v>
      </c>
      <c s="6" r="O1503">
        <v>0</v>
      </c>
      <c t="s" s="6" r="P1503">
        <v>221</v>
      </c>
      <c t="s" s="6" r="Q1503">
        <v>10620</v>
      </c>
      <c t="s" s="6" r="R1503">
        <v>10621</v>
      </c>
      <c t="s" s="6" r="S1503">
        <v>10622</v>
      </c>
      <c t="s" s="6" r="T1503">
        <v>10367</v>
      </c>
      <c t="s" s="6" r="U1503">
        <v>10623</v>
      </c>
      <c s="6" r="V1503">
        <v>1</v>
      </c>
      <c s="6" r="W1503">
        <v>1</v>
      </c>
      <c s="6" r="X1503">
        <v>0</v>
      </c>
      <c s="6" r="Y1503">
        <v>0</v>
      </c>
      <c s="6" r="Z1503">
        <v>0</v>
      </c>
      <c t="s" s="6" r="AA1503">
        <v>92</v>
      </c>
      <c t="s" s="6" r="AB1503">
        <v>92</v>
      </c>
      <c s="6" r="AC1503">
        <v>3</v>
      </c>
      <c t="s" s="6" r="AD1503">
        <v>92</v>
      </c>
      <c t="s" s="6" r="AE1503">
        <v>92</v>
      </c>
      <c t="s" s="6" r="AF1503">
        <v>92</v>
      </c>
      <c t="s" s="6" r="AG1503">
        <v>92</v>
      </c>
      <c t="s" s="6" r="AH1503">
        <v>92</v>
      </c>
      <c t="s" s="6" r="AI1503">
        <v>92</v>
      </c>
      <c s="6" r="AJ1503">
        <v>3</v>
      </c>
      <c s="6" r="AK1503">
        <v>3</v>
      </c>
      <c s="6" r="AL1503">
        <v>3</v>
      </c>
      <c s="6" r="AM1503">
        <v>2</v>
      </c>
      <c t="s" s="6" r="AN1503">
        <v>92</v>
      </c>
      <c s="6" r="AP1503">
        <v>3</v>
      </c>
      <c s="6" r="AS1503">
        <v>0</v>
      </c>
      <c s="6" r="AT1503">
        <v>0</v>
      </c>
      <c s="6" r="AU1503">
        <v>0</v>
      </c>
      <c s="6" r="AV1503">
        <v>0</v>
      </c>
      <c s="6" r="AW1503">
        <v>0</v>
      </c>
      <c s="6" r="AX1503">
        <v>0</v>
      </c>
      <c s="6" r="AY1503">
        <v>0</v>
      </c>
      <c s="6" r="AZ1503">
        <v>0</v>
      </c>
      <c s="6" r="BA1503">
        <v>0</v>
      </c>
      <c s="6" r="BB1503">
        <v>0</v>
      </c>
      <c s="6" r="BC1503">
        <v>1</v>
      </c>
      <c s="6" r="BD1503">
        <v>0</v>
      </c>
      <c s="6" r="BE1503">
        <v>0</v>
      </c>
      <c s="6" r="BF1503">
        <v>0</v>
      </c>
      <c s="6" r="BG1503">
        <v>0</v>
      </c>
      <c s="6" r="BH1503">
        <v>0</v>
      </c>
      <c s="6" r="BI1503">
        <v>0</v>
      </c>
      <c s="6" r="BJ1503">
        <v>0</v>
      </c>
      <c s="6" r="BK1503">
        <v>0</v>
      </c>
      <c s="6" r="BL1503">
        <v>1</v>
      </c>
      <c s="6" r="BM1503">
        <v>0</v>
      </c>
      <c s="6" r="BN1503">
        <v>0</v>
      </c>
      <c s="6" r="BO1503">
        <v>0</v>
      </c>
      <c s="6" r="BP1503">
        <v>0</v>
      </c>
      <c s="6" r="BQ1503">
        <v>0</v>
      </c>
      <c t="s" s="6" r="BR1503">
        <v>92</v>
      </c>
      <c s="6" r="BS1503">
        <v>1526</v>
      </c>
      <c t="s" s="6" r="BT1503">
        <v>92</v>
      </c>
      <c s="6" r="BY1503">
        <v>0</v>
      </c>
    </row>
    <row customHeight="1" r="1504" ht="14.25">
      <c t="s" s="6" r="A1504">
        <v>10624</v>
      </c>
      <c t="s" s="6" r="B1504">
        <v>493</v>
      </c>
      <c t="s" s="6" r="D1504">
        <v>57</v>
      </c>
      <c t="s" s="6" r="E1504">
        <v>10625</v>
      </c>
      <c t="s" s="6" r="F1504">
        <v>81</v>
      </c>
      <c t="s" s="6" r="G1504">
        <v>10626</v>
      </c>
      <c s="6" r="H1504">
        <v>0</v>
      </c>
      <c t="s" s="6" r="I1504">
        <v>97</v>
      </c>
      <c t="s" s="6" r="L1504">
        <v>701</v>
      </c>
      <c t="s" s="6" r="M1504">
        <v>109</v>
      </c>
      <c s="6" r="N1504">
        <v>0</v>
      </c>
      <c s="6" r="O1504">
        <v>0</v>
      </c>
      <c t="s" s="6" r="P1504">
        <v>631</v>
      </c>
      <c t="s" s="6" r="Q1504">
        <v>188</v>
      </c>
      <c t="s" s="6" r="R1504">
        <v>10627</v>
      </c>
      <c t="s" s="6" r="S1504">
        <v>10628</v>
      </c>
      <c t="s" s="6" r="T1504">
        <v>10367</v>
      </c>
      <c t="s" s="6" r="U1504">
        <v>10629</v>
      </c>
      <c s="6" r="V1504">
        <v>1</v>
      </c>
      <c s="6" r="W1504">
        <v>1</v>
      </c>
      <c s="6" r="X1504">
        <v>0</v>
      </c>
      <c s="6" r="Y1504">
        <v>0</v>
      </c>
      <c s="6" r="Z1504">
        <v>0</v>
      </c>
      <c s="6" r="AA1504">
        <v>6</v>
      </c>
      <c s="6" r="AB1504">
        <v>6</v>
      </c>
      <c t="s" s="6" r="AC1504">
        <v>92</v>
      </c>
      <c t="s" s="6" r="AD1504">
        <v>92</v>
      </c>
      <c t="s" s="6" r="AE1504">
        <v>92</v>
      </c>
      <c t="s" s="6" r="AF1504">
        <v>92</v>
      </c>
      <c t="s" s="6" r="AG1504">
        <v>92</v>
      </c>
      <c t="s" s="6" r="AH1504">
        <v>92</v>
      </c>
      <c t="s" s="6" r="AI1504">
        <v>92</v>
      </c>
      <c t="s" s="6" r="AJ1504">
        <v>92</v>
      </c>
      <c t="s" s="6" r="AK1504">
        <v>92</v>
      </c>
      <c t="s" s="6" r="AL1504">
        <v>92</v>
      </c>
      <c t="s" s="6" r="AM1504">
        <v>92</v>
      </c>
      <c s="6" r="AN1504">
        <v>6</v>
      </c>
      <c s="6" r="AP1504">
        <v>6</v>
      </c>
      <c s="6" r="AS1504">
        <v>0</v>
      </c>
      <c s="6" r="AT1504">
        <v>0</v>
      </c>
      <c s="6" r="AU1504">
        <v>0</v>
      </c>
      <c s="6" r="AV1504">
        <v>0</v>
      </c>
      <c s="6" r="AW1504">
        <v>0</v>
      </c>
      <c s="6" r="AX1504">
        <v>0</v>
      </c>
      <c s="6" r="AY1504">
        <v>0</v>
      </c>
      <c s="6" r="AZ1504">
        <v>0</v>
      </c>
      <c s="6" r="BA1504">
        <v>0</v>
      </c>
      <c s="6" r="BB1504">
        <v>0</v>
      </c>
      <c s="6" r="BC1504">
        <v>0</v>
      </c>
      <c s="6" r="BD1504">
        <v>0</v>
      </c>
      <c s="6" r="BE1504">
        <v>0</v>
      </c>
      <c s="6" r="BF1504">
        <v>1</v>
      </c>
      <c s="6" r="BG1504">
        <v>0</v>
      </c>
      <c s="6" r="BH1504">
        <v>0</v>
      </c>
      <c s="6" r="BI1504">
        <v>0</v>
      </c>
      <c s="6" r="BJ1504">
        <v>0</v>
      </c>
      <c s="6" r="BK1504">
        <v>0</v>
      </c>
      <c s="6" r="BL1504">
        <v>0</v>
      </c>
      <c s="6" r="BM1504">
        <v>0</v>
      </c>
      <c s="6" r="BN1504">
        <v>0</v>
      </c>
      <c s="6" r="BO1504">
        <v>0</v>
      </c>
      <c s="6" r="BP1504">
        <v>0</v>
      </c>
      <c s="6" r="BQ1504">
        <v>0</v>
      </c>
      <c t="s" s="6" r="BR1504">
        <v>92</v>
      </c>
      <c s="6" r="BS1504">
        <v>1527</v>
      </c>
      <c t="s" s="6" r="BT1504">
        <v>92</v>
      </c>
      <c s="6" r="BY1504">
        <v>0</v>
      </c>
    </row>
    <row customHeight="1" r="1505" ht="14.25">
      <c t="s" s="6" r="A1505">
        <v>10630</v>
      </c>
      <c t="s" s="6" r="B1505">
        <v>227</v>
      </c>
      <c t="s" s="6" r="D1505">
        <v>10631</v>
      </c>
      <c t="s" s="6" r="E1505">
        <v>10632</v>
      </c>
      <c t="s" s="6" r="F1505">
        <v>272</v>
      </c>
      <c t="s" s="6" r="G1505">
        <v>106</v>
      </c>
      <c s="6" r="H1505">
        <v>0</v>
      </c>
      <c t="s" s="6" r="M1505">
        <v>10633</v>
      </c>
      <c s="6" r="N1505">
        <v>0</v>
      </c>
      <c s="6" r="O1505">
        <v>0</v>
      </c>
      <c t="s" s="6" r="P1505">
        <v>187</v>
      </c>
      <c t="s" s="6" r="Q1505">
        <v>188</v>
      </c>
      <c t="s" s="6" r="R1505">
        <v>10634</v>
      </c>
      <c t="s" s="6" r="S1505">
        <v>10635</v>
      </c>
      <c t="s" s="6" r="T1505">
        <v>10367</v>
      </c>
      <c t="s" s="6" r="U1505">
        <v>10636</v>
      </c>
      <c s="6" r="V1505">
        <v>1</v>
      </c>
      <c s="6" r="W1505">
        <v>1</v>
      </c>
      <c s="6" r="X1505">
        <v>0</v>
      </c>
      <c s="6" r="Y1505">
        <v>0</v>
      </c>
      <c s="6" r="Z1505">
        <v>0</v>
      </c>
      <c t="s" s="6" r="AA1505">
        <v>92</v>
      </c>
      <c t="s" s="6" r="AB1505">
        <v>92</v>
      </c>
      <c s="6" r="AC1505">
        <v>2</v>
      </c>
      <c t="s" s="6" r="AD1505">
        <v>92</v>
      </c>
      <c t="s" s="6" r="AE1505">
        <v>92</v>
      </c>
      <c t="s" s="6" r="AF1505">
        <v>92</v>
      </c>
      <c t="s" s="6" r="AG1505">
        <v>92</v>
      </c>
      <c t="s" s="6" r="AH1505">
        <v>92</v>
      </c>
      <c t="s" s="6" r="AI1505">
        <v>92</v>
      </c>
      <c s="6" r="AJ1505">
        <v>2</v>
      </c>
      <c s="6" r="AK1505">
        <v>2</v>
      </c>
      <c s="6" r="AL1505">
        <v>2</v>
      </c>
      <c s="6" r="AM1505">
        <v>1</v>
      </c>
      <c t="s" s="6" r="AN1505">
        <v>92</v>
      </c>
      <c s="6" r="AP1505">
        <v>2</v>
      </c>
      <c s="6" r="AS1505">
        <v>0</v>
      </c>
      <c s="6" r="AT1505">
        <v>0</v>
      </c>
      <c s="6" r="AU1505">
        <v>0</v>
      </c>
      <c s="6" r="AV1505">
        <v>0</v>
      </c>
      <c s="6" r="AW1505">
        <v>0</v>
      </c>
      <c s="6" r="AX1505">
        <v>1</v>
      </c>
      <c s="6" r="AY1505">
        <v>0</v>
      </c>
      <c s="6" r="AZ1505">
        <v>0</v>
      </c>
      <c s="6" r="BA1505">
        <v>0</v>
      </c>
      <c s="6" r="BB1505">
        <v>0</v>
      </c>
      <c s="6" r="BC1505">
        <v>0</v>
      </c>
      <c s="6" r="BD1505">
        <v>1</v>
      </c>
      <c s="6" r="BE1505">
        <v>0</v>
      </c>
      <c s="6" r="BF1505">
        <v>1</v>
      </c>
      <c s="6" r="BG1505">
        <v>0</v>
      </c>
      <c s="6" r="BH1505">
        <v>0</v>
      </c>
      <c s="6" r="BI1505">
        <v>0</v>
      </c>
      <c s="6" r="BJ1505">
        <v>0</v>
      </c>
      <c s="6" r="BK1505">
        <v>0</v>
      </c>
      <c s="6" r="BL1505">
        <v>0</v>
      </c>
      <c s="6" r="BM1505">
        <v>0</v>
      </c>
      <c s="6" r="BN1505">
        <v>0</v>
      </c>
      <c s="6" r="BO1505">
        <v>0</v>
      </c>
      <c s="6" r="BP1505">
        <v>0</v>
      </c>
      <c s="6" r="BQ1505">
        <v>0</v>
      </c>
      <c t="s" s="6" r="BR1505">
        <v>92</v>
      </c>
      <c s="6" r="BS1505">
        <v>1528</v>
      </c>
      <c t="s" s="6" r="BT1505">
        <v>92</v>
      </c>
      <c s="6" r="BY1505">
        <v>0</v>
      </c>
    </row>
    <row customHeight="1" r="1506" ht="14.25">
      <c t="s" s="6" r="A1506">
        <v>10637</v>
      </c>
      <c t="s" s="6" r="B1506">
        <v>493</v>
      </c>
      <c t="s" s="6" r="D1506">
        <v>57</v>
      </c>
      <c t="s" s="6" r="E1506">
        <v>7692</v>
      </c>
      <c t="s" s="6" r="F1506">
        <v>81</v>
      </c>
      <c t="s" s="6" r="G1506">
        <v>106</v>
      </c>
      <c s="6" r="H1506">
        <v>0</v>
      </c>
      <c t="s" s="6" r="I1506">
        <v>804</v>
      </c>
      <c t="s" s="6" r="J1506">
        <v>10638</v>
      </c>
      <c t="s" s="6" r="M1506">
        <v>10639</v>
      </c>
      <c s="6" r="N1506">
        <v>0</v>
      </c>
      <c s="6" r="O1506">
        <v>0</v>
      </c>
      <c t="s" s="6" r="P1506">
        <v>631</v>
      </c>
      <c t="s" s="6" r="Q1506">
        <v>188</v>
      </c>
      <c t="s" s="6" r="R1506">
        <v>10640</v>
      </c>
      <c t="s" s="6" r="S1506">
        <v>10641</v>
      </c>
      <c t="s" s="6" r="T1506">
        <v>10367</v>
      </c>
      <c t="s" s="6" r="U1506">
        <v>10642</v>
      </c>
      <c s="6" r="V1506">
        <v>1</v>
      </c>
      <c s="6" r="W1506">
        <v>1</v>
      </c>
      <c s="6" r="X1506">
        <v>0</v>
      </c>
      <c s="6" r="Y1506">
        <v>0</v>
      </c>
      <c s="6" r="Z1506">
        <v>0</v>
      </c>
      <c s="6" r="AA1506">
        <v>3</v>
      </c>
      <c s="6" r="AB1506">
        <v>3</v>
      </c>
      <c t="s" s="6" r="AC1506">
        <v>92</v>
      </c>
      <c t="s" s="6" r="AD1506">
        <v>92</v>
      </c>
      <c t="s" s="6" r="AE1506">
        <v>92</v>
      </c>
      <c t="s" s="6" r="AF1506">
        <v>92</v>
      </c>
      <c t="s" s="6" r="AG1506">
        <v>92</v>
      </c>
      <c t="s" s="6" r="AH1506">
        <v>92</v>
      </c>
      <c t="s" s="6" r="AI1506">
        <v>92</v>
      </c>
      <c t="s" s="6" r="AJ1506">
        <v>92</v>
      </c>
      <c t="s" s="6" r="AK1506">
        <v>92</v>
      </c>
      <c t="s" s="6" r="AL1506">
        <v>92</v>
      </c>
      <c t="s" s="6" r="AM1506">
        <v>92</v>
      </c>
      <c s="6" r="AN1506">
        <v>3</v>
      </c>
      <c s="6" r="AP1506">
        <v>3</v>
      </c>
      <c s="6" r="AS1506">
        <v>0</v>
      </c>
      <c s="6" r="AT1506">
        <v>0</v>
      </c>
      <c s="6" r="AU1506">
        <v>0</v>
      </c>
      <c s="6" r="AV1506">
        <v>0</v>
      </c>
      <c s="6" r="AW1506">
        <v>0</v>
      </c>
      <c s="6" r="AX1506">
        <v>0</v>
      </c>
      <c s="6" r="AY1506">
        <v>0</v>
      </c>
      <c s="6" r="AZ1506">
        <v>0</v>
      </c>
      <c s="6" r="BA1506">
        <v>0</v>
      </c>
      <c s="6" r="BB1506">
        <v>0</v>
      </c>
      <c s="6" r="BC1506">
        <v>0</v>
      </c>
      <c s="6" r="BD1506">
        <v>0</v>
      </c>
      <c s="6" r="BE1506">
        <v>0</v>
      </c>
      <c s="6" r="BF1506">
        <v>1</v>
      </c>
      <c s="6" r="BG1506">
        <v>0</v>
      </c>
      <c s="6" r="BH1506">
        <v>0</v>
      </c>
      <c s="6" r="BI1506">
        <v>0</v>
      </c>
      <c s="6" r="BJ1506">
        <v>0</v>
      </c>
      <c s="6" r="BK1506">
        <v>0</v>
      </c>
      <c s="6" r="BL1506">
        <v>0</v>
      </c>
      <c s="6" r="BM1506">
        <v>0</v>
      </c>
      <c s="6" r="BN1506">
        <v>0</v>
      </c>
      <c s="6" r="BO1506">
        <v>0</v>
      </c>
      <c s="6" r="BP1506">
        <v>0</v>
      </c>
      <c s="6" r="BQ1506">
        <v>0</v>
      </c>
      <c t="s" s="6" r="BR1506">
        <v>92</v>
      </c>
      <c s="6" r="BS1506">
        <v>1529</v>
      </c>
      <c t="s" s="6" r="BT1506">
        <v>92</v>
      </c>
      <c t="s" s="6" r="BW1506">
        <v>10643</v>
      </c>
      <c t="s" s="6" r="BX1506">
        <v>10644</v>
      </c>
      <c s="6" r="BY1506">
        <v>1</v>
      </c>
    </row>
    <row customHeight="1" r="1507" ht="14.25">
      <c t="s" s="6" r="A1507">
        <v>10645</v>
      </c>
      <c t="s" s="6" r="B1507">
        <v>131</v>
      </c>
      <c t="s" s="6" r="D1507">
        <v>10646</v>
      </c>
      <c t="s" s="6" r="E1507">
        <v>5833</v>
      </c>
      <c t="s" s="6" r="F1507">
        <v>81</v>
      </c>
      <c t="s" s="6" r="G1507">
        <v>106</v>
      </c>
      <c s="6" r="H1507">
        <v>0</v>
      </c>
      <c t="s" s="6" r="I1507">
        <v>107</v>
      </c>
      <c t="s" s="6" r="L1507">
        <v>1235</v>
      </c>
      <c t="s" s="6" r="M1507">
        <v>5005</v>
      </c>
      <c s="6" r="N1507">
        <v>0</v>
      </c>
      <c s="6" r="O1507">
        <v>0</v>
      </c>
      <c t="s" s="6" r="P1507">
        <v>187</v>
      </c>
      <c t="s" s="6" r="Q1507">
        <v>188</v>
      </c>
      <c t="s" s="6" r="R1507">
        <v>10647</v>
      </c>
      <c t="s" s="6" r="S1507">
        <v>10648</v>
      </c>
      <c t="s" s="6" r="T1507">
        <v>10367</v>
      </c>
      <c t="s" s="6" r="U1507">
        <v>10649</v>
      </c>
      <c s="6" r="V1507">
        <v>1</v>
      </c>
      <c s="6" r="W1507">
        <v>1</v>
      </c>
      <c s="6" r="X1507">
        <v>0</v>
      </c>
      <c s="6" r="Y1507">
        <v>0</v>
      </c>
      <c s="6" r="Z1507">
        <v>0</v>
      </c>
      <c t="s" s="6" r="AA1507">
        <v>92</v>
      </c>
      <c t="s" s="6" r="AB1507">
        <v>92</v>
      </c>
      <c t="s" s="6" r="AC1507">
        <v>92</v>
      </c>
      <c s="6" r="AD1507">
        <v>2</v>
      </c>
      <c t="s" s="6" r="AE1507">
        <v>92</v>
      </c>
      <c t="s" s="6" r="AF1507">
        <v>92</v>
      </c>
      <c t="s" s="6" r="AG1507">
        <v>92</v>
      </c>
      <c t="s" s="6" r="AH1507">
        <v>92</v>
      </c>
      <c t="s" s="6" r="AI1507">
        <v>92</v>
      </c>
      <c s="6" r="AJ1507">
        <v>2</v>
      </c>
      <c t="s" s="6" r="AK1507">
        <v>92</v>
      </c>
      <c t="s" s="6" r="AL1507">
        <v>92</v>
      </c>
      <c t="s" s="6" r="AM1507">
        <v>92</v>
      </c>
      <c t="s" s="6" r="AN1507">
        <v>92</v>
      </c>
      <c s="6" r="AP1507">
        <v>2</v>
      </c>
      <c s="6" r="AS1507">
        <v>0</v>
      </c>
      <c s="6" r="AT1507">
        <v>0</v>
      </c>
      <c s="6" r="AU1507">
        <v>0</v>
      </c>
      <c s="6" r="AV1507">
        <v>0</v>
      </c>
      <c s="6" r="AW1507">
        <v>1</v>
      </c>
      <c s="6" r="AX1507">
        <v>0</v>
      </c>
      <c s="6" r="AY1507">
        <v>0</v>
      </c>
      <c s="6" r="AZ1507">
        <v>0</v>
      </c>
      <c s="6" r="BA1507">
        <v>0</v>
      </c>
      <c s="6" r="BB1507">
        <v>0</v>
      </c>
      <c s="6" r="BC1507">
        <v>0</v>
      </c>
      <c s="6" r="BD1507">
        <v>0</v>
      </c>
      <c s="6" r="BE1507">
        <v>0</v>
      </c>
      <c s="6" r="BF1507">
        <v>1</v>
      </c>
      <c s="6" r="BG1507">
        <v>0</v>
      </c>
      <c s="6" r="BH1507">
        <v>0</v>
      </c>
      <c s="6" r="BI1507">
        <v>0</v>
      </c>
      <c s="6" r="BJ1507">
        <v>0</v>
      </c>
      <c s="6" r="BK1507">
        <v>0</v>
      </c>
      <c s="6" r="BL1507">
        <v>0</v>
      </c>
      <c s="6" r="BM1507">
        <v>0</v>
      </c>
      <c s="6" r="BN1507">
        <v>0</v>
      </c>
      <c s="6" r="BO1507">
        <v>0</v>
      </c>
      <c s="6" r="BP1507">
        <v>0</v>
      </c>
      <c s="6" r="BQ1507">
        <v>0</v>
      </c>
      <c t="s" s="6" r="BR1507">
        <v>92</v>
      </c>
      <c s="6" r="BS1507">
        <v>1530</v>
      </c>
      <c t="s" s="6" r="BT1507">
        <v>92</v>
      </c>
      <c s="6" r="BY1507">
        <v>0</v>
      </c>
    </row>
    <row customHeight="1" r="1508" ht="14.25">
      <c t="s" s="6" r="A1508">
        <v>10650</v>
      </c>
      <c t="s" s="6" r="B1508">
        <v>162</v>
      </c>
      <c t="s" s="6" r="E1508">
        <v>10651</v>
      </c>
      <c t="s" s="6" r="F1508">
        <v>81</v>
      </c>
      <c t="s" s="6" r="G1508">
        <v>106</v>
      </c>
      <c s="6" r="H1508">
        <v>0</v>
      </c>
      <c t="s" s="6" r="I1508">
        <v>155</v>
      </c>
      <c t="s" s="6" r="L1508">
        <v>156</v>
      </c>
      <c t="s" s="6" r="M1508">
        <v>2718</v>
      </c>
      <c s="6" r="N1508">
        <v>0</v>
      </c>
      <c s="6" r="O1508">
        <v>0</v>
      </c>
      <c t="s" s="6" r="R1508">
        <v>10652</v>
      </c>
      <c t="s" s="6" r="S1508">
        <v>10653</v>
      </c>
      <c t="s" s="6" r="T1508">
        <v>10367</v>
      </c>
      <c t="s" s="6" r="U1508">
        <v>10654</v>
      </c>
      <c s="6" r="V1508">
        <v>1</v>
      </c>
      <c s="6" r="W1508">
        <v>1</v>
      </c>
      <c s="6" r="X1508">
        <v>0</v>
      </c>
      <c s="6" r="Y1508">
        <v>0</v>
      </c>
      <c s="6" r="Z1508">
        <v>0</v>
      </c>
      <c t="s" s="6" r="AA1508">
        <v>92</v>
      </c>
      <c t="s" s="6" r="AB1508">
        <v>92</v>
      </c>
      <c s="6" r="AC1508">
        <v>4</v>
      </c>
      <c s="6" r="AD1508">
        <v>4</v>
      </c>
      <c t="s" s="6" r="AE1508">
        <v>92</v>
      </c>
      <c t="s" s="6" r="AF1508">
        <v>92</v>
      </c>
      <c t="s" s="6" r="AG1508">
        <v>92</v>
      </c>
      <c s="6" r="AH1508">
        <v>4</v>
      </c>
      <c t="s" s="6" r="AI1508">
        <v>92</v>
      </c>
      <c t="s" s="6" r="AJ1508">
        <v>92</v>
      </c>
      <c s="6" r="AK1508">
        <v>4</v>
      </c>
      <c s="6" r="AL1508">
        <v>4</v>
      </c>
      <c t="s" s="6" r="AM1508">
        <v>92</v>
      </c>
      <c t="s" s="6" r="AN1508">
        <v>92</v>
      </c>
      <c s="6" r="AP1508">
        <v>4</v>
      </c>
      <c s="6" r="AS1508">
        <v>0</v>
      </c>
      <c s="6" r="AT1508">
        <v>0</v>
      </c>
      <c s="6" r="AU1508">
        <v>0</v>
      </c>
      <c s="6" r="AV1508">
        <v>0</v>
      </c>
      <c s="6" r="AW1508">
        <v>0</v>
      </c>
      <c s="6" r="AX1508">
        <v>0</v>
      </c>
      <c s="6" r="AY1508">
        <v>0</v>
      </c>
      <c s="6" r="AZ1508">
        <v>0</v>
      </c>
      <c s="6" r="BA1508">
        <v>0</v>
      </c>
      <c s="6" r="BB1508">
        <v>0</v>
      </c>
      <c s="6" r="BC1508">
        <v>0</v>
      </c>
      <c s="6" r="BD1508">
        <v>0</v>
      </c>
      <c s="6" r="BE1508">
        <v>0</v>
      </c>
      <c s="6" r="BF1508">
        <v>0</v>
      </c>
      <c s="6" r="BG1508">
        <v>0</v>
      </c>
      <c s="6" r="BH1508">
        <v>0</v>
      </c>
      <c s="6" r="BI1508">
        <v>0</v>
      </c>
      <c s="6" r="BJ1508">
        <v>0</v>
      </c>
      <c s="6" r="BK1508">
        <v>0</v>
      </c>
      <c s="6" r="BL1508">
        <v>0</v>
      </c>
      <c s="6" r="BM1508">
        <v>0</v>
      </c>
      <c s="6" r="BN1508">
        <v>0</v>
      </c>
      <c s="6" r="BO1508">
        <v>0</v>
      </c>
      <c s="6" r="BP1508">
        <v>0</v>
      </c>
      <c s="6" r="BQ1508">
        <v>0</v>
      </c>
      <c t="s" s="6" r="BR1508">
        <v>92</v>
      </c>
      <c s="6" r="BS1508">
        <v>1531</v>
      </c>
      <c t="s" s="6" r="BT1508">
        <v>92</v>
      </c>
      <c s="6" r="BY1508">
        <v>0</v>
      </c>
    </row>
    <row customHeight="1" r="1509" ht="14.25">
      <c t="s" s="6" r="A1509">
        <v>10655</v>
      </c>
      <c t="s" s="6" r="B1509">
        <v>131</v>
      </c>
      <c t="s" s="6" r="D1509">
        <v>57</v>
      </c>
      <c t="s" s="6" r="E1509">
        <v>5722</v>
      </c>
      <c t="s" s="6" r="F1509">
        <v>81</v>
      </c>
      <c t="s" s="6" r="G1509">
        <v>10656</v>
      </c>
      <c s="6" r="H1509">
        <v>0</v>
      </c>
      <c t="s" s="6" r="I1509">
        <v>120</v>
      </c>
      <c t="s" s="6" r="L1509">
        <v>2003</v>
      </c>
      <c t="s" s="6" r="M1509">
        <v>2718</v>
      </c>
      <c s="6" r="N1509">
        <v>0</v>
      </c>
      <c s="6" r="O1509">
        <v>0</v>
      </c>
      <c t="s" s="6" r="P1509">
        <v>86</v>
      </c>
      <c t="s" s="6" r="Q1509">
        <v>87</v>
      </c>
      <c t="s" s="6" r="R1509">
        <v>10657</v>
      </c>
      <c t="s" s="6" r="S1509">
        <v>10658</v>
      </c>
      <c t="s" s="6" r="T1509">
        <v>10367</v>
      </c>
      <c t="s" s="6" r="U1509">
        <v>10659</v>
      </c>
      <c s="6" r="V1509">
        <v>0</v>
      </c>
      <c s="6" r="W1509">
        <v>1</v>
      </c>
      <c s="6" r="X1509">
        <v>1</v>
      </c>
      <c s="6" r="Y1509">
        <v>0</v>
      </c>
      <c s="6" r="Z1509">
        <v>0</v>
      </c>
      <c s="6" r="AA1509">
        <v>4</v>
      </c>
      <c s="6" r="AB1509">
        <v>4</v>
      </c>
      <c t="s" s="6" r="AC1509">
        <v>92</v>
      </c>
      <c t="s" s="6" r="AD1509">
        <v>92</v>
      </c>
      <c t="s" s="6" r="AE1509">
        <v>92</v>
      </c>
      <c t="s" s="6" r="AF1509">
        <v>92</v>
      </c>
      <c t="s" s="6" r="AG1509">
        <v>92</v>
      </c>
      <c s="6" r="AH1509">
        <v>4</v>
      </c>
      <c t="s" s="6" r="AI1509">
        <v>92</v>
      </c>
      <c t="s" s="6" r="AJ1509">
        <v>92</v>
      </c>
      <c t="s" s="6" r="AK1509">
        <v>92</v>
      </c>
      <c t="s" s="6" r="AL1509">
        <v>92</v>
      </c>
      <c t="s" s="6" r="AM1509">
        <v>92</v>
      </c>
      <c t="s" s="6" r="AN1509">
        <v>92</v>
      </c>
      <c s="6" r="AP1509">
        <v>4</v>
      </c>
      <c s="6" r="AS1509">
        <v>0</v>
      </c>
      <c s="6" r="AT1509">
        <v>0</v>
      </c>
      <c s="6" r="AU1509">
        <v>0</v>
      </c>
      <c s="6" r="AV1509">
        <v>0</v>
      </c>
      <c s="6" r="AW1509">
        <v>0</v>
      </c>
      <c s="6" r="AX1509">
        <v>0</v>
      </c>
      <c s="6" r="AY1509">
        <v>0</v>
      </c>
      <c s="6" r="AZ1509">
        <v>0</v>
      </c>
      <c s="6" r="BA1509">
        <v>0</v>
      </c>
      <c s="6" r="BB1509">
        <v>0</v>
      </c>
      <c s="6" r="BC1509">
        <v>0</v>
      </c>
      <c s="6" r="BD1509">
        <v>0</v>
      </c>
      <c s="6" r="BE1509">
        <v>0</v>
      </c>
      <c s="6" r="BF1509">
        <v>1</v>
      </c>
      <c s="6" r="BG1509">
        <v>0</v>
      </c>
      <c s="6" r="BH1509">
        <v>0</v>
      </c>
      <c s="6" r="BI1509">
        <v>0</v>
      </c>
      <c s="6" r="BJ1509">
        <v>0</v>
      </c>
      <c s="6" r="BK1509">
        <v>0</v>
      </c>
      <c s="6" r="BL1509">
        <v>0</v>
      </c>
      <c s="6" r="BM1509">
        <v>0</v>
      </c>
      <c s="6" r="BN1509">
        <v>0</v>
      </c>
      <c s="6" r="BO1509">
        <v>0</v>
      </c>
      <c s="6" r="BP1509">
        <v>0</v>
      </c>
      <c s="6" r="BQ1509">
        <v>0</v>
      </c>
      <c t="s" s="6" r="BR1509">
        <v>92</v>
      </c>
      <c s="6" r="BS1509">
        <v>1532</v>
      </c>
      <c t="s" s="6" r="BT1509">
        <v>92</v>
      </c>
      <c t="s" s="6" r="BW1509">
        <v>10660</v>
      </c>
      <c t="s" s="6" r="BX1509">
        <v>10661</v>
      </c>
      <c s="6" r="BY1509">
        <v>1</v>
      </c>
    </row>
    <row customHeight="1" r="1510" ht="14.25">
      <c t="s" s="6" r="A1510">
        <v>10662</v>
      </c>
      <c t="s" s="6" r="B1510">
        <v>493</v>
      </c>
      <c t="s" s="6" r="D1510">
        <v>57</v>
      </c>
      <c t="s" s="6" r="E1510">
        <v>10663</v>
      </c>
      <c t="s" s="6" r="F1510">
        <v>81</v>
      </c>
      <c t="s" s="6" r="G1510">
        <v>106</v>
      </c>
      <c s="6" r="H1510">
        <v>0</v>
      </c>
      <c t="s" s="6" r="I1510">
        <v>120</v>
      </c>
      <c t="s" s="6" r="L1510">
        <v>3064</v>
      </c>
      <c t="s" s="6" r="M1510">
        <v>109</v>
      </c>
      <c s="6" r="N1510">
        <v>0</v>
      </c>
      <c s="6" r="O1510">
        <v>0</v>
      </c>
      <c t="s" s="6" r="P1510">
        <v>4701</v>
      </c>
      <c t="s" s="6" r="Q1510">
        <v>188</v>
      </c>
      <c t="s" s="6" r="R1510">
        <v>10664</v>
      </c>
      <c t="s" s="6" r="S1510">
        <v>10665</v>
      </c>
      <c t="s" s="6" r="T1510">
        <v>10367</v>
      </c>
      <c t="s" s="6" r="U1510">
        <v>10666</v>
      </c>
      <c s="6" r="V1510">
        <v>1</v>
      </c>
      <c s="6" r="W1510">
        <v>1</v>
      </c>
      <c s="6" r="X1510">
        <v>0</v>
      </c>
      <c s="6" r="Y1510">
        <v>0</v>
      </c>
      <c s="6" r="Z1510">
        <v>0</v>
      </c>
      <c s="6" r="AA1510">
        <v>1</v>
      </c>
      <c s="6" r="AB1510">
        <v>1</v>
      </c>
      <c t="s" s="6" r="AC1510">
        <v>92</v>
      </c>
      <c s="6" r="AD1510">
        <v>1</v>
      </c>
      <c t="s" s="6" r="AE1510">
        <v>92</v>
      </c>
      <c t="s" s="6" r="AF1510">
        <v>92</v>
      </c>
      <c t="s" s="6" r="AG1510">
        <v>92</v>
      </c>
      <c t="s" s="6" r="AH1510">
        <v>92</v>
      </c>
      <c t="s" s="6" r="AI1510">
        <v>92</v>
      </c>
      <c s="6" r="AJ1510">
        <v>1</v>
      </c>
      <c s="6" r="AK1510">
        <v>1</v>
      </c>
      <c t="s" s="6" r="AL1510">
        <v>92</v>
      </c>
      <c t="s" s="6" r="AM1510">
        <v>92</v>
      </c>
      <c s="6" r="AN1510">
        <v>1</v>
      </c>
      <c s="6" r="AP1510">
        <v>1</v>
      </c>
      <c s="6" r="AS1510">
        <v>0</v>
      </c>
      <c s="6" r="AT1510">
        <v>0</v>
      </c>
      <c s="6" r="AU1510">
        <v>0</v>
      </c>
      <c s="6" r="AV1510">
        <v>0</v>
      </c>
      <c s="6" r="AW1510">
        <v>0</v>
      </c>
      <c s="6" r="AX1510">
        <v>0</v>
      </c>
      <c s="6" r="AY1510">
        <v>0</v>
      </c>
      <c s="6" r="AZ1510">
        <v>0</v>
      </c>
      <c s="6" r="BA1510">
        <v>0</v>
      </c>
      <c s="6" r="BB1510">
        <v>0</v>
      </c>
      <c s="6" r="BC1510">
        <v>0</v>
      </c>
      <c s="6" r="BD1510">
        <v>0</v>
      </c>
      <c s="6" r="BE1510">
        <v>0</v>
      </c>
      <c s="6" r="BF1510">
        <v>1</v>
      </c>
      <c s="6" r="BG1510">
        <v>0</v>
      </c>
      <c s="6" r="BH1510">
        <v>0</v>
      </c>
      <c s="6" r="BI1510">
        <v>0</v>
      </c>
      <c s="6" r="BJ1510">
        <v>0</v>
      </c>
      <c s="6" r="BK1510">
        <v>0</v>
      </c>
      <c s="6" r="BL1510">
        <v>0</v>
      </c>
      <c s="6" r="BM1510">
        <v>0</v>
      </c>
      <c s="6" r="BN1510">
        <v>0</v>
      </c>
      <c s="6" r="BO1510">
        <v>0</v>
      </c>
      <c s="6" r="BP1510">
        <v>0</v>
      </c>
      <c s="6" r="BQ1510">
        <v>0</v>
      </c>
      <c t="s" s="6" r="BR1510">
        <v>92</v>
      </c>
      <c s="6" r="BS1510">
        <v>1533</v>
      </c>
      <c t="s" s="6" r="BT1510">
        <v>92</v>
      </c>
      <c s="6" r="BY1510">
        <v>0</v>
      </c>
    </row>
    <row customHeight="1" r="1511" ht="14.25">
      <c t="s" s="6" r="A1511">
        <v>10667</v>
      </c>
      <c t="s" s="6" r="B1511">
        <v>131</v>
      </c>
      <c t="s" s="6" r="E1511">
        <v>10668</v>
      </c>
      <c t="s" s="6" r="F1511">
        <v>197</v>
      </c>
      <c t="s" s="6" r="G1511">
        <v>106</v>
      </c>
      <c s="6" r="H1511">
        <v>0</v>
      </c>
      <c t="s" s="6" r="I1511">
        <v>107</v>
      </c>
      <c t="s" s="6" r="L1511">
        <v>10669</v>
      </c>
      <c t="s" s="6" r="M1511">
        <v>109</v>
      </c>
      <c s="6" r="N1511">
        <v>0</v>
      </c>
      <c s="6" r="O1511">
        <v>0</v>
      </c>
      <c t="s" s="6" r="P1511">
        <v>535</v>
      </c>
      <c t="s" s="6" r="Q1511">
        <v>536</v>
      </c>
      <c t="s" s="6" r="R1511">
        <v>10670</v>
      </c>
      <c t="s" s="6" r="S1511">
        <v>10671</v>
      </c>
      <c t="s" s="6" r="T1511">
        <v>10367</v>
      </c>
      <c t="s" s="6" r="U1511">
        <v>10672</v>
      </c>
      <c s="6" r="V1511">
        <v>1</v>
      </c>
      <c s="6" r="W1511">
        <v>1</v>
      </c>
      <c s="6" r="X1511">
        <v>0</v>
      </c>
      <c s="6" r="Y1511">
        <v>0</v>
      </c>
      <c s="6" r="Z1511">
        <v>0</v>
      </c>
      <c s="6" r="AA1511">
        <v>3</v>
      </c>
      <c s="6" r="AB1511">
        <v>3</v>
      </c>
      <c t="s" s="6" r="AC1511">
        <v>92</v>
      </c>
      <c s="6" r="AD1511">
        <v>3</v>
      </c>
      <c s="6" r="AE1511">
        <v>2</v>
      </c>
      <c t="s" s="6" r="AF1511">
        <v>92</v>
      </c>
      <c t="s" s="6" r="AG1511">
        <v>92</v>
      </c>
      <c t="s" s="6" r="AH1511">
        <v>92</v>
      </c>
      <c t="s" s="6" r="AI1511">
        <v>92</v>
      </c>
      <c s="6" r="AJ1511">
        <v>3</v>
      </c>
      <c s="6" r="AK1511">
        <v>3</v>
      </c>
      <c t="s" s="6" r="AL1511">
        <v>92</v>
      </c>
      <c s="6" r="AM1511">
        <v>2</v>
      </c>
      <c t="s" s="6" r="AN1511">
        <v>92</v>
      </c>
      <c s="6" r="AP1511">
        <v>3</v>
      </c>
      <c t="s" s="6" r="AQ1511">
        <v>4021</v>
      </c>
      <c s="6" r="AS1511">
        <v>0</v>
      </c>
      <c s="6" r="AT1511">
        <v>0</v>
      </c>
      <c s="6" r="AU1511">
        <v>0</v>
      </c>
      <c s="6" r="AV1511">
        <v>0</v>
      </c>
      <c s="6" r="AW1511">
        <v>0</v>
      </c>
      <c s="6" r="AX1511">
        <v>0</v>
      </c>
      <c s="6" r="AY1511">
        <v>0</v>
      </c>
      <c s="6" r="AZ1511">
        <v>0</v>
      </c>
      <c s="6" r="BA1511">
        <v>0</v>
      </c>
      <c s="6" r="BB1511">
        <v>0</v>
      </c>
      <c s="6" r="BC1511">
        <v>0</v>
      </c>
      <c s="6" r="BD1511">
        <v>0</v>
      </c>
      <c s="6" r="BE1511">
        <v>0</v>
      </c>
      <c s="6" r="BF1511">
        <v>0</v>
      </c>
      <c s="6" r="BG1511">
        <v>0</v>
      </c>
      <c s="6" r="BH1511">
        <v>0</v>
      </c>
      <c s="6" r="BI1511">
        <v>0</v>
      </c>
      <c s="6" r="BJ1511">
        <v>0</v>
      </c>
      <c s="6" r="BK1511">
        <v>0</v>
      </c>
      <c s="6" r="BL1511">
        <v>0</v>
      </c>
      <c s="6" r="BM1511">
        <v>0</v>
      </c>
      <c s="6" r="BN1511">
        <v>0</v>
      </c>
      <c s="6" r="BO1511">
        <v>0</v>
      </c>
      <c s="6" r="BP1511">
        <v>0</v>
      </c>
      <c s="6" r="BQ1511">
        <v>0</v>
      </c>
      <c t="s" s="6" r="BR1511">
        <v>92</v>
      </c>
      <c s="6" r="BS1511">
        <v>1534</v>
      </c>
      <c t="s" s="6" r="BT1511">
        <v>92</v>
      </c>
      <c s="6" r="BY1511">
        <v>0</v>
      </c>
    </row>
    <row customHeight="1" r="1512" ht="14.25">
      <c t="s" s="6" r="A1512">
        <v>10673</v>
      </c>
      <c t="s" s="6" r="B1512">
        <v>131</v>
      </c>
      <c t="s" s="6" r="D1512">
        <v>57</v>
      </c>
      <c t="s" s="6" r="E1512">
        <v>10674</v>
      </c>
      <c t="s" s="6" r="F1512">
        <v>81</v>
      </c>
      <c t="s" s="6" r="G1512">
        <v>106</v>
      </c>
      <c s="6" r="H1512">
        <v>0</v>
      </c>
      <c t="s" s="6" r="I1512">
        <v>120</v>
      </c>
      <c t="s" s="6" r="L1512">
        <v>420</v>
      </c>
      <c t="s" s="6" r="M1512">
        <v>483</v>
      </c>
      <c s="6" r="N1512">
        <v>1</v>
      </c>
      <c s="6" r="O1512">
        <v>0</v>
      </c>
      <c t="s" s="6" r="P1512">
        <v>1227</v>
      </c>
      <c t="s" s="6" r="Q1512">
        <v>123</v>
      </c>
      <c t="s" s="6" r="R1512">
        <v>10675</v>
      </c>
      <c t="s" s="6" r="S1512">
        <v>10676</v>
      </c>
      <c t="s" s="6" r="T1512">
        <v>10367</v>
      </c>
      <c t="s" s="6" r="U1512">
        <v>10677</v>
      </c>
      <c s="6" r="V1512">
        <v>1</v>
      </c>
      <c s="6" r="W1512">
        <v>1</v>
      </c>
      <c s="6" r="X1512">
        <v>0</v>
      </c>
      <c s="6" r="Y1512">
        <v>0</v>
      </c>
      <c s="6" r="Z1512">
        <v>0</v>
      </c>
      <c s="6" r="AA1512">
        <v>2</v>
      </c>
      <c s="6" r="AB1512">
        <v>2</v>
      </c>
      <c s="6" r="AC1512">
        <v>2</v>
      </c>
      <c t="s" s="6" r="AD1512">
        <v>92</v>
      </c>
      <c t="s" s="6" r="AE1512">
        <v>92</v>
      </c>
      <c t="s" s="6" r="AF1512">
        <v>92</v>
      </c>
      <c t="s" s="6" r="AG1512">
        <v>92</v>
      </c>
      <c s="6" r="AH1512">
        <v>2</v>
      </c>
      <c t="s" s="6" r="AI1512">
        <v>92</v>
      </c>
      <c s="6" r="AJ1512">
        <v>2</v>
      </c>
      <c t="s" s="6" r="AK1512">
        <v>92</v>
      </c>
      <c s="6" r="AL1512">
        <v>2</v>
      </c>
      <c s="6" r="AM1512">
        <v>1</v>
      </c>
      <c s="6" r="AN1512">
        <v>2</v>
      </c>
      <c s="6" r="AP1512">
        <v>2</v>
      </c>
      <c s="6" r="AS1512">
        <v>0</v>
      </c>
      <c s="6" r="AT1512">
        <v>0</v>
      </c>
      <c s="6" r="AU1512">
        <v>0</v>
      </c>
      <c s="6" r="AV1512">
        <v>0</v>
      </c>
      <c s="6" r="AW1512">
        <v>0</v>
      </c>
      <c s="6" r="AX1512">
        <v>0</v>
      </c>
      <c s="6" r="AY1512">
        <v>0</v>
      </c>
      <c s="6" r="AZ1512">
        <v>0</v>
      </c>
      <c s="6" r="BA1512">
        <v>0</v>
      </c>
      <c s="6" r="BB1512">
        <v>0</v>
      </c>
      <c s="6" r="BC1512">
        <v>0</v>
      </c>
      <c s="6" r="BD1512">
        <v>0</v>
      </c>
      <c s="6" r="BE1512">
        <v>0</v>
      </c>
      <c s="6" r="BF1512">
        <v>1</v>
      </c>
      <c s="6" r="BG1512">
        <v>0</v>
      </c>
      <c s="6" r="BH1512">
        <v>0</v>
      </c>
      <c s="6" r="BI1512">
        <v>0</v>
      </c>
      <c s="6" r="BJ1512">
        <v>0</v>
      </c>
      <c s="6" r="BK1512">
        <v>0</v>
      </c>
      <c s="6" r="BL1512">
        <v>0</v>
      </c>
      <c s="6" r="BM1512">
        <v>0</v>
      </c>
      <c s="6" r="BN1512">
        <v>0</v>
      </c>
      <c s="6" r="BO1512">
        <v>0</v>
      </c>
      <c s="6" r="BP1512">
        <v>0</v>
      </c>
      <c s="6" r="BQ1512">
        <v>0</v>
      </c>
      <c t="s" s="6" r="BR1512">
        <v>92</v>
      </c>
      <c s="6" r="BS1512">
        <v>1535</v>
      </c>
      <c t="s" s="6" r="BT1512">
        <v>92</v>
      </c>
      <c s="6" r="BY1512">
        <v>0</v>
      </c>
    </row>
    <row customHeight="1" r="1513" ht="14.25">
      <c t="s" s="6" r="A1513">
        <v>10678</v>
      </c>
      <c t="s" s="6" r="B1513">
        <v>131</v>
      </c>
      <c t="s" s="6" r="E1513">
        <v>10679</v>
      </c>
      <c t="s" s="6" r="F1513">
        <v>81</v>
      </c>
      <c t="s" s="6" r="G1513">
        <v>106</v>
      </c>
      <c s="6" r="H1513">
        <v>0</v>
      </c>
      <c t="s" s="6" r="I1513">
        <v>97</v>
      </c>
      <c t="s" s="6" r="L1513">
        <v>10680</v>
      </c>
      <c t="s" s="6" r="M1513">
        <v>5513</v>
      </c>
      <c s="6" r="N1513">
        <v>1</v>
      </c>
      <c s="6" r="O1513">
        <v>0</v>
      </c>
      <c t="s" s="6" r="P1513">
        <v>421</v>
      </c>
      <c t="s" s="6" r="Q1513">
        <v>123</v>
      </c>
      <c t="s" s="6" r="R1513">
        <v>10681</v>
      </c>
      <c t="s" s="6" r="S1513">
        <v>10682</v>
      </c>
      <c t="s" s="6" r="T1513">
        <v>10367</v>
      </c>
      <c t="s" s="6" r="U1513">
        <v>10683</v>
      </c>
      <c s="6" r="V1513">
        <v>1</v>
      </c>
      <c s="6" r="W1513">
        <v>1</v>
      </c>
      <c s="6" r="X1513">
        <v>0</v>
      </c>
      <c s="6" r="Y1513">
        <v>0</v>
      </c>
      <c s="6" r="Z1513">
        <v>0</v>
      </c>
      <c s="6" r="AA1513">
        <v>3</v>
      </c>
      <c s="6" r="AB1513">
        <v>3</v>
      </c>
      <c s="6" r="AC1513">
        <v>3</v>
      </c>
      <c s="6" r="AD1513">
        <v>3</v>
      </c>
      <c s="6" r="AE1513">
        <v>2</v>
      </c>
      <c t="s" s="6" r="AF1513">
        <v>92</v>
      </c>
      <c t="s" s="6" r="AG1513">
        <v>92</v>
      </c>
      <c s="6" r="AH1513">
        <v>3</v>
      </c>
      <c t="s" s="6" r="AI1513">
        <v>92</v>
      </c>
      <c s="6" r="AJ1513">
        <v>3</v>
      </c>
      <c s="6" r="AK1513">
        <v>3</v>
      </c>
      <c s="6" r="AL1513">
        <v>3</v>
      </c>
      <c s="6" r="AM1513">
        <v>2</v>
      </c>
      <c t="s" s="6" r="AN1513">
        <v>92</v>
      </c>
      <c s="6" r="AP1513">
        <v>3</v>
      </c>
      <c s="6" r="AS1513">
        <v>0</v>
      </c>
      <c s="6" r="AT1513">
        <v>0</v>
      </c>
      <c s="6" r="AU1513">
        <v>0</v>
      </c>
      <c s="6" r="AV1513">
        <v>0</v>
      </c>
      <c s="6" r="AW1513">
        <v>0</v>
      </c>
      <c s="6" r="AX1513">
        <v>0</v>
      </c>
      <c s="6" r="AY1513">
        <v>0</v>
      </c>
      <c s="6" r="AZ1513">
        <v>0</v>
      </c>
      <c s="6" r="BA1513">
        <v>0</v>
      </c>
      <c s="6" r="BB1513">
        <v>0</v>
      </c>
      <c s="6" r="BC1513">
        <v>0</v>
      </c>
      <c s="6" r="BD1513">
        <v>0</v>
      </c>
      <c s="6" r="BE1513">
        <v>0</v>
      </c>
      <c s="6" r="BF1513">
        <v>0</v>
      </c>
      <c s="6" r="BG1513">
        <v>0</v>
      </c>
      <c s="6" r="BH1513">
        <v>0</v>
      </c>
      <c s="6" r="BI1513">
        <v>0</v>
      </c>
      <c s="6" r="BJ1513">
        <v>0</v>
      </c>
      <c s="6" r="BK1513">
        <v>0</v>
      </c>
      <c s="6" r="BL1513">
        <v>0</v>
      </c>
      <c s="6" r="BM1513">
        <v>0</v>
      </c>
      <c s="6" r="BN1513">
        <v>0</v>
      </c>
      <c s="6" r="BO1513">
        <v>0</v>
      </c>
      <c s="6" r="BP1513">
        <v>0</v>
      </c>
      <c s="6" r="BQ1513">
        <v>0</v>
      </c>
      <c t="s" s="6" r="BR1513">
        <v>92</v>
      </c>
      <c s="6" r="BS1513">
        <v>1536</v>
      </c>
      <c t="s" s="6" r="BT1513">
        <v>92</v>
      </c>
      <c s="6" r="BY1513">
        <v>0</v>
      </c>
    </row>
    <row customHeight="1" r="1514" ht="14.25">
      <c t="s" s="6" r="A1514">
        <v>10684</v>
      </c>
      <c t="s" s="6" r="B1514">
        <v>227</v>
      </c>
      <c t="s" s="6" r="D1514">
        <v>1177</v>
      </c>
      <c t="s" s="6" r="E1514">
        <v>10685</v>
      </c>
      <c t="s" s="6" r="F1514">
        <v>10686</v>
      </c>
      <c t="s" s="6" r="G1514">
        <v>10687</v>
      </c>
      <c s="6" r="H1514">
        <v>0</v>
      </c>
      <c t="s" s="6" r="I1514">
        <v>120</v>
      </c>
      <c t="s" s="6" r="L1514">
        <v>121</v>
      </c>
      <c t="s" s="6" r="M1514">
        <v>10688</v>
      </c>
      <c s="6" r="N1514">
        <v>0</v>
      </c>
      <c s="6" r="O1514">
        <v>0</v>
      </c>
      <c t="s" s="6" r="P1514">
        <v>86</v>
      </c>
      <c t="s" s="6" r="Q1514">
        <v>188</v>
      </c>
      <c t="s" s="6" r="R1514">
        <v>10689</v>
      </c>
      <c t="s" s="6" r="S1514">
        <v>10690</v>
      </c>
      <c t="s" s="6" r="T1514">
        <v>10367</v>
      </c>
      <c t="s" s="6" r="U1514">
        <v>10691</v>
      </c>
      <c s="6" r="V1514">
        <v>1</v>
      </c>
      <c s="6" r="W1514">
        <v>1</v>
      </c>
      <c s="6" r="X1514">
        <v>1</v>
      </c>
      <c s="6" r="Y1514">
        <v>0</v>
      </c>
      <c s="6" r="Z1514">
        <v>0</v>
      </c>
      <c t="s" s="6" r="AA1514">
        <v>92</v>
      </c>
      <c t="s" s="6" r="AB1514">
        <v>92</v>
      </c>
      <c s="6" r="AC1514">
        <v>2</v>
      </c>
      <c t="s" s="6" r="AD1514">
        <v>92</v>
      </c>
      <c t="s" s="6" r="AE1514">
        <v>92</v>
      </c>
      <c t="s" s="6" r="AF1514">
        <v>92</v>
      </c>
      <c t="s" s="6" r="AG1514">
        <v>92</v>
      </c>
      <c t="s" s="6" r="AH1514">
        <v>92</v>
      </c>
      <c t="s" s="6" r="AI1514">
        <v>92</v>
      </c>
      <c s="6" r="AJ1514">
        <v>2</v>
      </c>
      <c t="s" s="6" r="AK1514">
        <v>92</v>
      </c>
      <c s="6" r="AL1514">
        <v>2</v>
      </c>
      <c s="6" r="AM1514">
        <v>2</v>
      </c>
      <c t="s" s="6" r="AN1514">
        <v>92</v>
      </c>
      <c s="6" r="AP1514">
        <v>2</v>
      </c>
      <c s="6" r="AS1514">
        <v>0</v>
      </c>
      <c s="6" r="AT1514">
        <v>0</v>
      </c>
      <c s="6" r="AU1514">
        <v>0</v>
      </c>
      <c s="6" r="AV1514">
        <v>0</v>
      </c>
      <c s="6" r="AW1514">
        <v>0</v>
      </c>
      <c s="6" r="AX1514">
        <v>1</v>
      </c>
      <c s="6" r="AY1514">
        <v>0</v>
      </c>
      <c s="6" r="AZ1514">
        <v>0</v>
      </c>
      <c s="6" r="BA1514">
        <v>0</v>
      </c>
      <c s="6" r="BB1514">
        <v>0</v>
      </c>
      <c s="6" r="BC1514">
        <v>0</v>
      </c>
      <c s="6" r="BD1514">
        <v>1</v>
      </c>
      <c s="6" r="BE1514">
        <v>0</v>
      </c>
      <c s="6" r="BF1514">
        <v>0</v>
      </c>
      <c s="6" r="BG1514">
        <v>0</v>
      </c>
      <c s="6" r="BH1514">
        <v>0</v>
      </c>
      <c s="6" r="BI1514">
        <v>0</v>
      </c>
      <c s="6" r="BJ1514">
        <v>0</v>
      </c>
      <c s="6" r="BK1514">
        <v>0</v>
      </c>
      <c s="6" r="BL1514">
        <v>0</v>
      </c>
      <c s="6" r="BM1514">
        <v>0</v>
      </c>
      <c s="6" r="BN1514">
        <v>0</v>
      </c>
      <c s="6" r="BO1514">
        <v>0</v>
      </c>
      <c s="6" r="BP1514">
        <v>0</v>
      </c>
      <c s="6" r="BQ1514">
        <v>0</v>
      </c>
      <c t="s" s="6" r="BR1514">
        <v>92</v>
      </c>
      <c s="6" r="BS1514">
        <v>1537</v>
      </c>
      <c t="s" s="6" r="BT1514">
        <v>92</v>
      </c>
      <c s="6" r="BY1514">
        <v>0</v>
      </c>
    </row>
    <row customHeight="1" r="1515" ht="14.25">
      <c t="s" s="6" r="A1515">
        <v>10692</v>
      </c>
      <c t="s" s="6" r="B1515">
        <v>227</v>
      </c>
      <c t="s" s="6" r="D1515">
        <v>55</v>
      </c>
      <c t="s" s="6" r="E1515">
        <v>10693</v>
      </c>
      <c t="s" s="6" r="F1515">
        <v>293</v>
      </c>
      <c t="s" s="6" r="G1515">
        <v>10694</v>
      </c>
      <c s="6" r="H1515">
        <v>1</v>
      </c>
      <c t="s" s="6" r="I1515">
        <v>120</v>
      </c>
      <c t="s" s="6" r="L1515">
        <v>10695</v>
      </c>
      <c t="s" s="6" r="M1515">
        <v>10696</v>
      </c>
      <c s="6" r="N1515">
        <v>1</v>
      </c>
      <c s="6" r="O1515">
        <v>0</v>
      </c>
      <c t="s" s="6" r="P1515">
        <v>86</v>
      </c>
      <c t="s" s="6" r="Q1515">
        <v>87</v>
      </c>
      <c t="s" s="6" r="R1515">
        <v>10697</v>
      </c>
      <c t="s" s="6" r="S1515">
        <v>10698</v>
      </c>
      <c t="s" s="6" r="T1515">
        <v>10367</v>
      </c>
      <c t="s" s="6" r="U1515">
        <v>10699</v>
      </c>
      <c s="6" r="V1515">
        <v>1</v>
      </c>
      <c s="6" r="W1515">
        <v>1</v>
      </c>
      <c s="6" r="X1515">
        <v>1</v>
      </c>
      <c s="6" r="Y1515">
        <v>0</v>
      </c>
      <c s="6" r="Z1515">
        <v>0</v>
      </c>
      <c s="6" r="AA1515">
        <v>2</v>
      </c>
      <c s="6" r="AB1515">
        <v>2</v>
      </c>
      <c s="6" r="AC1515">
        <v>2</v>
      </c>
      <c t="s" s="6" r="AD1515">
        <v>92</v>
      </c>
      <c t="s" s="6" r="AE1515">
        <v>92</v>
      </c>
      <c t="s" s="6" r="AF1515">
        <v>92</v>
      </c>
      <c t="s" s="6" r="AG1515">
        <v>92</v>
      </c>
      <c t="s" s="6" r="AH1515">
        <v>92</v>
      </c>
      <c t="s" s="6" r="AI1515">
        <v>92</v>
      </c>
      <c s="6" r="AJ1515">
        <v>2</v>
      </c>
      <c t="s" s="6" r="AK1515">
        <v>92</v>
      </c>
      <c s="6" r="AL1515">
        <v>2</v>
      </c>
      <c s="6" r="AM1515">
        <v>1</v>
      </c>
      <c t="s" s="6" r="AN1515">
        <v>92</v>
      </c>
      <c s="6" r="AP1515">
        <v>2</v>
      </c>
      <c s="6" r="AS1515">
        <v>0</v>
      </c>
      <c s="6" r="AT1515">
        <v>0</v>
      </c>
      <c s="6" r="AU1515">
        <v>0</v>
      </c>
      <c s="6" r="AV1515">
        <v>0</v>
      </c>
      <c s="6" r="AW1515">
        <v>0</v>
      </c>
      <c s="6" r="AX1515">
        <v>0</v>
      </c>
      <c s="6" r="AY1515">
        <v>0</v>
      </c>
      <c s="6" r="AZ1515">
        <v>0</v>
      </c>
      <c s="6" r="BA1515">
        <v>0</v>
      </c>
      <c s="6" r="BB1515">
        <v>0</v>
      </c>
      <c s="6" r="BC1515">
        <v>0</v>
      </c>
      <c s="6" r="BD1515">
        <v>1</v>
      </c>
      <c s="6" r="BE1515">
        <v>0</v>
      </c>
      <c s="6" r="BF1515">
        <v>0</v>
      </c>
      <c s="6" r="BG1515">
        <v>0</v>
      </c>
      <c s="6" r="BH1515">
        <v>0</v>
      </c>
      <c s="6" r="BI1515">
        <v>0</v>
      </c>
      <c s="6" r="BJ1515">
        <v>0</v>
      </c>
      <c s="6" r="BK1515">
        <v>0</v>
      </c>
      <c s="6" r="BL1515">
        <v>0</v>
      </c>
      <c s="6" r="BM1515">
        <v>0</v>
      </c>
      <c s="6" r="BN1515">
        <v>0</v>
      </c>
      <c s="6" r="BO1515">
        <v>0</v>
      </c>
      <c s="6" r="BP1515">
        <v>0</v>
      </c>
      <c s="6" r="BQ1515">
        <v>0</v>
      </c>
      <c t="s" s="6" r="BR1515">
        <v>92</v>
      </c>
      <c s="6" r="BS1515">
        <v>1538</v>
      </c>
      <c s="6" r="BT1515">
        <v>10</v>
      </c>
      <c s="6" r="BY1515">
        <v>0</v>
      </c>
    </row>
    <row customHeight="1" r="1516" ht="14.25">
      <c t="s" s="6" r="A1516">
        <v>10700</v>
      </c>
      <c t="s" s="6" r="B1516">
        <v>131</v>
      </c>
      <c t="s" s="6" r="D1516">
        <v>52</v>
      </c>
      <c t="s" s="6" r="E1516">
        <v>5833</v>
      </c>
      <c t="s" s="6" r="F1516">
        <v>81</v>
      </c>
      <c t="s" s="6" r="G1516">
        <v>119</v>
      </c>
      <c s="6" r="H1516">
        <v>0</v>
      </c>
      <c t="s" s="6" r="I1516">
        <v>107</v>
      </c>
      <c t="s" s="6" r="L1516">
        <v>10701</v>
      </c>
      <c t="s" s="6" r="M1516">
        <v>99</v>
      </c>
      <c s="6" r="N1516">
        <v>0</v>
      </c>
      <c s="6" r="O1516">
        <v>0</v>
      </c>
      <c t="s" s="6" r="P1516">
        <v>187</v>
      </c>
      <c t="s" s="6" r="Q1516">
        <v>188</v>
      </c>
      <c t="s" s="6" r="R1516">
        <v>10702</v>
      </c>
      <c t="s" s="6" r="S1516">
        <v>10703</v>
      </c>
      <c t="s" s="6" r="T1516">
        <v>10367</v>
      </c>
      <c t="s" s="6" r="U1516">
        <v>10704</v>
      </c>
      <c s="6" r="V1516">
        <v>1</v>
      </c>
      <c s="6" r="W1516">
        <v>1</v>
      </c>
      <c s="6" r="X1516">
        <v>0</v>
      </c>
      <c s="6" r="Y1516">
        <v>0</v>
      </c>
      <c s="6" r="Z1516">
        <v>1</v>
      </c>
      <c t="s" s="6" r="AA1516">
        <v>92</v>
      </c>
      <c t="s" s="6" r="AB1516">
        <v>92</v>
      </c>
      <c t="s" s="6" r="AC1516">
        <v>92</v>
      </c>
      <c s="6" r="AD1516">
        <v>2</v>
      </c>
      <c t="s" s="6" r="AE1516">
        <v>92</v>
      </c>
      <c t="s" s="6" r="AF1516">
        <v>92</v>
      </c>
      <c t="s" s="6" r="AG1516">
        <v>92</v>
      </c>
      <c t="s" s="6" r="AH1516">
        <v>92</v>
      </c>
      <c t="s" s="6" r="AI1516">
        <v>92</v>
      </c>
      <c s="6" r="AJ1516">
        <v>2</v>
      </c>
      <c t="s" s="6" r="AK1516">
        <v>92</v>
      </c>
      <c t="s" s="6" r="AL1516">
        <v>92</v>
      </c>
      <c t="s" s="6" r="AM1516">
        <v>92</v>
      </c>
      <c t="s" s="6" r="AN1516">
        <v>92</v>
      </c>
      <c s="6" r="AP1516">
        <v>2</v>
      </c>
      <c s="6" r="AS1516">
        <v>0</v>
      </c>
      <c s="6" r="AT1516">
        <v>0</v>
      </c>
      <c s="6" r="AU1516">
        <v>0</v>
      </c>
      <c s="6" r="AV1516">
        <v>0</v>
      </c>
      <c s="6" r="AW1516">
        <v>0</v>
      </c>
      <c s="6" r="AX1516">
        <v>0</v>
      </c>
      <c s="6" r="AY1516">
        <v>0</v>
      </c>
      <c s="6" r="AZ1516">
        <v>0</v>
      </c>
      <c s="6" r="BA1516">
        <v>1</v>
      </c>
      <c s="6" r="BB1516">
        <v>0</v>
      </c>
      <c s="6" r="BC1516">
        <v>0</v>
      </c>
      <c s="6" r="BD1516">
        <v>0</v>
      </c>
      <c s="6" r="BE1516">
        <v>0</v>
      </c>
      <c s="6" r="BF1516">
        <v>0</v>
      </c>
      <c s="6" r="BG1516">
        <v>0</v>
      </c>
      <c s="6" r="BH1516">
        <v>0</v>
      </c>
      <c s="6" r="BI1516">
        <v>0</v>
      </c>
      <c s="6" r="BJ1516">
        <v>0</v>
      </c>
      <c s="6" r="BK1516">
        <v>0</v>
      </c>
      <c s="6" r="BL1516">
        <v>0</v>
      </c>
      <c s="6" r="BM1516">
        <v>0</v>
      </c>
      <c s="6" r="BN1516">
        <v>0</v>
      </c>
      <c s="6" r="BO1516">
        <v>0</v>
      </c>
      <c s="6" r="BP1516">
        <v>0</v>
      </c>
      <c s="6" r="BQ1516">
        <v>0</v>
      </c>
      <c t="s" s="6" r="BR1516">
        <v>92</v>
      </c>
      <c s="6" r="BS1516">
        <v>1539</v>
      </c>
      <c t="s" s="6" r="BT1516">
        <v>92</v>
      </c>
      <c s="6" r="BY1516">
        <v>0</v>
      </c>
    </row>
    <row customHeight="1" r="1517" ht="14.25">
      <c t="s" s="6" r="A1517">
        <v>10705</v>
      </c>
      <c t="s" s="6" r="B1517">
        <v>131</v>
      </c>
      <c t="s" s="6" r="D1517">
        <v>52</v>
      </c>
      <c t="s" s="6" r="E1517">
        <v>6688</v>
      </c>
      <c t="s" s="6" r="F1517">
        <v>81</v>
      </c>
      <c t="s" s="6" r="G1517">
        <v>119</v>
      </c>
      <c s="6" r="H1517">
        <v>0</v>
      </c>
      <c t="s" s="6" r="I1517">
        <v>107</v>
      </c>
      <c t="s" s="6" r="L1517">
        <v>3757</v>
      </c>
      <c t="s" s="6" r="M1517">
        <v>99</v>
      </c>
      <c s="6" r="N1517">
        <v>0</v>
      </c>
      <c s="6" r="O1517">
        <v>0</v>
      </c>
      <c t="s" s="6" r="P1517">
        <v>187</v>
      </c>
      <c t="s" s="6" r="Q1517">
        <v>188</v>
      </c>
      <c t="s" s="6" r="R1517">
        <v>10706</v>
      </c>
      <c t="s" s="6" r="S1517">
        <v>10707</v>
      </c>
      <c t="s" s="6" r="T1517">
        <v>10367</v>
      </c>
      <c t="s" s="6" r="U1517">
        <v>10708</v>
      </c>
      <c s="6" r="V1517">
        <v>1</v>
      </c>
      <c s="6" r="W1517">
        <v>1</v>
      </c>
      <c s="6" r="X1517">
        <v>0</v>
      </c>
      <c s="6" r="Y1517">
        <v>0</v>
      </c>
      <c s="6" r="Z1517">
        <v>1</v>
      </c>
      <c t="s" s="6" r="AA1517">
        <v>92</v>
      </c>
      <c t="s" s="6" r="AB1517">
        <v>92</v>
      </c>
      <c t="s" s="6" r="AC1517">
        <v>92</v>
      </c>
      <c s="6" r="AD1517">
        <v>6</v>
      </c>
      <c t="s" s="6" r="AE1517">
        <v>92</v>
      </c>
      <c t="s" s="6" r="AF1517">
        <v>92</v>
      </c>
      <c t="s" s="6" r="AG1517">
        <v>92</v>
      </c>
      <c t="s" s="6" r="AH1517">
        <v>92</v>
      </c>
      <c t="s" s="6" r="AI1517">
        <v>92</v>
      </c>
      <c s="6" r="AJ1517">
        <v>6</v>
      </c>
      <c t="s" s="6" r="AK1517">
        <v>92</v>
      </c>
      <c t="s" s="6" r="AL1517">
        <v>92</v>
      </c>
      <c t="s" s="6" r="AM1517">
        <v>92</v>
      </c>
      <c t="s" s="6" r="AN1517">
        <v>92</v>
      </c>
      <c s="6" r="AP1517">
        <v>6</v>
      </c>
      <c s="6" r="AS1517">
        <v>0</v>
      </c>
      <c s="6" r="AT1517">
        <v>0</v>
      </c>
      <c s="6" r="AU1517">
        <v>0</v>
      </c>
      <c s="6" r="AV1517">
        <v>0</v>
      </c>
      <c s="6" r="AW1517">
        <v>0</v>
      </c>
      <c s="6" r="AX1517">
        <v>0</v>
      </c>
      <c s="6" r="AY1517">
        <v>0</v>
      </c>
      <c s="6" r="AZ1517">
        <v>0</v>
      </c>
      <c s="6" r="BA1517">
        <v>1</v>
      </c>
      <c s="6" r="BB1517">
        <v>0</v>
      </c>
      <c s="6" r="BC1517">
        <v>0</v>
      </c>
      <c s="6" r="BD1517">
        <v>0</v>
      </c>
      <c s="6" r="BE1517">
        <v>0</v>
      </c>
      <c s="6" r="BF1517">
        <v>0</v>
      </c>
      <c s="6" r="BG1517">
        <v>0</v>
      </c>
      <c s="6" r="BH1517">
        <v>0</v>
      </c>
      <c s="6" r="BI1517">
        <v>0</v>
      </c>
      <c s="6" r="BJ1517">
        <v>0</v>
      </c>
      <c s="6" r="BK1517">
        <v>0</v>
      </c>
      <c s="6" r="BL1517">
        <v>0</v>
      </c>
      <c s="6" r="BM1517">
        <v>0</v>
      </c>
      <c s="6" r="BN1517">
        <v>0</v>
      </c>
      <c s="6" r="BO1517">
        <v>0</v>
      </c>
      <c s="6" r="BP1517">
        <v>0</v>
      </c>
      <c s="6" r="BQ1517">
        <v>0</v>
      </c>
      <c t="s" s="6" r="BR1517">
        <v>92</v>
      </c>
      <c s="6" r="BS1517">
        <v>1540</v>
      </c>
      <c t="s" s="6" r="BT1517">
        <v>92</v>
      </c>
      <c s="6" r="BY1517">
        <v>0</v>
      </c>
    </row>
    <row customHeight="1" r="1518" ht="14.25">
      <c t="s" s="6" r="A1518">
        <v>10709</v>
      </c>
      <c t="s" s="6" r="B1518">
        <v>78</v>
      </c>
      <c t="s" s="6" r="C1518">
        <v>79</v>
      </c>
      <c t="s" s="6" r="D1518">
        <v>52</v>
      </c>
      <c t="s" s="6" r="E1518">
        <v>2827</v>
      </c>
      <c t="s" s="6" r="F1518">
        <v>81</v>
      </c>
      <c t="s" s="6" r="G1518">
        <v>119</v>
      </c>
      <c s="6" r="H1518">
        <v>0</v>
      </c>
      <c t="s" s="6" r="I1518">
        <v>107</v>
      </c>
      <c t="s" s="6" r="L1518">
        <v>1235</v>
      </c>
      <c t="s" s="6" r="M1518">
        <v>109</v>
      </c>
      <c s="6" r="N1518">
        <v>0</v>
      </c>
      <c s="6" r="O1518">
        <v>0</v>
      </c>
      <c t="s" s="6" r="P1518">
        <v>86</v>
      </c>
      <c t="s" s="6" r="Q1518">
        <v>188</v>
      </c>
      <c t="s" s="6" r="R1518">
        <v>10710</v>
      </c>
      <c t="s" s="6" r="S1518">
        <v>10711</v>
      </c>
      <c t="s" s="6" r="T1518">
        <v>10367</v>
      </c>
      <c t="s" s="6" r="U1518">
        <v>10712</v>
      </c>
      <c s="6" r="V1518">
        <v>1</v>
      </c>
      <c s="6" r="W1518">
        <v>1</v>
      </c>
      <c s="6" r="X1518">
        <v>0</v>
      </c>
      <c s="6" r="Y1518">
        <v>0</v>
      </c>
      <c s="6" r="Z1518">
        <v>1</v>
      </c>
      <c t="s" s="6" r="AA1518">
        <v>92</v>
      </c>
      <c t="s" s="6" r="AB1518">
        <v>92</v>
      </c>
      <c s="6" r="AC1518">
        <v>1</v>
      </c>
      <c s="6" r="AD1518">
        <v>1</v>
      </c>
      <c t="s" s="6" r="AE1518">
        <v>92</v>
      </c>
      <c t="s" s="6" r="AF1518">
        <v>92</v>
      </c>
      <c t="s" s="6" r="AG1518">
        <v>92</v>
      </c>
      <c t="s" s="6" r="AH1518">
        <v>92</v>
      </c>
      <c t="s" s="6" r="AI1518">
        <v>92</v>
      </c>
      <c t="s" s="6" r="AJ1518">
        <v>92</v>
      </c>
      <c t="s" s="6" r="AK1518">
        <v>92</v>
      </c>
      <c s="6" r="AL1518">
        <v>1</v>
      </c>
      <c t="s" s="6" r="AM1518">
        <v>92</v>
      </c>
      <c t="s" s="6" r="AN1518">
        <v>92</v>
      </c>
      <c s="6" r="AP1518">
        <v>1</v>
      </c>
      <c s="6" r="AS1518">
        <v>0</v>
      </c>
      <c s="6" r="AT1518">
        <v>0</v>
      </c>
      <c s="6" r="AU1518">
        <v>0</v>
      </c>
      <c s="6" r="AV1518">
        <v>0</v>
      </c>
      <c s="6" r="AW1518">
        <v>0</v>
      </c>
      <c s="6" r="AX1518">
        <v>0</v>
      </c>
      <c s="6" r="AY1518">
        <v>0</v>
      </c>
      <c s="6" r="AZ1518">
        <v>0</v>
      </c>
      <c s="6" r="BA1518">
        <v>1</v>
      </c>
      <c s="6" r="BB1518">
        <v>0</v>
      </c>
      <c s="6" r="BC1518">
        <v>0</v>
      </c>
      <c s="6" r="BD1518">
        <v>0</v>
      </c>
      <c s="6" r="BE1518">
        <v>0</v>
      </c>
      <c s="6" r="BF1518">
        <v>0</v>
      </c>
      <c s="6" r="BG1518">
        <v>0</v>
      </c>
      <c s="6" r="BH1518">
        <v>0</v>
      </c>
      <c s="6" r="BI1518">
        <v>0</v>
      </c>
      <c s="6" r="BJ1518">
        <v>0</v>
      </c>
      <c s="6" r="BK1518">
        <v>0</v>
      </c>
      <c s="6" r="BL1518">
        <v>0</v>
      </c>
      <c s="6" r="BM1518">
        <v>0</v>
      </c>
      <c s="6" r="BN1518">
        <v>0</v>
      </c>
      <c s="6" r="BO1518">
        <v>0</v>
      </c>
      <c s="6" r="BP1518">
        <v>0</v>
      </c>
      <c s="6" r="BQ1518">
        <v>0</v>
      </c>
      <c t="s" s="6" r="BR1518">
        <v>92</v>
      </c>
      <c s="6" r="BS1518">
        <v>1541</v>
      </c>
      <c t="s" s="6" r="BT1518">
        <v>92</v>
      </c>
      <c t="s" s="6" r="BW1518">
        <v>10713</v>
      </c>
      <c s="6" r="BY1518">
        <v>1</v>
      </c>
    </row>
    <row customHeight="1" r="1519" ht="14.25">
      <c t="s" s="6" r="A1519">
        <v>10714</v>
      </c>
      <c t="s" s="6" r="B1519">
        <v>131</v>
      </c>
      <c t="s" s="6" r="D1519">
        <v>52</v>
      </c>
      <c t="s" s="6" r="E1519">
        <v>10715</v>
      </c>
      <c t="s" s="6" r="F1519">
        <v>272</v>
      </c>
      <c t="s" s="6" r="G1519">
        <v>119</v>
      </c>
      <c s="6" r="H1519">
        <v>0</v>
      </c>
      <c t="s" s="6" r="I1519">
        <v>107</v>
      </c>
      <c t="s" s="6" r="K1519">
        <v>10716</v>
      </c>
      <c t="s" s="6" r="M1519">
        <v>2957</v>
      </c>
      <c s="6" r="N1519">
        <v>0</v>
      </c>
      <c s="6" r="O1519">
        <v>0</v>
      </c>
      <c t="s" s="6" r="P1519">
        <v>86</v>
      </c>
      <c t="s" s="6" r="Q1519">
        <v>188</v>
      </c>
      <c t="s" s="6" r="R1519">
        <v>10717</v>
      </c>
      <c t="s" s="6" r="S1519">
        <v>10718</v>
      </c>
      <c t="s" s="6" r="T1519">
        <v>10367</v>
      </c>
      <c t="s" s="6" r="U1519">
        <v>10719</v>
      </c>
      <c s="6" r="V1519">
        <v>1</v>
      </c>
      <c s="6" r="W1519">
        <v>1</v>
      </c>
      <c s="6" r="X1519">
        <v>0</v>
      </c>
      <c s="6" r="Y1519">
        <v>0</v>
      </c>
      <c s="6" r="Z1519">
        <v>1</v>
      </c>
      <c s="6" r="AA1519">
        <v>3</v>
      </c>
      <c s="6" r="AB1519">
        <v>3</v>
      </c>
      <c s="6" r="AC1519">
        <v>3</v>
      </c>
      <c s="6" r="AD1519">
        <v>3</v>
      </c>
      <c t="s" s="6" r="AE1519">
        <v>92</v>
      </c>
      <c s="6" r="AF1519">
        <v>3</v>
      </c>
      <c t="s" s="6" r="AG1519">
        <v>92</v>
      </c>
      <c t="s" s="6" r="AH1519">
        <v>92</v>
      </c>
      <c t="s" s="6" r="AI1519">
        <v>92</v>
      </c>
      <c s="6" r="AJ1519">
        <v>3</v>
      </c>
      <c t="s" s="6" r="AK1519">
        <v>92</v>
      </c>
      <c s="6" r="AL1519">
        <v>3</v>
      </c>
      <c t="s" s="6" r="AM1519">
        <v>92</v>
      </c>
      <c t="s" s="6" r="AN1519">
        <v>92</v>
      </c>
      <c s="6" r="AP1519">
        <v>3</v>
      </c>
      <c s="6" r="AS1519">
        <v>0</v>
      </c>
      <c s="6" r="AT1519">
        <v>0</v>
      </c>
      <c s="6" r="AU1519">
        <v>0</v>
      </c>
      <c s="6" r="AV1519">
        <v>0</v>
      </c>
      <c s="6" r="AW1519">
        <v>0</v>
      </c>
      <c s="6" r="AX1519">
        <v>0</v>
      </c>
      <c s="6" r="AY1519">
        <v>0</v>
      </c>
      <c s="6" r="AZ1519">
        <v>0</v>
      </c>
      <c s="6" r="BA1519">
        <v>1</v>
      </c>
      <c s="6" r="BB1519">
        <v>0</v>
      </c>
      <c s="6" r="BC1519">
        <v>0</v>
      </c>
      <c s="6" r="BD1519">
        <v>0</v>
      </c>
      <c s="6" r="BE1519">
        <v>0</v>
      </c>
      <c s="6" r="BF1519">
        <v>0</v>
      </c>
      <c s="6" r="BG1519">
        <v>0</v>
      </c>
      <c s="6" r="BH1519">
        <v>0</v>
      </c>
      <c s="6" r="BI1519">
        <v>0</v>
      </c>
      <c s="6" r="BJ1519">
        <v>0</v>
      </c>
      <c s="6" r="BK1519">
        <v>0</v>
      </c>
      <c s="6" r="BL1519">
        <v>0</v>
      </c>
      <c s="6" r="BM1519">
        <v>0</v>
      </c>
      <c s="6" r="BN1519">
        <v>0</v>
      </c>
      <c s="6" r="BO1519">
        <v>0</v>
      </c>
      <c s="6" r="BP1519">
        <v>0</v>
      </c>
      <c s="6" r="BQ1519">
        <v>0</v>
      </c>
      <c t="s" s="6" r="BR1519">
        <v>92</v>
      </c>
      <c s="6" r="BS1519">
        <v>1542</v>
      </c>
      <c t="s" s="6" r="BT1519">
        <v>92</v>
      </c>
      <c s="6" r="BY1519">
        <v>0</v>
      </c>
    </row>
    <row customHeight="1" r="1520" ht="14.25">
      <c t="s" s="6" r="A1520">
        <v>10720</v>
      </c>
      <c t="s" s="6" r="B1520">
        <v>78</v>
      </c>
      <c t="s" s="6" r="C1520">
        <v>79</v>
      </c>
      <c t="s" s="6" r="D1520">
        <v>52</v>
      </c>
      <c t="s" s="6" r="E1520">
        <v>10721</v>
      </c>
      <c t="s" s="6" r="F1520">
        <v>1743</v>
      </c>
      <c t="s" s="6" r="G1520">
        <v>119</v>
      </c>
      <c s="6" r="H1520">
        <v>0</v>
      </c>
      <c t="s" s="6" r="I1520">
        <v>813</v>
      </c>
      <c t="s" s="6" r="K1520">
        <v>10722</v>
      </c>
      <c t="s" s="6" r="M1520">
        <v>272</v>
      </c>
      <c s="6" r="N1520">
        <v>0</v>
      </c>
      <c s="6" r="O1520">
        <v>0</v>
      </c>
      <c t="s" s="6" r="P1520">
        <v>86</v>
      </c>
      <c t="s" s="6" r="Q1520">
        <v>87</v>
      </c>
      <c t="s" s="6" r="R1520">
        <v>10723</v>
      </c>
      <c t="s" s="6" r="S1520">
        <v>10724</v>
      </c>
      <c t="s" s="6" r="T1520">
        <v>10367</v>
      </c>
      <c t="s" s="6" r="U1520">
        <v>10725</v>
      </c>
      <c s="6" r="V1520">
        <v>1</v>
      </c>
      <c s="6" r="W1520">
        <v>1</v>
      </c>
      <c s="6" r="X1520">
        <v>0</v>
      </c>
      <c s="6" r="Y1520">
        <v>0</v>
      </c>
      <c s="6" r="Z1520">
        <v>1</v>
      </c>
      <c s="6" r="AA1520">
        <v>1</v>
      </c>
      <c s="6" r="AB1520">
        <v>1</v>
      </c>
      <c s="6" r="AC1520">
        <v>1</v>
      </c>
      <c s="6" r="AD1520">
        <v>1</v>
      </c>
      <c t="s" s="6" r="AE1520">
        <v>92</v>
      </c>
      <c t="s" s="6" r="AF1520">
        <v>92</v>
      </c>
      <c t="s" s="6" r="AG1520">
        <v>92</v>
      </c>
      <c t="s" s="6" r="AH1520">
        <v>92</v>
      </c>
      <c s="6" r="AI1520">
        <v>1</v>
      </c>
      <c t="s" s="6" r="AJ1520">
        <v>92</v>
      </c>
      <c t="s" s="6" r="AK1520">
        <v>92</v>
      </c>
      <c s="6" r="AL1520">
        <v>1</v>
      </c>
      <c t="s" s="6" r="AM1520">
        <v>92</v>
      </c>
      <c s="6" r="AN1520">
        <v>2</v>
      </c>
      <c s="6" r="AP1520">
        <v>1</v>
      </c>
      <c s="6" r="AS1520">
        <v>0</v>
      </c>
      <c s="6" r="AT1520">
        <v>0</v>
      </c>
      <c s="6" r="AU1520">
        <v>0</v>
      </c>
      <c s="6" r="AV1520">
        <v>0</v>
      </c>
      <c s="6" r="AW1520">
        <v>0</v>
      </c>
      <c s="6" r="AX1520">
        <v>0</v>
      </c>
      <c s="6" r="AY1520">
        <v>0</v>
      </c>
      <c s="6" r="AZ1520">
        <v>0</v>
      </c>
      <c s="6" r="BA1520">
        <v>1</v>
      </c>
      <c s="6" r="BB1520">
        <v>0</v>
      </c>
      <c s="6" r="BC1520">
        <v>0</v>
      </c>
      <c s="6" r="BD1520">
        <v>0</v>
      </c>
      <c s="6" r="BE1520">
        <v>0</v>
      </c>
      <c s="6" r="BF1520">
        <v>0</v>
      </c>
      <c s="6" r="BG1520">
        <v>0</v>
      </c>
      <c s="6" r="BH1520">
        <v>0</v>
      </c>
      <c s="6" r="BI1520">
        <v>0</v>
      </c>
      <c s="6" r="BJ1520">
        <v>0</v>
      </c>
      <c s="6" r="BK1520">
        <v>0</v>
      </c>
      <c s="6" r="BL1520">
        <v>0</v>
      </c>
      <c s="6" r="BM1520">
        <v>0</v>
      </c>
      <c s="6" r="BN1520">
        <v>0</v>
      </c>
      <c s="6" r="BO1520">
        <v>0</v>
      </c>
      <c s="6" r="BP1520">
        <v>0</v>
      </c>
      <c s="6" r="BQ1520">
        <v>0</v>
      </c>
      <c t="s" s="6" r="BR1520">
        <v>92</v>
      </c>
      <c s="6" r="BS1520">
        <v>1543</v>
      </c>
      <c t="s" s="6" r="BT1520">
        <v>92</v>
      </c>
      <c s="6" r="BY1520">
        <v>0</v>
      </c>
    </row>
    <row customHeight="1" r="1521" ht="14.25">
      <c t="s" s="6" r="A1521">
        <v>10726</v>
      </c>
      <c t="s" s="6" r="B1521">
        <v>131</v>
      </c>
      <c t="s" s="6" r="E1521">
        <v>10727</v>
      </c>
      <c t="s" s="6" r="F1521">
        <v>81</v>
      </c>
      <c t="s" s="6" r="G1521">
        <v>106</v>
      </c>
      <c s="6" r="H1521">
        <v>0</v>
      </c>
      <c t="s" s="6" r="I1521">
        <v>120</v>
      </c>
      <c t="s" s="6" r="L1521">
        <v>10728</v>
      </c>
      <c t="s" s="6" r="M1521">
        <v>2718</v>
      </c>
      <c s="6" r="N1521">
        <v>0</v>
      </c>
      <c s="6" r="O1521">
        <v>0</v>
      </c>
      <c t="s" s="6" r="P1521">
        <v>5197</v>
      </c>
      <c t="s" s="6" r="Q1521">
        <v>188</v>
      </c>
      <c t="s" s="6" r="R1521">
        <v>10729</v>
      </c>
      <c t="s" s="6" r="S1521">
        <v>10730</v>
      </c>
      <c t="s" s="6" r="T1521">
        <v>10367</v>
      </c>
      <c t="s" s="6" r="U1521">
        <v>10731</v>
      </c>
      <c s="6" r="V1521">
        <v>1</v>
      </c>
      <c s="6" r="W1521">
        <v>1</v>
      </c>
      <c s="6" r="X1521">
        <v>0</v>
      </c>
      <c s="6" r="Y1521">
        <v>0</v>
      </c>
      <c s="6" r="Z1521">
        <v>0</v>
      </c>
      <c s="6" r="AA1521">
        <v>1</v>
      </c>
      <c s="6" r="AB1521">
        <v>1</v>
      </c>
      <c s="6" r="AC1521">
        <v>2</v>
      </c>
      <c t="s" s="6" r="AD1521">
        <v>92</v>
      </c>
      <c t="s" s="6" r="AE1521">
        <v>92</v>
      </c>
      <c t="s" s="6" r="AF1521">
        <v>92</v>
      </c>
      <c t="s" s="6" r="AG1521">
        <v>92</v>
      </c>
      <c t="s" s="6" r="AH1521">
        <v>92</v>
      </c>
      <c t="s" s="6" r="AI1521">
        <v>92</v>
      </c>
      <c s="6" r="AJ1521">
        <v>1</v>
      </c>
      <c t="s" s="6" r="AK1521">
        <v>92</v>
      </c>
      <c s="6" r="AL1521">
        <v>2</v>
      </c>
      <c t="s" s="6" r="AM1521">
        <v>92</v>
      </c>
      <c t="s" s="6" r="AN1521">
        <v>92</v>
      </c>
      <c s="6" r="AP1521">
        <v>1</v>
      </c>
      <c s="6" r="AS1521">
        <v>0</v>
      </c>
      <c s="6" r="AT1521">
        <v>0</v>
      </c>
      <c s="6" r="AU1521">
        <v>0</v>
      </c>
      <c s="6" r="AV1521">
        <v>0</v>
      </c>
      <c s="6" r="AW1521">
        <v>0</v>
      </c>
      <c s="6" r="AX1521">
        <v>0</v>
      </c>
      <c s="6" r="AY1521">
        <v>0</v>
      </c>
      <c s="6" r="AZ1521">
        <v>0</v>
      </c>
      <c s="6" r="BA1521">
        <v>0</v>
      </c>
      <c s="6" r="BB1521">
        <v>0</v>
      </c>
      <c s="6" r="BC1521">
        <v>0</v>
      </c>
      <c s="6" r="BD1521">
        <v>0</v>
      </c>
      <c s="6" r="BE1521">
        <v>0</v>
      </c>
      <c s="6" r="BF1521">
        <v>0</v>
      </c>
      <c s="6" r="BG1521">
        <v>0</v>
      </c>
      <c s="6" r="BH1521">
        <v>0</v>
      </c>
      <c s="6" r="BI1521">
        <v>0</v>
      </c>
      <c s="6" r="BJ1521">
        <v>0</v>
      </c>
      <c s="6" r="BK1521">
        <v>0</v>
      </c>
      <c s="6" r="BL1521">
        <v>0</v>
      </c>
      <c s="6" r="BM1521">
        <v>0</v>
      </c>
      <c s="6" r="BN1521">
        <v>0</v>
      </c>
      <c s="6" r="BO1521">
        <v>0</v>
      </c>
      <c s="6" r="BP1521">
        <v>0</v>
      </c>
      <c s="6" r="BQ1521">
        <v>0</v>
      </c>
      <c t="s" s="6" r="BR1521">
        <v>92</v>
      </c>
      <c s="6" r="BS1521">
        <v>1544</v>
      </c>
      <c t="s" s="6" r="BT1521">
        <v>92</v>
      </c>
      <c s="6" r="BY1521">
        <v>0</v>
      </c>
    </row>
    <row customHeight="1" r="1522" ht="14.25">
      <c t="s" s="6" r="A1522">
        <v>10732</v>
      </c>
      <c t="s" s="6" r="B1522">
        <v>78</v>
      </c>
      <c t="s" s="6" r="C1522">
        <v>598</v>
      </c>
      <c t="s" s="6" r="E1522">
        <v>10733</v>
      </c>
      <c t="s" s="6" r="F1522">
        <v>81</v>
      </c>
      <c t="s" s="6" r="G1522">
        <v>119</v>
      </c>
      <c s="6" r="H1522">
        <v>0</v>
      </c>
      <c t="s" s="6" r="I1522">
        <v>120</v>
      </c>
      <c t="s" s="6" r="L1522">
        <v>420</v>
      </c>
      <c t="s" s="6" r="M1522">
        <v>10734</v>
      </c>
      <c s="6" r="N1522">
        <v>0</v>
      </c>
      <c s="6" r="O1522">
        <v>0</v>
      </c>
      <c t="s" s="6" r="P1522">
        <v>1227</v>
      </c>
      <c t="s" s="6" r="Q1522">
        <v>123</v>
      </c>
      <c t="s" s="6" r="R1522">
        <v>10735</v>
      </c>
      <c t="s" s="6" r="S1522">
        <v>10736</v>
      </c>
      <c t="s" s="6" r="T1522">
        <v>10367</v>
      </c>
      <c t="s" s="6" r="U1522">
        <v>10737</v>
      </c>
      <c s="6" r="V1522">
        <v>1</v>
      </c>
      <c s="6" r="W1522">
        <v>1</v>
      </c>
      <c s="6" r="X1522">
        <v>0</v>
      </c>
      <c s="6" r="Y1522">
        <v>0</v>
      </c>
      <c s="6" r="Z1522">
        <v>1</v>
      </c>
      <c t="s" s="6" r="AA1522">
        <v>92</v>
      </c>
      <c t="s" s="6" r="AB1522">
        <v>92</v>
      </c>
      <c s="6" r="AC1522">
        <v>2</v>
      </c>
      <c s="6" r="AD1522">
        <v>2</v>
      </c>
      <c s="6" r="AE1522">
        <v>2</v>
      </c>
      <c t="s" s="6" r="AF1522">
        <v>92</v>
      </c>
      <c s="6" r="AG1522">
        <v>2</v>
      </c>
      <c s="6" r="AH1522">
        <v>2</v>
      </c>
      <c t="s" s="6" r="AI1522">
        <v>92</v>
      </c>
      <c s="6" r="AJ1522">
        <v>1</v>
      </c>
      <c s="6" r="AK1522">
        <v>2</v>
      </c>
      <c s="6" r="AL1522">
        <v>2</v>
      </c>
      <c t="s" s="6" r="AM1522">
        <v>92</v>
      </c>
      <c t="s" s="6" r="AN1522">
        <v>92</v>
      </c>
      <c s="6" r="AP1522">
        <v>2</v>
      </c>
      <c s="6" r="AS1522">
        <v>0</v>
      </c>
      <c s="6" r="AT1522">
        <v>0</v>
      </c>
      <c s="6" r="AU1522">
        <v>0</v>
      </c>
      <c s="6" r="AV1522">
        <v>0</v>
      </c>
      <c s="6" r="AW1522">
        <v>0</v>
      </c>
      <c s="6" r="AX1522">
        <v>0</v>
      </c>
      <c s="6" r="AY1522">
        <v>0</v>
      </c>
      <c s="6" r="AZ1522">
        <v>0</v>
      </c>
      <c s="6" r="BA1522">
        <v>0</v>
      </c>
      <c s="6" r="BB1522">
        <v>0</v>
      </c>
      <c s="6" r="BC1522">
        <v>0</v>
      </c>
      <c s="6" r="BD1522">
        <v>0</v>
      </c>
      <c s="6" r="BE1522">
        <v>0</v>
      </c>
      <c s="6" r="BF1522">
        <v>0</v>
      </c>
      <c s="6" r="BG1522">
        <v>0</v>
      </c>
      <c s="6" r="BH1522">
        <v>0</v>
      </c>
      <c s="6" r="BI1522">
        <v>0</v>
      </c>
      <c s="6" r="BJ1522">
        <v>0</v>
      </c>
      <c s="6" r="BK1522">
        <v>0</v>
      </c>
      <c s="6" r="BL1522">
        <v>0</v>
      </c>
      <c s="6" r="BM1522">
        <v>0</v>
      </c>
      <c s="6" r="BN1522">
        <v>0</v>
      </c>
      <c s="6" r="BO1522">
        <v>0</v>
      </c>
      <c s="6" r="BP1522">
        <v>0</v>
      </c>
      <c s="6" r="BQ1522">
        <v>0</v>
      </c>
      <c t="s" s="6" r="BR1522">
        <v>92</v>
      </c>
      <c s="6" r="BS1522">
        <v>1545</v>
      </c>
      <c t="s" s="6" r="BT1522">
        <v>92</v>
      </c>
      <c s="6" r="BY1522">
        <v>0</v>
      </c>
    </row>
    <row customHeight="1" r="1523" ht="14.25">
      <c t="s" s="6" r="A1523">
        <v>10738</v>
      </c>
      <c t="s" s="6" r="B1523">
        <v>131</v>
      </c>
      <c t="s" s="6" r="D1523">
        <v>51</v>
      </c>
      <c t="s" s="6" r="E1523">
        <v>10739</v>
      </c>
      <c t="s" s="6" r="F1523">
        <v>81</v>
      </c>
      <c t="s" s="6" r="G1523">
        <v>106</v>
      </c>
      <c s="6" r="H1523">
        <v>0</v>
      </c>
      <c t="s" s="6" r="I1523">
        <v>155</v>
      </c>
      <c t="s" s="6" r="L1523">
        <v>156</v>
      </c>
      <c t="s" s="6" r="M1523">
        <v>99</v>
      </c>
      <c s="6" r="N1523">
        <v>0</v>
      </c>
      <c s="6" r="O1523">
        <v>0</v>
      </c>
      <c t="s" s="6" r="P1523">
        <v>3271</v>
      </c>
      <c t="s" s="6" r="Q1523">
        <v>188</v>
      </c>
      <c t="s" s="6" r="R1523">
        <v>10740</v>
      </c>
      <c t="s" s="6" r="S1523">
        <v>10741</v>
      </c>
      <c t="s" s="6" r="T1523">
        <v>10367</v>
      </c>
      <c t="s" s="6" r="U1523">
        <v>10742</v>
      </c>
      <c s="6" r="V1523">
        <v>1</v>
      </c>
      <c s="6" r="W1523">
        <v>1</v>
      </c>
      <c s="6" r="X1523">
        <v>0</v>
      </c>
      <c s="6" r="Y1523">
        <v>0</v>
      </c>
      <c s="6" r="Z1523">
        <v>0</v>
      </c>
      <c t="s" s="6" r="AA1523">
        <v>92</v>
      </c>
      <c t="s" s="6" r="AB1523">
        <v>92</v>
      </c>
      <c t="s" s="6" r="AC1523">
        <v>92</v>
      </c>
      <c s="6" r="AD1523">
        <v>2</v>
      </c>
      <c s="6" r="AE1523">
        <v>4</v>
      </c>
      <c t="s" s="6" r="AF1523">
        <v>92</v>
      </c>
      <c t="s" s="6" r="AG1523">
        <v>92</v>
      </c>
      <c s="6" r="AH1523">
        <v>2</v>
      </c>
      <c t="s" s="6" r="AI1523">
        <v>92</v>
      </c>
      <c s="6" r="AJ1523">
        <v>2</v>
      </c>
      <c t="s" s="6" r="AK1523">
        <v>92</v>
      </c>
      <c t="s" s="6" r="AL1523">
        <v>92</v>
      </c>
      <c s="6" r="AM1523">
        <v>2</v>
      </c>
      <c s="6" r="AN1523">
        <v>3</v>
      </c>
      <c s="6" r="AP1523">
        <v>2</v>
      </c>
      <c s="6" r="AS1523">
        <v>0</v>
      </c>
      <c s="6" r="AT1523">
        <v>0</v>
      </c>
      <c s="6" r="AU1523">
        <v>0</v>
      </c>
      <c s="6" r="AV1523">
        <v>0</v>
      </c>
      <c s="6" r="AW1523">
        <v>0</v>
      </c>
      <c s="6" r="AX1523">
        <v>0</v>
      </c>
      <c s="6" r="AY1523">
        <v>0</v>
      </c>
      <c s="6" r="AZ1523">
        <v>1</v>
      </c>
      <c s="6" r="BA1523">
        <v>0</v>
      </c>
      <c s="6" r="BB1523">
        <v>0</v>
      </c>
      <c s="6" r="BC1523">
        <v>0</v>
      </c>
      <c s="6" r="BD1523">
        <v>0</v>
      </c>
      <c s="6" r="BE1523">
        <v>0</v>
      </c>
      <c s="6" r="BF1523">
        <v>0</v>
      </c>
      <c s="6" r="BG1523">
        <v>0</v>
      </c>
      <c s="6" r="BH1523">
        <v>0</v>
      </c>
      <c s="6" r="BI1523">
        <v>0</v>
      </c>
      <c s="6" r="BJ1523">
        <v>0</v>
      </c>
      <c s="6" r="BK1523">
        <v>0</v>
      </c>
      <c s="6" r="BL1523">
        <v>0</v>
      </c>
      <c s="6" r="BM1523">
        <v>0</v>
      </c>
      <c s="6" r="BN1523">
        <v>0</v>
      </c>
      <c s="6" r="BO1523">
        <v>0</v>
      </c>
      <c s="6" r="BP1523">
        <v>0</v>
      </c>
      <c s="6" r="BQ1523">
        <v>0</v>
      </c>
      <c t="s" s="6" r="BR1523">
        <v>92</v>
      </c>
      <c s="6" r="BS1523">
        <v>1546</v>
      </c>
      <c t="s" s="6" r="BT1523">
        <v>92</v>
      </c>
      <c s="6" r="BY1523">
        <v>0</v>
      </c>
    </row>
    <row customHeight="1" r="1524" ht="14.25">
      <c t="s" s="6" r="A1524">
        <v>10743</v>
      </c>
      <c t="s" s="6" r="B1524">
        <v>131</v>
      </c>
      <c t="s" s="6" r="D1524">
        <v>45</v>
      </c>
      <c t="s" s="6" r="E1524">
        <v>10744</v>
      </c>
      <c t="s" s="6" r="F1524">
        <v>81</v>
      </c>
      <c t="s" s="6" r="G1524">
        <v>106</v>
      </c>
      <c s="6" r="H1524">
        <v>0</v>
      </c>
      <c t="s" s="6" r="I1524">
        <v>107</v>
      </c>
      <c t="s" s="6" r="L1524">
        <v>10745</v>
      </c>
      <c t="s" s="6" r="M1524">
        <v>8580</v>
      </c>
      <c s="6" r="N1524">
        <v>0</v>
      </c>
      <c s="6" r="O1524">
        <v>0</v>
      </c>
      <c t="s" s="6" r="P1524">
        <v>141</v>
      </c>
      <c t="s" s="6" r="Q1524">
        <v>87</v>
      </c>
      <c t="s" s="6" r="R1524">
        <v>10746</v>
      </c>
      <c t="s" s="6" r="S1524">
        <v>10747</v>
      </c>
      <c t="s" s="6" r="T1524">
        <v>10367</v>
      </c>
      <c t="s" s="6" r="U1524">
        <v>10748</v>
      </c>
      <c s="6" r="V1524">
        <v>1</v>
      </c>
      <c s="6" r="W1524">
        <v>1</v>
      </c>
      <c s="6" r="X1524">
        <v>0</v>
      </c>
      <c s="6" r="Y1524">
        <v>0</v>
      </c>
      <c s="6" r="Z1524">
        <v>0</v>
      </c>
      <c s="6" r="AA1524">
        <v>4</v>
      </c>
      <c s="6" r="AB1524">
        <v>4</v>
      </c>
      <c t="s" s="6" r="AC1524">
        <v>92</v>
      </c>
      <c s="6" r="AD1524">
        <v>4</v>
      </c>
      <c t="s" s="6" r="AE1524">
        <v>92</v>
      </c>
      <c t="s" s="6" r="AF1524">
        <v>92</v>
      </c>
      <c t="s" s="6" r="AG1524">
        <v>92</v>
      </c>
      <c s="6" r="AH1524">
        <v>4</v>
      </c>
      <c t="s" s="6" r="AI1524">
        <v>92</v>
      </c>
      <c t="s" s="6" r="AJ1524">
        <v>92</v>
      </c>
      <c t="s" s="6" r="AK1524">
        <v>92</v>
      </c>
      <c t="s" s="6" r="AL1524">
        <v>92</v>
      </c>
      <c t="s" s="6" r="AM1524">
        <v>92</v>
      </c>
      <c t="s" s="6" r="AN1524">
        <v>92</v>
      </c>
      <c s="6" r="AP1524">
        <v>4</v>
      </c>
      <c s="6" r="AS1524">
        <v>0</v>
      </c>
      <c s="6" r="AT1524">
        <v>1</v>
      </c>
      <c s="6" r="AU1524">
        <v>0</v>
      </c>
      <c s="6" r="AV1524">
        <v>0</v>
      </c>
      <c s="6" r="AW1524">
        <v>0</v>
      </c>
      <c s="6" r="AX1524">
        <v>0</v>
      </c>
      <c s="6" r="AY1524">
        <v>0</v>
      </c>
      <c s="6" r="AZ1524">
        <v>0</v>
      </c>
      <c s="6" r="BA1524">
        <v>0</v>
      </c>
      <c s="6" r="BB1524">
        <v>0</v>
      </c>
      <c s="6" r="BC1524">
        <v>0</v>
      </c>
      <c s="6" r="BD1524">
        <v>0</v>
      </c>
      <c s="6" r="BE1524">
        <v>0</v>
      </c>
      <c s="6" r="BF1524">
        <v>0</v>
      </c>
      <c s="6" r="BG1524">
        <v>0</v>
      </c>
      <c s="6" r="BH1524">
        <v>0</v>
      </c>
      <c s="6" r="BI1524">
        <v>0</v>
      </c>
      <c s="6" r="BJ1524">
        <v>0</v>
      </c>
      <c s="6" r="BK1524">
        <v>0</v>
      </c>
      <c s="6" r="BL1524">
        <v>0</v>
      </c>
      <c s="6" r="BM1524">
        <v>0</v>
      </c>
      <c s="6" r="BN1524">
        <v>0</v>
      </c>
      <c s="6" r="BO1524">
        <v>0</v>
      </c>
      <c s="6" r="BP1524">
        <v>0</v>
      </c>
      <c s="6" r="BQ1524">
        <v>0</v>
      </c>
      <c t="s" s="6" r="BR1524">
        <v>92</v>
      </c>
      <c s="6" r="BS1524">
        <v>1547</v>
      </c>
      <c t="s" s="6" r="BT1524">
        <v>92</v>
      </c>
      <c s="6" r="BY1524">
        <v>0</v>
      </c>
    </row>
    <row customHeight="1" r="1525" ht="14.25">
      <c t="s" s="6" r="A1525">
        <v>10749</v>
      </c>
      <c t="s" s="6" r="B1525">
        <v>131</v>
      </c>
      <c t="s" s="6" r="D1525">
        <v>45</v>
      </c>
      <c t="s" s="6" r="E1525">
        <v>10750</v>
      </c>
      <c t="s" s="6" r="F1525">
        <v>81</v>
      </c>
      <c t="s" s="6" r="G1525">
        <v>2002</v>
      </c>
      <c s="6" r="H1525">
        <v>0</v>
      </c>
      <c t="s" s="6" r="I1525">
        <v>155</v>
      </c>
      <c t="s" s="6" r="L1525">
        <v>156</v>
      </c>
      <c t="s" s="6" r="M1525">
        <v>5954</v>
      </c>
      <c s="6" r="N1525">
        <v>1</v>
      </c>
      <c s="6" r="O1525">
        <v>0</v>
      </c>
      <c t="s" s="6" r="P1525">
        <v>86</v>
      </c>
      <c t="s" s="6" r="Q1525">
        <v>87</v>
      </c>
      <c t="s" s="6" r="R1525">
        <v>10751</v>
      </c>
      <c t="s" s="6" r="S1525">
        <v>10752</v>
      </c>
      <c t="s" s="6" r="T1525">
        <v>10367</v>
      </c>
      <c t="s" s="6" r="U1525">
        <v>10753</v>
      </c>
      <c s="6" r="V1525">
        <v>0</v>
      </c>
      <c s="6" r="W1525">
        <v>1</v>
      </c>
      <c s="6" r="X1525">
        <v>1</v>
      </c>
      <c s="6" r="Y1525">
        <v>0</v>
      </c>
      <c s="6" r="Z1525">
        <v>1</v>
      </c>
      <c s="6" r="AA1525">
        <v>4</v>
      </c>
      <c s="6" r="AB1525">
        <v>4</v>
      </c>
      <c t="s" s="6" r="AC1525">
        <v>92</v>
      </c>
      <c s="6" r="AD1525">
        <v>4</v>
      </c>
      <c s="6" r="AE1525">
        <v>4</v>
      </c>
      <c t="s" s="6" r="AF1525">
        <v>92</v>
      </c>
      <c t="s" s="6" r="AG1525">
        <v>92</v>
      </c>
      <c t="s" s="6" r="AH1525">
        <v>92</v>
      </c>
      <c t="s" s="6" r="AI1525">
        <v>92</v>
      </c>
      <c t="s" s="6" r="AJ1525">
        <v>92</v>
      </c>
      <c t="s" s="6" r="AK1525">
        <v>92</v>
      </c>
      <c t="s" s="6" r="AL1525">
        <v>92</v>
      </c>
      <c t="s" s="6" r="AM1525">
        <v>92</v>
      </c>
      <c t="s" s="6" r="AN1525">
        <v>92</v>
      </c>
      <c s="6" r="AP1525">
        <v>4</v>
      </c>
      <c s="6" r="AS1525">
        <v>0</v>
      </c>
      <c s="6" r="AT1525">
        <v>1</v>
      </c>
      <c s="6" r="AU1525">
        <v>0</v>
      </c>
      <c s="6" r="AV1525">
        <v>0</v>
      </c>
      <c s="6" r="AW1525">
        <v>0</v>
      </c>
      <c s="6" r="AX1525">
        <v>0</v>
      </c>
      <c s="6" r="AY1525">
        <v>0</v>
      </c>
      <c s="6" r="AZ1525">
        <v>0</v>
      </c>
      <c s="6" r="BA1525">
        <v>0</v>
      </c>
      <c s="6" r="BB1525">
        <v>0</v>
      </c>
      <c s="6" r="BC1525">
        <v>0</v>
      </c>
      <c s="6" r="BD1525">
        <v>0</v>
      </c>
      <c s="6" r="BE1525">
        <v>0</v>
      </c>
      <c s="6" r="BF1525">
        <v>0</v>
      </c>
      <c s="6" r="BG1525">
        <v>0</v>
      </c>
      <c s="6" r="BH1525">
        <v>0</v>
      </c>
      <c s="6" r="BI1525">
        <v>0</v>
      </c>
      <c s="6" r="BJ1525">
        <v>0</v>
      </c>
      <c s="6" r="BK1525">
        <v>0</v>
      </c>
      <c s="6" r="BL1525">
        <v>0</v>
      </c>
      <c s="6" r="BM1525">
        <v>0</v>
      </c>
      <c s="6" r="BN1525">
        <v>0</v>
      </c>
      <c s="6" r="BO1525">
        <v>0</v>
      </c>
      <c s="6" r="BP1525">
        <v>0</v>
      </c>
      <c s="6" r="BQ1525">
        <v>0</v>
      </c>
      <c t="s" s="6" r="BR1525">
        <v>92</v>
      </c>
      <c s="6" r="BS1525">
        <v>1548</v>
      </c>
      <c t="s" s="6" r="BT1525">
        <v>92</v>
      </c>
      <c s="6" r="BY1525">
        <v>0</v>
      </c>
    </row>
    <row customHeight="1" r="1526" ht="14.25">
      <c t="s" s="6" r="A1526">
        <v>10754</v>
      </c>
      <c t="s" s="6" r="B1526">
        <v>493</v>
      </c>
      <c t="s" s="6" r="D1526">
        <v>45</v>
      </c>
      <c t="s" s="6" r="E1526">
        <v>7703</v>
      </c>
      <c t="s" s="6" r="F1526">
        <v>81</v>
      </c>
      <c t="s" s="6" r="G1526">
        <v>106</v>
      </c>
      <c s="6" r="H1526">
        <v>0</v>
      </c>
      <c t="s" s="6" r="I1526">
        <v>97</v>
      </c>
      <c t="s" s="6" r="K1526">
        <v>10755</v>
      </c>
      <c t="s" s="6" r="M1526">
        <v>99</v>
      </c>
      <c s="6" r="N1526">
        <v>0</v>
      </c>
      <c s="6" r="O1526">
        <v>0</v>
      </c>
      <c t="s" s="6" r="P1526">
        <v>10756</v>
      </c>
      <c t="s" s="6" r="Q1526">
        <v>188</v>
      </c>
      <c t="s" s="6" r="R1526">
        <v>10757</v>
      </c>
      <c t="s" s="6" r="S1526">
        <v>10758</v>
      </c>
      <c t="s" s="6" r="T1526">
        <v>10367</v>
      </c>
      <c t="s" s="6" r="U1526">
        <v>10759</v>
      </c>
      <c s="6" r="V1526">
        <v>1</v>
      </c>
      <c s="6" r="W1526">
        <v>1</v>
      </c>
      <c s="6" r="X1526">
        <v>0</v>
      </c>
      <c s="6" r="Y1526">
        <v>0</v>
      </c>
      <c s="6" r="Z1526">
        <v>0</v>
      </c>
      <c s="6" r="AA1526">
        <v>2</v>
      </c>
      <c s="6" r="AB1526">
        <v>2</v>
      </c>
      <c t="s" s="6" r="AC1526">
        <v>92</v>
      </c>
      <c s="6" r="AD1526">
        <v>2</v>
      </c>
      <c t="s" s="6" r="AE1526">
        <v>92</v>
      </c>
      <c t="s" s="6" r="AF1526">
        <v>92</v>
      </c>
      <c t="s" s="6" r="AG1526">
        <v>92</v>
      </c>
      <c t="s" s="6" r="AH1526">
        <v>92</v>
      </c>
      <c t="s" s="6" r="AI1526">
        <v>92</v>
      </c>
      <c t="s" s="6" r="AJ1526">
        <v>92</v>
      </c>
      <c t="s" s="6" r="AK1526">
        <v>92</v>
      </c>
      <c t="s" s="6" r="AL1526">
        <v>92</v>
      </c>
      <c t="s" s="6" r="AM1526">
        <v>92</v>
      </c>
      <c s="6" r="AN1526">
        <v>2</v>
      </c>
      <c s="6" r="AP1526">
        <v>2</v>
      </c>
      <c s="6" r="AS1526">
        <v>0</v>
      </c>
      <c s="6" r="AT1526">
        <v>1</v>
      </c>
      <c s="6" r="AU1526">
        <v>0</v>
      </c>
      <c s="6" r="AV1526">
        <v>0</v>
      </c>
      <c s="6" r="AW1526">
        <v>0</v>
      </c>
      <c s="6" r="AX1526">
        <v>0</v>
      </c>
      <c s="6" r="AY1526">
        <v>0</v>
      </c>
      <c s="6" r="AZ1526">
        <v>0</v>
      </c>
      <c s="6" r="BA1526">
        <v>0</v>
      </c>
      <c s="6" r="BB1526">
        <v>0</v>
      </c>
      <c s="6" r="BC1526">
        <v>0</v>
      </c>
      <c s="6" r="BD1526">
        <v>0</v>
      </c>
      <c s="6" r="BE1526">
        <v>0</v>
      </c>
      <c s="6" r="BF1526">
        <v>0</v>
      </c>
      <c s="6" r="BG1526">
        <v>0</v>
      </c>
      <c s="6" r="BH1526">
        <v>0</v>
      </c>
      <c s="6" r="BI1526">
        <v>0</v>
      </c>
      <c s="6" r="BJ1526">
        <v>0</v>
      </c>
      <c s="6" r="BK1526">
        <v>0</v>
      </c>
      <c s="6" r="BL1526">
        <v>0</v>
      </c>
      <c s="6" r="BM1526">
        <v>0</v>
      </c>
      <c s="6" r="BN1526">
        <v>0</v>
      </c>
      <c s="6" r="BO1526">
        <v>0</v>
      </c>
      <c s="6" r="BP1526">
        <v>0</v>
      </c>
      <c s="6" r="BQ1526">
        <v>0</v>
      </c>
      <c t="s" s="6" r="BR1526">
        <v>92</v>
      </c>
      <c s="6" r="BS1526">
        <v>1549</v>
      </c>
      <c t="s" s="6" r="BT1526">
        <v>92</v>
      </c>
      <c s="6" r="BY1526">
        <v>0</v>
      </c>
    </row>
    <row customHeight="1" r="1527" ht="14.25">
      <c t="s" s="6" r="A1527">
        <v>10760</v>
      </c>
      <c t="s" s="6" r="B1527">
        <v>131</v>
      </c>
      <c t="s" s="6" r="D1527">
        <v>10761</v>
      </c>
      <c t="s" s="6" r="E1527">
        <v>5722</v>
      </c>
      <c t="s" s="6" r="F1527">
        <v>81</v>
      </c>
      <c t="s" s="6" r="G1527">
        <v>10762</v>
      </c>
      <c s="6" r="H1527">
        <v>1</v>
      </c>
      <c t="s" s="6" r="I1527">
        <v>120</v>
      </c>
      <c t="s" s="6" r="L1527">
        <v>2003</v>
      </c>
      <c t="s" s="6" r="M1527">
        <v>2718</v>
      </c>
      <c s="6" r="N1527">
        <v>0</v>
      </c>
      <c s="6" r="O1527">
        <v>0</v>
      </c>
      <c t="s" s="6" r="P1527">
        <v>201</v>
      </c>
      <c t="s" s="6" r="Q1527">
        <v>87</v>
      </c>
      <c t="s" s="6" r="R1527">
        <v>10763</v>
      </c>
      <c t="s" s="6" r="S1527">
        <v>10764</v>
      </c>
      <c t="s" s="6" r="T1527">
        <v>10367</v>
      </c>
      <c t="s" s="6" r="U1527">
        <v>10765</v>
      </c>
      <c s="6" r="V1527">
        <v>0</v>
      </c>
      <c s="6" r="W1527">
        <v>1</v>
      </c>
      <c s="6" r="X1527">
        <v>1</v>
      </c>
      <c s="6" r="Y1527">
        <v>0</v>
      </c>
      <c s="6" r="Z1527">
        <v>0</v>
      </c>
      <c s="6" r="AA1527">
        <v>4</v>
      </c>
      <c s="6" r="AB1527">
        <v>4</v>
      </c>
      <c t="s" s="6" r="AC1527">
        <v>92</v>
      </c>
      <c t="s" s="6" r="AD1527">
        <v>92</v>
      </c>
      <c t="s" s="6" r="AE1527">
        <v>92</v>
      </c>
      <c t="s" s="6" r="AF1527">
        <v>92</v>
      </c>
      <c t="s" s="6" r="AG1527">
        <v>92</v>
      </c>
      <c s="6" r="AH1527">
        <v>4</v>
      </c>
      <c t="s" s="6" r="AI1527">
        <v>92</v>
      </c>
      <c t="s" s="6" r="AJ1527">
        <v>92</v>
      </c>
      <c t="s" s="6" r="AK1527">
        <v>92</v>
      </c>
      <c t="s" s="6" r="AL1527">
        <v>92</v>
      </c>
      <c t="s" s="6" r="AM1527">
        <v>92</v>
      </c>
      <c t="s" s="6" r="AN1527">
        <v>92</v>
      </c>
      <c s="6" r="AP1527">
        <v>4</v>
      </c>
      <c s="6" r="AS1527">
        <v>0</v>
      </c>
      <c s="6" r="AT1527">
        <v>1</v>
      </c>
      <c s="6" r="AU1527">
        <v>0</v>
      </c>
      <c s="6" r="AV1527">
        <v>0</v>
      </c>
      <c s="6" r="AW1527">
        <v>0</v>
      </c>
      <c s="6" r="AX1527">
        <v>0</v>
      </c>
      <c s="6" r="AY1527">
        <v>0</v>
      </c>
      <c s="6" r="AZ1527">
        <v>0</v>
      </c>
      <c s="6" r="BA1527">
        <v>0</v>
      </c>
      <c s="6" r="BB1527">
        <v>0</v>
      </c>
      <c s="6" r="BC1527">
        <v>0</v>
      </c>
      <c s="6" r="BD1527">
        <v>0</v>
      </c>
      <c s="6" r="BE1527">
        <v>0</v>
      </c>
      <c s="6" r="BF1527">
        <v>0</v>
      </c>
      <c s="6" r="BG1527">
        <v>0</v>
      </c>
      <c s="6" r="BH1527">
        <v>0</v>
      </c>
      <c s="6" r="BI1527">
        <v>0</v>
      </c>
      <c s="6" r="BJ1527">
        <v>0</v>
      </c>
      <c s="6" r="BK1527">
        <v>0</v>
      </c>
      <c s="6" r="BL1527">
        <v>0</v>
      </c>
      <c s="6" r="BM1527">
        <v>0</v>
      </c>
      <c s="6" r="BN1527">
        <v>1</v>
      </c>
      <c s="6" r="BO1527">
        <v>0</v>
      </c>
      <c s="6" r="BP1527">
        <v>0</v>
      </c>
      <c s="6" r="BQ1527">
        <v>0</v>
      </c>
      <c t="s" s="6" r="BR1527">
        <v>92</v>
      </c>
      <c s="6" r="BS1527">
        <v>1550</v>
      </c>
      <c s="6" r="BT1527">
        <v>100</v>
      </c>
      <c s="6" r="BY1527">
        <v>0</v>
      </c>
    </row>
    <row customHeight="1" r="1528" ht="14.25">
      <c t="s" s="6" r="A1528">
        <v>10766</v>
      </c>
      <c t="s" s="6" r="B1528">
        <v>493</v>
      </c>
      <c t="s" s="6" r="D1528">
        <v>45</v>
      </c>
      <c t="s" s="6" r="E1528">
        <v>3034</v>
      </c>
      <c t="s" s="6" r="F1528">
        <v>81</v>
      </c>
      <c t="s" s="6" r="G1528">
        <v>7482</v>
      </c>
      <c s="6" r="H1528">
        <v>0</v>
      </c>
      <c t="s" s="6" r="I1528">
        <v>10767</v>
      </c>
      <c t="s" s="6" r="K1528">
        <v>10768</v>
      </c>
      <c t="s" s="6" r="M1528">
        <v>10769</v>
      </c>
      <c s="6" r="N1528">
        <v>0</v>
      </c>
      <c s="6" r="O1528">
        <v>0</v>
      </c>
      <c t="s" s="6" r="P1528">
        <v>187</v>
      </c>
      <c t="s" s="6" r="Q1528">
        <v>188</v>
      </c>
      <c t="s" s="6" r="R1528">
        <v>10770</v>
      </c>
      <c t="s" s="6" r="S1528">
        <v>10771</v>
      </c>
      <c t="s" s="6" r="T1528">
        <v>10367</v>
      </c>
      <c t="s" s="6" r="U1528">
        <v>10772</v>
      </c>
      <c s="6" r="V1528">
        <v>1</v>
      </c>
      <c s="6" r="W1528">
        <v>1</v>
      </c>
      <c s="6" r="X1528">
        <v>0</v>
      </c>
      <c s="6" r="Y1528">
        <v>0</v>
      </c>
      <c s="6" r="Z1528">
        <v>0</v>
      </c>
      <c s="6" r="AA1528">
        <v>6</v>
      </c>
      <c s="6" r="AB1528">
        <v>6</v>
      </c>
      <c t="s" s="6" r="AC1528">
        <v>92</v>
      </c>
      <c s="6" r="AD1528">
        <v>6</v>
      </c>
      <c t="s" s="6" r="AE1528">
        <v>92</v>
      </c>
      <c t="s" s="6" r="AF1528">
        <v>92</v>
      </c>
      <c t="s" s="6" r="AG1528">
        <v>92</v>
      </c>
      <c t="s" s="6" r="AH1528">
        <v>92</v>
      </c>
      <c t="s" s="6" r="AI1528">
        <v>92</v>
      </c>
      <c t="s" s="6" r="AJ1528">
        <v>92</v>
      </c>
      <c t="s" s="6" r="AK1528">
        <v>92</v>
      </c>
      <c t="s" s="6" r="AL1528">
        <v>92</v>
      </c>
      <c t="s" s="6" r="AM1528">
        <v>92</v>
      </c>
      <c t="s" s="6" r="AN1528">
        <v>92</v>
      </c>
      <c s="6" r="AP1528">
        <v>6</v>
      </c>
      <c s="6" r="AS1528">
        <v>0</v>
      </c>
      <c s="6" r="AT1528">
        <v>1</v>
      </c>
      <c s="6" r="AU1528">
        <v>0</v>
      </c>
      <c s="6" r="AV1528">
        <v>0</v>
      </c>
      <c s="6" r="AW1528">
        <v>0</v>
      </c>
      <c s="6" r="AX1528">
        <v>0</v>
      </c>
      <c s="6" r="AY1528">
        <v>0</v>
      </c>
      <c s="6" r="AZ1528">
        <v>0</v>
      </c>
      <c s="6" r="BA1528">
        <v>0</v>
      </c>
      <c s="6" r="BB1528">
        <v>0</v>
      </c>
      <c s="6" r="BC1528">
        <v>0</v>
      </c>
      <c s="6" r="BD1528">
        <v>0</v>
      </c>
      <c s="6" r="BE1528">
        <v>0</v>
      </c>
      <c s="6" r="BF1528">
        <v>0</v>
      </c>
      <c s="6" r="BG1528">
        <v>0</v>
      </c>
      <c s="6" r="BH1528">
        <v>0</v>
      </c>
      <c s="6" r="BI1528">
        <v>0</v>
      </c>
      <c s="6" r="BJ1528">
        <v>0</v>
      </c>
      <c s="6" r="BK1528">
        <v>0</v>
      </c>
      <c s="6" r="BL1528">
        <v>0</v>
      </c>
      <c s="6" r="BM1528">
        <v>0</v>
      </c>
      <c s="6" r="BN1528">
        <v>0</v>
      </c>
      <c s="6" r="BO1528">
        <v>0</v>
      </c>
      <c s="6" r="BP1528">
        <v>0</v>
      </c>
      <c s="6" r="BQ1528">
        <v>0</v>
      </c>
      <c t="s" s="6" r="BR1528">
        <v>92</v>
      </c>
      <c s="6" r="BS1528">
        <v>1551</v>
      </c>
      <c t="s" s="6" r="BT1528">
        <v>92</v>
      </c>
      <c s="6" r="BY1528">
        <v>0</v>
      </c>
    </row>
    <row customHeight="1" r="1529" ht="14.25">
      <c t="s" s="6" r="A1529">
        <v>10773</v>
      </c>
      <c t="s" s="6" r="B1529">
        <v>131</v>
      </c>
      <c t="s" s="6" r="D1529">
        <v>45</v>
      </c>
      <c t="s" s="6" r="E1529">
        <v>10774</v>
      </c>
      <c t="s" s="6" r="F1529">
        <v>81</v>
      </c>
      <c t="s" s="6" r="G1529">
        <v>106</v>
      </c>
      <c s="6" r="H1529">
        <v>0</v>
      </c>
      <c t="s" s="6" r="I1529">
        <v>120</v>
      </c>
      <c t="s" s="6" r="L1529">
        <v>420</v>
      </c>
      <c t="s" s="6" r="M1529">
        <v>99</v>
      </c>
      <c s="6" r="N1529">
        <v>0</v>
      </c>
      <c s="6" r="O1529">
        <v>0</v>
      </c>
      <c t="s" s="6" r="P1529">
        <v>221</v>
      </c>
      <c t="s" s="6" r="Q1529">
        <v>188</v>
      </c>
      <c t="s" s="6" r="R1529">
        <v>10775</v>
      </c>
      <c t="s" s="6" r="S1529">
        <v>10776</v>
      </c>
      <c t="s" s="6" r="T1529">
        <v>10367</v>
      </c>
      <c t="s" s="6" r="U1529">
        <v>10777</v>
      </c>
      <c s="6" r="V1529">
        <v>1</v>
      </c>
      <c s="6" r="W1529">
        <v>1</v>
      </c>
      <c s="6" r="X1529">
        <v>0</v>
      </c>
      <c s="6" r="Y1529">
        <v>0</v>
      </c>
      <c s="6" r="Z1529">
        <v>0</v>
      </c>
      <c s="6" r="AA1529">
        <v>5</v>
      </c>
      <c s="6" r="AB1529">
        <v>5</v>
      </c>
      <c t="s" s="6" r="AC1529">
        <v>92</v>
      </c>
      <c s="6" r="AD1529">
        <v>5</v>
      </c>
      <c t="s" s="6" r="AE1529">
        <v>92</v>
      </c>
      <c t="s" s="6" r="AF1529">
        <v>92</v>
      </c>
      <c t="s" s="6" r="AG1529">
        <v>92</v>
      </c>
      <c t="s" s="6" r="AH1529">
        <v>92</v>
      </c>
      <c t="s" s="6" r="AI1529">
        <v>92</v>
      </c>
      <c s="6" r="AJ1529">
        <v>5</v>
      </c>
      <c t="s" s="6" r="AK1529">
        <v>92</v>
      </c>
      <c t="s" s="6" r="AL1529">
        <v>92</v>
      </c>
      <c t="s" s="6" r="AM1529">
        <v>92</v>
      </c>
      <c s="6" r="AN1529">
        <v>5</v>
      </c>
      <c s="6" r="AP1529">
        <v>5</v>
      </c>
      <c s="6" r="AS1529">
        <v>0</v>
      </c>
      <c s="6" r="AT1529">
        <v>1</v>
      </c>
      <c s="6" r="AU1529">
        <v>0</v>
      </c>
      <c s="6" r="AV1529">
        <v>0</v>
      </c>
      <c s="6" r="AW1529">
        <v>0</v>
      </c>
      <c s="6" r="AX1529">
        <v>0</v>
      </c>
      <c s="6" r="AY1529">
        <v>0</v>
      </c>
      <c s="6" r="AZ1529">
        <v>0</v>
      </c>
      <c s="6" r="BA1529">
        <v>0</v>
      </c>
      <c s="6" r="BB1529">
        <v>0</v>
      </c>
      <c s="6" r="BC1529">
        <v>0</v>
      </c>
      <c s="6" r="BD1529">
        <v>0</v>
      </c>
      <c s="6" r="BE1529">
        <v>0</v>
      </c>
      <c s="6" r="BF1529">
        <v>0</v>
      </c>
      <c s="6" r="BG1529">
        <v>0</v>
      </c>
      <c s="6" r="BH1529">
        <v>0</v>
      </c>
      <c s="6" r="BI1529">
        <v>0</v>
      </c>
      <c s="6" r="BJ1529">
        <v>0</v>
      </c>
      <c s="6" r="BK1529">
        <v>0</v>
      </c>
      <c s="6" r="BL1529">
        <v>0</v>
      </c>
      <c s="6" r="BM1529">
        <v>0</v>
      </c>
      <c s="6" r="BN1529">
        <v>0</v>
      </c>
      <c s="6" r="BO1529">
        <v>0</v>
      </c>
      <c s="6" r="BP1529">
        <v>0</v>
      </c>
      <c s="6" r="BQ1529">
        <v>0</v>
      </c>
      <c t="s" s="6" r="BR1529">
        <v>92</v>
      </c>
      <c s="6" r="BS1529">
        <v>1552</v>
      </c>
      <c t="s" s="6" r="BT1529">
        <v>92</v>
      </c>
      <c s="6" r="BY1529">
        <v>0</v>
      </c>
    </row>
    <row customHeight="1" r="1530" ht="14.25">
      <c t="s" s="6" r="A1530">
        <v>10778</v>
      </c>
      <c t="s" s="6" r="B1530">
        <v>131</v>
      </c>
      <c t="s" s="6" r="D1530">
        <v>45</v>
      </c>
      <c t="s" s="6" r="E1530">
        <v>10779</v>
      </c>
      <c t="s" s="6" r="F1530">
        <v>1743</v>
      </c>
      <c t="s" s="6" r="G1530">
        <v>106</v>
      </c>
      <c s="6" r="H1530">
        <v>0</v>
      </c>
      <c t="s" s="6" r="I1530">
        <v>155</v>
      </c>
      <c t="s" s="6" r="L1530">
        <v>156</v>
      </c>
      <c t="s" s="6" r="M1530">
        <v>109</v>
      </c>
      <c s="6" r="N1530">
        <v>0</v>
      </c>
      <c s="6" r="O1530">
        <v>0</v>
      </c>
      <c t="s" s="6" r="R1530">
        <v>10780</v>
      </c>
      <c t="s" s="6" r="S1530">
        <v>10781</v>
      </c>
      <c t="s" s="6" r="T1530">
        <v>10367</v>
      </c>
      <c t="s" s="6" r="U1530">
        <v>10782</v>
      </c>
      <c s="6" r="V1530">
        <v>1</v>
      </c>
      <c s="6" r="W1530">
        <v>1</v>
      </c>
      <c s="6" r="X1530">
        <v>0</v>
      </c>
      <c s="6" r="Y1530">
        <v>0</v>
      </c>
      <c s="6" r="Z1530">
        <v>0</v>
      </c>
      <c s="6" r="AA1530">
        <v>1</v>
      </c>
      <c s="6" r="AB1530">
        <v>1</v>
      </c>
      <c t="s" s="6" r="AC1530">
        <v>92</v>
      </c>
      <c s="6" r="AD1530">
        <v>1</v>
      </c>
      <c t="s" s="6" r="AE1530">
        <v>92</v>
      </c>
      <c s="6" r="AF1530">
        <v>1</v>
      </c>
      <c t="s" s="6" r="AG1530">
        <v>92</v>
      </c>
      <c t="s" s="6" r="AH1530">
        <v>92</v>
      </c>
      <c t="s" s="6" r="AI1530">
        <v>92</v>
      </c>
      <c t="s" s="6" r="AJ1530">
        <v>92</v>
      </c>
      <c t="s" s="6" r="AK1530">
        <v>92</v>
      </c>
      <c t="s" s="6" r="AL1530">
        <v>92</v>
      </c>
      <c t="s" s="6" r="AM1530">
        <v>92</v>
      </c>
      <c s="6" r="AN1530">
        <v>1</v>
      </c>
      <c s="6" r="AP1530">
        <v>1</v>
      </c>
      <c s="6" r="AS1530">
        <v>0</v>
      </c>
      <c s="6" r="AT1530">
        <v>1</v>
      </c>
      <c s="6" r="AU1530">
        <v>0</v>
      </c>
      <c s="6" r="AV1530">
        <v>0</v>
      </c>
      <c s="6" r="AW1530">
        <v>0</v>
      </c>
      <c s="6" r="AX1530">
        <v>0</v>
      </c>
      <c s="6" r="AY1530">
        <v>0</v>
      </c>
      <c s="6" r="AZ1530">
        <v>0</v>
      </c>
      <c s="6" r="BA1530">
        <v>0</v>
      </c>
      <c s="6" r="BB1530">
        <v>0</v>
      </c>
      <c s="6" r="BC1530">
        <v>0</v>
      </c>
      <c s="6" r="BD1530">
        <v>0</v>
      </c>
      <c s="6" r="BE1530">
        <v>0</v>
      </c>
      <c s="6" r="BF1530">
        <v>0</v>
      </c>
      <c s="6" r="BG1530">
        <v>0</v>
      </c>
      <c s="6" r="BH1530">
        <v>0</v>
      </c>
      <c s="6" r="BI1530">
        <v>0</v>
      </c>
      <c s="6" r="BJ1530">
        <v>0</v>
      </c>
      <c s="6" r="BK1530">
        <v>0</v>
      </c>
      <c s="6" r="BL1530">
        <v>0</v>
      </c>
      <c s="6" r="BM1530">
        <v>0</v>
      </c>
      <c s="6" r="BN1530">
        <v>0</v>
      </c>
      <c s="6" r="BO1530">
        <v>0</v>
      </c>
      <c s="6" r="BP1530">
        <v>0</v>
      </c>
      <c s="6" r="BQ1530">
        <v>0</v>
      </c>
      <c t="s" s="6" r="BR1530">
        <v>92</v>
      </c>
      <c s="6" r="BS1530">
        <v>1553</v>
      </c>
      <c t="s" s="6" r="BT1530">
        <v>92</v>
      </c>
      <c s="6" r="BY1530">
        <v>0</v>
      </c>
    </row>
    <row customHeight="1" r="1531" ht="14.25">
      <c t="s" s="6" r="A1531">
        <v>10783</v>
      </c>
      <c t="s" s="6" r="B1531">
        <v>174</v>
      </c>
      <c t="s" s="6" r="E1531">
        <v>10784</v>
      </c>
      <c t="s" s="6" r="F1531">
        <v>81</v>
      </c>
      <c t="s" s="6" r="G1531">
        <v>106</v>
      </c>
      <c s="6" r="H1531">
        <v>0</v>
      </c>
      <c t="s" s="6" r="I1531">
        <v>155</v>
      </c>
      <c t="s" s="6" r="L1531">
        <v>156</v>
      </c>
      <c t="s" s="6" r="M1531">
        <v>991</v>
      </c>
      <c s="6" r="N1531">
        <v>0</v>
      </c>
      <c s="6" r="O1531">
        <v>0</v>
      </c>
      <c t="s" s="6" r="R1531">
        <v>10785</v>
      </c>
      <c t="s" s="6" r="S1531">
        <v>10786</v>
      </c>
      <c t="s" s="6" r="T1531">
        <v>10367</v>
      </c>
      <c t="s" s="6" r="U1531">
        <v>10787</v>
      </c>
      <c s="6" r="V1531">
        <v>1</v>
      </c>
      <c s="6" r="W1531">
        <v>1</v>
      </c>
      <c s="6" r="X1531">
        <v>0</v>
      </c>
      <c s="6" r="Y1531">
        <v>0</v>
      </c>
      <c s="6" r="Z1531">
        <v>0</v>
      </c>
      <c s="6" r="AA1531">
        <v>2</v>
      </c>
      <c s="6" r="AB1531">
        <v>2</v>
      </c>
      <c t="s" s="6" r="AC1531">
        <v>92</v>
      </c>
      <c s="6" r="AD1531">
        <v>1</v>
      </c>
      <c s="6" r="AE1531">
        <v>1</v>
      </c>
      <c s="6" r="AF1531">
        <v>2</v>
      </c>
      <c t="s" s="6" r="AG1531">
        <v>92</v>
      </c>
      <c t="s" s="6" r="AH1531">
        <v>92</v>
      </c>
      <c t="s" s="6" r="AI1531">
        <v>92</v>
      </c>
      <c s="6" r="AJ1531">
        <v>2</v>
      </c>
      <c t="s" s="6" r="AK1531">
        <v>92</v>
      </c>
      <c t="s" s="6" r="AL1531">
        <v>92</v>
      </c>
      <c t="s" s="6" r="AM1531">
        <v>92</v>
      </c>
      <c t="s" s="6" r="AN1531">
        <v>92</v>
      </c>
      <c s="6" r="AP1531">
        <v>2</v>
      </c>
      <c s="6" r="AS1531">
        <v>0</v>
      </c>
      <c s="6" r="AT1531">
        <v>0</v>
      </c>
      <c s="6" r="AU1531">
        <v>0</v>
      </c>
      <c s="6" r="AV1531">
        <v>0</v>
      </c>
      <c s="6" r="AW1531">
        <v>0</v>
      </c>
      <c s="6" r="AX1531">
        <v>0</v>
      </c>
      <c s="6" r="AY1531">
        <v>0</v>
      </c>
      <c s="6" r="AZ1531">
        <v>0</v>
      </c>
      <c s="6" r="BA1531">
        <v>0</v>
      </c>
      <c s="6" r="BB1531">
        <v>0</v>
      </c>
      <c s="6" r="BC1531">
        <v>0</v>
      </c>
      <c s="6" r="BD1531">
        <v>0</v>
      </c>
      <c s="6" r="BE1531">
        <v>0</v>
      </c>
      <c s="6" r="BF1531">
        <v>0</v>
      </c>
      <c s="6" r="BG1531">
        <v>0</v>
      </c>
      <c s="6" r="BH1531">
        <v>0</v>
      </c>
      <c s="6" r="BI1531">
        <v>0</v>
      </c>
      <c s="6" r="BJ1531">
        <v>0</v>
      </c>
      <c s="6" r="BK1531">
        <v>0</v>
      </c>
      <c s="6" r="BL1531">
        <v>0</v>
      </c>
      <c s="6" r="BM1531">
        <v>0</v>
      </c>
      <c s="6" r="BN1531">
        <v>0</v>
      </c>
      <c s="6" r="BO1531">
        <v>0</v>
      </c>
      <c s="6" r="BP1531">
        <v>0</v>
      </c>
      <c s="6" r="BQ1531">
        <v>0</v>
      </c>
      <c t="s" s="6" r="BR1531">
        <v>92</v>
      </c>
      <c s="6" r="BS1531">
        <v>1554</v>
      </c>
      <c t="s" s="6" r="BT1531">
        <v>92</v>
      </c>
      <c s="6" r="BY1531">
        <v>0</v>
      </c>
    </row>
    <row customHeight="1" r="1532" ht="14.25">
      <c t="s" s="6" r="A1532">
        <v>10788</v>
      </c>
      <c t="s" s="6" r="B1532">
        <v>162</v>
      </c>
      <c t="s" s="6" r="E1532">
        <v>10789</v>
      </c>
      <c t="s" s="6" r="F1532">
        <v>81</v>
      </c>
      <c t="s" s="6" r="G1532">
        <v>106</v>
      </c>
      <c s="6" r="H1532">
        <v>0</v>
      </c>
      <c t="s" s="6" r="I1532">
        <v>120</v>
      </c>
      <c t="s" s="6" r="L1532">
        <v>9773</v>
      </c>
      <c t="s" s="6" r="M1532">
        <v>10734</v>
      </c>
      <c s="6" r="N1532">
        <v>0</v>
      </c>
      <c s="6" r="O1532">
        <v>0</v>
      </c>
      <c t="s" s="6" r="R1532">
        <v>10790</v>
      </c>
      <c t="s" s="6" r="S1532">
        <v>10791</v>
      </c>
      <c t="s" s="6" r="T1532">
        <v>10367</v>
      </c>
      <c t="s" s="6" r="U1532">
        <v>10792</v>
      </c>
      <c s="6" r="V1532">
        <v>1</v>
      </c>
      <c s="6" r="W1532">
        <v>1</v>
      </c>
      <c s="6" r="X1532">
        <v>0</v>
      </c>
      <c s="6" r="Y1532">
        <v>0</v>
      </c>
      <c s="6" r="Z1532">
        <v>0</v>
      </c>
      <c s="6" r="AA1532">
        <v>1</v>
      </c>
      <c s="6" r="AB1532">
        <v>1</v>
      </c>
      <c s="6" r="AC1532">
        <v>1</v>
      </c>
      <c t="s" s="6" r="AD1532">
        <v>92</v>
      </c>
      <c t="s" s="6" r="AE1532">
        <v>92</v>
      </c>
      <c t="s" s="6" r="AF1532">
        <v>92</v>
      </c>
      <c t="s" s="6" r="AG1532">
        <v>92</v>
      </c>
      <c t="s" s="6" r="AH1532">
        <v>92</v>
      </c>
      <c t="s" s="6" r="AI1532">
        <v>92</v>
      </c>
      <c s="6" r="AJ1532">
        <v>1</v>
      </c>
      <c s="6" r="AK1532">
        <v>1</v>
      </c>
      <c s="6" r="AL1532">
        <v>1</v>
      </c>
      <c t="s" s="6" r="AM1532">
        <v>92</v>
      </c>
      <c t="s" s="6" r="AN1532">
        <v>92</v>
      </c>
      <c s="6" r="AP1532">
        <v>1</v>
      </c>
      <c s="6" r="AS1532">
        <v>0</v>
      </c>
      <c s="6" r="AT1532">
        <v>0</v>
      </c>
      <c s="6" r="AU1532">
        <v>0</v>
      </c>
      <c s="6" r="AV1532">
        <v>0</v>
      </c>
      <c s="6" r="AW1532">
        <v>0</v>
      </c>
      <c s="6" r="AX1532">
        <v>0</v>
      </c>
      <c s="6" r="AY1532">
        <v>0</v>
      </c>
      <c s="6" r="AZ1532">
        <v>0</v>
      </c>
      <c s="6" r="BA1532">
        <v>0</v>
      </c>
      <c s="6" r="BB1532">
        <v>0</v>
      </c>
      <c s="6" r="BC1532">
        <v>0</v>
      </c>
      <c s="6" r="BD1532">
        <v>0</v>
      </c>
      <c s="6" r="BE1532">
        <v>0</v>
      </c>
      <c s="6" r="BF1532">
        <v>0</v>
      </c>
      <c s="6" r="BG1532">
        <v>0</v>
      </c>
      <c s="6" r="BH1532">
        <v>0</v>
      </c>
      <c s="6" r="BI1532">
        <v>0</v>
      </c>
      <c s="6" r="BJ1532">
        <v>0</v>
      </c>
      <c s="6" r="BK1532">
        <v>0</v>
      </c>
      <c s="6" r="BL1532">
        <v>0</v>
      </c>
      <c s="6" r="BM1532">
        <v>0</v>
      </c>
      <c s="6" r="BN1532">
        <v>0</v>
      </c>
      <c s="6" r="BO1532">
        <v>0</v>
      </c>
      <c s="6" r="BP1532">
        <v>0</v>
      </c>
      <c s="6" r="BQ1532">
        <v>0</v>
      </c>
      <c t="s" s="6" r="BR1532">
        <v>92</v>
      </c>
      <c s="6" r="BS1532">
        <v>1555</v>
      </c>
      <c t="s" s="6" r="BT1532">
        <v>92</v>
      </c>
      <c t="s" s="6" r="BW1532">
        <v>10793</v>
      </c>
      <c s="6" r="BY1532">
        <v>1</v>
      </c>
    </row>
    <row customHeight="1" r="1533" ht="14.25">
      <c t="s" s="6" r="A1533">
        <v>10794</v>
      </c>
      <c t="s" s="6" r="B1533">
        <v>162</v>
      </c>
      <c t="s" s="6" r="E1533">
        <v>10795</v>
      </c>
      <c t="s" s="6" r="F1533">
        <v>81</v>
      </c>
      <c t="s" s="6" r="G1533">
        <v>106</v>
      </c>
      <c s="6" r="H1533">
        <v>0</v>
      </c>
      <c t="s" s="6" r="I1533">
        <v>120</v>
      </c>
      <c t="s" s="6" r="L1533">
        <v>10796</v>
      </c>
      <c t="s" s="6" r="M1533">
        <v>379</v>
      </c>
      <c s="6" r="N1533">
        <v>0</v>
      </c>
      <c s="6" r="O1533">
        <v>0</v>
      </c>
      <c t="s" s="6" r="P1533">
        <v>421</v>
      </c>
      <c t="s" s="6" r="Q1533">
        <v>123</v>
      </c>
      <c t="s" s="6" r="R1533">
        <v>10797</v>
      </c>
      <c t="s" s="6" r="S1533">
        <v>10798</v>
      </c>
      <c t="s" s="6" r="T1533">
        <v>10367</v>
      </c>
      <c t="s" s="6" r="U1533">
        <v>10799</v>
      </c>
      <c s="6" r="V1533">
        <v>1</v>
      </c>
      <c s="6" r="W1533">
        <v>1</v>
      </c>
      <c s="6" r="X1533">
        <v>0</v>
      </c>
      <c s="6" r="Y1533">
        <v>0</v>
      </c>
      <c s="6" r="Z1533">
        <v>0</v>
      </c>
      <c s="6" r="AA1533">
        <v>1</v>
      </c>
      <c s="6" r="AB1533">
        <v>1</v>
      </c>
      <c s="6" r="AC1533">
        <v>1</v>
      </c>
      <c s="6" r="AD1533">
        <v>1</v>
      </c>
      <c s="6" r="AE1533">
        <v>1</v>
      </c>
      <c t="s" s="6" r="AF1533">
        <v>92</v>
      </c>
      <c t="s" s="6" r="AG1533">
        <v>92</v>
      </c>
      <c t="s" s="6" r="AH1533">
        <v>92</v>
      </c>
      <c t="s" s="6" r="AI1533">
        <v>92</v>
      </c>
      <c t="s" s="6" r="AJ1533">
        <v>92</v>
      </c>
      <c s="6" r="AK1533">
        <v>1</v>
      </c>
      <c s="6" r="AL1533">
        <v>1</v>
      </c>
      <c t="s" s="6" r="AM1533">
        <v>92</v>
      </c>
      <c t="s" s="6" r="AN1533">
        <v>92</v>
      </c>
      <c s="6" r="AP1533">
        <v>1</v>
      </c>
      <c s="6" r="AS1533">
        <v>0</v>
      </c>
      <c s="6" r="AT1533">
        <v>0</v>
      </c>
      <c s="6" r="AU1533">
        <v>0</v>
      </c>
      <c s="6" r="AV1533">
        <v>0</v>
      </c>
      <c s="6" r="AW1533">
        <v>0</v>
      </c>
      <c s="6" r="AX1533">
        <v>0</v>
      </c>
      <c s="6" r="AY1533">
        <v>0</v>
      </c>
      <c s="6" r="AZ1533">
        <v>0</v>
      </c>
      <c s="6" r="BA1533">
        <v>0</v>
      </c>
      <c s="6" r="BB1533">
        <v>0</v>
      </c>
      <c s="6" r="BC1533">
        <v>0</v>
      </c>
      <c s="6" r="BD1533">
        <v>0</v>
      </c>
      <c s="6" r="BE1533">
        <v>0</v>
      </c>
      <c s="6" r="BF1533">
        <v>0</v>
      </c>
      <c s="6" r="BG1533">
        <v>0</v>
      </c>
      <c s="6" r="BH1533">
        <v>0</v>
      </c>
      <c s="6" r="BI1533">
        <v>0</v>
      </c>
      <c s="6" r="BJ1533">
        <v>0</v>
      </c>
      <c s="6" r="BK1533">
        <v>0</v>
      </c>
      <c s="6" r="BL1533">
        <v>0</v>
      </c>
      <c s="6" r="BM1533">
        <v>0</v>
      </c>
      <c s="6" r="BN1533">
        <v>0</v>
      </c>
      <c s="6" r="BO1533">
        <v>0</v>
      </c>
      <c s="6" r="BP1533">
        <v>0</v>
      </c>
      <c s="6" r="BQ1533">
        <v>0</v>
      </c>
      <c t="s" s="6" r="BR1533">
        <v>92</v>
      </c>
      <c s="6" r="BS1533">
        <v>1556</v>
      </c>
      <c t="s" s="6" r="BT1533">
        <v>92</v>
      </c>
      <c s="6" r="BY1533">
        <v>0</v>
      </c>
    </row>
    <row customHeight="1" r="1534" ht="14.25">
      <c t="s" s="6" r="A1534">
        <v>10800</v>
      </c>
      <c t="s" s="6" r="B1534">
        <v>78</v>
      </c>
      <c t="s" s="6" r="C1534">
        <v>1356</v>
      </c>
      <c t="s" s="6" r="D1534">
        <v>57</v>
      </c>
      <c t="s" s="6" r="E1534">
        <v>2873</v>
      </c>
      <c t="s" s="6" r="F1534">
        <v>81</v>
      </c>
      <c t="s" s="6" r="G1534">
        <v>251</v>
      </c>
      <c s="6" r="H1534">
        <v>0</v>
      </c>
      <c t="s" s="6" r="I1534">
        <v>83</v>
      </c>
      <c t="s" s="6" r="L1534">
        <v>10801</v>
      </c>
      <c t="s" s="6" r="M1534">
        <v>9499</v>
      </c>
      <c s="6" r="N1534">
        <v>0</v>
      </c>
      <c s="6" r="O1534">
        <v>0</v>
      </c>
      <c t="s" s="6" r="P1534">
        <v>10802</v>
      </c>
      <c t="s" s="6" r="Q1534">
        <v>87</v>
      </c>
      <c t="s" s="6" r="R1534">
        <v>10803</v>
      </c>
      <c t="s" s="6" r="S1534">
        <v>10804</v>
      </c>
      <c t="s" s="6" r="T1534">
        <v>10367</v>
      </c>
      <c t="s" s="6" r="U1534">
        <v>10805</v>
      </c>
      <c s="6" r="V1534">
        <v>1</v>
      </c>
      <c s="6" r="W1534">
        <v>0</v>
      </c>
      <c s="6" r="X1534">
        <v>0</v>
      </c>
      <c s="6" r="Y1534">
        <v>0</v>
      </c>
      <c s="6" r="Z1534">
        <v>0</v>
      </c>
      <c s="6" r="AA1534">
        <v>5</v>
      </c>
      <c s="6" r="AB1534">
        <v>5</v>
      </c>
      <c t="s" s="6" r="AC1534">
        <v>92</v>
      </c>
      <c t="s" s="6" r="AD1534">
        <v>92</v>
      </c>
      <c t="s" s="6" r="AE1534">
        <v>92</v>
      </c>
      <c t="s" s="6" r="AF1534">
        <v>92</v>
      </c>
      <c t="s" s="6" r="AG1534">
        <v>92</v>
      </c>
      <c t="s" s="6" r="AH1534">
        <v>92</v>
      </c>
      <c s="6" r="AI1534">
        <v>4</v>
      </c>
      <c s="6" r="AJ1534">
        <v>5</v>
      </c>
      <c t="s" s="6" r="AK1534">
        <v>92</v>
      </c>
      <c t="s" s="6" r="AL1534">
        <v>92</v>
      </c>
      <c t="s" s="6" r="AM1534">
        <v>92</v>
      </c>
      <c t="s" s="6" r="AN1534">
        <v>92</v>
      </c>
      <c s="6" r="AP1534">
        <v>5</v>
      </c>
      <c s="6" r="AS1534">
        <v>0</v>
      </c>
      <c s="6" r="AT1534">
        <v>0</v>
      </c>
      <c s="6" r="AU1534">
        <v>0</v>
      </c>
      <c s="6" r="AV1534">
        <v>0</v>
      </c>
      <c s="6" r="AW1534">
        <v>0</v>
      </c>
      <c s="6" r="AX1534">
        <v>0</v>
      </c>
      <c s="6" r="AY1534">
        <v>0</v>
      </c>
      <c s="6" r="AZ1534">
        <v>0</v>
      </c>
      <c s="6" r="BA1534">
        <v>0</v>
      </c>
      <c s="6" r="BB1534">
        <v>0</v>
      </c>
      <c s="6" r="BC1534">
        <v>0</v>
      </c>
      <c s="6" r="BD1534">
        <v>0</v>
      </c>
      <c s="6" r="BE1534">
        <v>0</v>
      </c>
      <c s="6" r="BF1534">
        <v>1</v>
      </c>
      <c s="6" r="BG1534">
        <v>0</v>
      </c>
      <c s="6" r="BH1534">
        <v>0</v>
      </c>
      <c s="6" r="BI1534">
        <v>0</v>
      </c>
      <c s="6" r="BJ1534">
        <v>0</v>
      </c>
      <c s="6" r="BK1534">
        <v>0</v>
      </c>
      <c s="6" r="BL1534">
        <v>0</v>
      </c>
      <c s="6" r="BM1534">
        <v>0</v>
      </c>
      <c s="6" r="BN1534">
        <v>0</v>
      </c>
      <c s="6" r="BO1534">
        <v>0</v>
      </c>
      <c s="6" r="BP1534">
        <v>0</v>
      </c>
      <c s="6" r="BQ1534">
        <v>0</v>
      </c>
      <c t="s" s="6" r="BR1534">
        <v>92</v>
      </c>
      <c s="6" r="BS1534">
        <v>1557</v>
      </c>
      <c t="s" s="6" r="BT1534">
        <v>92</v>
      </c>
      <c t="s" s="6" r="BW1534">
        <v>10806</v>
      </c>
      <c t="s" s="6" r="BX1534">
        <v>10807</v>
      </c>
      <c s="6" r="BY1534">
        <v>1</v>
      </c>
    </row>
    <row customHeight="1" r="1535" ht="14.25">
      <c t="s" s="6" r="A1535">
        <v>10808</v>
      </c>
      <c t="s" s="6" r="B1535">
        <v>131</v>
      </c>
      <c t="s" s="6" r="D1535">
        <v>10809</v>
      </c>
      <c t="s" s="6" r="E1535">
        <v>1609</v>
      </c>
      <c t="s" s="6" r="F1535">
        <v>81</v>
      </c>
      <c t="s" s="6" r="G1535">
        <v>106</v>
      </c>
      <c s="6" r="H1535">
        <v>0</v>
      </c>
      <c t="s" s="6" r="I1535">
        <v>155</v>
      </c>
      <c t="s" s="6" r="L1535">
        <v>156</v>
      </c>
      <c t="s" s="6" r="M1535">
        <v>483</v>
      </c>
      <c s="6" r="N1535">
        <v>1</v>
      </c>
      <c s="6" r="O1535">
        <v>0</v>
      </c>
      <c t="s" s="6" r="R1535">
        <v>10810</v>
      </c>
      <c t="s" s="6" r="S1535">
        <v>10811</v>
      </c>
      <c t="s" s="6" r="T1535">
        <v>10367</v>
      </c>
      <c t="s" s="6" r="U1535">
        <v>10812</v>
      </c>
      <c s="6" r="V1535">
        <v>1</v>
      </c>
      <c s="6" r="W1535">
        <v>1</v>
      </c>
      <c s="6" r="X1535">
        <v>0</v>
      </c>
      <c s="6" r="Y1535">
        <v>0</v>
      </c>
      <c s="6" r="Z1535">
        <v>0</v>
      </c>
      <c s="6" r="AA1535">
        <v>4</v>
      </c>
      <c s="6" r="AB1535">
        <v>4</v>
      </c>
      <c t="s" s="6" r="AC1535">
        <v>92</v>
      </c>
      <c t="s" s="6" r="AD1535">
        <v>92</v>
      </c>
      <c t="s" s="6" r="AE1535">
        <v>92</v>
      </c>
      <c t="s" s="6" r="AF1535">
        <v>92</v>
      </c>
      <c t="s" s="6" r="AG1535">
        <v>92</v>
      </c>
      <c t="s" s="6" r="AH1535">
        <v>92</v>
      </c>
      <c t="s" s="6" r="AI1535">
        <v>92</v>
      </c>
      <c s="6" r="AJ1535">
        <v>4</v>
      </c>
      <c t="s" s="6" r="AK1535">
        <v>92</v>
      </c>
      <c t="s" s="6" r="AL1535">
        <v>92</v>
      </c>
      <c t="s" s="6" r="AM1535">
        <v>92</v>
      </c>
      <c t="s" s="6" r="AN1535">
        <v>92</v>
      </c>
      <c s="6" r="AP1535">
        <v>4</v>
      </c>
      <c s="6" r="AS1535">
        <v>1</v>
      </c>
      <c s="6" r="AT1535">
        <v>0</v>
      </c>
      <c s="6" r="AU1535">
        <v>0</v>
      </c>
      <c s="6" r="AV1535">
        <v>0</v>
      </c>
      <c s="6" r="AW1535">
        <v>0</v>
      </c>
      <c s="6" r="AX1535">
        <v>0</v>
      </c>
      <c s="6" r="AY1535">
        <v>0</v>
      </c>
      <c s="6" r="AZ1535">
        <v>0</v>
      </c>
      <c s="6" r="BA1535">
        <v>0</v>
      </c>
      <c s="6" r="BB1535">
        <v>1</v>
      </c>
      <c s="6" r="BC1535">
        <v>0</v>
      </c>
      <c s="6" r="BD1535">
        <v>0</v>
      </c>
      <c s="6" r="BE1535">
        <v>0</v>
      </c>
      <c s="6" r="BF1535">
        <v>1</v>
      </c>
      <c s="6" r="BG1535">
        <v>0</v>
      </c>
      <c s="6" r="BH1535">
        <v>0</v>
      </c>
      <c s="6" r="BI1535">
        <v>0</v>
      </c>
      <c s="6" r="BJ1535">
        <v>0</v>
      </c>
      <c s="6" r="BK1535">
        <v>0</v>
      </c>
      <c s="6" r="BL1535">
        <v>0</v>
      </c>
      <c s="6" r="BM1535">
        <v>0</v>
      </c>
      <c s="6" r="BN1535">
        <v>0</v>
      </c>
      <c s="6" r="BO1535">
        <v>0</v>
      </c>
      <c s="6" r="BP1535">
        <v>0</v>
      </c>
      <c s="6" r="BQ1535">
        <v>0</v>
      </c>
      <c t="s" s="6" r="BR1535">
        <v>92</v>
      </c>
      <c s="6" r="BS1535">
        <v>1558</v>
      </c>
      <c t="s" s="6" r="BT1535">
        <v>92</v>
      </c>
      <c s="6" r="BY1535">
        <v>0</v>
      </c>
    </row>
    <row customHeight="1" r="1536" ht="14.25">
      <c t="s" s="6" r="A1536">
        <v>10813</v>
      </c>
      <c t="s" s="6" r="B1536">
        <v>131</v>
      </c>
      <c t="s" s="6" r="D1536">
        <v>68</v>
      </c>
      <c t="s" s="6" r="E1536">
        <v>9181</v>
      </c>
      <c t="s" s="6" r="F1536">
        <v>81</v>
      </c>
      <c t="s" s="6" r="G1536">
        <v>106</v>
      </c>
      <c s="6" r="H1536">
        <v>0</v>
      </c>
      <c t="s" s="6" r="I1536">
        <v>120</v>
      </c>
      <c t="s" s="6" r="L1536">
        <v>420</v>
      </c>
      <c t="s" s="6" r="M1536">
        <v>2718</v>
      </c>
      <c s="6" r="N1536">
        <v>0</v>
      </c>
      <c s="6" r="O1536">
        <v>0</v>
      </c>
      <c t="s" s="6" r="P1536">
        <v>421</v>
      </c>
      <c t="s" s="6" r="Q1536">
        <v>123</v>
      </c>
      <c t="s" s="6" r="R1536">
        <v>10814</v>
      </c>
      <c t="s" s="6" r="S1536">
        <v>10815</v>
      </c>
      <c t="s" s="6" r="T1536">
        <v>10367</v>
      </c>
      <c t="s" s="6" r="U1536">
        <v>10816</v>
      </c>
      <c s="6" r="V1536">
        <v>1</v>
      </c>
      <c s="6" r="W1536">
        <v>1</v>
      </c>
      <c s="6" r="X1536">
        <v>0</v>
      </c>
      <c s="6" r="Y1536">
        <v>0</v>
      </c>
      <c s="6" r="Z1536">
        <v>0</v>
      </c>
      <c s="6" r="AA1536">
        <v>1</v>
      </c>
      <c s="6" r="AB1536">
        <v>1</v>
      </c>
      <c s="6" r="AC1536">
        <v>1</v>
      </c>
      <c s="6" r="AD1536">
        <v>1</v>
      </c>
      <c s="6" r="AE1536">
        <v>1</v>
      </c>
      <c t="s" s="6" r="AF1536">
        <v>92</v>
      </c>
      <c t="s" s="6" r="AG1536">
        <v>92</v>
      </c>
      <c t="s" s="6" r="AH1536">
        <v>92</v>
      </c>
      <c t="s" s="6" r="AI1536">
        <v>92</v>
      </c>
      <c s="6" r="AJ1536">
        <v>1</v>
      </c>
      <c t="s" s="6" r="AK1536">
        <v>92</v>
      </c>
      <c s="6" r="AL1536">
        <v>1</v>
      </c>
      <c t="s" s="6" r="AM1536">
        <v>92</v>
      </c>
      <c t="s" s="6" r="AN1536">
        <v>92</v>
      </c>
      <c s="6" r="AP1536">
        <v>1</v>
      </c>
      <c s="6" r="AS1536">
        <v>0</v>
      </c>
      <c s="6" r="AT1536">
        <v>0</v>
      </c>
      <c s="6" r="AU1536">
        <v>0</v>
      </c>
      <c s="6" r="AV1536">
        <v>0</v>
      </c>
      <c s="6" r="AW1536">
        <v>0</v>
      </c>
      <c s="6" r="AX1536">
        <v>0</v>
      </c>
      <c s="6" r="AY1536">
        <v>0</v>
      </c>
      <c s="6" r="AZ1536">
        <v>0</v>
      </c>
      <c s="6" r="BA1536">
        <v>0</v>
      </c>
      <c s="6" r="BB1536">
        <v>0</v>
      </c>
      <c s="6" r="BC1536">
        <v>0</v>
      </c>
      <c s="6" r="BD1536">
        <v>0</v>
      </c>
      <c s="6" r="BE1536">
        <v>0</v>
      </c>
      <c s="6" r="BF1536">
        <v>0</v>
      </c>
      <c s="6" r="BG1536">
        <v>0</v>
      </c>
      <c s="6" r="BH1536">
        <v>0</v>
      </c>
      <c s="6" r="BI1536">
        <v>0</v>
      </c>
      <c s="6" r="BJ1536">
        <v>0</v>
      </c>
      <c s="6" r="BK1536">
        <v>0</v>
      </c>
      <c s="6" r="BL1536">
        <v>0</v>
      </c>
      <c s="6" r="BM1536">
        <v>0</v>
      </c>
      <c s="6" r="BN1536">
        <v>0</v>
      </c>
      <c s="6" r="BO1536">
        <v>0</v>
      </c>
      <c s="6" r="BP1536">
        <v>0</v>
      </c>
      <c s="6" r="BQ1536">
        <v>1</v>
      </c>
      <c t="s" s="6" r="BR1536">
        <v>92</v>
      </c>
      <c s="6" r="BS1536">
        <v>1559</v>
      </c>
      <c t="s" s="6" r="BT1536">
        <v>92</v>
      </c>
      <c s="6" r="BY1536">
        <v>0</v>
      </c>
    </row>
    <row customHeight="1" r="1537" ht="14.25">
      <c t="s" s="6" r="A1537">
        <v>10817</v>
      </c>
      <c t="s" s="6" r="B1537">
        <v>115</v>
      </c>
      <c t="s" s="6" r="C1537">
        <v>729</v>
      </c>
      <c t="s" s="6" r="D1537">
        <v>117</v>
      </c>
      <c t="s" s="6" r="E1537">
        <v>10818</v>
      </c>
      <c t="s" s="6" r="F1537">
        <v>81</v>
      </c>
      <c t="s" s="6" r="G1537">
        <v>106</v>
      </c>
      <c s="6" r="H1537">
        <v>0</v>
      </c>
      <c t="s" s="6" r="I1537">
        <v>120</v>
      </c>
      <c t="s" s="6" r="L1537">
        <v>156</v>
      </c>
      <c t="s" s="6" r="M1537">
        <v>99</v>
      </c>
      <c s="6" r="N1537">
        <v>0</v>
      </c>
      <c s="6" r="O1537">
        <v>0</v>
      </c>
      <c t="s" s="6" r="R1537">
        <v>10819</v>
      </c>
      <c t="s" s="6" r="S1537">
        <v>10820</v>
      </c>
      <c t="s" s="6" r="T1537">
        <v>10367</v>
      </c>
      <c t="s" s="6" r="U1537">
        <v>10821</v>
      </c>
      <c s="6" r="V1537">
        <v>1</v>
      </c>
      <c s="6" r="W1537">
        <v>1</v>
      </c>
      <c s="6" r="X1537">
        <v>0</v>
      </c>
      <c s="6" r="Y1537">
        <v>0</v>
      </c>
      <c s="6" r="Z1537">
        <v>0</v>
      </c>
      <c t="s" s="6" r="AA1537">
        <v>92</v>
      </c>
      <c t="s" s="6" r="AB1537">
        <v>92</v>
      </c>
      <c t="s" s="6" r="AC1537">
        <v>92</v>
      </c>
      <c s="6" r="AD1537">
        <v>1</v>
      </c>
      <c t="s" s="6" r="AE1537">
        <v>92</v>
      </c>
      <c t="s" s="6" r="AF1537">
        <v>92</v>
      </c>
      <c t="s" s="6" r="AG1537">
        <v>92</v>
      </c>
      <c t="s" s="6" r="AH1537">
        <v>92</v>
      </c>
      <c t="s" s="6" r="AI1537">
        <v>92</v>
      </c>
      <c s="6" r="AJ1537">
        <v>1</v>
      </c>
      <c t="s" s="6" r="AK1537">
        <v>92</v>
      </c>
      <c t="s" s="6" r="AL1537">
        <v>92</v>
      </c>
      <c t="s" s="6" r="AM1537">
        <v>92</v>
      </c>
      <c t="s" s="6" r="AN1537">
        <v>92</v>
      </c>
      <c s="6" r="AP1537">
        <v>1</v>
      </c>
      <c s="6" r="AS1537">
        <v>0</v>
      </c>
      <c s="6" r="AT1537">
        <v>0</v>
      </c>
      <c s="6" r="AU1537">
        <v>0</v>
      </c>
      <c s="6" r="AV1537">
        <v>0</v>
      </c>
      <c s="6" r="AW1537">
        <v>0</v>
      </c>
      <c s="6" r="AX1537">
        <v>0</v>
      </c>
      <c s="6" r="AY1537">
        <v>0</v>
      </c>
      <c s="6" r="AZ1537">
        <v>0</v>
      </c>
      <c s="6" r="BA1537">
        <v>0</v>
      </c>
      <c s="6" r="BB1537">
        <v>0</v>
      </c>
      <c s="6" r="BC1537">
        <v>0</v>
      </c>
      <c s="6" r="BD1537">
        <v>0</v>
      </c>
      <c s="6" r="BE1537">
        <v>0</v>
      </c>
      <c s="6" r="BF1537">
        <v>0</v>
      </c>
      <c s="6" r="BG1537">
        <v>0</v>
      </c>
      <c s="6" r="BH1537">
        <v>0</v>
      </c>
      <c s="6" r="BI1537">
        <v>0</v>
      </c>
      <c s="6" r="BJ1537">
        <v>0</v>
      </c>
      <c s="6" r="BK1537">
        <v>0</v>
      </c>
      <c s="6" r="BL1537">
        <v>1</v>
      </c>
      <c s="6" r="BM1537">
        <v>0</v>
      </c>
      <c s="6" r="BN1537">
        <v>0</v>
      </c>
      <c s="6" r="BO1537">
        <v>0</v>
      </c>
      <c s="6" r="BP1537">
        <v>0</v>
      </c>
      <c s="6" r="BQ1537">
        <v>0</v>
      </c>
      <c t="s" s="6" r="BR1537">
        <v>92</v>
      </c>
      <c s="6" r="BS1537">
        <v>1560</v>
      </c>
      <c t="s" s="6" r="BT1537">
        <v>92</v>
      </c>
      <c s="6" r="BY1537">
        <v>0</v>
      </c>
    </row>
    <row customHeight="1" r="1538" ht="14.25">
      <c t="s" s="6" r="A1538">
        <v>10822</v>
      </c>
      <c t="s" s="6" r="B1538">
        <v>115</v>
      </c>
      <c t="s" s="6" r="C1538">
        <v>729</v>
      </c>
      <c t="s" s="6" r="D1538">
        <v>217</v>
      </c>
      <c t="s" s="6" r="E1538">
        <v>10823</v>
      </c>
      <c t="s" s="6" r="F1538">
        <v>81</v>
      </c>
      <c t="s" s="6" r="G1538">
        <v>106</v>
      </c>
      <c s="6" r="H1538">
        <v>0</v>
      </c>
      <c t="s" s="6" r="I1538">
        <v>10824</v>
      </c>
      <c t="s" s="6" r="L1538">
        <v>10825</v>
      </c>
      <c t="s" s="6" r="M1538">
        <v>7304</v>
      </c>
      <c s="6" r="N1538">
        <v>1</v>
      </c>
      <c s="6" r="O1538">
        <v>0</v>
      </c>
      <c t="s" s="6" r="P1538">
        <v>221</v>
      </c>
      <c t="s" s="6" r="Q1538">
        <v>188</v>
      </c>
      <c t="s" s="6" r="R1538">
        <v>10826</v>
      </c>
      <c t="s" s="6" r="S1538">
        <v>10827</v>
      </c>
      <c t="s" s="6" r="T1538">
        <v>10367</v>
      </c>
      <c t="s" s="6" r="U1538">
        <v>10828</v>
      </c>
      <c s="6" r="V1538">
        <v>1</v>
      </c>
      <c s="6" r="W1538">
        <v>1</v>
      </c>
      <c s="6" r="X1538">
        <v>0</v>
      </c>
      <c s="6" r="Y1538">
        <v>0</v>
      </c>
      <c s="6" r="Z1538">
        <v>0</v>
      </c>
      <c s="6" r="AA1538">
        <v>3</v>
      </c>
      <c s="6" r="AB1538">
        <v>3</v>
      </c>
      <c t="s" s="6" r="AC1538">
        <v>92</v>
      </c>
      <c s="6" r="AD1538">
        <v>3</v>
      </c>
      <c t="s" s="6" r="AE1538">
        <v>92</v>
      </c>
      <c s="6" r="AF1538">
        <v>4</v>
      </c>
      <c t="s" s="6" r="AG1538">
        <v>92</v>
      </c>
      <c t="s" s="6" r="AH1538">
        <v>92</v>
      </c>
      <c s="6" r="AI1538">
        <v>4</v>
      </c>
      <c s="6" r="AJ1538">
        <v>3</v>
      </c>
      <c t="s" s="6" r="AK1538">
        <v>92</v>
      </c>
      <c t="s" s="6" r="AL1538">
        <v>92</v>
      </c>
      <c t="s" s="6" r="AM1538">
        <v>92</v>
      </c>
      <c t="s" s="6" r="AN1538">
        <v>92</v>
      </c>
      <c s="6" r="AP1538">
        <v>3</v>
      </c>
      <c s="6" r="AS1538">
        <v>0</v>
      </c>
      <c s="6" r="AT1538">
        <v>0</v>
      </c>
      <c s="6" r="AU1538">
        <v>0</v>
      </c>
      <c s="6" r="AV1538">
        <v>0</v>
      </c>
      <c s="6" r="AW1538">
        <v>0</v>
      </c>
      <c s="6" r="AX1538">
        <v>0</v>
      </c>
      <c s="6" r="AY1538">
        <v>0</v>
      </c>
      <c s="6" r="AZ1538">
        <v>0</v>
      </c>
      <c s="6" r="BA1538">
        <v>0</v>
      </c>
      <c s="6" r="BB1538">
        <v>0</v>
      </c>
      <c s="6" r="BC1538">
        <v>0</v>
      </c>
      <c s="6" r="BD1538">
        <v>0</v>
      </c>
      <c s="6" r="BE1538">
        <v>0</v>
      </c>
      <c s="6" r="BF1538">
        <v>0</v>
      </c>
      <c s="6" r="BG1538">
        <v>0</v>
      </c>
      <c s="6" r="BH1538">
        <v>0</v>
      </c>
      <c s="6" r="BI1538">
        <v>0</v>
      </c>
      <c s="6" r="BJ1538">
        <v>0</v>
      </c>
      <c s="6" r="BK1538">
        <v>0</v>
      </c>
      <c s="6" r="BL1538">
        <v>1</v>
      </c>
      <c s="6" r="BM1538">
        <v>0</v>
      </c>
      <c s="6" r="BN1538">
        <v>0</v>
      </c>
      <c s="6" r="BO1538">
        <v>0</v>
      </c>
      <c s="6" r="BP1538">
        <v>1</v>
      </c>
      <c s="6" r="BQ1538">
        <v>0</v>
      </c>
      <c t="s" s="6" r="BR1538">
        <v>92</v>
      </c>
      <c s="6" r="BS1538">
        <v>1561</v>
      </c>
      <c t="s" s="6" r="BT1538">
        <v>92</v>
      </c>
      <c s="6" r="BY1538">
        <v>0</v>
      </c>
    </row>
    <row customHeight="1" r="1539" ht="14.25">
      <c t="s" s="6" r="A1539">
        <v>10829</v>
      </c>
      <c t="s" s="6" r="B1539">
        <v>227</v>
      </c>
      <c t="s" s="6" r="D1539">
        <v>55</v>
      </c>
      <c t="s" s="6" r="E1539">
        <v>7311</v>
      </c>
      <c t="s" s="6" r="F1539">
        <v>81</v>
      </c>
      <c t="s" s="6" r="G1539">
        <v>106</v>
      </c>
      <c s="6" r="H1539">
        <v>0</v>
      </c>
      <c t="s" s="6" r="I1539">
        <v>107</v>
      </c>
      <c t="s" s="6" r="L1539">
        <v>1235</v>
      </c>
      <c t="s" s="6" r="M1539">
        <v>209</v>
      </c>
      <c s="6" r="N1539">
        <v>0</v>
      </c>
      <c s="6" r="O1539">
        <v>0</v>
      </c>
      <c t="s" s="6" r="P1539">
        <v>221</v>
      </c>
      <c t="s" s="6" r="Q1539">
        <v>188</v>
      </c>
      <c t="s" s="6" r="R1539">
        <v>10830</v>
      </c>
      <c t="s" s="6" r="S1539">
        <v>10831</v>
      </c>
      <c t="s" s="6" r="T1539">
        <v>10367</v>
      </c>
      <c t="s" s="6" r="U1539">
        <v>10832</v>
      </c>
      <c s="6" r="V1539">
        <v>1</v>
      </c>
      <c s="6" r="W1539">
        <v>1</v>
      </c>
      <c s="6" r="X1539">
        <v>0</v>
      </c>
      <c s="6" r="Y1539">
        <v>0</v>
      </c>
      <c s="6" r="Z1539">
        <v>0</v>
      </c>
      <c s="6" r="AA1539">
        <v>1</v>
      </c>
      <c s="6" r="AB1539">
        <v>1</v>
      </c>
      <c t="s" s="6" r="AC1539">
        <v>92</v>
      </c>
      <c t="s" s="6" r="AD1539">
        <v>92</v>
      </c>
      <c t="s" s="6" r="AE1539">
        <v>92</v>
      </c>
      <c t="s" s="6" r="AF1539">
        <v>92</v>
      </c>
      <c t="s" s="6" r="AG1539">
        <v>92</v>
      </c>
      <c t="s" s="6" r="AH1539">
        <v>92</v>
      </c>
      <c t="s" s="6" r="AI1539">
        <v>92</v>
      </c>
      <c s="6" r="AJ1539">
        <v>1</v>
      </c>
      <c t="s" s="6" r="AK1539">
        <v>92</v>
      </c>
      <c t="s" s="6" r="AL1539">
        <v>92</v>
      </c>
      <c t="s" s="6" r="AM1539">
        <v>92</v>
      </c>
      <c t="s" s="6" r="AN1539">
        <v>92</v>
      </c>
      <c s="6" r="AP1539">
        <v>1</v>
      </c>
      <c s="6" r="AS1539">
        <v>0</v>
      </c>
      <c s="6" r="AT1539">
        <v>0</v>
      </c>
      <c s="6" r="AU1539">
        <v>0</v>
      </c>
      <c s="6" r="AV1539">
        <v>0</v>
      </c>
      <c s="6" r="AW1539">
        <v>0</v>
      </c>
      <c s="6" r="AX1539">
        <v>0</v>
      </c>
      <c s="6" r="AY1539">
        <v>0</v>
      </c>
      <c s="6" r="AZ1539">
        <v>0</v>
      </c>
      <c s="6" r="BA1539">
        <v>0</v>
      </c>
      <c s="6" r="BB1539">
        <v>0</v>
      </c>
      <c s="6" r="BC1539">
        <v>0</v>
      </c>
      <c s="6" r="BD1539">
        <v>1</v>
      </c>
      <c s="6" r="BE1539">
        <v>0</v>
      </c>
      <c s="6" r="BF1539">
        <v>0</v>
      </c>
      <c s="6" r="BG1539">
        <v>0</v>
      </c>
      <c s="6" r="BH1539">
        <v>0</v>
      </c>
      <c s="6" r="BI1539">
        <v>0</v>
      </c>
      <c s="6" r="BJ1539">
        <v>0</v>
      </c>
      <c s="6" r="BK1539">
        <v>0</v>
      </c>
      <c s="6" r="BL1539">
        <v>0</v>
      </c>
      <c s="6" r="BM1539">
        <v>0</v>
      </c>
      <c s="6" r="BN1539">
        <v>0</v>
      </c>
      <c s="6" r="BO1539">
        <v>0</v>
      </c>
      <c s="6" r="BP1539">
        <v>0</v>
      </c>
      <c s="6" r="BQ1539">
        <v>0</v>
      </c>
      <c t="s" s="6" r="BR1539">
        <v>92</v>
      </c>
      <c s="6" r="BS1539">
        <v>1562</v>
      </c>
      <c t="s" s="6" r="BT1539">
        <v>92</v>
      </c>
      <c s="6" r="BY1539">
        <v>0</v>
      </c>
    </row>
    <row customHeight="1" r="1540" ht="14.25">
      <c t="s" s="6" r="A1540">
        <v>10833</v>
      </c>
      <c t="s" s="6" r="B1540">
        <v>115</v>
      </c>
      <c t="s" s="6" r="C1540">
        <v>116</v>
      </c>
      <c t="s" s="6" r="D1540">
        <v>117</v>
      </c>
      <c t="s" s="6" r="E1540">
        <v>730</v>
      </c>
      <c t="s" s="6" r="F1540">
        <v>81</v>
      </c>
      <c t="s" s="6" r="G1540">
        <v>106</v>
      </c>
      <c s="6" r="H1540">
        <v>0</v>
      </c>
      <c t="s" s="6" r="I1540">
        <v>107</v>
      </c>
      <c t="s" s="6" r="L1540">
        <v>1235</v>
      </c>
      <c t="s" s="6" r="M1540">
        <v>323</v>
      </c>
      <c s="6" r="N1540">
        <v>0</v>
      </c>
      <c s="6" r="O1540">
        <v>0</v>
      </c>
      <c t="s" s="6" r="P1540">
        <v>221</v>
      </c>
      <c t="s" s="6" r="Q1540">
        <v>188</v>
      </c>
      <c t="s" s="6" r="R1540">
        <v>10834</v>
      </c>
      <c t="s" s="6" r="S1540">
        <v>10835</v>
      </c>
      <c t="s" s="6" r="T1540">
        <v>10367</v>
      </c>
      <c t="s" s="6" r="U1540">
        <v>10836</v>
      </c>
      <c s="6" r="V1540">
        <v>1</v>
      </c>
      <c s="6" r="W1540">
        <v>1</v>
      </c>
      <c s="6" r="X1540">
        <v>0</v>
      </c>
      <c s="6" r="Y1540">
        <v>0</v>
      </c>
      <c s="6" r="Z1540">
        <v>0</v>
      </c>
      <c s="6" r="AA1540">
        <v>1</v>
      </c>
      <c s="6" r="AB1540">
        <v>1</v>
      </c>
      <c t="s" s="6" r="AC1540">
        <v>92</v>
      </c>
      <c t="s" s="6" r="AD1540">
        <v>92</v>
      </c>
      <c t="s" s="6" r="AE1540">
        <v>92</v>
      </c>
      <c s="6" r="AF1540">
        <v>1</v>
      </c>
      <c t="s" s="6" r="AG1540">
        <v>92</v>
      </c>
      <c t="s" s="6" r="AH1540">
        <v>92</v>
      </c>
      <c t="s" s="6" r="AI1540">
        <v>92</v>
      </c>
      <c s="6" r="AJ1540">
        <v>1</v>
      </c>
      <c t="s" s="6" r="AK1540">
        <v>92</v>
      </c>
      <c t="s" s="6" r="AL1540">
        <v>92</v>
      </c>
      <c t="s" s="6" r="AM1540">
        <v>92</v>
      </c>
      <c t="s" s="6" r="AN1540">
        <v>92</v>
      </c>
      <c s="6" r="AP1540">
        <v>1</v>
      </c>
      <c s="6" r="AS1540">
        <v>0</v>
      </c>
      <c s="6" r="AT1540">
        <v>0</v>
      </c>
      <c s="6" r="AU1540">
        <v>0</v>
      </c>
      <c s="6" r="AV1540">
        <v>0</v>
      </c>
      <c s="6" r="AW1540">
        <v>0</v>
      </c>
      <c s="6" r="AX1540">
        <v>0</v>
      </c>
      <c s="6" r="AY1540">
        <v>0</v>
      </c>
      <c s="6" r="AZ1540">
        <v>0</v>
      </c>
      <c s="6" r="BA1540">
        <v>0</v>
      </c>
      <c s="6" r="BB1540">
        <v>0</v>
      </c>
      <c s="6" r="BC1540">
        <v>0</v>
      </c>
      <c s="6" r="BD1540">
        <v>0</v>
      </c>
      <c s="6" r="BE1540">
        <v>0</v>
      </c>
      <c s="6" r="BF1540">
        <v>0</v>
      </c>
      <c s="6" r="BG1540">
        <v>0</v>
      </c>
      <c s="6" r="BH1540">
        <v>0</v>
      </c>
      <c s="6" r="BI1540">
        <v>0</v>
      </c>
      <c s="6" r="BJ1540">
        <v>0</v>
      </c>
      <c s="6" r="BK1540">
        <v>0</v>
      </c>
      <c s="6" r="BL1540">
        <v>1</v>
      </c>
      <c s="6" r="BM1540">
        <v>0</v>
      </c>
      <c s="6" r="BN1540">
        <v>0</v>
      </c>
      <c s="6" r="BO1540">
        <v>0</v>
      </c>
      <c s="6" r="BP1540">
        <v>0</v>
      </c>
      <c s="6" r="BQ1540">
        <v>0</v>
      </c>
      <c t="s" s="6" r="BR1540">
        <v>92</v>
      </c>
      <c s="6" r="BS1540">
        <v>1563</v>
      </c>
      <c t="s" s="6" r="BT1540">
        <v>92</v>
      </c>
      <c s="6" r="BY1540">
        <v>0</v>
      </c>
    </row>
    <row customHeight="1" r="1541" ht="14.25">
      <c t="s" s="6" r="A1541">
        <v>10837</v>
      </c>
      <c t="s" s="6" r="B1541">
        <v>131</v>
      </c>
      <c t="s" s="6" r="E1541">
        <v>10838</v>
      </c>
      <c t="s" s="6" r="F1541">
        <v>81</v>
      </c>
      <c t="s" s="6" r="G1541">
        <v>10839</v>
      </c>
      <c s="6" r="H1541">
        <v>0</v>
      </c>
      <c t="s" s="6" r="I1541">
        <v>120</v>
      </c>
      <c t="s" s="6" r="L1541">
        <v>4735</v>
      </c>
      <c t="s" s="6" r="M1541">
        <v>3369</v>
      </c>
      <c s="6" r="N1541">
        <v>0</v>
      </c>
      <c s="6" r="O1541">
        <v>0</v>
      </c>
      <c t="s" s="6" r="P1541">
        <v>221</v>
      </c>
      <c t="s" s="6" r="Q1541">
        <v>188</v>
      </c>
      <c t="s" s="6" r="R1541">
        <v>10840</v>
      </c>
      <c t="s" s="6" r="S1541">
        <v>10841</v>
      </c>
      <c t="s" s="6" r="T1541">
        <v>10367</v>
      </c>
      <c t="s" s="6" r="U1541">
        <v>10842</v>
      </c>
      <c s="6" r="V1541">
        <v>1</v>
      </c>
      <c s="6" r="W1541">
        <v>1</v>
      </c>
      <c s="6" r="X1541">
        <v>1</v>
      </c>
      <c s="6" r="Y1541">
        <v>0</v>
      </c>
      <c s="6" r="Z1541">
        <v>1</v>
      </c>
      <c s="6" r="AA1541">
        <v>2</v>
      </c>
      <c s="6" r="AB1541">
        <v>2</v>
      </c>
      <c s="6" r="AC1541">
        <v>2</v>
      </c>
      <c s="6" r="AD1541">
        <v>2</v>
      </c>
      <c t="s" s="6" r="AE1541">
        <v>92</v>
      </c>
      <c t="s" s="6" r="AF1541">
        <v>92</v>
      </c>
      <c t="s" s="6" r="AG1541">
        <v>92</v>
      </c>
      <c t="s" s="6" r="AH1541">
        <v>92</v>
      </c>
      <c t="s" s="6" r="AI1541">
        <v>92</v>
      </c>
      <c s="6" r="AJ1541">
        <v>2</v>
      </c>
      <c t="s" s="6" r="AK1541">
        <v>92</v>
      </c>
      <c s="6" r="AL1541">
        <v>2</v>
      </c>
      <c t="s" s="6" r="AM1541">
        <v>92</v>
      </c>
      <c t="s" s="6" r="AN1541">
        <v>92</v>
      </c>
      <c s="6" r="AP1541">
        <v>2</v>
      </c>
      <c s="6" r="AS1541">
        <v>0</v>
      </c>
      <c s="6" r="AT1541">
        <v>0</v>
      </c>
      <c s="6" r="AU1541">
        <v>0</v>
      </c>
      <c s="6" r="AV1541">
        <v>0</v>
      </c>
      <c s="6" r="AW1541">
        <v>0</v>
      </c>
      <c s="6" r="AX1541">
        <v>0</v>
      </c>
      <c s="6" r="AY1541">
        <v>0</v>
      </c>
      <c s="6" r="AZ1541">
        <v>0</v>
      </c>
      <c s="6" r="BA1541">
        <v>0</v>
      </c>
      <c s="6" r="BB1541">
        <v>0</v>
      </c>
      <c s="6" r="BC1541">
        <v>0</v>
      </c>
      <c s="6" r="BD1541">
        <v>0</v>
      </c>
      <c s="6" r="BE1541">
        <v>0</v>
      </c>
      <c s="6" r="BF1541">
        <v>0</v>
      </c>
      <c s="6" r="BG1541">
        <v>0</v>
      </c>
      <c s="6" r="BH1541">
        <v>0</v>
      </c>
      <c s="6" r="BI1541">
        <v>0</v>
      </c>
      <c s="6" r="BJ1541">
        <v>0</v>
      </c>
      <c s="6" r="BK1541">
        <v>0</v>
      </c>
      <c s="6" r="BL1541">
        <v>0</v>
      </c>
      <c s="6" r="BM1541">
        <v>0</v>
      </c>
      <c s="6" r="BN1541">
        <v>0</v>
      </c>
      <c s="6" r="BO1541">
        <v>0</v>
      </c>
      <c s="6" r="BP1541">
        <v>0</v>
      </c>
      <c s="6" r="BQ1541">
        <v>0</v>
      </c>
      <c t="s" s="6" r="BR1541">
        <v>92</v>
      </c>
      <c s="6" r="BS1541">
        <v>1564</v>
      </c>
      <c t="s" s="6" r="BT1541">
        <v>92</v>
      </c>
      <c s="6" r="BY1541">
        <v>0</v>
      </c>
    </row>
    <row customHeight="1" r="1542" ht="14.25">
      <c t="s" s="6" r="A1542">
        <v>10843</v>
      </c>
      <c t="s" s="6" r="B1542">
        <v>131</v>
      </c>
      <c t="s" s="6" r="C1542">
        <v>152</v>
      </c>
      <c t="s" s="6" r="E1542">
        <v>7163</v>
      </c>
      <c t="s" s="6" r="F1542">
        <v>81</v>
      </c>
      <c t="s" s="6" r="G1542">
        <v>106</v>
      </c>
      <c s="6" r="H1542">
        <v>0</v>
      </c>
      <c t="s" s="6" r="I1542">
        <v>120</v>
      </c>
      <c t="s" s="6" r="L1542">
        <v>4981</v>
      </c>
      <c t="s" s="6" r="M1542">
        <v>711</v>
      </c>
      <c s="6" r="N1542">
        <v>1</v>
      </c>
      <c s="6" r="O1542">
        <v>0</v>
      </c>
      <c t="s" s="6" r="P1542">
        <v>86</v>
      </c>
      <c t="s" s="6" r="Q1542">
        <v>188</v>
      </c>
      <c t="s" s="6" r="R1542">
        <v>10844</v>
      </c>
      <c t="s" s="6" r="S1542">
        <v>10845</v>
      </c>
      <c t="s" s="6" r="T1542">
        <v>10367</v>
      </c>
      <c t="s" s="6" r="U1542">
        <v>10846</v>
      </c>
      <c s="6" r="V1542">
        <v>1</v>
      </c>
      <c s="6" r="W1542">
        <v>1</v>
      </c>
      <c s="6" r="X1542">
        <v>0</v>
      </c>
      <c s="6" r="Y1542">
        <v>0</v>
      </c>
      <c s="6" r="Z1542">
        <v>0</v>
      </c>
      <c s="6" r="AA1542">
        <v>3</v>
      </c>
      <c s="6" r="AB1542">
        <v>3</v>
      </c>
      <c t="s" s="6" r="AC1542">
        <v>92</v>
      </c>
      <c s="6" r="AD1542">
        <v>3</v>
      </c>
      <c t="s" s="6" r="AE1542">
        <v>92</v>
      </c>
      <c t="s" s="6" r="AF1542">
        <v>92</v>
      </c>
      <c t="s" s="6" r="AG1542">
        <v>92</v>
      </c>
      <c t="s" s="6" r="AH1542">
        <v>92</v>
      </c>
      <c t="s" s="6" r="AI1542">
        <v>92</v>
      </c>
      <c s="6" r="AJ1542">
        <v>3</v>
      </c>
      <c t="s" s="6" r="AK1542">
        <v>92</v>
      </c>
      <c t="s" s="6" r="AL1542">
        <v>92</v>
      </c>
      <c t="s" s="6" r="AM1542">
        <v>92</v>
      </c>
      <c t="s" s="6" r="AN1542">
        <v>92</v>
      </c>
      <c s="6" r="AP1542">
        <v>3</v>
      </c>
      <c s="6" r="AS1542">
        <v>0</v>
      </c>
      <c s="6" r="AT1542">
        <v>0</v>
      </c>
      <c s="6" r="AU1542">
        <v>0</v>
      </c>
      <c s="6" r="AV1542">
        <v>0</v>
      </c>
      <c s="6" r="AW1542">
        <v>0</v>
      </c>
      <c s="6" r="AX1542">
        <v>0</v>
      </c>
      <c s="6" r="AY1542">
        <v>0</v>
      </c>
      <c s="6" r="AZ1542">
        <v>0</v>
      </c>
      <c s="6" r="BA1542">
        <v>0</v>
      </c>
      <c s="6" r="BB1542">
        <v>0</v>
      </c>
      <c s="6" r="BC1542">
        <v>0</v>
      </c>
      <c s="6" r="BD1542">
        <v>0</v>
      </c>
      <c s="6" r="BE1542">
        <v>0</v>
      </c>
      <c s="6" r="BF1542">
        <v>0</v>
      </c>
      <c s="6" r="BG1542">
        <v>0</v>
      </c>
      <c s="6" r="BH1542">
        <v>0</v>
      </c>
      <c s="6" r="BI1542">
        <v>0</v>
      </c>
      <c s="6" r="BJ1542">
        <v>0</v>
      </c>
      <c s="6" r="BK1542">
        <v>0</v>
      </c>
      <c s="6" r="BL1542">
        <v>0</v>
      </c>
      <c s="6" r="BM1542">
        <v>0</v>
      </c>
      <c s="6" r="BN1542">
        <v>0</v>
      </c>
      <c s="6" r="BO1542">
        <v>0</v>
      </c>
      <c s="6" r="BP1542">
        <v>0</v>
      </c>
      <c s="6" r="BQ1542">
        <v>0</v>
      </c>
      <c t="s" s="6" r="BR1542">
        <v>92</v>
      </c>
      <c s="6" r="BS1542">
        <v>1565</v>
      </c>
      <c t="s" s="6" r="BT1542">
        <v>92</v>
      </c>
      <c s="6" r="BY1542">
        <v>0</v>
      </c>
    </row>
    <row customHeight="1" r="1543" ht="14.25">
      <c t="s" s="6" r="A1543">
        <v>10847</v>
      </c>
      <c t="s" s="6" r="B1543">
        <v>174</v>
      </c>
      <c t="s" s="6" r="D1543">
        <v>59</v>
      </c>
      <c t="s" s="6" r="E1543">
        <v>10848</v>
      </c>
      <c t="s" s="6" r="F1543">
        <v>81</v>
      </c>
      <c t="s" s="6" r="G1543">
        <v>106</v>
      </c>
      <c s="6" r="H1543">
        <v>0</v>
      </c>
      <c t="s" s="6" r="I1543">
        <v>120</v>
      </c>
      <c t="s" s="6" r="L1543">
        <v>420</v>
      </c>
      <c t="s" s="6" r="M1543">
        <v>99</v>
      </c>
      <c s="6" r="N1543">
        <v>0</v>
      </c>
      <c s="6" r="O1543">
        <v>0</v>
      </c>
      <c t="s" s="6" r="P1543">
        <v>421</v>
      </c>
      <c t="s" s="6" r="Q1543">
        <v>123</v>
      </c>
      <c t="s" s="6" r="R1543">
        <v>10849</v>
      </c>
      <c t="s" s="6" r="S1543">
        <v>10850</v>
      </c>
      <c t="s" s="6" r="T1543">
        <v>10367</v>
      </c>
      <c t="s" s="6" r="U1543">
        <v>10851</v>
      </c>
      <c s="6" r="V1543">
        <v>1</v>
      </c>
      <c s="6" r="W1543">
        <v>1</v>
      </c>
      <c s="6" r="X1543">
        <v>0</v>
      </c>
      <c s="6" r="Y1543">
        <v>0</v>
      </c>
      <c s="6" r="Z1543">
        <v>0</v>
      </c>
      <c t="s" s="6" r="AA1543">
        <v>92</v>
      </c>
      <c t="s" s="6" r="AB1543">
        <v>92</v>
      </c>
      <c s="6" r="AC1543">
        <v>1</v>
      </c>
      <c t="s" s="6" r="AD1543">
        <v>92</v>
      </c>
      <c t="s" s="6" r="AE1543">
        <v>92</v>
      </c>
      <c t="s" s="6" r="AF1543">
        <v>92</v>
      </c>
      <c t="s" s="6" r="AG1543">
        <v>92</v>
      </c>
      <c t="s" s="6" r="AH1543">
        <v>92</v>
      </c>
      <c t="s" s="6" r="AI1543">
        <v>92</v>
      </c>
      <c s="6" r="AJ1543">
        <v>1</v>
      </c>
      <c t="s" s="6" r="AK1543">
        <v>92</v>
      </c>
      <c s="6" r="AL1543">
        <v>1</v>
      </c>
      <c t="s" s="6" r="AM1543">
        <v>92</v>
      </c>
      <c t="s" s="6" r="AN1543">
        <v>92</v>
      </c>
      <c s="6" r="AP1543">
        <v>1</v>
      </c>
      <c s="6" r="AS1543">
        <v>0</v>
      </c>
      <c s="6" r="AT1543">
        <v>0</v>
      </c>
      <c s="6" r="AU1543">
        <v>0</v>
      </c>
      <c s="6" r="AV1543">
        <v>0</v>
      </c>
      <c s="6" r="AW1543">
        <v>0</v>
      </c>
      <c s="6" r="AX1543">
        <v>0</v>
      </c>
      <c s="6" r="AY1543">
        <v>0</v>
      </c>
      <c s="6" r="AZ1543">
        <v>0</v>
      </c>
      <c s="6" r="BA1543">
        <v>0</v>
      </c>
      <c s="6" r="BB1543">
        <v>0</v>
      </c>
      <c s="6" r="BC1543">
        <v>0</v>
      </c>
      <c s="6" r="BD1543">
        <v>0</v>
      </c>
      <c s="6" r="BE1543">
        <v>0</v>
      </c>
      <c s="6" r="BF1543">
        <v>0</v>
      </c>
      <c s="6" r="BG1543">
        <v>0</v>
      </c>
      <c s="6" r="BH1543">
        <v>1</v>
      </c>
      <c s="6" r="BI1543">
        <v>0</v>
      </c>
      <c s="6" r="BJ1543">
        <v>0</v>
      </c>
      <c s="6" r="BK1543">
        <v>0</v>
      </c>
      <c s="6" r="BL1543">
        <v>0</v>
      </c>
      <c s="6" r="BM1543">
        <v>0</v>
      </c>
      <c s="6" r="BN1543">
        <v>0</v>
      </c>
      <c s="6" r="BO1543">
        <v>0</v>
      </c>
      <c s="6" r="BP1543">
        <v>0</v>
      </c>
      <c s="6" r="BQ1543">
        <v>0</v>
      </c>
      <c t="s" s="6" r="BR1543">
        <v>92</v>
      </c>
      <c s="6" r="BS1543">
        <v>1566</v>
      </c>
      <c t="s" s="6" r="BT1543">
        <v>92</v>
      </c>
      <c s="6" r="BY1543">
        <v>0</v>
      </c>
    </row>
    <row customHeight="1" r="1544" ht="14.25">
      <c t="s" s="6" r="A1544">
        <v>10852</v>
      </c>
      <c t="s" s="6" r="B1544">
        <v>131</v>
      </c>
      <c t="s" s="6" r="E1544">
        <v>10853</v>
      </c>
      <c t="s" s="6" r="F1544">
        <v>81</v>
      </c>
      <c t="s" s="6" r="G1544">
        <v>106</v>
      </c>
      <c s="6" r="H1544">
        <v>0</v>
      </c>
      <c t="s" s="6" r="I1544">
        <v>120</v>
      </c>
      <c t="s" s="6" r="L1544">
        <v>420</v>
      </c>
      <c t="s" s="6" r="M1544">
        <v>2718</v>
      </c>
      <c s="6" r="N1544">
        <v>0</v>
      </c>
      <c s="6" r="O1544">
        <v>0</v>
      </c>
      <c t="s" s="6" r="P1544">
        <v>1227</v>
      </c>
      <c t="s" s="6" r="Q1544">
        <v>123</v>
      </c>
      <c t="s" s="6" r="R1544">
        <v>10854</v>
      </c>
      <c t="s" s="6" r="S1544">
        <v>10855</v>
      </c>
      <c t="s" s="6" r="T1544">
        <v>10367</v>
      </c>
      <c t="s" s="6" r="U1544">
        <v>10856</v>
      </c>
      <c s="6" r="V1544">
        <v>1</v>
      </c>
      <c s="6" r="W1544">
        <v>1</v>
      </c>
      <c s="6" r="X1544">
        <v>0</v>
      </c>
      <c s="6" r="Y1544">
        <v>0</v>
      </c>
      <c s="6" r="Z1544">
        <v>0</v>
      </c>
      <c s="6" r="AA1544">
        <v>1</v>
      </c>
      <c s="6" r="AB1544">
        <v>1</v>
      </c>
      <c t="s" s="6" r="AC1544">
        <v>92</v>
      </c>
      <c s="6" r="AD1544">
        <v>1</v>
      </c>
      <c s="6" r="AE1544">
        <v>1</v>
      </c>
      <c t="s" s="6" r="AF1544">
        <v>92</v>
      </c>
      <c t="s" s="6" r="AG1544">
        <v>92</v>
      </c>
      <c t="s" s="6" r="AH1544">
        <v>92</v>
      </c>
      <c t="s" s="6" r="AI1544">
        <v>92</v>
      </c>
      <c s="6" r="AJ1544">
        <v>1</v>
      </c>
      <c t="s" s="6" r="AK1544">
        <v>92</v>
      </c>
      <c t="s" s="6" r="AL1544">
        <v>92</v>
      </c>
      <c t="s" s="6" r="AM1544">
        <v>92</v>
      </c>
      <c t="s" s="6" r="AN1544">
        <v>92</v>
      </c>
      <c s="6" r="AP1544">
        <v>1</v>
      </c>
      <c s="6" r="AS1544">
        <v>0</v>
      </c>
      <c s="6" r="AT1544">
        <v>0</v>
      </c>
      <c s="6" r="AU1544">
        <v>0</v>
      </c>
      <c s="6" r="AV1544">
        <v>0</v>
      </c>
      <c s="6" r="AW1544">
        <v>0</v>
      </c>
      <c s="6" r="AX1544">
        <v>0</v>
      </c>
      <c s="6" r="AY1544">
        <v>0</v>
      </c>
      <c s="6" r="AZ1544">
        <v>0</v>
      </c>
      <c s="6" r="BA1544">
        <v>0</v>
      </c>
      <c s="6" r="BB1544">
        <v>0</v>
      </c>
      <c s="6" r="BC1544">
        <v>0</v>
      </c>
      <c s="6" r="BD1544">
        <v>0</v>
      </c>
      <c s="6" r="BE1544">
        <v>0</v>
      </c>
      <c s="6" r="BF1544">
        <v>0</v>
      </c>
      <c s="6" r="BG1544">
        <v>0</v>
      </c>
      <c s="6" r="BH1544">
        <v>0</v>
      </c>
      <c s="6" r="BI1544">
        <v>0</v>
      </c>
      <c s="6" r="BJ1544">
        <v>0</v>
      </c>
      <c s="6" r="BK1544">
        <v>0</v>
      </c>
      <c s="6" r="BL1544">
        <v>0</v>
      </c>
      <c s="6" r="BM1544">
        <v>0</v>
      </c>
      <c s="6" r="BN1544">
        <v>0</v>
      </c>
      <c s="6" r="BO1544">
        <v>0</v>
      </c>
      <c s="6" r="BP1544">
        <v>0</v>
      </c>
      <c s="6" r="BQ1544">
        <v>0</v>
      </c>
      <c t="s" s="6" r="BR1544">
        <v>92</v>
      </c>
      <c s="6" r="BS1544">
        <v>1567</v>
      </c>
      <c t="s" s="6" r="BT1544">
        <v>92</v>
      </c>
      <c s="6" r="BY1544">
        <v>0</v>
      </c>
    </row>
    <row customHeight="1" r="1545" ht="14.25">
      <c t="s" s="6" r="A1545">
        <v>10857</v>
      </c>
      <c t="s" s="6" r="B1545">
        <v>493</v>
      </c>
      <c t="s" s="6" r="D1545">
        <v>141</v>
      </c>
      <c t="s" s="6" r="E1545">
        <v>10858</v>
      </c>
      <c t="s" s="6" r="F1545">
        <v>311</v>
      </c>
      <c t="s" s="6" r="G1545">
        <v>106</v>
      </c>
      <c s="6" r="H1545">
        <v>0</v>
      </c>
      <c t="s" s="6" r="I1545">
        <v>120</v>
      </c>
      <c t="s" s="6" r="L1545">
        <v>2443</v>
      </c>
      <c t="s" s="6" r="M1545">
        <v>10859</v>
      </c>
      <c s="6" r="N1545">
        <v>1</v>
      </c>
      <c s="6" r="O1545">
        <v>0</v>
      </c>
      <c t="s" s="6" r="P1545">
        <v>421</v>
      </c>
      <c t="s" s="6" r="Q1545">
        <v>123</v>
      </c>
      <c t="s" s="6" r="R1545">
        <v>10860</v>
      </c>
      <c t="s" s="6" r="S1545">
        <v>10861</v>
      </c>
      <c t="s" s="6" r="T1545">
        <v>10367</v>
      </c>
      <c t="s" s="6" r="U1545">
        <v>10862</v>
      </c>
      <c s="6" r="V1545">
        <v>1</v>
      </c>
      <c s="6" r="W1545">
        <v>1</v>
      </c>
      <c s="6" r="X1545">
        <v>0</v>
      </c>
      <c s="6" r="Y1545">
        <v>0</v>
      </c>
      <c s="6" r="Z1545">
        <v>0</v>
      </c>
      <c s="6" r="AA1545">
        <v>2</v>
      </c>
      <c s="6" r="AB1545">
        <v>2</v>
      </c>
      <c s="6" r="AC1545">
        <v>2</v>
      </c>
      <c t="s" s="6" r="AD1545">
        <v>92</v>
      </c>
      <c t="s" s="6" r="AE1545">
        <v>92</v>
      </c>
      <c t="s" s="6" r="AF1545">
        <v>92</v>
      </c>
      <c t="s" s="6" r="AG1545">
        <v>92</v>
      </c>
      <c t="s" s="6" r="AH1545">
        <v>92</v>
      </c>
      <c t="s" s="6" r="AI1545">
        <v>92</v>
      </c>
      <c t="s" s="6" r="AJ1545">
        <v>92</v>
      </c>
      <c t="s" s="6" r="AK1545">
        <v>92</v>
      </c>
      <c s="6" r="AL1545">
        <v>2</v>
      </c>
      <c t="s" s="6" r="AM1545">
        <v>92</v>
      </c>
      <c s="6" r="AN1545">
        <v>2</v>
      </c>
      <c s="6" r="AP1545">
        <v>2</v>
      </c>
      <c s="6" r="AS1545">
        <v>0</v>
      </c>
      <c s="6" r="AT1545">
        <v>0</v>
      </c>
      <c s="6" r="AU1545">
        <v>0</v>
      </c>
      <c s="6" r="AV1545">
        <v>0</v>
      </c>
      <c s="6" r="AW1545">
        <v>0</v>
      </c>
      <c s="6" r="AX1545">
        <v>0</v>
      </c>
      <c s="6" r="AY1545">
        <v>0</v>
      </c>
      <c s="6" r="AZ1545">
        <v>0</v>
      </c>
      <c s="6" r="BA1545">
        <v>0</v>
      </c>
      <c s="6" r="BB1545">
        <v>0</v>
      </c>
      <c s="6" r="BC1545">
        <v>0</v>
      </c>
      <c s="6" r="BD1545">
        <v>0</v>
      </c>
      <c s="6" r="BE1545">
        <v>0</v>
      </c>
      <c s="6" r="BF1545">
        <v>0</v>
      </c>
      <c s="6" r="BG1545">
        <v>0</v>
      </c>
      <c s="6" r="BH1545">
        <v>0</v>
      </c>
      <c s="6" r="BI1545">
        <v>0</v>
      </c>
      <c s="6" r="BJ1545">
        <v>0</v>
      </c>
      <c s="6" r="BK1545">
        <v>0</v>
      </c>
      <c s="6" r="BL1545">
        <v>0</v>
      </c>
      <c s="6" r="BM1545">
        <v>0</v>
      </c>
      <c s="6" r="BN1545">
        <v>0</v>
      </c>
      <c s="6" r="BO1545">
        <v>0</v>
      </c>
      <c s="6" r="BP1545">
        <v>0</v>
      </c>
      <c s="6" r="BQ1545">
        <v>0</v>
      </c>
      <c t="s" s="6" r="BR1545">
        <v>92</v>
      </c>
      <c s="6" r="BS1545">
        <v>1568</v>
      </c>
      <c t="s" s="6" r="BT1545">
        <v>92</v>
      </c>
      <c s="6" r="BY1545">
        <v>0</v>
      </c>
    </row>
    <row customHeight="1" r="1546" ht="14.25">
      <c t="s" s="6" r="A1546">
        <v>10863</v>
      </c>
      <c t="s" s="6" r="B1546">
        <v>131</v>
      </c>
      <c t="s" s="6" r="D1546">
        <v>52</v>
      </c>
      <c t="s" s="6" r="E1546">
        <v>10744</v>
      </c>
      <c t="s" s="6" r="F1546">
        <v>81</v>
      </c>
      <c t="s" s="6" r="G1546">
        <v>106</v>
      </c>
      <c s="6" r="H1546">
        <v>0</v>
      </c>
      <c t="s" s="6" r="I1546">
        <v>120</v>
      </c>
      <c t="s" s="6" r="L1546">
        <v>420</v>
      </c>
      <c t="s" s="6" r="M1546">
        <v>99</v>
      </c>
      <c s="6" r="N1546">
        <v>0</v>
      </c>
      <c s="6" r="O1546">
        <v>0</v>
      </c>
      <c t="s" s="6" r="P1546">
        <v>421</v>
      </c>
      <c t="s" s="6" r="Q1546">
        <v>123</v>
      </c>
      <c t="s" s="6" r="R1546">
        <v>10864</v>
      </c>
      <c t="s" s="6" r="S1546">
        <v>10865</v>
      </c>
      <c t="s" s="6" r="T1546">
        <v>10367</v>
      </c>
      <c t="s" s="6" r="U1546">
        <v>10866</v>
      </c>
      <c s="6" r="V1546">
        <v>1</v>
      </c>
      <c s="6" r="W1546">
        <v>1</v>
      </c>
      <c s="6" r="X1546">
        <v>0</v>
      </c>
      <c s="6" r="Y1546">
        <v>0</v>
      </c>
      <c s="6" r="Z1546">
        <v>0</v>
      </c>
      <c s="6" r="AA1546">
        <v>4</v>
      </c>
      <c s="6" r="AB1546">
        <v>4</v>
      </c>
      <c t="s" s="6" r="AC1546">
        <v>92</v>
      </c>
      <c s="6" r="AD1546">
        <v>4</v>
      </c>
      <c t="s" s="6" r="AE1546">
        <v>92</v>
      </c>
      <c t="s" s="6" r="AF1546">
        <v>92</v>
      </c>
      <c t="s" s="6" r="AG1546">
        <v>92</v>
      </c>
      <c s="6" r="AH1546">
        <v>4</v>
      </c>
      <c t="s" s="6" r="AI1546">
        <v>92</v>
      </c>
      <c t="s" s="6" r="AJ1546">
        <v>92</v>
      </c>
      <c t="s" s="6" r="AK1546">
        <v>92</v>
      </c>
      <c t="s" s="6" r="AL1546">
        <v>92</v>
      </c>
      <c t="s" s="6" r="AM1546">
        <v>92</v>
      </c>
      <c t="s" s="6" r="AN1546">
        <v>92</v>
      </c>
      <c s="6" r="AP1546">
        <v>4</v>
      </c>
      <c s="6" r="AS1546">
        <v>0</v>
      </c>
      <c s="6" r="AT1546">
        <v>0</v>
      </c>
      <c s="6" r="AU1546">
        <v>0</v>
      </c>
      <c s="6" r="AV1546">
        <v>0</v>
      </c>
      <c s="6" r="AW1546">
        <v>0</v>
      </c>
      <c s="6" r="AX1546">
        <v>0</v>
      </c>
      <c s="6" r="AY1546">
        <v>0</v>
      </c>
      <c s="6" r="AZ1546">
        <v>0</v>
      </c>
      <c s="6" r="BA1546">
        <v>1</v>
      </c>
      <c s="6" r="BB1546">
        <v>0</v>
      </c>
      <c s="6" r="BC1546">
        <v>0</v>
      </c>
      <c s="6" r="BD1546">
        <v>0</v>
      </c>
      <c s="6" r="BE1546">
        <v>0</v>
      </c>
      <c s="6" r="BF1546">
        <v>0</v>
      </c>
      <c s="6" r="BG1546">
        <v>0</v>
      </c>
      <c s="6" r="BH1546">
        <v>0</v>
      </c>
      <c s="6" r="BI1546">
        <v>0</v>
      </c>
      <c s="6" r="BJ1546">
        <v>0</v>
      </c>
      <c s="6" r="BK1546">
        <v>0</v>
      </c>
      <c s="6" r="BL1546">
        <v>0</v>
      </c>
      <c s="6" r="BM1546">
        <v>0</v>
      </c>
      <c s="6" r="BN1546">
        <v>0</v>
      </c>
      <c s="6" r="BO1546">
        <v>0</v>
      </c>
      <c s="6" r="BP1546">
        <v>0</v>
      </c>
      <c s="6" r="BQ1546">
        <v>0</v>
      </c>
      <c t="s" s="6" r="BR1546">
        <v>92</v>
      </c>
      <c s="6" r="BS1546">
        <v>1569</v>
      </c>
      <c t="s" s="6" r="BT1546">
        <v>92</v>
      </c>
      <c s="6" r="BY1546">
        <v>0</v>
      </c>
    </row>
    <row customHeight="1" r="1547" ht="14.25">
      <c t="s" s="6" r="A1547">
        <v>10867</v>
      </c>
      <c t="s" s="6" r="B1547">
        <v>131</v>
      </c>
      <c t="s" s="6" r="E1547">
        <v>10868</v>
      </c>
      <c t="s" s="6" r="F1547">
        <v>81</v>
      </c>
      <c t="s" s="6" r="G1547">
        <v>106</v>
      </c>
      <c s="6" r="H1547">
        <v>0</v>
      </c>
      <c t="s" s="6" r="I1547">
        <v>120</v>
      </c>
      <c t="s" s="6" r="L1547">
        <v>420</v>
      </c>
      <c t="s" s="6" r="M1547">
        <v>483</v>
      </c>
      <c s="6" r="N1547">
        <v>1</v>
      </c>
      <c s="6" r="O1547">
        <v>0</v>
      </c>
      <c t="s" s="6" r="P1547">
        <v>1227</v>
      </c>
      <c t="s" s="6" r="Q1547">
        <v>123</v>
      </c>
      <c t="s" s="6" r="R1547">
        <v>10869</v>
      </c>
      <c t="s" s="6" r="S1547">
        <v>10870</v>
      </c>
      <c t="s" s="6" r="T1547">
        <v>10367</v>
      </c>
      <c t="s" s="6" r="U1547">
        <v>10871</v>
      </c>
      <c s="6" r="V1547">
        <v>1</v>
      </c>
      <c s="6" r="W1547">
        <v>1</v>
      </c>
      <c s="6" r="X1547">
        <v>0</v>
      </c>
      <c s="6" r="Y1547">
        <v>0</v>
      </c>
      <c s="6" r="Z1547">
        <v>0</v>
      </c>
      <c s="6" r="AA1547">
        <v>3</v>
      </c>
      <c s="6" r="AB1547">
        <v>3</v>
      </c>
      <c t="s" s="6" r="AC1547">
        <v>92</v>
      </c>
      <c t="s" s="6" r="AD1547">
        <v>92</v>
      </c>
      <c t="s" s="6" r="AE1547">
        <v>92</v>
      </c>
      <c s="6" r="AF1547">
        <v>3</v>
      </c>
      <c t="s" s="6" r="AG1547">
        <v>92</v>
      </c>
      <c s="6" r="AH1547">
        <v>3</v>
      </c>
      <c t="s" s="6" r="AI1547">
        <v>92</v>
      </c>
      <c t="s" s="6" r="AJ1547">
        <v>92</v>
      </c>
      <c t="s" s="6" r="AK1547">
        <v>92</v>
      </c>
      <c t="s" s="6" r="AL1547">
        <v>92</v>
      </c>
      <c t="s" s="6" r="AM1547">
        <v>92</v>
      </c>
      <c s="6" r="AN1547">
        <v>3</v>
      </c>
      <c s="6" r="AP1547">
        <v>3</v>
      </c>
      <c s="6" r="AS1547">
        <v>0</v>
      </c>
      <c s="6" r="AT1547">
        <v>0</v>
      </c>
      <c s="6" r="AU1547">
        <v>0</v>
      </c>
      <c s="6" r="AV1547">
        <v>0</v>
      </c>
      <c s="6" r="AW1547">
        <v>0</v>
      </c>
      <c s="6" r="AX1547">
        <v>0</v>
      </c>
      <c s="6" r="AY1547">
        <v>0</v>
      </c>
      <c s="6" r="AZ1547">
        <v>0</v>
      </c>
      <c s="6" r="BA1547">
        <v>0</v>
      </c>
      <c s="6" r="BB1547">
        <v>0</v>
      </c>
      <c s="6" r="BC1547">
        <v>0</v>
      </c>
      <c s="6" r="BD1547">
        <v>0</v>
      </c>
      <c s="6" r="BE1547">
        <v>0</v>
      </c>
      <c s="6" r="BF1547">
        <v>0</v>
      </c>
      <c s="6" r="BG1547">
        <v>0</v>
      </c>
      <c s="6" r="BH1547">
        <v>0</v>
      </c>
      <c s="6" r="BI1547">
        <v>0</v>
      </c>
      <c s="6" r="BJ1547">
        <v>0</v>
      </c>
      <c s="6" r="BK1547">
        <v>0</v>
      </c>
      <c s="6" r="BL1547">
        <v>0</v>
      </c>
      <c s="6" r="BM1547">
        <v>0</v>
      </c>
      <c s="6" r="BN1547">
        <v>0</v>
      </c>
      <c s="6" r="BO1547">
        <v>0</v>
      </c>
      <c s="6" r="BP1547">
        <v>0</v>
      </c>
      <c s="6" r="BQ1547">
        <v>0</v>
      </c>
      <c t="s" s="6" r="BR1547">
        <v>92</v>
      </c>
      <c s="6" r="BS1547">
        <v>1570</v>
      </c>
      <c t="s" s="6" r="BT1547">
        <v>92</v>
      </c>
      <c s="6" r="BY1547">
        <v>0</v>
      </c>
    </row>
    <row customHeight="1" r="1548" ht="14.25">
      <c t="s" s="6" r="A1548">
        <v>10872</v>
      </c>
      <c t="s" s="6" r="B1548">
        <v>131</v>
      </c>
      <c t="s" s="6" r="C1548">
        <v>152</v>
      </c>
      <c t="s" s="6" r="E1548">
        <v>8256</v>
      </c>
      <c t="s" s="6" r="F1548">
        <v>81</v>
      </c>
      <c t="s" s="6" r="G1548">
        <v>106</v>
      </c>
      <c s="6" r="H1548">
        <v>0</v>
      </c>
      <c t="s" s="6" r="I1548">
        <v>120</v>
      </c>
      <c t="s" s="6" r="L1548">
        <v>420</v>
      </c>
      <c t="s" s="6" r="M1548">
        <v>2718</v>
      </c>
      <c s="6" r="N1548">
        <v>0</v>
      </c>
      <c s="6" r="O1548">
        <v>0</v>
      </c>
      <c t="s" s="6" r="P1548">
        <v>1227</v>
      </c>
      <c t="s" s="6" r="Q1548">
        <v>123</v>
      </c>
      <c t="s" s="6" r="R1548">
        <v>10873</v>
      </c>
      <c t="s" s="6" r="S1548">
        <v>10874</v>
      </c>
      <c t="s" s="6" r="T1548">
        <v>10367</v>
      </c>
      <c t="s" s="6" r="U1548">
        <v>10875</v>
      </c>
      <c s="6" r="V1548">
        <v>1</v>
      </c>
      <c s="6" r="W1548">
        <v>1</v>
      </c>
      <c s="6" r="X1548">
        <v>0</v>
      </c>
      <c s="6" r="Y1548">
        <v>0</v>
      </c>
      <c s="6" r="Z1548">
        <v>0</v>
      </c>
      <c s="6" r="AA1548">
        <v>2</v>
      </c>
      <c s="6" r="AB1548">
        <v>2</v>
      </c>
      <c t="s" s="6" r="AC1548">
        <v>92</v>
      </c>
      <c t="s" s="6" r="AD1548">
        <v>92</v>
      </c>
      <c t="s" s="6" r="AE1548">
        <v>92</v>
      </c>
      <c t="s" s="6" r="AF1548">
        <v>92</v>
      </c>
      <c t="s" s="6" r="AG1548">
        <v>92</v>
      </c>
      <c s="6" r="AH1548">
        <v>2</v>
      </c>
      <c t="s" s="6" r="AI1548">
        <v>92</v>
      </c>
      <c s="6" r="AJ1548">
        <v>2</v>
      </c>
      <c t="s" s="6" r="AK1548">
        <v>92</v>
      </c>
      <c t="s" s="6" r="AL1548">
        <v>92</v>
      </c>
      <c t="s" s="6" r="AM1548">
        <v>92</v>
      </c>
      <c t="s" s="6" r="AN1548">
        <v>92</v>
      </c>
      <c s="6" r="AP1548">
        <v>2</v>
      </c>
      <c s="6" r="AS1548">
        <v>0</v>
      </c>
      <c s="6" r="AT1548">
        <v>0</v>
      </c>
      <c s="6" r="AU1548">
        <v>0</v>
      </c>
      <c s="6" r="AV1548">
        <v>0</v>
      </c>
      <c s="6" r="AW1548">
        <v>0</v>
      </c>
      <c s="6" r="AX1548">
        <v>0</v>
      </c>
      <c s="6" r="AY1548">
        <v>0</v>
      </c>
      <c s="6" r="AZ1548">
        <v>0</v>
      </c>
      <c s="6" r="BA1548">
        <v>0</v>
      </c>
      <c s="6" r="BB1548">
        <v>0</v>
      </c>
      <c s="6" r="BC1548">
        <v>0</v>
      </c>
      <c s="6" r="BD1548">
        <v>0</v>
      </c>
      <c s="6" r="BE1548">
        <v>0</v>
      </c>
      <c s="6" r="BF1548">
        <v>0</v>
      </c>
      <c s="6" r="BG1548">
        <v>0</v>
      </c>
      <c s="6" r="BH1548">
        <v>0</v>
      </c>
      <c s="6" r="BI1548">
        <v>0</v>
      </c>
      <c s="6" r="BJ1548">
        <v>0</v>
      </c>
      <c s="6" r="BK1548">
        <v>0</v>
      </c>
      <c s="6" r="BL1548">
        <v>0</v>
      </c>
      <c s="6" r="BM1548">
        <v>0</v>
      </c>
      <c s="6" r="BN1548">
        <v>0</v>
      </c>
      <c s="6" r="BO1548">
        <v>0</v>
      </c>
      <c s="6" r="BP1548">
        <v>0</v>
      </c>
      <c s="6" r="BQ1548">
        <v>0</v>
      </c>
      <c t="s" s="6" r="BR1548">
        <v>92</v>
      </c>
      <c s="6" r="BS1548">
        <v>1571</v>
      </c>
      <c t="s" s="6" r="BT1548">
        <v>92</v>
      </c>
      <c s="6" r="BY1548">
        <v>0</v>
      </c>
    </row>
    <row customHeight="1" r="1549" ht="14.25">
      <c t="s" s="6" r="A1549">
        <v>10876</v>
      </c>
      <c t="s" s="6" r="B1549">
        <v>579</v>
      </c>
      <c t="s" s="6" r="C1549">
        <v>66</v>
      </c>
      <c t="s" s="6" r="D1549">
        <v>66</v>
      </c>
      <c t="s" s="6" r="E1549">
        <v>7740</v>
      </c>
      <c t="s" s="6" r="F1549">
        <v>81</v>
      </c>
      <c t="s" s="6" r="G1549">
        <v>2086</v>
      </c>
      <c s="6" r="H1549">
        <v>0</v>
      </c>
      <c t="s" s="6" r="I1549">
        <v>120</v>
      </c>
      <c t="s" s="6" r="K1549">
        <v>10877</v>
      </c>
      <c t="s" s="6" r="L1549">
        <v>420</v>
      </c>
      <c t="s" s="6" r="M1549">
        <v>6469</v>
      </c>
      <c s="6" r="N1549">
        <v>1</v>
      </c>
      <c s="6" r="O1549">
        <v>0</v>
      </c>
      <c t="s" s="6" r="P1549">
        <v>221</v>
      </c>
      <c t="s" s="6" r="Q1549">
        <v>188</v>
      </c>
      <c t="s" s="6" r="R1549">
        <v>10878</v>
      </c>
      <c t="s" s="6" r="S1549">
        <v>10879</v>
      </c>
      <c t="s" s="6" r="T1549">
        <v>10367</v>
      </c>
      <c t="s" s="6" r="U1549">
        <v>10880</v>
      </c>
      <c s="6" r="V1549">
        <v>0</v>
      </c>
      <c s="6" r="W1549">
        <v>1</v>
      </c>
      <c s="6" r="X1549">
        <v>0</v>
      </c>
      <c s="6" r="Y1549">
        <v>0</v>
      </c>
      <c s="6" r="Z1549">
        <v>0</v>
      </c>
      <c s="6" r="AA1549">
        <v>2</v>
      </c>
      <c s="6" r="AB1549">
        <v>2</v>
      </c>
      <c t="s" s="6" r="AC1549">
        <v>92</v>
      </c>
      <c t="s" s="6" r="AD1549">
        <v>92</v>
      </c>
      <c t="s" s="6" r="AE1549">
        <v>92</v>
      </c>
      <c s="6" r="AF1549">
        <v>2</v>
      </c>
      <c t="s" s="6" r="AG1549">
        <v>92</v>
      </c>
      <c t="s" s="6" r="AH1549">
        <v>92</v>
      </c>
      <c t="s" s="6" r="AI1549">
        <v>92</v>
      </c>
      <c s="6" r="AJ1549">
        <v>2</v>
      </c>
      <c t="s" s="6" r="AK1549">
        <v>92</v>
      </c>
      <c t="s" s="6" r="AL1549">
        <v>92</v>
      </c>
      <c t="s" s="6" r="AM1549">
        <v>92</v>
      </c>
      <c t="s" s="6" r="AN1549">
        <v>92</v>
      </c>
      <c s="6" r="AP1549">
        <v>2</v>
      </c>
      <c s="6" r="AS1549">
        <v>0</v>
      </c>
      <c s="6" r="AT1549">
        <v>0</v>
      </c>
      <c s="6" r="AU1549">
        <v>0</v>
      </c>
      <c s="6" r="AV1549">
        <v>0</v>
      </c>
      <c s="6" r="AW1549">
        <v>0</v>
      </c>
      <c s="6" r="AX1549">
        <v>0</v>
      </c>
      <c s="6" r="AY1549">
        <v>0</v>
      </c>
      <c s="6" r="AZ1549">
        <v>0</v>
      </c>
      <c s="6" r="BA1549">
        <v>0</v>
      </c>
      <c s="6" r="BB1549">
        <v>0</v>
      </c>
      <c s="6" r="BC1549">
        <v>0</v>
      </c>
      <c s="6" r="BD1549">
        <v>0</v>
      </c>
      <c s="6" r="BE1549">
        <v>0</v>
      </c>
      <c s="6" r="BF1549">
        <v>0</v>
      </c>
      <c s="6" r="BG1549">
        <v>0</v>
      </c>
      <c s="6" r="BH1549">
        <v>0</v>
      </c>
      <c s="6" r="BI1549">
        <v>0</v>
      </c>
      <c s="6" r="BJ1549">
        <v>0</v>
      </c>
      <c s="6" r="BK1549">
        <v>0</v>
      </c>
      <c s="6" r="BL1549">
        <v>0</v>
      </c>
      <c s="6" r="BM1549">
        <v>0</v>
      </c>
      <c s="6" r="BN1549">
        <v>0</v>
      </c>
      <c s="6" r="BO1549">
        <v>1</v>
      </c>
      <c s="6" r="BP1549">
        <v>0</v>
      </c>
      <c s="6" r="BQ1549">
        <v>0</v>
      </c>
      <c t="s" s="6" r="BR1549">
        <v>92</v>
      </c>
      <c s="6" r="BS1549">
        <v>1572</v>
      </c>
      <c t="s" s="6" r="BT1549">
        <v>92</v>
      </c>
      <c t="s" s="6" r="BW1549">
        <v>10881</v>
      </c>
      <c s="6" r="BY1549">
        <v>1</v>
      </c>
    </row>
    <row customHeight="1" r="1550" ht="14.25">
      <c t="s" s="6" r="A1550">
        <v>10882</v>
      </c>
      <c t="s" s="6" r="B1550">
        <v>115</v>
      </c>
      <c t="s" s="6" r="C1550">
        <v>116</v>
      </c>
      <c t="s" s="6" r="D1550">
        <v>117</v>
      </c>
      <c t="s" s="6" r="E1550">
        <v>10883</v>
      </c>
      <c t="s" s="6" r="F1550">
        <v>272</v>
      </c>
      <c t="s" s="6" r="G1550">
        <v>10884</v>
      </c>
      <c s="6" r="H1550">
        <v>1</v>
      </c>
      <c t="s" s="6" r="I1550">
        <v>107</v>
      </c>
      <c t="s" s="6" r="L1550">
        <v>473</v>
      </c>
      <c t="s" s="6" r="M1550">
        <v>2896</v>
      </c>
      <c s="6" r="N1550">
        <v>0</v>
      </c>
      <c s="6" r="O1550">
        <v>0</v>
      </c>
      <c t="s" s="6" r="P1550">
        <v>221</v>
      </c>
      <c t="s" s="6" r="Q1550">
        <v>188</v>
      </c>
      <c t="s" s="6" r="R1550">
        <v>10885</v>
      </c>
      <c t="s" s="6" r="S1550">
        <v>10886</v>
      </c>
      <c t="s" s="6" r="T1550">
        <v>10887</v>
      </c>
      <c t="s" s="6" r="U1550">
        <v>10888</v>
      </c>
      <c s="6" r="V1550">
        <v>1</v>
      </c>
      <c s="6" r="W1550">
        <v>1</v>
      </c>
      <c s="6" r="X1550">
        <v>1</v>
      </c>
      <c s="6" r="Y1550">
        <v>0</v>
      </c>
      <c s="6" r="Z1550">
        <v>0</v>
      </c>
      <c t="s" s="6" r="AA1550">
        <v>92</v>
      </c>
      <c t="s" s="6" r="AB1550">
        <v>92</v>
      </c>
      <c s="6" r="AC1550">
        <v>3</v>
      </c>
      <c t="s" s="6" r="AD1550">
        <v>92</v>
      </c>
      <c t="s" s="6" r="AE1550">
        <v>92</v>
      </c>
      <c s="6" r="AF1550">
        <v>3</v>
      </c>
      <c t="s" s="6" r="AG1550">
        <v>92</v>
      </c>
      <c t="s" s="6" r="AH1550">
        <v>92</v>
      </c>
      <c t="s" s="6" r="AI1550">
        <v>92</v>
      </c>
      <c t="s" s="6" r="AJ1550">
        <v>92</v>
      </c>
      <c s="6" r="AK1550">
        <v>3</v>
      </c>
      <c s="6" r="AL1550">
        <v>3</v>
      </c>
      <c t="s" s="6" r="AM1550">
        <v>92</v>
      </c>
      <c t="s" s="6" r="AN1550">
        <v>92</v>
      </c>
      <c t="s" s="6" r="AO1550">
        <v>10137</v>
      </c>
      <c s="6" r="AP1550">
        <v>3</v>
      </c>
      <c s="6" r="AS1550">
        <v>0</v>
      </c>
      <c s="6" r="AT1550">
        <v>0</v>
      </c>
      <c s="6" r="AU1550">
        <v>0</v>
      </c>
      <c s="6" r="AV1550">
        <v>0</v>
      </c>
      <c s="6" r="AW1550">
        <v>0</v>
      </c>
      <c s="6" r="AX1550">
        <v>0</v>
      </c>
      <c s="6" r="AY1550">
        <v>0</v>
      </c>
      <c s="6" r="AZ1550">
        <v>0</v>
      </c>
      <c s="6" r="BA1550">
        <v>0</v>
      </c>
      <c s="6" r="BB1550">
        <v>0</v>
      </c>
      <c s="6" r="BC1550">
        <v>0</v>
      </c>
      <c s="6" r="BD1550">
        <v>0</v>
      </c>
      <c s="6" r="BE1550">
        <v>0</v>
      </c>
      <c s="6" r="BF1550">
        <v>0</v>
      </c>
      <c s="6" r="BG1550">
        <v>0</v>
      </c>
      <c s="6" r="BH1550">
        <v>0</v>
      </c>
      <c s="6" r="BI1550">
        <v>0</v>
      </c>
      <c s="6" r="BJ1550">
        <v>0</v>
      </c>
      <c s="6" r="BK1550">
        <v>0</v>
      </c>
      <c s="6" r="BL1550">
        <v>1</v>
      </c>
      <c s="6" r="BM1550">
        <v>0</v>
      </c>
      <c s="6" r="BN1550">
        <v>0</v>
      </c>
      <c s="6" r="BO1550">
        <v>0</v>
      </c>
      <c s="6" r="BP1550">
        <v>0</v>
      </c>
      <c s="6" r="BQ1550">
        <v>0</v>
      </c>
      <c t="s" s="6" r="BR1550">
        <v>92</v>
      </c>
      <c s="6" r="BS1550">
        <v>1573</v>
      </c>
      <c s="6" r="BT1550">
        <v>100</v>
      </c>
      <c s="6" r="BY1550">
        <v>0</v>
      </c>
    </row>
    <row customHeight="1" r="1551" ht="14.25">
      <c t="s" s="6" r="A1551">
        <v>10889</v>
      </c>
      <c t="s" s="6" r="B1551">
        <v>131</v>
      </c>
      <c t="s" s="6" r="E1551">
        <v>10578</v>
      </c>
      <c t="s" s="6" r="F1551">
        <v>5881</v>
      </c>
      <c t="s" s="6" r="G1551">
        <v>106</v>
      </c>
      <c s="6" r="H1551">
        <v>0</v>
      </c>
      <c t="s" s="6" r="I1551">
        <v>813</v>
      </c>
      <c t="s" s="6" r="K1551">
        <v>10890</v>
      </c>
      <c t="s" s="6" r="M1551">
        <v>4898</v>
      </c>
      <c s="6" r="N1551">
        <v>0</v>
      </c>
      <c s="6" r="O1551">
        <v>0</v>
      </c>
      <c t="s" s="6" r="R1551">
        <v>10891</v>
      </c>
      <c t="s" s="6" r="S1551">
        <v>10892</v>
      </c>
      <c t="s" s="6" r="T1551">
        <v>10893</v>
      </c>
      <c t="s" s="6" r="U1551">
        <v>10894</v>
      </c>
      <c s="6" r="V1551">
        <v>1</v>
      </c>
      <c s="6" r="W1551">
        <v>1</v>
      </c>
      <c s="6" r="X1551">
        <v>0</v>
      </c>
      <c s="6" r="Y1551">
        <v>0</v>
      </c>
      <c s="6" r="Z1551">
        <v>0</v>
      </c>
      <c s="6" r="AA1551">
        <v>1</v>
      </c>
      <c s="6" r="AB1551">
        <v>1</v>
      </c>
      <c t="s" s="6" r="AC1551">
        <v>92</v>
      </c>
      <c t="s" s="6" r="AD1551">
        <v>92</v>
      </c>
      <c t="s" s="6" r="AE1551">
        <v>92</v>
      </c>
      <c t="s" s="6" r="AF1551">
        <v>92</v>
      </c>
      <c t="s" s="6" r="AG1551">
        <v>92</v>
      </c>
      <c t="s" s="6" r="AH1551">
        <v>92</v>
      </c>
      <c t="s" s="6" r="AI1551">
        <v>92</v>
      </c>
      <c s="6" r="AJ1551">
        <v>1</v>
      </c>
      <c t="s" s="6" r="AK1551">
        <v>92</v>
      </c>
      <c t="s" s="6" r="AL1551">
        <v>92</v>
      </c>
      <c t="s" s="6" r="AM1551">
        <v>92</v>
      </c>
      <c s="6" r="AN1551">
        <v>1</v>
      </c>
      <c s="6" r="AP1551">
        <v>1</v>
      </c>
      <c s="6" r="AS1551">
        <v>0</v>
      </c>
      <c s="6" r="AT1551">
        <v>0</v>
      </c>
      <c s="6" r="AU1551">
        <v>0</v>
      </c>
      <c s="6" r="AV1551">
        <v>0</v>
      </c>
      <c s="6" r="AW1551">
        <v>0</v>
      </c>
      <c s="6" r="AX1551">
        <v>0</v>
      </c>
      <c s="6" r="AY1551">
        <v>0</v>
      </c>
      <c s="6" r="AZ1551">
        <v>0</v>
      </c>
      <c s="6" r="BA1551">
        <v>0</v>
      </c>
      <c s="6" r="BB1551">
        <v>0</v>
      </c>
      <c s="6" r="BC1551">
        <v>0</v>
      </c>
      <c s="6" r="BD1551">
        <v>0</v>
      </c>
      <c s="6" r="BE1551">
        <v>0</v>
      </c>
      <c s="6" r="BF1551">
        <v>0</v>
      </c>
      <c s="6" r="BG1551">
        <v>0</v>
      </c>
      <c s="6" r="BH1551">
        <v>0</v>
      </c>
      <c s="6" r="BI1551">
        <v>0</v>
      </c>
      <c s="6" r="BJ1551">
        <v>0</v>
      </c>
      <c s="6" r="BK1551">
        <v>0</v>
      </c>
      <c s="6" r="BL1551">
        <v>0</v>
      </c>
      <c s="6" r="BM1551">
        <v>0</v>
      </c>
      <c s="6" r="BN1551">
        <v>0</v>
      </c>
      <c s="6" r="BO1551">
        <v>0</v>
      </c>
      <c s="6" r="BP1551">
        <v>0</v>
      </c>
      <c s="6" r="BQ1551">
        <v>0</v>
      </c>
      <c t="s" s="6" r="BR1551">
        <v>92</v>
      </c>
      <c s="6" r="BS1551">
        <v>1574</v>
      </c>
      <c t="s" s="6" r="BT1551">
        <v>92</v>
      </c>
      <c s="6" r="BY1551">
        <v>0</v>
      </c>
    </row>
    <row customHeight="1" r="1552" ht="14.25">
      <c t="s" s="6" r="A1552">
        <v>10895</v>
      </c>
      <c t="s" s="6" r="B1552">
        <v>162</v>
      </c>
      <c t="s" s="6" r="E1552">
        <v>1734</v>
      </c>
      <c t="s" s="6" r="F1552">
        <v>81</v>
      </c>
      <c t="s" s="6" r="G1552">
        <v>106</v>
      </c>
      <c s="6" r="H1552">
        <v>0</v>
      </c>
      <c t="s" s="6" r="I1552">
        <v>155</v>
      </c>
      <c t="s" s="6" r="J1552">
        <v>10896</v>
      </c>
      <c t="s" s="6" r="M1552">
        <v>6116</v>
      </c>
      <c s="6" r="N1552">
        <v>0</v>
      </c>
      <c s="6" r="O1552">
        <v>0</v>
      </c>
      <c t="s" s="6" r="P1552">
        <v>86</v>
      </c>
      <c t="s" s="6" r="Q1552">
        <v>87</v>
      </c>
      <c t="s" s="6" r="R1552">
        <v>10897</v>
      </c>
      <c t="s" s="6" r="S1552">
        <v>10898</v>
      </c>
      <c t="s" s="6" r="T1552">
        <v>10893</v>
      </c>
      <c t="s" s="6" r="U1552">
        <v>10899</v>
      </c>
      <c s="6" r="V1552">
        <v>1</v>
      </c>
      <c s="6" r="W1552">
        <v>1</v>
      </c>
      <c s="6" r="X1552">
        <v>0</v>
      </c>
      <c s="6" r="Y1552">
        <v>0</v>
      </c>
      <c s="6" r="Z1552">
        <v>0</v>
      </c>
      <c s="6" r="AA1552">
        <v>5</v>
      </c>
      <c s="6" r="AB1552">
        <v>5</v>
      </c>
      <c t="s" s="6" r="AC1552">
        <v>92</v>
      </c>
      <c t="s" s="6" r="AD1552">
        <v>92</v>
      </c>
      <c t="s" s="6" r="AE1552">
        <v>92</v>
      </c>
      <c s="6" r="AF1552">
        <v>5</v>
      </c>
      <c t="s" s="6" r="AG1552">
        <v>92</v>
      </c>
      <c t="s" s="6" r="AH1552">
        <v>92</v>
      </c>
      <c t="s" s="6" r="AI1552">
        <v>92</v>
      </c>
      <c t="s" s="6" r="AJ1552">
        <v>92</v>
      </c>
      <c t="s" s="6" r="AK1552">
        <v>92</v>
      </c>
      <c t="s" s="6" r="AL1552">
        <v>92</v>
      </c>
      <c t="s" s="6" r="AM1552">
        <v>92</v>
      </c>
      <c t="s" s="6" r="AN1552">
        <v>92</v>
      </c>
      <c s="6" r="AP1552">
        <v>5</v>
      </c>
      <c s="6" r="AS1552">
        <v>0</v>
      </c>
      <c s="6" r="AT1552">
        <v>0</v>
      </c>
      <c s="6" r="AU1552">
        <v>0</v>
      </c>
      <c s="6" r="AV1552">
        <v>0</v>
      </c>
      <c s="6" r="AW1552">
        <v>0</v>
      </c>
      <c s="6" r="AX1552">
        <v>0</v>
      </c>
      <c s="6" r="AY1552">
        <v>0</v>
      </c>
      <c s="6" r="AZ1552">
        <v>0</v>
      </c>
      <c s="6" r="BA1552">
        <v>0</v>
      </c>
      <c s="6" r="BB1552">
        <v>0</v>
      </c>
      <c s="6" r="BC1552">
        <v>0</v>
      </c>
      <c s="6" r="BD1552">
        <v>0</v>
      </c>
      <c s="6" r="BE1552">
        <v>0</v>
      </c>
      <c s="6" r="BF1552">
        <v>0</v>
      </c>
      <c s="6" r="BG1552">
        <v>0</v>
      </c>
      <c s="6" r="BH1552">
        <v>0</v>
      </c>
      <c s="6" r="BI1552">
        <v>0</v>
      </c>
      <c s="6" r="BJ1552">
        <v>0</v>
      </c>
      <c s="6" r="BK1552">
        <v>0</v>
      </c>
      <c s="6" r="BL1552">
        <v>0</v>
      </c>
      <c s="6" r="BM1552">
        <v>0</v>
      </c>
      <c s="6" r="BN1552">
        <v>0</v>
      </c>
      <c s="6" r="BO1552">
        <v>0</v>
      </c>
      <c s="6" r="BP1552">
        <v>0</v>
      </c>
      <c s="6" r="BQ1552">
        <v>0</v>
      </c>
      <c t="s" s="6" r="BR1552">
        <v>92</v>
      </c>
      <c s="6" r="BS1552">
        <v>1575</v>
      </c>
      <c t="s" s="6" r="BT1552">
        <v>92</v>
      </c>
      <c t="s" s="6" r="BW1552">
        <v>10900</v>
      </c>
      <c t="s" s="6" r="BX1552">
        <v>10901</v>
      </c>
      <c s="6" r="BY1552">
        <v>1</v>
      </c>
    </row>
    <row customHeight="1" r="1553" ht="14.25">
      <c t="s" s="6" r="A1553">
        <v>10902</v>
      </c>
      <c t="s" s="6" r="B1553">
        <v>227</v>
      </c>
      <c t="s" s="6" r="E1553">
        <v>10903</v>
      </c>
      <c t="s" s="6" r="F1553">
        <v>197</v>
      </c>
      <c t="s" s="6" r="G1553">
        <v>106</v>
      </c>
      <c s="6" r="H1553">
        <v>0</v>
      </c>
      <c t="s" s="6" r="I1553">
        <v>120</v>
      </c>
      <c t="s" s="6" r="L1553">
        <v>10904</v>
      </c>
      <c t="s" s="6" r="M1553">
        <v>209</v>
      </c>
      <c s="6" r="N1553">
        <v>0</v>
      </c>
      <c s="6" r="O1553">
        <v>0</v>
      </c>
      <c t="s" s="6" r="P1553">
        <v>10905</v>
      </c>
      <c t="s" s="6" r="Q1553">
        <v>10906</v>
      </c>
      <c t="s" s="6" r="R1553">
        <v>10907</v>
      </c>
      <c t="s" s="6" r="S1553">
        <v>10908</v>
      </c>
      <c t="s" s="6" r="T1553">
        <v>10893</v>
      </c>
      <c t="s" s="6" r="U1553">
        <v>10909</v>
      </c>
      <c s="6" r="V1553">
        <v>1</v>
      </c>
      <c s="6" r="W1553">
        <v>1</v>
      </c>
      <c s="6" r="X1553">
        <v>0</v>
      </c>
      <c s="6" r="Y1553">
        <v>0</v>
      </c>
      <c s="6" r="Z1553">
        <v>0</v>
      </c>
      <c s="6" r="AA1553">
        <v>3</v>
      </c>
      <c s="6" r="AB1553">
        <v>3</v>
      </c>
      <c s="6" r="AC1553">
        <v>2</v>
      </c>
      <c t="s" s="6" r="AD1553">
        <v>92</v>
      </c>
      <c t="s" s="6" r="AE1553">
        <v>92</v>
      </c>
      <c t="s" s="6" r="AF1553">
        <v>92</v>
      </c>
      <c t="s" s="6" r="AG1553">
        <v>92</v>
      </c>
      <c s="6" r="AH1553">
        <v>2</v>
      </c>
      <c t="s" s="6" r="AI1553">
        <v>92</v>
      </c>
      <c s="6" r="AJ1553">
        <v>3</v>
      </c>
      <c t="s" s="6" r="AK1553">
        <v>92</v>
      </c>
      <c s="6" r="AL1553">
        <v>2</v>
      </c>
      <c t="s" s="6" r="AM1553">
        <v>92</v>
      </c>
      <c t="s" s="6" r="AN1553">
        <v>92</v>
      </c>
      <c s="6" r="AP1553">
        <v>3</v>
      </c>
      <c s="6" r="AS1553">
        <v>0</v>
      </c>
      <c s="6" r="AT1553">
        <v>0</v>
      </c>
      <c s="6" r="AU1553">
        <v>0</v>
      </c>
      <c s="6" r="AV1553">
        <v>0</v>
      </c>
      <c s="6" r="AW1553">
        <v>0</v>
      </c>
      <c s="6" r="AX1553">
        <v>0</v>
      </c>
      <c s="6" r="AY1553">
        <v>0</v>
      </c>
      <c s="6" r="AZ1553">
        <v>0</v>
      </c>
      <c s="6" r="BA1553">
        <v>0</v>
      </c>
      <c s="6" r="BB1553">
        <v>0</v>
      </c>
      <c s="6" r="BC1553">
        <v>0</v>
      </c>
      <c s="6" r="BD1553">
        <v>0</v>
      </c>
      <c s="6" r="BE1553">
        <v>0</v>
      </c>
      <c s="6" r="BF1553">
        <v>0</v>
      </c>
      <c s="6" r="BG1553">
        <v>0</v>
      </c>
      <c s="6" r="BH1553">
        <v>0</v>
      </c>
      <c s="6" r="BI1553">
        <v>0</v>
      </c>
      <c s="6" r="BJ1553">
        <v>0</v>
      </c>
      <c s="6" r="BK1553">
        <v>0</v>
      </c>
      <c s="6" r="BL1553">
        <v>0</v>
      </c>
      <c s="6" r="BM1553">
        <v>0</v>
      </c>
      <c s="6" r="BN1553">
        <v>0</v>
      </c>
      <c s="6" r="BO1553">
        <v>0</v>
      </c>
      <c s="6" r="BP1553">
        <v>0</v>
      </c>
      <c s="6" r="BQ1553">
        <v>0</v>
      </c>
      <c t="s" s="6" r="BR1553">
        <v>92</v>
      </c>
      <c s="6" r="BS1553">
        <v>1576</v>
      </c>
      <c t="s" s="6" r="BT1553">
        <v>92</v>
      </c>
      <c s="6" r="BY1553">
        <v>0</v>
      </c>
    </row>
    <row customHeight="1" r="1554" ht="14.25">
      <c t="s" s="6" r="A1554">
        <v>10910</v>
      </c>
      <c t="s" s="6" r="B1554">
        <v>493</v>
      </c>
      <c t="s" s="6" r="D1554">
        <v>58</v>
      </c>
      <c t="s" s="6" r="E1554">
        <v>1020</v>
      </c>
      <c t="s" s="6" r="F1554">
        <v>81</v>
      </c>
      <c t="s" s="6" r="G1554">
        <v>10911</v>
      </c>
      <c s="6" r="H1554">
        <v>1</v>
      </c>
      <c t="s" s="6" r="I1554">
        <v>155</v>
      </c>
      <c t="s" s="6" r="J1554">
        <v>10912</v>
      </c>
      <c t="s" s="6" r="M1554">
        <v>109</v>
      </c>
      <c s="6" r="N1554">
        <v>0</v>
      </c>
      <c s="6" r="O1554">
        <v>0</v>
      </c>
      <c t="s" s="6" r="P1554">
        <v>631</v>
      </c>
      <c t="s" s="6" r="Q1554">
        <v>188</v>
      </c>
      <c t="s" s="6" r="R1554">
        <v>10913</v>
      </c>
      <c t="s" s="6" r="S1554">
        <v>10914</v>
      </c>
      <c t="s" s="6" r="T1554">
        <v>10893</v>
      </c>
      <c t="s" s="6" r="U1554">
        <v>10915</v>
      </c>
      <c s="6" r="V1554">
        <v>1</v>
      </c>
      <c s="6" r="W1554">
        <v>1</v>
      </c>
      <c s="6" r="X1554">
        <v>0</v>
      </c>
      <c s="6" r="Y1554">
        <v>0</v>
      </c>
      <c s="6" r="Z1554">
        <v>0</v>
      </c>
      <c s="6" r="AA1554">
        <v>6</v>
      </c>
      <c s="6" r="AB1554">
        <v>6</v>
      </c>
      <c s="6" r="AC1554">
        <v>6</v>
      </c>
      <c t="s" s="6" r="AD1554">
        <v>92</v>
      </c>
      <c t="s" s="6" r="AE1554">
        <v>92</v>
      </c>
      <c t="s" s="6" r="AF1554">
        <v>92</v>
      </c>
      <c t="s" s="6" r="AG1554">
        <v>92</v>
      </c>
      <c t="s" s="6" r="AH1554">
        <v>92</v>
      </c>
      <c t="s" s="6" r="AI1554">
        <v>92</v>
      </c>
      <c t="s" s="6" r="AJ1554">
        <v>92</v>
      </c>
      <c t="s" s="6" r="AK1554">
        <v>92</v>
      </c>
      <c s="6" r="AL1554">
        <v>6</v>
      </c>
      <c t="s" s="6" r="AM1554">
        <v>92</v>
      </c>
      <c t="s" s="6" r="AN1554">
        <v>92</v>
      </c>
      <c s="6" r="AP1554">
        <v>6</v>
      </c>
      <c s="6" r="AS1554">
        <v>0</v>
      </c>
      <c s="6" r="AT1554">
        <v>0</v>
      </c>
      <c s="6" r="AU1554">
        <v>0</v>
      </c>
      <c s="6" r="AV1554">
        <v>0</v>
      </c>
      <c s="6" r="AW1554">
        <v>0</v>
      </c>
      <c s="6" r="AX1554">
        <v>0</v>
      </c>
      <c s="6" r="AY1554">
        <v>0</v>
      </c>
      <c s="6" r="AZ1554">
        <v>0</v>
      </c>
      <c s="6" r="BA1554">
        <v>0</v>
      </c>
      <c s="6" r="BB1554">
        <v>0</v>
      </c>
      <c s="6" r="BC1554">
        <v>0</v>
      </c>
      <c s="6" r="BD1554">
        <v>0</v>
      </c>
      <c s="6" r="BE1554">
        <v>0</v>
      </c>
      <c s="6" r="BF1554">
        <v>0</v>
      </c>
      <c s="6" r="BG1554">
        <v>0</v>
      </c>
      <c s="6" r="BH1554">
        <v>0</v>
      </c>
      <c s="6" r="BI1554">
        <v>0</v>
      </c>
      <c s="6" r="BJ1554">
        <v>0</v>
      </c>
      <c s="6" r="BK1554">
        <v>0</v>
      </c>
      <c s="6" r="BL1554">
        <v>0</v>
      </c>
      <c s="6" r="BM1554">
        <v>0</v>
      </c>
      <c s="6" r="BN1554">
        <v>0</v>
      </c>
      <c s="6" r="BO1554">
        <v>0</v>
      </c>
      <c s="6" r="BP1554">
        <v>0</v>
      </c>
      <c s="6" r="BQ1554">
        <v>0</v>
      </c>
      <c t="s" s="6" r="BR1554">
        <v>92</v>
      </c>
      <c s="6" r="BS1554">
        <v>1577</v>
      </c>
      <c s="6" r="BT1554">
        <v>1000</v>
      </c>
      <c s="6" r="BY1554">
        <v>0</v>
      </c>
    </row>
    <row customHeight="1" r="1555" ht="14.25">
      <c t="s" s="6" r="A1555">
        <v>10916</v>
      </c>
      <c t="s" s="6" r="B1555">
        <v>78</v>
      </c>
      <c t="s" s="6" r="C1555">
        <v>1356</v>
      </c>
      <c t="s" s="6" r="E1555">
        <v>7561</v>
      </c>
      <c t="s" s="6" r="F1555">
        <v>81</v>
      </c>
      <c t="s" s="6" r="G1555">
        <v>106</v>
      </c>
      <c s="6" r="H1555">
        <v>0</v>
      </c>
      <c t="s" s="6" r="I1555">
        <v>107</v>
      </c>
      <c t="s" s="6" r="L1555">
        <v>10917</v>
      </c>
      <c t="s" s="6" r="M1555">
        <v>10918</v>
      </c>
      <c s="6" r="N1555">
        <v>0</v>
      </c>
      <c s="6" r="O1555">
        <v>0</v>
      </c>
      <c t="s" s="6" r="P1555">
        <v>86</v>
      </c>
      <c t="s" s="6" r="Q1555">
        <v>87</v>
      </c>
      <c t="s" s="6" r="R1555">
        <v>10919</v>
      </c>
      <c t="s" s="6" r="S1555">
        <v>10920</v>
      </c>
      <c t="s" s="6" r="T1555">
        <v>10893</v>
      </c>
      <c t="s" s="6" r="U1555">
        <v>10921</v>
      </c>
      <c s="6" r="V1555">
        <v>1</v>
      </c>
      <c s="6" r="W1555">
        <v>1</v>
      </c>
      <c s="6" r="X1555">
        <v>0</v>
      </c>
      <c s="6" r="Y1555">
        <v>0</v>
      </c>
      <c s="6" r="Z1555">
        <v>0</v>
      </c>
      <c s="6" r="AA1555">
        <v>3</v>
      </c>
      <c s="6" r="AB1555">
        <v>3</v>
      </c>
      <c t="s" s="6" r="AC1555">
        <v>92</v>
      </c>
      <c t="s" s="6" r="AD1555">
        <v>92</v>
      </c>
      <c t="s" s="6" r="AE1555">
        <v>92</v>
      </c>
      <c s="6" r="AF1555">
        <v>2</v>
      </c>
      <c t="s" s="6" r="AG1555">
        <v>92</v>
      </c>
      <c t="s" s="6" r="AH1555">
        <v>92</v>
      </c>
      <c t="s" s="6" r="AI1555">
        <v>92</v>
      </c>
      <c t="s" s="6" r="AJ1555">
        <v>92</v>
      </c>
      <c t="s" s="6" r="AK1555">
        <v>92</v>
      </c>
      <c t="s" s="6" r="AL1555">
        <v>92</v>
      </c>
      <c t="s" s="6" r="AM1555">
        <v>92</v>
      </c>
      <c t="s" s="6" r="AN1555">
        <v>92</v>
      </c>
      <c s="6" r="AP1555">
        <v>3</v>
      </c>
      <c s="6" r="AS1555">
        <v>0</v>
      </c>
      <c s="6" r="AT1555">
        <v>0</v>
      </c>
      <c s="6" r="AU1555">
        <v>0</v>
      </c>
      <c s="6" r="AV1555">
        <v>0</v>
      </c>
      <c s="6" r="AW1555">
        <v>0</v>
      </c>
      <c s="6" r="AX1555">
        <v>0</v>
      </c>
      <c s="6" r="AY1555">
        <v>0</v>
      </c>
      <c s="6" r="AZ1555">
        <v>0</v>
      </c>
      <c s="6" r="BA1555">
        <v>0</v>
      </c>
      <c s="6" r="BB1555">
        <v>0</v>
      </c>
      <c s="6" r="BC1555">
        <v>0</v>
      </c>
      <c s="6" r="BD1555">
        <v>0</v>
      </c>
      <c s="6" r="BE1555">
        <v>0</v>
      </c>
      <c s="6" r="BF1555">
        <v>0</v>
      </c>
      <c s="6" r="BG1555">
        <v>0</v>
      </c>
      <c s="6" r="BH1555">
        <v>0</v>
      </c>
      <c s="6" r="BI1555">
        <v>0</v>
      </c>
      <c s="6" r="BJ1555">
        <v>0</v>
      </c>
      <c s="6" r="BK1555">
        <v>0</v>
      </c>
      <c s="6" r="BL1555">
        <v>0</v>
      </c>
      <c s="6" r="BM1555">
        <v>0</v>
      </c>
      <c s="6" r="BN1555">
        <v>0</v>
      </c>
      <c s="6" r="BO1555">
        <v>0</v>
      </c>
      <c s="6" r="BP1555">
        <v>0</v>
      </c>
      <c s="6" r="BQ1555">
        <v>0</v>
      </c>
      <c t="s" s="6" r="BR1555">
        <v>92</v>
      </c>
      <c s="6" r="BS1555">
        <v>1578</v>
      </c>
      <c t="s" s="6" r="BT1555">
        <v>92</v>
      </c>
      <c s="6" r="BY1555">
        <v>0</v>
      </c>
    </row>
    <row customHeight="1" r="1556" ht="14.25">
      <c t="s" s="6" r="A1556">
        <v>10922</v>
      </c>
      <c t="s" s="6" r="B1556">
        <v>115</v>
      </c>
      <c t="s" s="6" r="C1556">
        <v>116</v>
      </c>
      <c t="s" s="6" r="D1556">
        <v>841</v>
      </c>
      <c t="s" s="6" r="E1556">
        <v>10923</v>
      </c>
      <c t="s" s="6" r="F1556">
        <v>311</v>
      </c>
      <c t="s" s="6" r="G1556">
        <v>251</v>
      </c>
      <c s="6" r="H1556">
        <v>0</v>
      </c>
      <c t="s" s="6" r="I1556">
        <v>10924</v>
      </c>
      <c t="s" s="6" r="L1556">
        <v>10925</v>
      </c>
      <c t="s" s="6" r="M1556">
        <v>10926</v>
      </c>
      <c s="6" r="N1556">
        <v>1</v>
      </c>
      <c s="6" r="O1556">
        <v>0</v>
      </c>
      <c t="s" s="6" r="P1556">
        <v>221</v>
      </c>
      <c t="s" s="6" r="Q1556">
        <v>188</v>
      </c>
      <c t="s" s="6" r="R1556">
        <v>10927</v>
      </c>
      <c t="s" s="6" r="S1556">
        <v>10928</v>
      </c>
      <c t="s" s="6" r="T1556">
        <v>10893</v>
      </c>
      <c t="s" s="6" r="U1556">
        <v>10929</v>
      </c>
      <c s="6" r="V1556">
        <v>1</v>
      </c>
      <c s="6" r="W1556">
        <v>0</v>
      </c>
      <c s="6" r="X1556">
        <v>0</v>
      </c>
      <c s="6" r="Y1556">
        <v>0</v>
      </c>
      <c s="6" r="Z1556">
        <v>0</v>
      </c>
      <c s="6" r="AA1556">
        <v>6</v>
      </c>
      <c s="6" r="AB1556">
        <v>6</v>
      </c>
      <c t="s" s="6" r="AC1556">
        <v>92</v>
      </c>
      <c t="s" s="6" r="AD1556">
        <v>92</v>
      </c>
      <c t="s" s="6" r="AE1556">
        <v>92</v>
      </c>
      <c s="6" r="AF1556">
        <v>6</v>
      </c>
      <c t="s" s="6" r="AG1556">
        <v>92</v>
      </c>
      <c t="s" s="6" r="AH1556">
        <v>92</v>
      </c>
      <c t="s" s="6" r="AI1556">
        <v>92</v>
      </c>
      <c s="6" r="AJ1556">
        <v>6</v>
      </c>
      <c s="6" r="AK1556">
        <v>6</v>
      </c>
      <c t="s" s="6" r="AL1556">
        <v>92</v>
      </c>
      <c t="s" s="6" r="AM1556">
        <v>92</v>
      </c>
      <c t="s" s="6" r="AN1556">
        <v>92</v>
      </c>
      <c s="6" r="AP1556">
        <v>6</v>
      </c>
      <c s="6" r="AS1556">
        <v>0</v>
      </c>
      <c s="6" r="AT1556">
        <v>0</v>
      </c>
      <c s="6" r="AU1556">
        <v>0</v>
      </c>
      <c s="6" r="AV1556">
        <v>0</v>
      </c>
      <c s="6" r="AW1556">
        <v>0</v>
      </c>
      <c s="6" r="AX1556">
        <v>0</v>
      </c>
      <c s="6" r="AY1556">
        <v>0</v>
      </c>
      <c s="6" r="AZ1556">
        <v>0</v>
      </c>
      <c s="6" r="BA1556">
        <v>0</v>
      </c>
      <c s="6" r="BB1556">
        <v>0</v>
      </c>
      <c s="6" r="BC1556">
        <v>0</v>
      </c>
      <c s="6" r="BD1556">
        <v>0</v>
      </c>
      <c s="6" r="BE1556">
        <v>0</v>
      </c>
      <c s="6" r="BF1556">
        <v>0</v>
      </c>
      <c s="6" r="BG1556">
        <v>0</v>
      </c>
      <c s="6" r="BH1556">
        <v>0</v>
      </c>
      <c s="6" r="BI1556">
        <v>1</v>
      </c>
      <c s="6" r="BJ1556">
        <v>0</v>
      </c>
      <c s="6" r="BK1556">
        <v>0</v>
      </c>
      <c s="6" r="BL1556">
        <v>1</v>
      </c>
      <c s="6" r="BM1556">
        <v>0</v>
      </c>
      <c s="6" r="BN1556">
        <v>0</v>
      </c>
      <c s="6" r="BO1556">
        <v>0</v>
      </c>
      <c s="6" r="BP1556">
        <v>0</v>
      </c>
      <c s="6" r="BQ1556">
        <v>0</v>
      </c>
      <c t="s" s="6" r="BR1556">
        <v>92</v>
      </c>
      <c s="6" r="BS1556">
        <v>1579</v>
      </c>
      <c t="s" s="6" r="BT1556">
        <v>92</v>
      </c>
      <c s="6" r="BY1556">
        <v>0</v>
      </c>
    </row>
    <row customHeight="1" r="1557" ht="14.25">
      <c t="s" s="6" r="A1557">
        <v>10930</v>
      </c>
      <c t="s" s="6" r="B1557">
        <v>162</v>
      </c>
      <c t="s" s="6" r="E1557">
        <v>10931</v>
      </c>
      <c t="s" s="6" r="F1557">
        <v>81</v>
      </c>
      <c t="s" s="6" r="G1557">
        <v>119</v>
      </c>
      <c s="6" r="H1557">
        <v>0</v>
      </c>
      <c t="s" s="6" r="I1557">
        <v>155</v>
      </c>
      <c t="s" s="6" r="L1557">
        <v>156</v>
      </c>
      <c t="s" s="6" r="M1557">
        <v>5005</v>
      </c>
      <c s="6" r="N1557">
        <v>0</v>
      </c>
      <c s="6" r="O1557">
        <v>0</v>
      </c>
      <c t="s" s="6" r="P1557">
        <v>10802</v>
      </c>
      <c t="s" s="6" r="Q1557">
        <v>9985</v>
      </c>
      <c t="s" s="6" r="R1557">
        <v>10932</v>
      </c>
      <c t="s" s="6" r="S1557">
        <v>10933</v>
      </c>
      <c t="s" s="6" r="T1557">
        <v>10934</v>
      </c>
      <c t="s" s="6" r="U1557">
        <v>10935</v>
      </c>
      <c s="6" r="V1557">
        <v>1</v>
      </c>
      <c s="6" r="W1557">
        <v>1</v>
      </c>
      <c s="6" r="X1557">
        <v>0</v>
      </c>
      <c s="6" r="Y1557">
        <v>0</v>
      </c>
      <c s="6" r="Z1557">
        <v>1</v>
      </c>
      <c t="s" s="6" r="AA1557">
        <v>92</v>
      </c>
      <c t="s" s="6" r="AB1557">
        <v>92</v>
      </c>
      <c s="6" r="AC1557">
        <v>1</v>
      </c>
      <c s="6" r="AD1557">
        <v>1</v>
      </c>
      <c t="s" s="6" r="AE1557">
        <v>92</v>
      </c>
      <c t="s" s="6" r="AF1557">
        <v>92</v>
      </c>
      <c s="6" r="AG1557">
        <v>1</v>
      </c>
      <c t="s" s="6" r="AH1557">
        <v>92</v>
      </c>
      <c t="s" s="6" r="AI1557">
        <v>92</v>
      </c>
      <c t="s" s="6" r="AJ1557">
        <v>92</v>
      </c>
      <c t="s" s="6" r="AK1557">
        <v>92</v>
      </c>
      <c s="6" r="AL1557">
        <v>1</v>
      </c>
      <c t="s" s="6" r="AM1557">
        <v>92</v>
      </c>
      <c t="s" s="6" r="AN1557">
        <v>92</v>
      </c>
      <c t="s" s="6" r="AO1557">
        <v>7089</v>
      </c>
      <c s="6" r="AP1557">
        <v>1</v>
      </c>
      <c s="6" r="AS1557">
        <v>0</v>
      </c>
      <c s="6" r="AT1557">
        <v>0</v>
      </c>
      <c s="6" r="AU1557">
        <v>0</v>
      </c>
      <c s="6" r="AV1557">
        <v>0</v>
      </c>
      <c s="6" r="AW1557">
        <v>0</v>
      </c>
      <c s="6" r="AX1557">
        <v>0</v>
      </c>
      <c s="6" r="AY1557">
        <v>0</v>
      </c>
      <c s="6" r="AZ1557">
        <v>0</v>
      </c>
      <c s="6" r="BA1557">
        <v>0</v>
      </c>
      <c s="6" r="BB1557">
        <v>0</v>
      </c>
      <c s="6" r="BC1557">
        <v>0</v>
      </c>
      <c s="6" r="BD1557">
        <v>0</v>
      </c>
      <c s="6" r="BE1557">
        <v>0</v>
      </c>
      <c s="6" r="BF1557">
        <v>0</v>
      </c>
      <c s="6" r="BG1557">
        <v>0</v>
      </c>
      <c s="6" r="BH1557">
        <v>0</v>
      </c>
      <c s="6" r="BI1557">
        <v>0</v>
      </c>
      <c s="6" r="BJ1557">
        <v>0</v>
      </c>
      <c s="6" r="BK1557">
        <v>0</v>
      </c>
      <c s="6" r="BL1557">
        <v>0</v>
      </c>
      <c s="6" r="BM1557">
        <v>0</v>
      </c>
      <c s="6" r="BN1557">
        <v>0</v>
      </c>
      <c s="6" r="BO1557">
        <v>0</v>
      </c>
      <c s="6" r="BP1557">
        <v>0</v>
      </c>
      <c s="6" r="BQ1557">
        <v>0</v>
      </c>
      <c t="s" s="6" r="BR1557">
        <v>92</v>
      </c>
      <c s="6" r="BS1557">
        <v>1580</v>
      </c>
      <c t="s" s="6" r="BT1557">
        <v>92</v>
      </c>
      <c s="6" r="BY1557">
        <v>0</v>
      </c>
    </row>
    <row customHeight="1" r="1558" ht="14.25">
      <c t="s" s="6" r="A1558">
        <v>10936</v>
      </c>
      <c t="s" s="6" r="B1558">
        <v>131</v>
      </c>
      <c t="s" s="6" r="E1558">
        <v>6934</v>
      </c>
      <c t="s" s="6" r="F1558">
        <v>81</v>
      </c>
      <c t="s" s="6" r="G1558">
        <v>10937</v>
      </c>
      <c s="6" r="H1558">
        <v>1</v>
      </c>
      <c t="s" s="6" r="I1558">
        <v>120</v>
      </c>
      <c t="s" s="6" r="L1558">
        <v>10938</v>
      </c>
      <c t="s" s="6" r="M1558">
        <v>200</v>
      </c>
      <c s="6" r="N1558">
        <v>0</v>
      </c>
      <c s="6" r="O1558">
        <v>0</v>
      </c>
      <c t="s" s="6" r="P1558">
        <v>86</v>
      </c>
      <c t="s" s="6" r="Q1558">
        <v>188</v>
      </c>
      <c t="s" s="6" r="R1558">
        <v>10939</v>
      </c>
      <c t="s" s="6" r="S1558">
        <v>10940</v>
      </c>
      <c t="s" s="6" r="T1558">
        <v>10934</v>
      </c>
      <c t="s" s="6" r="U1558">
        <v>10941</v>
      </c>
      <c s="6" r="V1558">
        <v>1</v>
      </c>
      <c s="6" r="W1558">
        <v>1</v>
      </c>
      <c s="6" r="X1558">
        <v>1</v>
      </c>
      <c s="6" r="Y1558">
        <v>0</v>
      </c>
      <c s="6" r="Z1558">
        <v>1</v>
      </c>
      <c t="s" s="6" r="AA1558">
        <v>92</v>
      </c>
      <c t="s" s="6" r="AB1558">
        <v>92</v>
      </c>
      <c s="6" r="AC1558">
        <v>1</v>
      </c>
      <c s="6" r="AD1558">
        <v>1</v>
      </c>
      <c t="s" s="6" r="AE1558">
        <v>92</v>
      </c>
      <c t="s" s="6" r="AF1558">
        <v>92</v>
      </c>
      <c t="s" s="6" r="AG1558">
        <v>92</v>
      </c>
      <c t="s" s="6" r="AH1558">
        <v>92</v>
      </c>
      <c t="s" s="6" r="AI1558">
        <v>92</v>
      </c>
      <c t="s" s="6" r="AJ1558">
        <v>92</v>
      </c>
      <c t="s" s="6" r="AK1558">
        <v>92</v>
      </c>
      <c s="6" r="AL1558">
        <v>1</v>
      </c>
      <c t="s" s="6" r="AM1558">
        <v>92</v>
      </c>
      <c t="s" s="6" r="AN1558">
        <v>92</v>
      </c>
      <c t="s" s="6" r="AO1558">
        <v>7089</v>
      </c>
      <c s="6" r="AP1558">
        <v>1</v>
      </c>
      <c s="6" r="AS1558">
        <v>0</v>
      </c>
      <c s="6" r="AT1558">
        <v>0</v>
      </c>
      <c s="6" r="AU1558">
        <v>0</v>
      </c>
      <c s="6" r="AV1558">
        <v>0</v>
      </c>
      <c s="6" r="AW1558">
        <v>0</v>
      </c>
      <c s="6" r="AX1558">
        <v>0</v>
      </c>
      <c s="6" r="AY1558">
        <v>0</v>
      </c>
      <c s="6" r="AZ1558">
        <v>0</v>
      </c>
      <c s="6" r="BA1558">
        <v>0</v>
      </c>
      <c s="6" r="BB1558">
        <v>0</v>
      </c>
      <c s="6" r="BC1558">
        <v>0</v>
      </c>
      <c s="6" r="BD1558">
        <v>0</v>
      </c>
      <c s="6" r="BE1558">
        <v>0</v>
      </c>
      <c s="6" r="BF1558">
        <v>0</v>
      </c>
      <c s="6" r="BG1558">
        <v>0</v>
      </c>
      <c s="6" r="BH1558">
        <v>0</v>
      </c>
      <c s="6" r="BI1558">
        <v>0</v>
      </c>
      <c s="6" r="BJ1558">
        <v>0</v>
      </c>
      <c s="6" r="BK1558">
        <v>0</v>
      </c>
      <c s="6" r="BL1558">
        <v>0</v>
      </c>
      <c s="6" r="BM1558">
        <v>0</v>
      </c>
      <c s="6" r="BN1558">
        <v>0</v>
      </c>
      <c s="6" r="BO1558">
        <v>0</v>
      </c>
      <c s="6" r="BP1558">
        <v>0</v>
      </c>
      <c s="6" r="BQ1558">
        <v>0</v>
      </c>
      <c t="s" s="6" r="BR1558">
        <v>92</v>
      </c>
      <c s="6" r="BS1558">
        <v>1581</v>
      </c>
      <c s="6" r="BT1558">
        <v>1</v>
      </c>
      <c s="6" r="BY1558">
        <v>0</v>
      </c>
    </row>
    <row customHeight="1" r="1559" ht="14.25">
      <c t="s" s="6" r="A1559">
        <v>10942</v>
      </c>
      <c t="s" s="6" r="B1559">
        <v>227</v>
      </c>
      <c t="s" s="6" r="E1559">
        <v>10943</v>
      </c>
      <c t="s" s="6" r="F1559">
        <v>81</v>
      </c>
      <c t="s" s="6" r="G1559">
        <v>10944</v>
      </c>
      <c s="6" r="H1559">
        <v>0</v>
      </c>
      <c t="s" s="6" r="I1559">
        <v>120</v>
      </c>
      <c t="s" s="6" r="L1559">
        <v>2296</v>
      </c>
      <c t="s" s="6" r="M1559">
        <v>3073</v>
      </c>
      <c s="6" r="N1559">
        <v>0</v>
      </c>
      <c s="6" r="O1559">
        <v>0</v>
      </c>
      <c t="s" s="6" r="P1559">
        <v>1227</v>
      </c>
      <c t="s" s="6" r="Q1559">
        <v>123</v>
      </c>
      <c t="s" s="6" r="R1559">
        <v>10945</v>
      </c>
      <c t="s" s="6" r="S1559">
        <v>10946</v>
      </c>
      <c t="s" s="6" r="T1559">
        <v>10947</v>
      </c>
      <c t="s" s="6" r="U1559">
        <v>10948</v>
      </c>
      <c s="6" r="V1559">
        <v>1</v>
      </c>
      <c s="6" r="W1559">
        <v>1</v>
      </c>
      <c s="6" r="X1559">
        <v>1</v>
      </c>
      <c s="6" r="Y1559">
        <v>0</v>
      </c>
      <c s="6" r="Z1559">
        <v>0</v>
      </c>
      <c s="6" r="AA1559">
        <v>1</v>
      </c>
      <c s="6" r="AB1559">
        <v>1</v>
      </c>
      <c t="s" s="6" r="AC1559">
        <v>92</v>
      </c>
      <c t="s" s="6" r="AD1559">
        <v>92</v>
      </c>
      <c t="s" s="6" r="AE1559">
        <v>92</v>
      </c>
      <c t="s" s="6" r="AF1559">
        <v>92</v>
      </c>
      <c s="6" r="AG1559">
        <v>1</v>
      </c>
      <c t="s" s="6" r="AH1559">
        <v>92</v>
      </c>
      <c t="s" s="6" r="AI1559">
        <v>92</v>
      </c>
      <c t="s" s="6" r="AJ1559">
        <v>92</v>
      </c>
      <c s="6" r="AK1559">
        <v>1</v>
      </c>
      <c t="s" s="6" r="AL1559">
        <v>92</v>
      </c>
      <c t="s" s="6" r="AM1559">
        <v>92</v>
      </c>
      <c s="6" r="AN1559">
        <v>1</v>
      </c>
      <c s="6" r="AP1559">
        <v>1</v>
      </c>
      <c s="6" r="AS1559">
        <v>0</v>
      </c>
      <c s="6" r="AT1559">
        <v>0</v>
      </c>
      <c s="6" r="AU1559">
        <v>0</v>
      </c>
      <c s="6" r="AV1559">
        <v>0</v>
      </c>
      <c s="6" r="AW1559">
        <v>0</v>
      </c>
      <c s="6" r="AX1559">
        <v>0</v>
      </c>
      <c s="6" r="AY1559">
        <v>0</v>
      </c>
      <c s="6" r="AZ1559">
        <v>0</v>
      </c>
      <c s="6" r="BA1559">
        <v>0</v>
      </c>
      <c s="6" r="BB1559">
        <v>0</v>
      </c>
      <c s="6" r="BC1559">
        <v>0</v>
      </c>
      <c s="6" r="BD1559">
        <v>0</v>
      </c>
      <c s="6" r="BE1559">
        <v>0</v>
      </c>
      <c s="6" r="BF1559">
        <v>0</v>
      </c>
      <c s="6" r="BG1559">
        <v>0</v>
      </c>
      <c s="6" r="BH1559">
        <v>0</v>
      </c>
      <c s="6" r="BI1559">
        <v>0</v>
      </c>
      <c s="6" r="BJ1559">
        <v>0</v>
      </c>
      <c s="6" r="BK1559">
        <v>0</v>
      </c>
      <c s="6" r="BL1559">
        <v>0</v>
      </c>
      <c s="6" r="BM1559">
        <v>0</v>
      </c>
      <c s="6" r="BN1559">
        <v>0</v>
      </c>
      <c s="6" r="BO1559">
        <v>0</v>
      </c>
      <c s="6" r="BP1559">
        <v>0</v>
      </c>
      <c s="6" r="BQ1559">
        <v>0</v>
      </c>
      <c t="s" s="6" r="BR1559">
        <v>92</v>
      </c>
      <c s="6" r="BS1559">
        <v>1582</v>
      </c>
      <c t="s" s="6" r="BT1559">
        <v>92</v>
      </c>
      <c s="6" r="BY1559">
        <v>0</v>
      </c>
    </row>
    <row customHeight="1" r="1560" ht="14.25">
      <c t="s" s="6" r="A1560">
        <v>10949</v>
      </c>
      <c t="s" s="6" r="B1560">
        <v>131</v>
      </c>
      <c t="s" s="6" r="E1560">
        <v>10950</v>
      </c>
      <c t="s" s="6" r="F1560">
        <v>81</v>
      </c>
      <c t="s" s="6" r="G1560">
        <v>10951</v>
      </c>
      <c s="6" r="H1560">
        <v>0</v>
      </c>
      <c t="s" s="6" r="I1560">
        <v>120</v>
      </c>
      <c t="s" s="6" r="L1560">
        <v>10952</v>
      </c>
      <c t="s" s="6" r="M1560">
        <v>2896</v>
      </c>
      <c s="6" r="N1560">
        <v>0</v>
      </c>
      <c s="6" r="O1560">
        <v>0</v>
      </c>
      <c t="s" s="6" r="P1560">
        <v>86</v>
      </c>
      <c t="s" s="6" r="Q1560">
        <v>123</v>
      </c>
      <c t="s" s="6" r="R1560">
        <v>10953</v>
      </c>
      <c t="s" s="6" r="S1560">
        <v>10954</v>
      </c>
      <c t="s" s="6" r="T1560">
        <v>10947</v>
      </c>
      <c t="s" s="6" r="U1560">
        <v>10955</v>
      </c>
      <c s="6" r="V1560">
        <v>1</v>
      </c>
      <c s="6" r="W1560">
        <v>1</v>
      </c>
      <c s="6" r="X1560">
        <v>1</v>
      </c>
      <c s="6" r="Y1560">
        <v>0</v>
      </c>
      <c s="6" r="Z1560">
        <v>0</v>
      </c>
      <c s="6" r="AA1560">
        <v>2</v>
      </c>
      <c s="6" r="AB1560">
        <v>2</v>
      </c>
      <c t="s" s="6" r="AC1560">
        <v>92</v>
      </c>
      <c s="6" r="AD1560">
        <v>2</v>
      </c>
      <c s="6" r="AE1560">
        <v>2</v>
      </c>
      <c t="s" s="6" r="AF1560">
        <v>92</v>
      </c>
      <c s="6" r="AG1560">
        <v>2</v>
      </c>
      <c t="s" s="6" r="AH1560">
        <v>92</v>
      </c>
      <c t="s" s="6" r="AI1560">
        <v>92</v>
      </c>
      <c s="6" r="AJ1560">
        <v>2</v>
      </c>
      <c t="s" s="6" r="AK1560">
        <v>92</v>
      </c>
      <c t="s" s="6" r="AL1560">
        <v>92</v>
      </c>
      <c t="s" s="6" r="AM1560">
        <v>92</v>
      </c>
      <c t="s" s="6" r="AN1560">
        <v>92</v>
      </c>
      <c s="6" r="AP1560">
        <v>2</v>
      </c>
      <c s="6" r="AS1560">
        <v>0</v>
      </c>
      <c s="6" r="AT1560">
        <v>0</v>
      </c>
      <c s="6" r="AU1560">
        <v>0</v>
      </c>
      <c s="6" r="AV1560">
        <v>0</v>
      </c>
      <c s="6" r="AW1560">
        <v>0</v>
      </c>
      <c s="6" r="AX1560">
        <v>0</v>
      </c>
      <c s="6" r="AY1560">
        <v>0</v>
      </c>
      <c s="6" r="AZ1560">
        <v>0</v>
      </c>
      <c s="6" r="BA1560">
        <v>0</v>
      </c>
      <c s="6" r="BB1560">
        <v>0</v>
      </c>
      <c s="6" r="BC1560">
        <v>0</v>
      </c>
      <c s="6" r="BD1560">
        <v>0</v>
      </c>
      <c s="6" r="BE1560">
        <v>0</v>
      </c>
      <c s="6" r="BF1560">
        <v>0</v>
      </c>
      <c s="6" r="BG1560">
        <v>0</v>
      </c>
      <c s="6" r="BH1560">
        <v>0</v>
      </c>
      <c s="6" r="BI1560">
        <v>0</v>
      </c>
      <c s="6" r="BJ1560">
        <v>0</v>
      </c>
      <c s="6" r="BK1560">
        <v>0</v>
      </c>
      <c s="6" r="BL1560">
        <v>0</v>
      </c>
      <c s="6" r="BM1560">
        <v>0</v>
      </c>
      <c s="6" r="BN1560">
        <v>0</v>
      </c>
      <c s="6" r="BO1560">
        <v>0</v>
      </c>
      <c s="6" r="BP1560">
        <v>0</v>
      </c>
      <c s="6" r="BQ1560">
        <v>0</v>
      </c>
      <c t="s" s="6" r="BR1560">
        <v>92</v>
      </c>
      <c s="6" r="BS1560">
        <v>1583</v>
      </c>
      <c t="s" s="6" r="BT1560">
        <v>92</v>
      </c>
      <c s="6" r="BY1560">
        <v>0</v>
      </c>
    </row>
    <row customHeight="1" r="1561" ht="14.25">
      <c t="s" s="6" r="A1561">
        <v>10956</v>
      </c>
      <c t="s" s="6" r="B1561">
        <v>579</v>
      </c>
      <c t="s" s="6" r="E1561">
        <v>10957</v>
      </c>
      <c t="s" s="6" r="F1561">
        <v>81</v>
      </c>
      <c t="s" s="6" r="G1561">
        <v>10958</v>
      </c>
      <c s="6" r="H1561">
        <v>0</v>
      </c>
      <c t="s" s="6" r="I1561">
        <v>120</v>
      </c>
      <c t="s" s="6" r="L1561">
        <v>420</v>
      </c>
      <c t="s" s="6" r="M1561">
        <v>5005</v>
      </c>
      <c s="6" r="N1561">
        <v>0</v>
      </c>
      <c s="6" r="O1561">
        <v>0</v>
      </c>
      <c t="s" s="6" r="P1561">
        <v>1227</v>
      </c>
      <c t="s" s="6" r="Q1561">
        <v>123</v>
      </c>
      <c t="s" s="6" r="R1561">
        <v>10959</v>
      </c>
      <c t="s" s="6" r="S1561">
        <v>10960</v>
      </c>
      <c t="s" s="6" r="T1561">
        <v>10947</v>
      </c>
      <c t="s" s="6" r="U1561">
        <v>10961</v>
      </c>
      <c s="6" r="V1561">
        <v>1</v>
      </c>
      <c s="6" r="W1561">
        <v>1</v>
      </c>
      <c s="6" r="X1561">
        <v>1</v>
      </c>
      <c s="6" r="Y1561">
        <v>0</v>
      </c>
      <c s="6" r="Z1561">
        <v>0</v>
      </c>
      <c s="6" r="AA1561">
        <v>1</v>
      </c>
      <c s="6" r="AB1561">
        <v>1</v>
      </c>
      <c s="6" r="AC1561">
        <v>1</v>
      </c>
      <c t="s" s="6" r="AD1561">
        <v>92</v>
      </c>
      <c t="s" s="6" r="AE1561">
        <v>92</v>
      </c>
      <c s="6" r="AF1561">
        <v>1</v>
      </c>
      <c t="s" s="6" r="AG1561">
        <v>92</v>
      </c>
      <c t="s" s="6" r="AH1561">
        <v>92</v>
      </c>
      <c t="s" s="6" r="AI1561">
        <v>92</v>
      </c>
      <c t="s" s="6" r="AJ1561">
        <v>92</v>
      </c>
      <c t="s" s="6" r="AK1561">
        <v>92</v>
      </c>
      <c s="6" r="AL1561">
        <v>1</v>
      </c>
      <c t="s" s="6" r="AM1561">
        <v>92</v>
      </c>
      <c s="6" r="AN1561">
        <v>1</v>
      </c>
      <c s="6" r="AP1561">
        <v>1</v>
      </c>
      <c s="6" r="AS1561">
        <v>0</v>
      </c>
      <c s="6" r="AT1561">
        <v>0</v>
      </c>
      <c s="6" r="AU1561">
        <v>0</v>
      </c>
      <c s="6" r="AV1561">
        <v>0</v>
      </c>
      <c s="6" r="AW1561">
        <v>0</v>
      </c>
      <c s="6" r="AX1561">
        <v>0</v>
      </c>
      <c s="6" r="AY1561">
        <v>0</v>
      </c>
      <c s="6" r="AZ1561">
        <v>0</v>
      </c>
      <c s="6" r="BA1561">
        <v>0</v>
      </c>
      <c s="6" r="BB1561">
        <v>0</v>
      </c>
      <c s="6" r="BC1561">
        <v>0</v>
      </c>
      <c s="6" r="BD1561">
        <v>0</v>
      </c>
      <c s="6" r="BE1561">
        <v>0</v>
      </c>
      <c s="6" r="BF1561">
        <v>0</v>
      </c>
      <c s="6" r="BG1561">
        <v>0</v>
      </c>
      <c s="6" r="BH1561">
        <v>0</v>
      </c>
      <c s="6" r="BI1561">
        <v>0</v>
      </c>
      <c s="6" r="BJ1561">
        <v>0</v>
      </c>
      <c s="6" r="BK1561">
        <v>0</v>
      </c>
      <c s="6" r="BL1561">
        <v>0</v>
      </c>
      <c s="6" r="BM1561">
        <v>0</v>
      </c>
      <c s="6" r="BN1561">
        <v>0</v>
      </c>
      <c s="6" r="BO1561">
        <v>0</v>
      </c>
      <c s="6" r="BP1561">
        <v>0</v>
      </c>
      <c s="6" r="BQ1561">
        <v>0</v>
      </c>
      <c t="s" s="6" r="BR1561">
        <v>92</v>
      </c>
      <c s="6" r="BS1561">
        <v>1584</v>
      </c>
      <c t="s" s="6" r="BT1561">
        <v>92</v>
      </c>
      <c s="6" r="BY1561">
        <v>0</v>
      </c>
    </row>
    <row customHeight="1" r="1562" ht="14.25">
      <c t="s" s="6" r="A1562">
        <v>10962</v>
      </c>
      <c t="s" s="6" r="B1562">
        <v>131</v>
      </c>
      <c t="s" s="6" r="E1562">
        <v>10963</v>
      </c>
      <c t="s" s="6" r="F1562">
        <v>81</v>
      </c>
      <c t="s" s="6" r="G1562">
        <v>10964</v>
      </c>
      <c s="6" r="H1562">
        <v>0</v>
      </c>
      <c t="s" s="6" r="I1562">
        <v>120</v>
      </c>
      <c t="s" s="6" r="L1562">
        <v>420</v>
      </c>
      <c t="s" s="6" r="M1562">
        <v>209</v>
      </c>
      <c s="6" r="N1562">
        <v>0</v>
      </c>
      <c s="6" r="O1562">
        <v>0</v>
      </c>
      <c t="s" s="6" r="P1562">
        <v>421</v>
      </c>
      <c t="s" s="6" r="Q1562">
        <v>123</v>
      </c>
      <c t="s" s="6" r="R1562">
        <v>10965</v>
      </c>
      <c t="s" s="6" r="S1562">
        <v>10966</v>
      </c>
      <c t="s" s="6" r="T1562">
        <v>10947</v>
      </c>
      <c t="s" s="6" r="U1562">
        <v>10967</v>
      </c>
      <c s="6" r="V1562">
        <v>1</v>
      </c>
      <c s="6" r="W1562">
        <v>1</v>
      </c>
      <c s="6" r="X1562">
        <v>0</v>
      </c>
      <c s="6" r="Y1562">
        <v>0</v>
      </c>
      <c s="6" r="Z1562">
        <v>0</v>
      </c>
      <c s="6" r="AA1562">
        <v>1</v>
      </c>
      <c s="6" r="AB1562">
        <v>1</v>
      </c>
      <c t="s" s="6" r="AC1562">
        <v>92</v>
      </c>
      <c t="s" s="6" r="AD1562">
        <v>92</v>
      </c>
      <c t="s" s="6" r="AE1562">
        <v>92</v>
      </c>
      <c t="s" s="6" r="AF1562">
        <v>92</v>
      </c>
      <c s="6" r="AG1562">
        <v>1</v>
      </c>
      <c t="s" s="6" r="AH1562">
        <v>92</v>
      </c>
      <c t="s" s="6" r="AI1562">
        <v>92</v>
      </c>
      <c t="s" s="6" r="AJ1562">
        <v>92</v>
      </c>
      <c t="s" s="6" r="AK1562">
        <v>92</v>
      </c>
      <c t="s" s="6" r="AL1562">
        <v>92</v>
      </c>
      <c t="s" s="6" r="AM1562">
        <v>92</v>
      </c>
      <c s="6" r="AN1562">
        <v>1</v>
      </c>
      <c s="6" r="AP1562">
        <v>1</v>
      </c>
      <c s="6" r="AS1562">
        <v>0</v>
      </c>
      <c s="6" r="AT1562">
        <v>0</v>
      </c>
      <c s="6" r="AU1562">
        <v>0</v>
      </c>
      <c s="6" r="AV1562">
        <v>0</v>
      </c>
      <c s="6" r="AW1562">
        <v>0</v>
      </c>
      <c s="6" r="AX1562">
        <v>0</v>
      </c>
      <c s="6" r="AY1562">
        <v>0</v>
      </c>
      <c s="6" r="AZ1562">
        <v>0</v>
      </c>
      <c s="6" r="BA1562">
        <v>0</v>
      </c>
      <c s="6" r="BB1562">
        <v>0</v>
      </c>
      <c s="6" r="BC1562">
        <v>0</v>
      </c>
      <c s="6" r="BD1562">
        <v>0</v>
      </c>
      <c s="6" r="BE1562">
        <v>0</v>
      </c>
      <c s="6" r="BF1562">
        <v>0</v>
      </c>
      <c s="6" r="BG1562">
        <v>0</v>
      </c>
      <c s="6" r="BH1562">
        <v>0</v>
      </c>
      <c s="6" r="BI1562">
        <v>0</v>
      </c>
      <c s="6" r="BJ1562">
        <v>0</v>
      </c>
      <c s="6" r="BK1562">
        <v>0</v>
      </c>
      <c s="6" r="BL1562">
        <v>0</v>
      </c>
      <c s="6" r="BM1562">
        <v>0</v>
      </c>
      <c s="6" r="BN1562">
        <v>0</v>
      </c>
      <c s="6" r="BO1562">
        <v>0</v>
      </c>
      <c s="6" r="BP1562">
        <v>0</v>
      </c>
      <c s="6" r="BQ1562">
        <v>0</v>
      </c>
      <c t="s" s="6" r="BR1562">
        <v>92</v>
      </c>
      <c s="6" r="BS1562">
        <v>1585</v>
      </c>
      <c t="s" s="6" r="BT1562">
        <v>92</v>
      </c>
      <c s="6" r="BY1562">
        <v>0</v>
      </c>
    </row>
    <row customHeight="1" r="1563" ht="14.25">
      <c t="s" s="6" r="A1563">
        <v>10968</v>
      </c>
      <c t="s" s="6" r="B1563">
        <v>115</v>
      </c>
      <c t="s" s="6" r="E1563">
        <v>10969</v>
      </c>
      <c t="s" s="6" r="F1563">
        <v>81</v>
      </c>
      <c t="s" s="6" r="G1563">
        <v>106</v>
      </c>
      <c s="6" r="H1563">
        <v>0</v>
      </c>
      <c t="s" s="6" r="I1563">
        <v>120</v>
      </c>
      <c t="s" s="6" r="L1563">
        <v>10970</v>
      </c>
      <c t="s" s="6" r="M1563">
        <v>10971</v>
      </c>
      <c s="6" r="N1563">
        <v>0</v>
      </c>
      <c s="6" r="O1563">
        <v>0</v>
      </c>
      <c t="s" s="6" r="P1563">
        <v>421</v>
      </c>
      <c t="s" s="6" r="Q1563">
        <v>123</v>
      </c>
      <c t="s" s="6" r="R1563">
        <v>10972</v>
      </c>
      <c t="s" s="6" r="S1563">
        <v>10973</v>
      </c>
      <c t="s" s="6" r="T1563">
        <v>10947</v>
      </c>
      <c t="s" s="6" r="U1563">
        <v>10974</v>
      </c>
      <c s="6" r="V1563">
        <v>1</v>
      </c>
      <c s="6" r="W1563">
        <v>1</v>
      </c>
      <c s="6" r="X1563">
        <v>0</v>
      </c>
      <c s="6" r="Y1563">
        <v>0</v>
      </c>
      <c s="6" r="Z1563">
        <v>0</v>
      </c>
      <c s="6" r="AA1563">
        <v>1</v>
      </c>
      <c s="6" r="AB1563">
        <v>1</v>
      </c>
      <c t="s" s="6" r="AC1563">
        <v>92</v>
      </c>
      <c t="s" s="6" r="AD1563">
        <v>92</v>
      </c>
      <c s="6" r="AE1563">
        <v>1</v>
      </c>
      <c t="s" s="6" r="AF1563">
        <v>92</v>
      </c>
      <c s="6" r="AG1563">
        <v>1</v>
      </c>
      <c t="s" s="6" r="AH1563">
        <v>92</v>
      </c>
      <c t="s" s="6" r="AI1563">
        <v>92</v>
      </c>
      <c t="s" s="6" r="AJ1563">
        <v>92</v>
      </c>
      <c s="6" r="AK1563">
        <v>1</v>
      </c>
      <c t="s" s="6" r="AL1563">
        <v>92</v>
      </c>
      <c t="s" s="6" r="AM1563">
        <v>92</v>
      </c>
      <c s="6" r="AN1563">
        <v>1</v>
      </c>
      <c s="6" r="AP1563">
        <v>1</v>
      </c>
      <c s="6" r="AS1563">
        <v>0</v>
      </c>
      <c s="6" r="AT1563">
        <v>0</v>
      </c>
      <c s="6" r="AU1563">
        <v>0</v>
      </c>
      <c s="6" r="AV1563">
        <v>0</v>
      </c>
      <c s="6" r="AW1563">
        <v>0</v>
      </c>
      <c s="6" r="AX1563">
        <v>0</v>
      </c>
      <c s="6" r="AY1563">
        <v>0</v>
      </c>
      <c s="6" r="AZ1563">
        <v>0</v>
      </c>
      <c s="6" r="BA1563">
        <v>0</v>
      </c>
      <c s="6" r="BB1563">
        <v>0</v>
      </c>
      <c s="6" r="BC1563">
        <v>0</v>
      </c>
      <c s="6" r="BD1563">
        <v>0</v>
      </c>
      <c s="6" r="BE1563">
        <v>0</v>
      </c>
      <c s="6" r="BF1563">
        <v>0</v>
      </c>
      <c s="6" r="BG1563">
        <v>0</v>
      </c>
      <c s="6" r="BH1563">
        <v>0</v>
      </c>
      <c s="6" r="BI1563">
        <v>0</v>
      </c>
      <c s="6" r="BJ1563">
        <v>0</v>
      </c>
      <c s="6" r="BK1563">
        <v>0</v>
      </c>
      <c s="6" r="BL1563">
        <v>0</v>
      </c>
      <c s="6" r="BM1563">
        <v>0</v>
      </c>
      <c s="6" r="BN1563">
        <v>0</v>
      </c>
      <c s="6" r="BO1563">
        <v>0</v>
      </c>
      <c s="6" r="BP1563">
        <v>0</v>
      </c>
      <c s="6" r="BQ1563">
        <v>0</v>
      </c>
      <c t="s" s="6" r="BR1563">
        <v>92</v>
      </c>
      <c s="6" r="BS1563">
        <v>1586</v>
      </c>
      <c t="s" s="6" r="BT1563">
        <v>92</v>
      </c>
      <c s="6" r="BY1563">
        <v>0</v>
      </c>
    </row>
    <row customHeight="1" r="1564" ht="14.25">
      <c t="s" s="6" r="A1564">
        <v>10975</v>
      </c>
      <c t="s" s="6" r="B1564">
        <v>131</v>
      </c>
      <c t="s" s="6" r="E1564">
        <v>10976</v>
      </c>
      <c t="s" s="6" r="F1564">
        <v>81</v>
      </c>
      <c t="s" s="6" r="G1564">
        <v>10977</v>
      </c>
      <c s="6" r="H1564">
        <v>0</v>
      </c>
      <c t="s" s="6" r="I1564">
        <v>97</v>
      </c>
      <c t="s" s="6" r="L1564">
        <v>10978</v>
      </c>
      <c t="s" s="6" r="M1564">
        <v>483</v>
      </c>
      <c s="6" r="N1564">
        <v>1</v>
      </c>
      <c s="6" r="O1564">
        <v>0</v>
      </c>
      <c t="s" s="6" r="P1564">
        <v>1635</v>
      </c>
      <c t="s" s="6" r="Q1564">
        <v>188</v>
      </c>
      <c t="s" s="6" r="R1564">
        <v>10979</v>
      </c>
      <c t="s" s="6" r="S1564">
        <v>10980</v>
      </c>
      <c t="s" s="6" r="T1564">
        <v>10947</v>
      </c>
      <c t="s" s="6" r="U1564">
        <v>10981</v>
      </c>
      <c s="6" r="V1564">
        <v>1</v>
      </c>
      <c s="6" r="W1564">
        <v>1</v>
      </c>
      <c s="6" r="X1564">
        <v>1</v>
      </c>
      <c s="6" r="Y1564">
        <v>0</v>
      </c>
      <c s="6" r="Z1564">
        <v>0</v>
      </c>
      <c s="6" r="AA1564">
        <v>3</v>
      </c>
      <c s="6" r="AB1564">
        <v>3</v>
      </c>
      <c t="s" s="6" r="AC1564">
        <v>92</v>
      </c>
      <c t="s" s="6" r="AD1564">
        <v>92</v>
      </c>
      <c t="s" s="6" r="AE1564">
        <v>92</v>
      </c>
      <c t="s" s="6" r="AF1564">
        <v>92</v>
      </c>
      <c t="s" s="6" r="AG1564">
        <v>92</v>
      </c>
      <c t="s" s="6" r="AH1564">
        <v>92</v>
      </c>
      <c t="s" s="6" r="AI1564">
        <v>92</v>
      </c>
      <c s="6" r="AJ1564">
        <v>3</v>
      </c>
      <c t="s" s="6" r="AK1564">
        <v>92</v>
      </c>
      <c t="s" s="6" r="AL1564">
        <v>92</v>
      </c>
      <c t="s" s="6" r="AM1564">
        <v>92</v>
      </c>
      <c s="6" r="AN1564">
        <v>2</v>
      </c>
      <c s="6" r="AP1564">
        <v>3</v>
      </c>
      <c s="6" r="AS1564">
        <v>0</v>
      </c>
      <c s="6" r="AT1564">
        <v>0</v>
      </c>
      <c s="6" r="AU1564">
        <v>0</v>
      </c>
      <c s="6" r="AV1564">
        <v>0</v>
      </c>
      <c s="6" r="AW1564">
        <v>0</v>
      </c>
      <c s="6" r="AX1564">
        <v>0</v>
      </c>
      <c s="6" r="AY1564">
        <v>0</v>
      </c>
      <c s="6" r="AZ1564">
        <v>0</v>
      </c>
      <c s="6" r="BA1564">
        <v>0</v>
      </c>
      <c s="6" r="BB1564">
        <v>0</v>
      </c>
      <c s="6" r="BC1564">
        <v>0</v>
      </c>
      <c s="6" r="BD1564">
        <v>0</v>
      </c>
      <c s="6" r="BE1564">
        <v>0</v>
      </c>
      <c s="6" r="BF1564">
        <v>0</v>
      </c>
      <c s="6" r="BG1564">
        <v>0</v>
      </c>
      <c s="6" r="BH1564">
        <v>0</v>
      </c>
      <c s="6" r="BI1564">
        <v>0</v>
      </c>
      <c s="6" r="BJ1564">
        <v>0</v>
      </c>
      <c s="6" r="BK1564">
        <v>0</v>
      </c>
      <c s="6" r="BL1564">
        <v>0</v>
      </c>
      <c s="6" r="BM1564">
        <v>0</v>
      </c>
      <c s="6" r="BN1564">
        <v>0</v>
      </c>
      <c s="6" r="BO1564">
        <v>0</v>
      </c>
      <c s="6" r="BP1564">
        <v>0</v>
      </c>
      <c s="6" r="BQ1564">
        <v>0</v>
      </c>
      <c t="s" s="6" r="BR1564">
        <v>92</v>
      </c>
      <c s="6" r="BS1564">
        <v>1587</v>
      </c>
      <c t="s" s="6" r="BT1564">
        <v>92</v>
      </c>
      <c s="6" r="BY1564">
        <v>0</v>
      </c>
    </row>
    <row customHeight="1" r="1565" ht="14.25">
      <c t="s" s="6" r="A1565">
        <v>10982</v>
      </c>
      <c t="s" s="6" r="B1565">
        <v>131</v>
      </c>
      <c t="s" s="6" r="E1565">
        <v>10963</v>
      </c>
      <c t="s" s="6" r="F1565">
        <v>81</v>
      </c>
      <c t="s" s="6" r="G1565">
        <v>10983</v>
      </c>
      <c s="6" r="H1565">
        <v>0</v>
      </c>
      <c t="s" s="6" r="I1565">
        <v>10984</v>
      </c>
      <c t="s" s="6" r="L1565">
        <v>10985</v>
      </c>
      <c t="s" s="6" r="M1565">
        <v>109</v>
      </c>
      <c s="6" r="N1565">
        <v>0</v>
      </c>
      <c s="6" r="O1565">
        <v>0</v>
      </c>
      <c t="s" s="6" r="P1565">
        <v>86</v>
      </c>
      <c t="s" s="6" r="Q1565">
        <v>123</v>
      </c>
      <c t="s" s="6" r="R1565">
        <v>10986</v>
      </c>
      <c t="s" s="6" r="S1565">
        <v>10987</v>
      </c>
      <c t="s" s="6" r="T1565">
        <v>10947</v>
      </c>
      <c t="s" s="6" r="U1565">
        <v>10988</v>
      </c>
      <c s="6" r="V1565">
        <v>1</v>
      </c>
      <c s="6" r="W1565">
        <v>1</v>
      </c>
      <c s="6" r="X1565">
        <v>1</v>
      </c>
      <c s="6" r="Y1565">
        <v>0</v>
      </c>
      <c s="6" r="Z1565">
        <v>0</v>
      </c>
      <c s="6" r="AA1565">
        <v>1</v>
      </c>
      <c s="6" r="AB1565">
        <v>1</v>
      </c>
      <c t="s" s="6" r="AC1565">
        <v>92</v>
      </c>
      <c t="s" s="6" r="AD1565">
        <v>92</v>
      </c>
      <c t="s" s="6" r="AE1565">
        <v>92</v>
      </c>
      <c t="s" s="6" r="AF1565">
        <v>92</v>
      </c>
      <c s="6" r="AG1565">
        <v>1</v>
      </c>
      <c t="s" s="6" r="AH1565">
        <v>92</v>
      </c>
      <c t="s" s="6" r="AI1565">
        <v>92</v>
      </c>
      <c t="s" s="6" r="AJ1565">
        <v>92</v>
      </c>
      <c t="s" s="6" r="AK1565">
        <v>92</v>
      </c>
      <c t="s" s="6" r="AL1565">
        <v>92</v>
      </c>
      <c t="s" s="6" r="AM1565">
        <v>92</v>
      </c>
      <c s="6" r="AN1565">
        <v>1</v>
      </c>
      <c s="6" r="AP1565">
        <v>1</v>
      </c>
      <c s="6" r="AS1565">
        <v>0</v>
      </c>
      <c s="6" r="AT1565">
        <v>0</v>
      </c>
      <c s="6" r="AU1565">
        <v>0</v>
      </c>
      <c s="6" r="AV1565">
        <v>0</v>
      </c>
      <c s="6" r="AW1565">
        <v>0</v>
      </c>
      <c s="6" r="AX1565">
        <v>0</v>
      </c>
      <c s="6" r="AY1565">
        <v>0</v>
      </c>
      <c s="6" r="AZ1565">
        <v>0</v>
      </c>
      <c s="6" r="BA1565">
        <v>0</v>
      </c>
      <c s="6" r="BB1565">
        <v>0</v>
      </c>
      <c s="6" r="BC1565">
        <v>0</v>
      </c>
      <c s="6" r="BD1565">
        <v>0</v>
      </c>
      <c s="6" r="BE1565">
        <v>0</v>
      </c>
      <c s="6" r="BF1565">
        <v>0</v>
      </c>
      <c s="6" r="BG1565">
        <v>0</v>
      </c>
      <c s="6" r="BH1565">
        <v>0</v>
      </c>
      <c s="6" r="BI1565">
        <v>0</v>
      </c>
      <c s="6" r="BJ1565">
        <v>0</v>
      </c>
      <c s="6" r="BK1565">
        <v>0</v>
      </c>
      <c s="6" r="BL1565">
        <v>0</v>
      </c>
      <c s="6" r="BM1565">
        <v>0</v>
      </c>
      <c s="6" r="BN1565">
        <v>0</v>
      </c>
      <c s="6" r="BO1565">
        <v>0</v>
      </c>
      <c s="6" r="BP1565">
        <v>0</v>
      </c>
      <c s="6" r="BQ1565">
        <v>0</v>
      </c>
      <c t="s" s="6" r="BR1565">
        <v>92</v>
      </c>
      <c s="6" r="BS1565">
        <v>1588</v>
      </c>
      <c t="s" s="6" r="BT1565">
        <v>92</v>
      </c>
      <c s="6" r="BY1565">
        <v>0</v>
      </c>
    </row>
    <row customHeight="1" r="1566" ht="14.25">
      <c t="s" s="6" r="A1566">
        <v>10989</v>
      </c>
      <c t="s" s="6" r="B1566">
        <v>162</v>
      </c>
      <c t="s" s="6" r="E1566">
        <v>10990</v>
      </c>
      <c t="s" s="6" r="F1566">
        <v>81</v>
      </c>
      <c t="s" s="6" r="G1566">
        <v>106</v>
      </c>
      <c s="6" r="H1566">
        <v>0</v>
      </c>
      <c t="s" s="6" r="I1566">
        <v>120</v>
      </c>
      <c t="s" s="6" r="L1566">
        <v>10991</v>
      </c>
      <c t="s" s="6" r="M1566">
        <v>2718</v>
      </c>
      <c s="6" r="N1566">
        <v>0</v>
      </c>
      <c s="6" r="O1566">
        <v>0</v>
      </c>
      <c t="s" s="6" r="P1566">
        <v>421</v>
      </c>
      <c t="s" s="6" r="Q1566">
        <v>123</v>
      </c>
      <c t="s" s="6" r="R1566">
        <v>10992</v>
      </c>
      <c t="s" s="6" r="S1566">
        <v>10993</v>
      </c>
      <c t="s" s="6" r="T1566">
        <v>10947</v>
      </c>
      <c t="s" s="6" r="U1566">
        <v>10994</v>
      </c>
      <c s="6" r="V1566">
        <v>1</v>
      </c>
      <c s="6" r="W1566">
        <v>1</v>
      </c>
      <c s="6" r="X1566">
        <v>0</v>
      </c>
      <c s="6" r="Y1566">
        <v>0</v>
      </c>
      <c s="6" r="Z1566">
        <v>0</v>
      </c>
      <c s="6" r="AA1566">
        <v>4</v>
      </c>
      <c s="6" r="AB1566">
        <v>4</v>
      </c>
      <c s="6" r="AC1566">
        <v>4</v>
      </c>
      <c t="s" s="6" r="AD1566">
        <v>92</v>
      </c>
      <c t="s" s="6" r="AE1566">
        <v>92</v>
      </c>
      <c t="s" s="6" r="AF1566">
        <v>92</v>
      </c>
      <c t="s" s="6" r="AG1566">
        <v>92</v>
      </c>
      <c t="s" s="6" r="AH1566">
        <v>92</v>
      </c>
      <c t="s" s="6" r="AI1566">
        <v>92</v>
      </c>
      <c t="s" s="6" r="AJ1566">
        <v>92</v>
      </c>
      <c s="6" r="AK1566">
        <v>4</v>
      </c>
      <c s="6" r="AL1566">
        <v>4</v>
      </c>
      <c t="s" s="6" r="AM1566">
        <v>92</v>
      </c>
      <c s="6" r="AN1566">
        <v>4</v>
      </c>
      <c s="6" r="AP1566">
        <v>4</v>
      </c>
      <c s="6" r="AS1566">
        <v>0</v>
      </c>
      <c s="6" r="AT1566">
        <v>0</v>
      </c>
      <c s="6" r="AU1566">
        <v>0</v>
      </c>
      <c s="6" r="AV1566">
        <v>0</v>
      </c>
      <c s="6" r="AW1566">
        <v>0</v>
      </c>
      <c s="6" r="AX1566">
        <v>0</v>
      </c>
      <c s="6" r="AY1566">
        <v>0</v>
      </c>
      <c s="6" r="AZ1566">
        <v>0</v>
      </c>
      <c s="6" r="BA1566">
        <v>0</v>
      </c>
      <c s="6" r="BB1566">
        <v>0</v>
      </c>
      <c s="6" r="BC1566">
        <v>0</v>
      </c>
      <c s="6" r="BD1566">
        <v>0</v>
      </c>
      <c s="6" r="BE1566">
        <v>0</v>
      </c>
      <c s="6" r="BF1566">
        <v>0</v>
      </c>
      <c s="6" r="BG1566">
        <v>0</v>
      </c>
      <c s="6" r="BH1566">
        <v>0</v>
      </c>
      <c s="6" r="BI1566">
        <v>0</v>
      </c>
      <c s="6" r="BJ1566">
        <v>0</v>
      </c>
      <c s="6" r="BK1566">
        <v>0</v>
      </c>
      <c s="6" r="BL1566">
        <v>0</v>
      </c>
      <c s="6" r="BM1566">
        <v>0</v>
      </c>
      <c s="6" r="BN1566">
        <v>0</v>
      </c>
      <c s="6" r="BO1566">
        <v>0</v>
      </c>
      <c s="6" r="BP1566">
        <v>0</v>
      </c>
      <c s="6" r="BQ1566">
        <v>0</v>
      </c>
      <c t="s" s="6" r="BR1566">
        <v>92</v>
      </c>
      <c s="6" r="BS1566">
        <v>1589</v>
      </c>
      <c t="s" s="6" r="BT1566">
        <v>92</v>
      </c>
      <c s="6" r="BY1566">
        <v>0</v>
      </c>
    </row>
    <row customHeight="1" r="1567" ht="14.25">
      <c t="s" s="6" r="A1567">
        <v>10995</v>
      </c>
      <c t="s" s="6" r="B1567">
        <v>227</v>
      </c>
      <c t="s" s="6" r="D1567">
        <v>48</v>
      </c>
      <c t="s" s="6" r="E1567">
        <v>7814</v>
      </c>
      <c t="s" s="6" r="F1567">
        <v>197</v>
      </c>
      <c t="s" s="6" r="G1567">
        <v>119</v>
      </c>
      <c s="6" r="H1567">
        <v>0</v>
      </c>
      <c t="s" s="6" r="I1567">
        <v>120</v>
      </c>
      <c t="s" s="6" r="L1567">
        <v>1137</v>
      </c>
      <c t="s" s="6" r="M1567">
        <v>109</v>
      </c>
      <c s="6" r="N1567">
        <v>0</v>
      </c>
      <c s="6" r="O1567">
        <v>0</v>
      </c>
      <c t="s" s="6" r="P1567">
        <v>535</v>
      </c>
      <c t="s" s="6" r="Q1567">
        <v>536</v>
      </c>
      <c t="s" s="6" r="R1567">
        <v>10996</v>
      </c>
      <c t="s" s="6" r="S1567">
        <v>10997</v>
      </c>
      <c t="s" s="6" r="T1567">
        <v>10998</v>
      </c>
      <c t="s" s="6" r="U1567">
        <v>10999</v>
      </c>
      <c s="6" r="V1567">
        <v>1</v>
      </c>
      <c s="6" r="W1567">
        <v>1</v>
      </c>
      <c s="6" r="X1567">
        <v>0</v>
      </c>
      <c s="6" r="Y1567">
        <v>0</v>
      </c>
      <c s="6" r="Z1567">
        <v>1</v>
      </c>
      <c t="s" s="6" r="AA1567">
        <v>92</v>
      </c>
      <c t="s" s="6" r="AB1567">
        <v>92</v>
      </c>
      <c s="6" r="AC1567">
        <v>2</v>
      </c>
      <c t="s" s="6" r="AD1567">
        <v>92</v>
      </c>
      <c t="s" s="6" r="AE1567">
        <v>92</v>
      </c>
      <c t="s" s="6" r="AF1567">
        <v>92</v>
      </c>
      <c t="s" s="6" r="AG1567">
        <v>92</v>
      </c>
      <c t="s" s="6" r="AH1567">
        <v>92</v>
      </c>
      <c t="s" s="6" r="AI1567">
        <v>92</v>
      </c>
      <c t="s" s="6" r="AJ1567">
        <v>92</v>
      </c>
      <c t="s" s="6" r="AK1567">
        <v>92</v>
      </c>
      <c s="6" r="AL1567">
        <v>2</v>
      </c>
      <c t="s" s="6" r="AM1567">
        <v>92</v>
      </c>
      <c t="s" s="6" r="AN1567">
        <v>92</v>
      </c>
      <c t="s" s="6" r="AO1567">
        <v>11000</v>
      </c>
      <c s="6" r="AP1567">
        <v>2</v>
      </c>
      <c s="6" r="AS1567">
        <v>0</v>
      </c>
      <c s="6" r="AT1567">
        <v>0</v>
      </c>
      <c s="6" r="AU1567">
        <v>0</v>
      </c>
      <c s="6" r="AV1567">
        <v>0</v>
      </c>
      <c s="6" r="AW1567">
        <v>1</v>
      </c>
      <c s="6" r="AX1567">
        <v>0</v>
      </c>
      <c s="6" r="AY1567">
        <v>0</v>
      </c>
      <c s="6" r="AZ1567">
        <v>0</v>
      </c>
      <c s="6" r="BA1567">
        <v>0</v>
      </c>
      <c s="6" r="BB1567">
        <v>0</v>
      </c>
      <c s="6" r="BC1567">
        <v>0</v>
      </c>
      <c s="6" r="BD1567">
        <v>0</v>
      </c>
      <c s="6" r="BE1567">
        <v>0</v>
      </c>
      <c s="6" r="BF1567">
        <v>0</v>
      </c>
      <c s="6" r="BG1567">
        <v>0</v>
      </c>
      <c s="6" r="BH1567">
        <v>0</v>
      </c>
      <c s="6" r="BI1567">
        <v>0</v>
      </c>
      <c s="6" r="BJ1567">
        <v>0</v>
      </c>
      <c s="6" r="BK1567">
        <v>0</v>
      </c>
      <c s="6" r="BL1567">
        <v>0</v>
      </c>
      <c s="6" r="BM1567">
        <v>0</v>
      </c>
      <c s="6" r="BN1567">
        <v>0</v>
      </c>
      <c s="6" r="BO1567">
        <v>0</v>
      </c>
      <c s="6" r="BP1567">
        <v>0</v>
      </c>
      <c s="6" r="BQ1567">
        <v>0</v>
      </c>
      <c t="s" s="6" r="BR1567">
        <v>92</v>
      </c>
      <c s="6" r="BS1567">
        <v>1590</v>
      </c>
      <c t="s" s="6" r="BT1567">
        <v>92</v>
      </c>
      <c s="6" r="BY1567">
        <v>0</v>
      </c>
    </row>
    <row customHeight="1" r="1568" ht="14.25">
      <c t="s" s="6" r="A1568">
        <v>11001</v>
      </c>
      <c t="s" s="6" r="B1568">
        <v>141</v>
      </c>
      <c t="s" s="6" r="E1568">
        <v>9279</v>
      </c>
      <c t="s" s="6" r="F1568">
        <v>311</v>
      </c>
      <c t="s" s="6" r="G1568">
        <v>3815</v>
      </c>
      <c s="6" r="H1568">
        <v>1</v>
      </c>
      <c t="s" s="6" r="I1568">
        <v>120</v>
      </c>
      <c t="s" s="6" r="L1568">
        <v>3816</v>
      </c>
      <c t="s" s="6" r="M1568">
        <v>11002</v>
      </c>
      <c s="6" r="N1568">
        <v>0</v>
      </c>
      <c s="6" r="O1568">
        <v>0</v>
      </c>
      <c t="s" s="6" r="P1568">
        <v>1865</v>
      </c>
      <c t="s" s="6" r="Q1568">
        <v>87</v>
      </c>
      <c t="s" s="6" r="R1568">
        <v>11003</v>
      </c>
      <c t="s" s="6" r="S1568">
        <v>11004</v>
      </c>
      <c t="s" s="6" r="T1568">
        <v>11005</v>
      </c>
      <c t="s" s="6" r="U1568">
        <v>11006</v>
      </c>
      <c s="6" r="V1568">
        <v>1</v>
      </c>
      <c s="6" r="W1568">
        <v>1</v>
      </c>
      <c s="6" r="X1568">
        <v>1</v>
      </c>
      <c s="6" r="Y1568">
        <v>0</v>
      </c>
      <c s="6" r="Z1568">
        <v>0</v>
      </c>
      <c s="6" r="AA1568">
        <v>3</v>
      </c>
      <c s="6" r="AB1568">
        <v>3</v>
      </c>
      <c s="6" r="AC1568">
        <v>3</v>
      </c>
      <c t="s" s="6" r="AD1568">
        <v>92</v>
      </c>
      <c t="s" s="6" r="AE1568">
        <v>92</v>
      </c>
      <c t="s" s="6" r="AF1568">
        <v>92</v>
      </c>
      <c t="s" s="6" r="AG1568">
        <v>92</v>
      </c>
      <c t="s" s="6" r="AH1568">
        <v>92</v>
      </c>
      <c t="s" s="6" r="AI1568">
        <v>92</v>
      </c>
      <c t="s" s="6" r="AJ1568">
        <v>92</v>
      </c>
      <c t="s" s="6" r="AK1568">
        <v>92</v>
      </c>
      <c s="6" r="AL1568">
        <v>3</v>
      </c>
      <c t="s" s="6" r="AM1568">
        <v>92</v>
      </c>
      <c t="s" s="6" r="AN1568">
        <v>92</v>
      </c>
      <c t="s" s="6" r="AO1568">
        <v>11007</v>
      </c>
      <c s="6" r="AP1568">
        <v>3</v>
      </c>
      <c s="6" r="AS1568">
        <v>0</v>
      </c>
      <c s="6" r="AT1568">
        <v>0</v>
      </c>
      <c s="6" r="AU1568">
        <v>0</v>
      </c>
      <c s="6" r="AV1568">
        <v>0</v>
      </c>
      <c s="6" r="AW1568">
        <v>0</v>
      </c>
      <c s="6" r="AX1568">
        <v>0</v>
      </c>
      <c s="6" r="AY1568">
        <v>0</v>
      </c>
      <c s="6" r="AZ1568">
        <v>0</v>
      </c>
      <c s="6" r="BA1568">
        <v>0</v>
      </c>
      <c s="6" r="BB1568">
        <v>0</v>
      </c>
      <c s="6" r="BC1568">
        <v>0</v>
      </c>
      <c s="6" r="BD1568">
        <v>0</v>
      </c>
      <c s="6" r="BE1568">
        <v>0</v>
      </c>
      <c s="6" r="BF1568">
        <v>0</v>
      </c>
      <c s="6" r="BG1568">
        <v>0</v>
      </c>
      <c s="6" r="BH1568">
        <v>0</v>
      </c>
      <c s="6" r="BI1568">
        <v>0</v>
      </c>
      <c s="6" r="BJ1568">
        <v>0</v>
      </c>
      <c s="6" r="BK1568">
        <v>0</v>
      </c>
      <c s="6" r="BL1568">
        <v>0</v>
      </c>
      <c s="6" r="BM1568">
        <v>0</v>
      </c>
      <c s="6" r="BN1568">
        <v>0</v>
      </c>
      <c s="6" r="BO1568">
        <v>0</v>
      </c>
      <c s="6" r="BP1568">
        <v>0</v>
      </c>
      <c s="6" r="BQ1568">
        <v>0</v>
      </c>
      <c t="s" s="6" r="BR1568">
        <v>92</v>
      </c>
      <c s="6" r="BS1568">
        <v>1591</v>
      </c>
      <c s="6" r="BT1568">
        <v>500</v>
      </c>
      <c s="6" r="BY1568">
        <v>0</v>
      </c>
    </row>
    <row customHeight="1" r="1569" ht="14.25">
      <c t="s" s="6" r="A1569">
        <v>11008</v>
      </c>
      <c t="s" s="6" r="B1569">
        <v>579</v>
      </c>
      <c t="s" s="6" r="C1569">
        <v>66</v>
      </c>
      <c t="s" s="6" r="E1569">
        <v>11009</v>
      </c>
      <c t="s" s="6" r="F1569">
        <v>81</v>
      </c>
      <c t="s" s="6" r="G1569">
        <v>11010</v>
      </c>
      <c s="6" r="H1569">
        <v>0</v>
      </c>
      <c t="s" s="6" r="I1569">
        <v>155</v>
      </c>
      <c t="s" s="6" r="L1569">
        <v>156</v>
      </c>
      <c t="s" s="6" r="M1569">
        <v>11011</v>
      </c>
      <c s="6" r="N1569">
        <v>0</v>
      </c>
      <c s="6" r="O1569">
        <v>0</v>
      </c>
      <c t="s" s="6" r="R1569">
        <v>11012</v>
      </c>
      <c t="s" s="6" r="S1569">
        <v>11013</v>
      </c>
      <c t="s" s="6" r="T1569">
        <v>11014</v>
      </c>
      <c t="s" s="6" r="U1569">
        <v>11015</v>
      </c>
      <c s="6" r="V1569">
        <v>1</v>
      </c>
      <c s="6" r="W1569">
        <v>1</v>
      </c>
      <c s="6" r="X1569">
        <v>1</v>
      </c>
      <c s="6" r="Y1569">
        <v>0</v>
      </c>
      <c s="6" r="Z1569">
        <v>0</v>
      </c>
      <c s="6" r="AA1569">
        <v>3</v>
      </c>
      <c s="6" r="AB1569">
        <v>3</v>
      </c>
      <c s="6" r="AC1569">
        <v>2</v>
      </c>
      <c t="s" s="6" r="AD1569">
        <v>92</v>
      </c>
      <c t="s" s="6" r="AE1569">
        <v>92</v>
      </c>
      <c s="6" r="AF1569">
        <v>2</v>
      </c>
      <c t="s" s="6" r="AG1569">
        <v>92</v>
      </c>
      <c t="s" s="6" r="AH1569">
        <v>92</v>
      </c>
      <c t="s" s="6" r="AI1569">
        <v>92</v>
      </c>
      <c s="6" r="AJ1569">
        <v>2</v>
      </c>
      <c s="6" r="AK1569">
        <v>2</v>
      </c>
      <c s="6" r="AL1569">
        <v>2</v>
      </c>
      <c t="s" s="6" r="AM1569">
        <v>92</v>
      </c>
      <c t="s" s="6" r="AN1569">
        <v>92</v>
      </c>
      <c s="6" r="AP1569">
        <v>3</v>
      </c>
      <c s="6" r="AS1569">
        <v>0</v>
      </c>
      <c s="6" r="AT1569">
        <v>0</v>
      </c>
      <c s="6" r="AU1569">
        <v>0</v>
      </c>
      <c s="6" r="AV1569">
        <v>0</v>
      </c>
      <c s="6" r="AW1569">
        <v>0</v>
      </c>
      <c s="6" r="AX1569">
        <v>0</v>
      </c>
      <c s="6" r="AY1569">
        <v>0</v>
      </c>
      <c s="6" r="AZ1569">
        <v>0</v>
      </c>
      <c s="6" r="BA1569">
        <v>0</v>
      </c>
      <c s="6" r="BB1569">
        <v>0</v>
      </c>
      <c s="6" r="BC1569">
        <v>0</v>
      </c>
      <c s="6" r="BD1569">
        <v>0</v>
      </c>
      <c s="6" r="BE1569">
        <v>0</v>
      </c>
      <c s="6" r="BF1569">
        <v>0</v>
      </c>
      <c s="6" r="BG1569">
        <v>0</v>
      </c>
      <c s="6" r="BH1569">
        <v>0</v>
      </c>
      <c s="6" r="BI1569">
        <v>0</v>
      </c>
      <c s="6" r="BJ1569">
        <v>0</v>
      </c>
      <c s="6" r="BK1569">
        <v>0</v>
      </c>
      <c s="6" r="BL1569">
        <v>0</v>
      </c>
      <c s="6" r="BM1569">
        <v>0</v>
      </c>
      <c s="6" r="BN1569">
        <v>0</v>
      </c>
      <c s="6" r="BO1569">
        <v>0</v>
      </c>
      <c s="6" r="BP1569">
        <v>0</v>
      </c>
      <c s="6" r="BQ1569">
        <v>0</v>
      </c>
      <c t="s" s="6" r="BR1569">
        <v>92</v>
      </c>
      <c s="6" r="BS1569">
        <v>1592</v>
      </c>
      <c t="s" s="6" r="BT1569">
        <v>92</v>
      </c>
      <c s="6" r="BY1569">
        <v>0</v>
      </c>
    </row>
    <row customHeight="1" r="1570" ht="14.25">
      <c t="s" s="6" r="A1570">
        <v>11016</v>
      </c>
      <c t="s" s="6" r="B1570">
        <v>174</v>
      </c>
      <c t="s" s="6" r="D1570">
        <v>117</v>
      </c>
      <c t="s" s="6" r="E1570">
        <v>10500</v>
      </c>
      <c t="s" s="6" r="F1570">
        <v>81</v>
      </c>
      <c t="s" s="6" r="G1570">
        <v>1319</v>
      </c>
      <c s="6" r="H1570">
        <v>0</v>
      </c>
      <c t="s" s="6" r="I1570">
        <v>897</v>
      </c>
      <c t="s" s="6" r="J1570">
        <v>1195</v>
      </c>
      <c t="s" s="6" r="M1570">
        <v>11017</v>
      </c>
      <c s="6" r="N1570">
        <v>1</v>
      </c>
      <c s="6" r="O1570">
        <v>0</v>
      </c>
      <c t="s" s="6" r="P1570">
        <v>474</v>
      </c>
      <c t="s" s="6" r="Q1570">
        <v>87</v>
      </c>
      <c t="s" s="6" r="R1570">
        <v>11018</v>
      </c>
      <c t="s" s="6" r="S1570">
        <v>11019</v>
      </c>
      <c t="s" s="6" r="T1570">
        <v>11014</v>
      </c>
      <c t="s" s="6" r="U1570">
        <v>11020</v>
      </c>
      <c s="6" r="V1570">
        <v>1</v>
      </c>
      <c s="6" r="W1570">
        <v>1</v>
      </c>
      <c s="6" r="X1570">
        <v>0</v>
      </c>
      <c s="6" r="Y1570">
        <v>0</v>
      </c>
      <c s="6" r="Z1570">
        <v>1</v>
      </c>
      <c s="6" r="AA1570">
        <v>3</v>
      </c>
      <c s="6" r="AB1570">
        <v>3</v>
      </c>
      <c t="s" s="6" r="AC1570">
        <v>92</v>
      </c>
      <c t="s" s="6" r="AD1570">
        <v>92</v>
      </c>
      <c t="s" s="6" r="AE1570">
        <v>92</v>
      </c>
      <c s="6" r="AF1570">
        <v>3</v>
      </c>
      <c t="s" s="6" r="AG1570">
        <v>92</v>
      </c>
      <c t="s" s="6" r="AH1570">
        <v>92</v>
      </c>
      <c t="s" s="6" r="AI1570">
        <v>92</v>
      </c>
      <c s="6" r="AJ1570">
        <v>3</v>
      </c>
      <c s="6" r="AK1570">
        <v>3</v>
      </c>
      <c t="s" s="6" r="AL1570">
        <v>92</v>
      </c>
      <c t="s" s="6" r="AM1570">
        <v>92</v>
      </c>
      <c t="s" s="6" r="AN1570">
        <v>92</v>
      </c>
      <c s="6" r="AP1570">
        <v>3</v>
      </c>
      <c s="6" r="AS1570">
        <v>0</v>
      </c>
      <c s="6" r="AT1570">
        <v>0</v>
      </c>
      <c s="6" r="AU1570">
        <v>0</v>
      </c>
      <c s="6" r="AV1570">
        <v>0</v>
      </c>
      <c s="6" r="AW1570">
        <v>0</v>
      </c>
      <c s="6" r="AX1570">
        <v>0</v>
      </c>
      <c s="6" r="AY1570">
        <v>0</v>
      </c>
      <c s="6" r="AZ1570">
        <v>0</v>
      </c>
      <c s="6" r="BA1570">
        <v>0</v>
      </c>
      <c s="6" r="BB1570">
        <v>0</v>
      </c>
      <c s="6" r="BC1570">
        <v>0</v>
      </c>
      <c s="6" r="BD1570">
        <v>0</v>
      </c>
      <c s="6" r="BE1570">
        <v>0</v>
      </c>
      <c s="6" r="BF1570">
        <v>0</v>
      </c>
      <c s="6" r="BG1570">
        <v>0</v>
      </c>
      <c s="6" r="BH1570">
        <v>0</v>
      </c>
      <c s="6" r="BI1570">
        <v>0</v>
      </c>
      <c s="6" r="BJ1570">
        <v>0</v>
      </c>
      <c s="6" r="BK1570">
        <v>0</v>
      </c>
      <c s="6" r="BL1570">
        <v>1</v>
      </c>
      <c s="6" r="BM1570">
        <v>0</v>
      </c>
      <c s="6" r="BN1570">
        <v>0</v>
      </c>
      <c s="6" r="BO1570">
        <v>0</v>
      </c>
      <c s="6" r="BP1570">
        <v>0</v>
      </c>
      <c s="6" r="BQ1570">
        <v>0</v>
      </c>
      <c t="s" s="6" r="BR1570">
        <v>92</v>
      </c>
      <c s="6" r="BS1570">
        <v>1593</v>
      </c>
      <c t="s" s="6" r="BT1570">
        <v>92</v>
      </c>
      <c s="6" r="BY1570">
        <v>0</v>
      </c>
    </row>
    <row customHeight="1" r="1571" ht="14.25">
      <c t="s" s="6" r="A1571">
        <v>11021</v>
      </c>
      <c t="s" s="6" r="B1571">
        <v>227</v>
      </c>
      <c t="s" s="6" r="D1571">
        <v>11022</v>
      </c>
      <c t="s" s="6" r="E1571">
        <v>11023</v>
      </c>
      <c t="s" s="6" r="F1571">
        <v>81</v>
      </c>
      <c t="s" s="6" r="G1571">
        <v>106</v>
      </c>
      <c s="6" r="H1571">
        <v>0</v>
      </c>
      <c t="s" s="6" r="I1571">
        <v>120</v>
      </c>
      <c t="s" s="6" r="L1571">
        <v>121</v>
      </c>
      <c t="s" s="6" r="M1571">
        <v>323</v>
      </c>
      <c s="6" r="N1571">
        <v>0</v>
      </c>
      <c s="6" r="O1571">
        <v>0</v>
      </c>
      <c t="s" s="6" r="P1571">
        <v>221</v>
      </c>
      <c t="s" s="6" r="Q1571">
        <v>188</v>
      </c>
      <c t="s" s="6" r="R1571">
        <v>11024</v>
      </c>
      <c t="s" s="6" r="S1571">
        <v>11025</v>
      </c>
      <c t="s" s="6" r="T1571">
        <v>11014</v>
      </c>
      <c t="s" s="6" r="U1571">
        <v>11026</v>
      </c>
      <c s="6" r="V1571">
        <v>1</v>
      </c>
      <c s="6" r="W1571">
        <v>1</v>
      </c>
      <c s="6" r="X1571">
        <v>0</v>
      </c>
      <c s="6" r="Y1571">
        <v>0</v>
      </c>
      <c s="6" r="Z1571">
        <v>0</v>
      </c>
      <c s="6" r="AA1571">
        <v>4</v>
      </c>
      <c s="6" r="AB1571">
        <v>4</v>
      </c>
      <c s="6" r="AC1571">
        <v>3</v>
      </c>
      <c t="s" s="6" r="AD1571">
        <v>92</v>
      </c>
      <c t="s" s="6" r="AE1571">
        <v>92</v>
      </c>
      <c t="s" s="6" r="AF1571">
        <v>92</v>
      </c>
      <c t="s" s="6" r="AG1571">
        <v>92</v>
      </c>
      <c t="s" s="6" r="AH1571">
        <v>92</v>
      </c>
      <c t="s" s="6" r="AI1571">
        <v>92</v>
      </c>
      <c s="6" r="AJ1571">
        <v>3</v>
      </c>
      <c t="s" s="6" r="AK1571">
        <v>92</v>
      </c>
      <c s="6" r="AL1571">
        <v>3</v>
      </c>
      <c t="s" s="6" r="AM1571">
        <v>92</v>
      </c>
      <c t="s" s="6" r="AN1571">
        <v>92</v>
      </c>
      <c s="6" r="AP1571">
        <v>3</v>
      </c>
      <c s="6" r="AS1571">
        <v>0</v>
      </c>
      <c s="6" r="AT1571">
        <v>0</v>
      </c>
      <c s="6" r="AU1571">
        <v>0</v>
      </c>
      <c s="6" r="AV1571">
        <v>0</v>
      </c>
      <c s="6" r="AW1571">
        <v>1</v>
      </c>
      <c s="6" r="AX1571">
        <v>0</v>
      </c>
      <c s="6" r="AY1571">
        <v>0</v>
      </c>
      <c s="6" r="AZ1571">
        <v>0</v>
      </c>
      <c s="6" r="BA1571">
        <v>0</v>
      </c>
      <c s="6" r="BB1571">
        <v>0</v>
      </c>
      <c s="6" r="BC1571">
        <v>0</v>
      </c>
      <c s="6" r="BD1571">
        <v>1</v>
      </c>
      <c s="6" r="BE1571">
        <v>0</v>
      </c>
      <c s="6" r="BF1571">
        <v>0</v>
      </c>
      <c s="6" r="BG1571">
        <v>0</v>
      </c>
      <c s="6" r="BH1571">
        <v>0</v>
      </c>
      <c s="6" r="BI1571">
        <v>0</v>
      </c>
      <c s="6" r="BJ1571">
        <v>0</v>
      </c>
      <c s="6" r="BK1571">
        <v>0</v>
      </c>
      <c s="6" r="BL1571">
        <v>0</v>
      </c>
      <c s="6" r="BM1571">
        <v>0</v>
      </c>
      <c s="6" r="BN1571">
        <v>0</v>
      </c>
      <c s="6" r="BO1571">
        <v>0</v>
      </c>
      <c s="6" r="BP1571">
        <v>0</v>
      </c>
      <c s="6" r="BQ1571">
        <v>0</v>
      </c>
      <c t="s" s="6" r="BR1571">
        <v>92</v>
      </c>
      <c s="6" r="BS1571">
        <v>1594</v>
      </c>
      <c t="s" s="6" r="BT1571">
        <v>92</v>
      </c>
      <c s="6" r="BY1571">
        <v>0</v>
      </c>
    </row>
    <row customHeight="1" r="1572" ht="14.25">
      <c t="s" s="6" r="A1572">
        <v>11027</v>
      </c>
      <c t="s" s="6" r="B1572">
        <v>131</v>
      </c>
      <c t="s" s="6" r="E1572">
        <v>11028</v>
      </c>
      <c t="s" s="6" r="F1572">
        <v>81</v>
      </c>
      <c t="s" s="6" r="G1572">
        <v>11029</v>
      </c>
      <c s="6" r="H1572">
        <v>0</v>
      </c>
      <c t="s" s="6" r="I1572">
        <v>120</v>
      </c>
      <c t="s" s="6" r="L1572">
        <v>420</v>
      </c>
      <c t="s" s="6" r="M1572">
        <v>379</v>
      </c>
      <c s="6" r="N1572">
        <v>0</v>
      </c>
      <c s="6" r="O1572">
        <v>0</v>
      </c>
      <c t="s" s="6" r="P1572">
        <v>187</v>
      </c>
      <c t="s" s="6" r="Q1572">
        <v>188</v>
      </c>
      <c t="s" s="6" r="R1572">
        <v>11030</v>
      </c>
      <c t="s" s="6" r="S1572">
        <v>11031</v>
      </c>
      <c t="s" s="6" r="T1572">
        <v>11014</v>
      </c>
      <c t="s" s="6" r="U1572">
        <v>11032</v>
      </c>
      <c s="6" r="V1572">
        <v>1</v>
      </c>
      <c s="6" r="W1572">
        <v>1</v>
      </c>
      <c s="6" r="X1572">
        <v>1</v>
      </c>
      <c s="6" r="Y1572">
        <v>0</v>
      </c>
      <c s="6" r="Z1572">
        <v>0</v>
      </c>
      <c s="6" r="AA1572">
        <v>3</v>
      </c>
      <c s="6" r="AB1572">
        <v>3</v>
      </c>
      <c s="6" r="AC1572">
        <v>3</v>
      </c>
      <c s="6" r="AD1572">
        <v>3</v>
      </c>
      <c t="s" s="6" r="AE1572">
        <v>92</v>
      </c>
      <c t="s" s="6" r="AF1572">
        <v>92</v>
      </c>
      <c t="s" s="6" r="AG1572">
        <v>92</v>
      </c>
      <c t="s" s="6" r="AH1572">
        <v>92</v>
      </c>
      <c t="s" s="6" r="AI1572">
        <v>92</v>
      </c>
      <c s="6" r="AJ1572">
        <v>3</v>
      </c>
      <c t="s" s="6" r="AK1572">
        <v>92</v>
      </c>
      <c s="6" r="AL1572">
        <v>3</v>
      </c>
      <c t="s" s="6" r="AM1572">
        <v>92</v>
      </c>
      <c t="s" s="6" r="AN1572">
        <v>92</v>
      </c>
      <c s="6" r="AP1572">
        <v>3</v>
      </c>
      <c s="6" r="AS1572">
        <v>0</v>
      </c>
      <c s="6" r="AT1572">
        <v>0</v>
      </c>
      <c s="6" r="AU1572">
        <v>0</v>
      </c>
      <c s="6" r="AV1572">
        <v>0</v>
      </c>
      <c s="6" r="AW1572">
        <v>0</v>
      </c>
      <c s="6" r="AX1572">
        <v>0</v>
      </c>
      <c s="6" r="AY1572">
        <v>0</v>
      </c>
      <c s="6" r="AZ1572">
        <v>0</v>
      </c>
      <c s="6" r="BA1572">
        <v>0</v>
      </c>
      <c s="6" r="BB1572">
        <v>0</v>
      </c>
      <c s="6" r="BC1572">
        <v>0</v>
      </c>
      <c s="6" r="BD1572">
        <v>0</v>
      </c>
      <c s="6" r="BE1572">
        <v>0</v>
      </c>
      <c s="6" r="BF1572">
        <v>0</v>
      </c>
      <c s="6" r="BG1572">
        <v>0</v>
      </c>
      <c s="6" r="BH1572">
        <v>0</v>
      </c>
      <c s="6" r="BI1572">
        <v>0</v>
      </c>
      <c s="6" r="BJ1572">
        <v>0</v>
      </c>
      <c s="6" r="BK1572">
        <v>0</v>
      </c>
      <c s="6" r="BL1572">
        <v>0</v>
      </c>
      <c s="6" r="BM1572">
        <v>0</v>
      </c>
      <c s="6" r="BN1572">
        <v>0</v>
      </c>
      <c s="6" r="BO1572">
        <v>0</v>
      </c>
      <c s="6" r="BP1572">
        <v>0</v>
      </c>
      <c s="6" r="BQ1572">
        <v>0</v>
      </c>
      <c t="s" s="6" r="BR1572">
        <v>92</v>
      </c>
      <c s="6" r="BS1572">
        <v>1595</v>
      </c>
      <c t="s" s="6" r="BT1572">
        <v>92</v>
      </c>
      <c s="6" r="BY1572">
        <v>0</v>
      </c>
    </row>
    <row customHeight="1" r="1573" ht="14.25">
      <c t="s" s="6" r="A1573">
        <v>11033</v>
      </c>
      <c t="s" s="6" r="B1573">
        <v>131</v>
      </c>
      <c t="s" s="6" r="E1573">
        <v>11034</v>
      </c>
      <c t="s" s="6" r="F1573">
        <v>81</v>
      </c>
      <c t="s" s="6" r="G1573">
        <v>11029</v>
      </c>
      <c s="6" r="H1573">
        <v>0</v>
      </c>
      <c t="s" s="6" r="I1573">
        <v>120</v>
      </c>
      <c t="s" s="6" r="L1573">
        <v>420</v>
      </c>
      <c t="s" s="6" r="M1573">
        <v>200</v>
      </c>
      <c s="6" r="N1573">
        <v>0</v>
      </c>
      <c s="6" r="O1573">
        <v>0</v>
      </c>
      <c t="s" s="6" r="P1573">
        <v>187</v>
      </c>
      <c t="s" s="6" r="Q1573">
        <v>188</v>
      </c>
      <c t="s" s="6" r="R1573">
        <v>11035</v>
      </c>
      <c t="s" s="6" r="S1573">
        <v>11036</v>
      </c>
      <c t="s" s="6" r="T1573">
        <v>11014</v>
      </c>
      <c t="s" s="6" r="U1573">
        <v>11037</v>
      </c>
      <c s="6" r="V1573">
        <v>1</v>
      </c>
      <c s="6" r="W1573">
        <v>1</v>
      </c>
      <c s="6" r="X1573">
        <v>1</v>
      </c>
      <c s="6" r="Y1573">
        <v>0</v>
      </c>
      <c s="6" r="Z1573">
        <v>0</v>
      </c>
      <c s="6" r="AA1573">
        <v>5</v>
      </c>
      <c s="6" r="AB1573">
        <v>5</v>
      </c>
      <c s="6" r="AC1573">
        <v>5</v>
      </c>
      <c s="6" r="AD1573">
        <v>5</v>
      </c>
      <c t="s" s="6" r="AE1573">
        <v>92</v>
      </c>
      <c t="s" s="6" r="AF1573">
        <v>92</v>
      </c>
      <c t="s" s="6" r="AG1573">
        <v>92</v>
      </c>
      <c t="s" s="6" r="AH1573">
        <v>92</v>
      </c>
      <c t="s" s="6" r="AI1573">
        <v>92</v>
      </c>
      <c s="6" r="AJ1573">
        <v>5</v>
      </c>
      <c t="s" s="6" r="AK1573">
        <v>92</v>
      </c>
      <c s="6" r="AL1573">
        <v>5</v>
      </c>
      <c t="s" s="6" r="AM1573">
        <v>92</v>
      </c>
      <c t="s" s="6" r="AN1573">
        <v>92</v>
      </c>
      <c s="6" r="AP1573">
        <v>5</v>
      </c>
      <c s="6" r="AS1573">
        <v>0</v>
      </c>
      <c s="6" r="AT1573">
        <v>0</v>
      </c>
      <c s="6" r="AU1573">
        <v>0</v>
      </c>
      <c s="6" r="AV1573">
        <v>0</v>
      </c>
      <c s="6" r="AW1573">
        <v>0</v>
      </c>
      <c s="6" r="AX1573">
        <v>0</v>
      </c>
      <c s="6" r="AY1573">
        <v>0</v>
      </c>
      <c s="6" r="AZ1573">
        <v>0</v>
      </c>
      <c s="6" r="BA1573">
        <v>0</v>
      </c>
      <c s="6" r="BB1573">
        <v>0</v>
      </c>
      <c s="6" r="BC1573">
        <v>0</v>
      </c>
      <c s="6" r="BD1573">
        <v>0</v>
      </c>
      <c s="6" r="BE1573">
        <v>0</v>
      </c>
      <c s="6" r="BF1573">
        <v>0</v>
      </c>
      <c s="6" r="BG1573">
        <v>0</v>
      </c>
      <c s="6" r="BH1573">
        <v>0</v>
      </c>
      <c s="6" r="BI1573">
        <v>0</v>
      </c>
      <c s="6" r="BJ1573">
        <v>0</v>
      </c>
      <c s="6" r="BK1573">
        <v>0</v>
      </c>
      <c s="6" r="BL1573">
        <v>0</v>
      </c>
      <c s="6" r="BM1573">
        <v>0</v>
      </c>
      <c s="6" r="BN1573">
        <v>0</v>
      </c>
      <c s="6" r="BO1573">
        <v>0</v>
      </c>
      <c s="6" r="BP1573">
        <v>0</v>
      </c>
      <c s="6" r="BQ1573">
        <v>0</v>
      </c>
      <c t="s" s="6" r="BR1573">
        <v>92</v>
      </c>
      <c s="6" r="BS1573">
        <v>1596</v>
      </c>
      <c t="s" s="6" r="BT1573">
        <v>92</v>
      </c>
      <c s="6" r="BY1573">
        <v>0</v>
      </c>
    </row>
    <row customHeight="1" r="1574" ht="14.25">
      <c t="s" s="6" r="A1574">
        <v>11038</v>
      </c>
      <c t="s" s="6" r="B1574">
        <v>131</v>
      </c>
      <c t="s" s="6" r="E1574">
        <v>8099</v>
      </c>
      <c t="s" s="6" r="F1574">
        <v>81</v>
      </c>
      <c t="s" s="6" r="G1574">
        <v>11039</v>
      </c>
      <c s="6" r="H1574">
        <v>0</v>
      </c>
      <c t="s" s="6" r="I1574">
        <v>120</v>
      </c>
      <c t="s" s="6" r="L1574">
        <v>11040</v>
      </c>
      <c t="s" s="6" r="M1574">
        <v>109</v>
      </c>
      <c s="6" r="N1574">
        <v>0</v>
      </c>
      <c s="6" r="O1574">
        <v>0</v>
      </c>
      <c t="s" s="6" r="P1574">
        <v>5197</v>
      </c>
      <c t="s" s="6" r="Q1574">
        <v>536</v>
      </c>
      <c t="s" s="6" r="R1574">
        <v>11041</v>
      </c>
      <c t="s" s="6" r="S1574">
        <v>11042</v>
      </c>
      <c t="s" s="6" r="T1574">
        <v>11014</v>
      </c>
      <c t="s" s="6" r="U1574">
        <v>11043</v>
      </c>
      <c s="6" r="V1574">
        <v>1</v>
      </c>
      <c s="6" r="W1574">
        <v>1</v>
      </c>
      <c s="6" r="X1574">
        <v>1</v>
      </c>
      <c s="6" r="Y1574">
        <v>0</v>
      </c>
      <c s="6" r="Z1574">
        <v>0</v>
      </c>
      <c s="6" r="AA1574">
        <v>2</v>
      </c>
      <c s="6" r="AB1574">
        <v>2</v>
      </c>
      <c s="6" r="AC1574">
        <v>2</v>
      </c>
      <c t="s" s="6" r="AD1574">
        <v>92</v>
      </c>
      <c t="s" s="6" r="AE1574">
        <v>92</v>
      </c>
      <c t="s" s="6" r="AF1574">
        <v>92</v>
      </c>
      <c t="s" s="6" r="AG1574">
        <v>92</v>
      </c>
      <c t="s" s="6" r="AH1574">
        <v>92</v>
      </c>
      <c t="s" s="6" r="AI1574">
        <v>92</v>
      </c>
      <c s="6" r="AJ1574">
        <v>2</v>
      </c>
      <c t="s" s="6" r="AK1574">
        <v>92</v>
      </c>
      <c s="6" r="AL1574">
        <v>2</v>
      </c>
      <c t="s" s="6" r="AM1574">
        <v>92</v>
      </c>
      <c t="s" s="6" r="AN1574">
        <v>92</v>
      </c>
      <c s="6" r="AP1574">
        <v>2</v>
      </c>
      <c s="6" r="AS1574">
        <v>0</v>
      </c>
      <c s="6" r="AT1574">
        <v>0</v>
      </c>
      <c s="6" r="AU1574">
        <v>0</v>
      </c>
      <c s="6" r="AV1574">
        <v>0</v>
      </c>
      <c s="6" r="AW1574">
        <v>0</v>
      </c>
      <c s="6" r="AX1574">
        <v>0</v>
      </c>
      <c s="6" r="AY1574">
        <v>0</v>
      </c>
      <c s="6" r="AZ1574">
        <v>0</v>
      </c>
      <c s="6" r="BA1574">
        <v>0</v>
      </c>
      <c s="6" r="BB1574">
        <v>0</v>
      </c>
      <c s="6" r="BC1574">
        <v>0</v>
      </c>
      <c s="6" r="BD1574">
        <v>0</v>
      </c>
      <c s="6" r="BE1574">
        <v>0</v>
      </c>
      <c s="6" r="BF1574">
        <v>0</v>
      </c>
      <c s="6" r="BG1574">
        <v>0</v>
      </c>
      <c s="6" r="BH1574">
        <v>0</v>
      </c>
      <c s="6" r="BI1574">
        <v>0</v>
      </c>
      <c s="6" r="BJ1574">
        <v>0</v>
      </c>
      <c s="6" r="BK1574">
        <v>0</v>
      </c>
      <c s="6" r="BL1574">
        <v>0</v>
      </c>
      <c s="6" r="BM1574">
        <v>0</v>
      </c>
      <c s="6" r="BN1574">
        <v>0</v>
      </c>
      <c s="6" r="BO1574">
        <v>0</v>
      </c>
      <c s="6" r="BP1574">
        <v>0</v>
      </c>
      <c s="6" r="BQ1574">
        <v>0</v>
      </c>
      <c t="s" s="6" r="BR1574">
        <v>92</v>
      </c>
      <c s="6" r="BS1574">
        <v>1597</v>
      </c>
      <c t="s" s="6" r="BT1574">
        <v>92</v>
      </c>
      <c s="6" r="BY1574">
        <v>0</v>
      </c>
    </row>
    <row customHeight="1" r="1575" ht="14.25">
      <c t="s" s="6" r="A1575">
        <v>11044</v>
      </c>
      <c t="s" s="6" r="B1575">
        <v>78</v>
      </c>
      <c t="s" s="6" r="C1575">
        <v>79</v>
      </c>
      <c t="s" s="6" r="D1575">
        <v>47</v>
      </c>
      <c t="s" s="6" r="E1575">
        <v>11045</v>
      </c>
      <c t="s" s="6" r="F1575">
        <v>272</v>
      </c>
      <c t="s" s="6" r="G1575">
        <v>11046</v>
      </c>
      <c s="6" r="H1575">
        <v>0</v>
      </c>
      <c t="s" s="6" r="I1575">
        <v>107</v>
      </c>
      <c t="s" s="6" r="K1575">
        <v>11047</v>
      </c>
      <c t="s" s="6" r="M1575">
        <v>483</v>
      </c>
      <c s="6" r="N1575">
        <v>1</v>
      </c>
      <c s="6" r="O1575">
        <v>0</v>
      </c>
      <c t="s" s="6" r="P1575">
        <v>86</v>
      </c>
      <c t="s" s="6" r="Q1575">
        <v>87</v>
      </c>
      <c t="s" s="6" r="R1575">
        <v>11048</v>
      </c>
      <c t="s" s="6" r="S1575">
        <v>11049</v>
      </c>
      <c t="s" s="6" r="T1575">
        <v>11050</v>
      </c>
      <c t="s" s="6" r="U1575">
        <v>11051</v>
      </c>
      <c s="6" r="V1575">
        <v>1</v>
      </c>
      <c s="6" r="W1575">
        <v>1</v>
      </c>
      <c s="6" r="X1575">
        <v>1</v>
      </c>
      <c s="6" r="Y1575">
        <v>0</v>
      </c>
      <c s="6" r="Z1575">
        <v>0</v>
      </c>
      <c s="6" r="AA1575">
        <v>7</v>
      </c>
      <c s="6" r="AB1575">
        <v>7</v>
      </c>
      <c s="6" r="AC1575">
        <v>7</v>
      </c>
      <c s="6" r="AD1575">
        <v>7</v>
      </c>
      <c t="s" s="6" r="AE1575">
        <v>92</v>
      </c>
      <c t="s" s="6" r="AF1575">
        <v>92</v>
      </c>
      <c t="s" s="6" r="AG1575">
        <v>92</v>
      </c>
      <c t="s" s="6" r="AH1575">
        <v>92</v>
      </c>
      <c s="6" r="AI1575">
        <v>6</v>
      </c>
      <c t="s" s="6" r="AJ1575">
        <v>92</v>
      </c>
      <c t="s" s="6" r="AK1575">
        <v>92</v>
      </c>
      <c s="6" r="AL1575">
        <v>7</v>
      </c>
      <c t="s" s="6" r="AM1575">
        <v>92</v>
      </c>
      <c t="s" s="6" r="AN1575">
        <v>92</v>
      </c>
      <c s="6" r="AP1575">
        <v>7</v>
      </c>
      <c s="6" r="AS1575">
        <v>0</v>
      </c>
      <c s="6" r="AT1575">
        <v>0</v>
      </c>
      <c s="6" r="AU1575">
        <v>0</v>
      </c>
      <c s="6" r="AV1575">
        <v>1</v>
      </c>
      <c s="6" r="AW1575">
        <v>0</v>
      </c>
      <c s="6" r="AX1575">
        <v>0</v>
      </c>
      <c s="6" r="AY1575">
        <v>0</v>
      </c>
      <c s="6" r="AZ1575">
        <v>0</v>
      </c>
      <c s="6" r="BA1575">
        <v>0</v>
      </c>
      <c s="6" r="BB1575">
        <v>0</v>
      </c>
      <c s="6" r="BC1575">
        <v>0</v>
      </c>
      <c s="6" r="BD1575">
        <v>0</v>
      </c>
      <c s="6" r="BE1575">
        <v>0</v>
      </c>
      <c s="6" r="BF1575">
        <v>0</v>
      </c>
      <c s="6" r="BG1575">
        <v>0</v>
      </c>
      <c s="6" r="BH1575">
        <v>0</v>
      </c>
      <c s="6" r="BI1575">
        <v>0</v>
      </c>
      <c s="6" r="BJ1575">
        <v>0</v>
      </c>
      <c s="6" r="BK1575">
        <v>0</v>
      </c>
      <c s="6" r="BL1575">
        <v>0</v>
      </c>
      <c s="6" r="BM1575">
        <v>0</v>
      </c>
      <c s="6" r="BN1575">
        <v>0</v>
      </c>
      <c s="6" r="BO1575">
        <v>0</v>
      </c>
      <c s="6" r="BP1575">
        <v>0</v>
      </c>
      <c s="6" r="BQ1575">
        <v>0</v>
      </c>
      <c t="s" s="6" r="BR1575">
        <v>92</v>
      </c>
      <c s="6" r="BS1575">
        <v>1599</v>
      </c>
      <c t="s" s="6" r="BT1575">
        <v>92</v>
      </c>
      <c s="6" r="BY1575">
        <v>0</v>
      </c>
    </row>
    <row customHeight="1" r="1576" ht="14.25">
      <c t="s" s="6" r="A1576">
        <v>11052</v>
      </c>
      <c t="s" s="6" r="B1576">
        <v>78</v>
      </c>
      <c t="s" s="6" r="C1576">
        <v>79</v>
      </c>
      <c t="s" s="6" r="D1576">
        <v>47</v>
      </c>
      <c t="s" s="6" r="E1576">
        <v>5833</v>
      </c>
      <c t="s" s="6" r="F1576">
        <v>81</v>
      </c>
      <c t="s" s="6" r="G1576">
        <v>11053</v>
      </c>
      <c s="6" r="H1576">
        <v>0</v>
      </c>
      <c t="s" s="6" r="I1576">
        <v>97</v>
      </c>
      <c t="s" s="6" r="J1576">
        <v>482</v>
      </c>
      <c t="s" s="6" r="M1576">
        <v>99</v>
      </c>
      <c s="6" r="N1576">
        <v>0</v>
      </c>
      <c s="6" r="O1576">
        <v>0</v>
      </c>
      <c t="s" s="6" r="P1576">
        <v>86</v>
      </c>
      <c t="s" s="6" r="Q1576">
        <v>87</v>
      </c>
      <c t="s" s="6" r="R1576">
        <v>11054</v>
      </c>
      <c t="s" s="6" r="S1576">
        <v>11055</v>
      </c>
      <c t="s" s="6" r="T1576">
        <v>11050</v>
      </c>
      <c t="s" s="6" r="U1576">
        <v>11056</v>
      </c>
      <c s="6" r="V1576">
        <v>1</v>
      </c>
      <c s="6" r="W1576">
        <v>1</v>
      </c>
      <c s="6" r="X1576">
        <v>1</v>
      </c>
      <c s="6" r="Y1576">
        <v>0</v>
      </c>
      <c s="6" r="Z1576">
        <v>1</v>
      </c>
      <c t="s" s="6" r="AA1576">
        <v>92</v>
      </c>
      <c t="s" s="6" r="AB1576">
        <v>92</v>
      </c>
      <c t="s" s="6" r="AC1576">
        <v>92</v>
      </c>
      <c s="6" r="AD1576">
        <v>2</v>
      </c>
      <c t="s" s="6" r="AE1576">
        <v>92</v>
      </c>
      <c t="s" s="6" r="AF1576">
        <v>92</v>
      </c>
      <c t="s" s="6" r="AG1576">
        <v>92</v>
      </c>
      <c t="s" s="6" r="AH1576">
        <v>92</v>
      </c>
      <c t="s" s="6" r="AI1576">
        <v>92</v>
      </c>
      <c s="6" r="AJ1576">
        <v>2</v>
      </c>
      <c t="s" s="6" r="AK1576">
        <v>92</v>
      </c>
      <c t="s" s="6" r="AL1576">
        <v>92</v>
      </c>
      <c t="s" s="6" r="AM1576">
        <v>92</v>
      </c>
      <c t="s" s="6" r="AN1576">
        <v>92</v>
      </c>
      <c s="6" r="AP1576">
        <v>2</v>
      </c>
      <c s="6" r="AS1576">
        <v>0</v>
      </c>
      <c s="6" r="AT1576">
        <v>0</v>
      </c>
      <c s="6" r="AU1576">
        <v>0</v>
      </c>
      <c s="6" r="AV1576">
        <v>1</v>
      </c>
      <c s="6" r="AW1576">
        <v>0</v>
      </c>
      <c s="6" r="AX1576">
        <v>0</v>
      </c>
      <c s="6" r="AY1576">
        <v>0</v>
      </c>
      <c s="6" r="AZ1576">
        <v>0</v>
      </c>
      <c s="6" r="BA1576">
        <v>0</v>
      </c>
      <c s="6" r="BB1576">
        <v>0</v>
      </c>
      <c s="6" r="BC1576">
        <v>0</v>
      </c>
      <c s="6" r="BD1576">
        <v>0</v>
      </c>
      <c s="6" r="BE1576">
        <v>0</v>
      </c>
      <c s="6" r="BF1576">
        <v>0</v>
      </c>
      <c s="6" r="BG1576">
        <v>0</v>
      </c>
      <c s="6" r="BH1576">
        <v>0</v>
      </c>
      <c s="6" r="BI1576">
        <v>0</v>
      </c>
      <c s="6" r="BJ1576">
        <v>0</v>
      </c>
      <c s="6" r="BK1576">
        <v>0</v>
      </c>
      <c s="6" r="BL1576">
        <v>0</v>
      </c>
      <c s="6" r="BM1576">
        <v>0</v>
      </c>
      <c s="6" r="BN1576">
        <v>0</v>
      </c>
      <c s="6" r="BO1576">
        <v>0</v>
      </c>
      <c s="6" r="BP1576">
        <v>0</v>
      </c>
      <c s="6" r="BQ1576">
        <v>0</v>
      </c>
      <c t="s" s="6" r="BR1576">
        <v>92</v>
      </c>
      <c s="6" r="BS1576">
        <v>1601</v>
      </c>
      <c t="s" s="6" r="BT1576">
        <v>92</v>
      </c>
      <c s="6" r="BY1576">
        <v>0</v>
      </c>
    </row>
    <row customHeight="1" r="1577" ht="14.25">
      <c t="s" s="6" r="A1577">
        <v>11057</v>
      </c>
      <c t="s" s="6" r="B1577">
        <v>174</v>
      </c>
      <c t="s" s="6" r="C1577">
        <v>309</v>
      </c>
      <c t="s" s="6" r="E1577">
        <v>6274</v>
      </c>
      <c t="s" s="6" r="F1577">
        <v>311</v>
      </c>
      <c t="s" s="6" r="G1577">
        <v>11058</v>
      </c>
      <c s="6" r="H1577">
        <v>0</v>
      </c>
      <c t="s" s="6" r="I1577">
        <v>141</v>
      </c>
      <c t="s" s="6" r="K1577">
        <v>314</v>
      </c>
      <c t="s" s="6" r="M1577">
        <v>2718</v>
      </c>
      <c s="6" r="N1577">
        <v>0</v>
      </c>
      <c s="6" r="O1577">
        <v>0</v>
      </c>
      <c t="s" s="6" r="P1577">
        <v>86</v>
      </c>
      <c t="s" s="6" r="Q1577">
        <v>87</v>
      </c>
      <c t="s" s="6" r="R1577">
        <v>11059</v>
      </c>
      <c t="s" s="6" r="S1577">
        <v>11060</v>
      </c>
      <c t="s" s="6" r="T1577">
        <v>11061</v>
      </c>
      <c t="s" s="6" r="U1577">
        <v>11062</v>
      </c>
      <c s="6" r="V1577">
        <v>1</v>
      </c>
      <c s="6" r="W1577">
        <v>1</v>
      </c>
      <c s="6" r="X1577">
        <v>0</v>
      </c>
      <c s="6" r="Y1577">
        <v>0</v>
      </c>
      <c s="6" r="Z1577">
        <v>0</v>
      </c>
      <c s="6" r="AA1577">
        <v>3</v>
      </c>
      <c s="6" r="AB1577">
        <v>3</v>
      </c>
      <c t="s" s="6" r="AC1577">
        <v>92</v>
      </c>
      <c t="s" s="6" r="AD1577">
        <v>92</v>
      </c>
      <c t="s" s="6" r="AE1577">
        <v>92</v>
      </c>
      <c t="s" s="6" r="AF1577">
        <v>92</v>
      </c>
      <c t="s" s="6" r="AG1577">
        <v>92</v>
      </c>
      <c t="s" s="6" r="AH1577">
        <v>92</v>
      </c>
      <c t="s" s="6" r="AI1577">
        <v>92</v>
      </c>
      <c s="6" r="AJ1577">
        <v>3</v>
      </c>
      <c t="s" s="6" r="AK1577">
        <v>92</v>
      </c>
      <c t="s" s="6" r="AL1577">
        <v>92</v>
      </c>
      <c t="s" s="6" r="AM1577">
        <v>92</v>
      </c>
      <c t="s" s="6" r="AN1577">
        <v>92</v>
      </c>
      <c s="6" r="AP1577">
        <v>3</v>
      </c>
      <c s="6" r="AS1577">
        <v>0</v>
      </c>
      <c s="6" r="AT1577">
        <v>0</v>
      </c>
      <c s="6" r="AU1577">
        <v>0</v>
      </c>
      <c s="6" r="AV1577">
        <v>0</v>
      </c>
      <c s="6" r="AW1577">
        <v>0</v>
      </c>
      <c s="6" r="AX1577">
        <v>0</v>
      </c>
      <c s="6" r="AY1577">
        <v>0</v>
      </c>
      <c s="6" r="AZ1577">
        <v>0</v>
      </c>
      <c s="6" r="BA1577">
        <v>0</v>
      </c>
      <c s="6" r="BB1577">
        <v>0</v>
      </c>
      <c s="6" r="BC1577">
        <v>0</v>
      </c>
      <c s="6" r="BD1577">
        <v>0</v>
      </c>
      <c s="6" r="BE1577">
        <v>0</v>
      </c>
      <c s="6" r="BF1577">
        <v>0</v>
      </c>
      <c s="6" r="BG1577">
        <v>0</v>
      </c>
      <c s="6" r="BH1577">
        <v>0</v>
      </c>
      <c s="6" r="BI1577">
        <v>0</v>
      </c>
      <c s="6" r="BJ1577">
        <v>0</v>
      </c>
      <c s="6" r="BK1577">
        <v>0</v>
      </c>
      <c s="6" r="BL1577">
        <v>0</v>
      </c>
      <c s="6" r="BM1577">
        <v>0</v>
      </c>
      <c s="6" r="BN1577">
        <v>0</v>
      </c>
      <c s="6" r="BO1577">
        <v>0</v>
      </c>
      <c s="6" r="BP1577">
        <v>0</v>
      </c>
      <c s="6" r="BQ1577">
        <v>0</v>
      </c>
      <c t="s" s="6" r="BR1577">
        <v>92</v>
      </c>
      <c s="6" r="BS1577">
        <v>1604</v>
      </c>
      <c t="s" s="6" r="BT1577">
        <v>92</v>
      </c>
      <c s="6" r="BY1577">
        <v>0</v>
      </c>
    </row>
    <row customHeight="1" r="1578" ht="14.25">
      <c t="s" s="6" r="A1578">
        <v>11063</v>
      </c>
      <c t="s" s="6" r="B1578">
        <v>115</v>
      </c>
      <c t="s" s="6" r="C1578">
        <v>116</v>
      </c>
      <c t="s" s="6" r="E1578">
        <v>11064</v>
      </c>
      <c t="s" s="6" r="F1578">
        <v>1743</v>
      </c>
      <c t="s" s="6" r="G1578">
        <v>106</v>
      </c>
      <c s="6" r="H1578">
        <v>0</v>
      </c>
      <c t="s" s="6" r="I1578">
        <v>120</v>
      </c>
      <c t="s" s="6" r="L1578">
        <v>11065</v>
      </c>
      <c t="s" s="6" r="M1578">
        <v>109</v>
      </c>
      <c s="6" r="N1578">
        <v>0</v>
      </c>
      <c s="6" r="O1578">
        <v>0</v>
      </c>
      <c t="s" s="6" r="P1578">
        <v>86</v>
      </c>
      <c t="s" s="6" r="Q1578">
        <v>87</v>
      </c>
      <c t="s" s="6" r="R1578">
        <v>11066</v>
      </c>
      <c t="s" s="6" r="S1578">
        <v>11067</v>
      </c>
      <c t="s" s="6" r="T1578">
        <v>11068</v>
      </c>
      <c t="s" s="6" r="U1578">
        <v>11069</v>
      </c>
      <c s="6" r="V1578">
        <v>1</v>
      </c>
      <c s="6" r="W1578">
        <v>1</v>
      </c>
      <c s="6" r="X1578">
        <v>0</v>
      </c>
      <c s="6" r="Y1578">
        <v>0</v>
      </c>
      <c s="6" r="Z1578">
        <v>0</v>
      </c>
      <c s="6" r="AA1578">
        <v>3</v>
      </c>
      <c s="6" r="AB1578">
        <v>3</v>
      </c>
      <c t="s" s="6" r="AC1578">
        <v>92</v>
      </c>
      <c s="6" r="AD1578">
        <v>3</v>
      </c>
      <c s="6" r="AE1578">
        <v>3</v>
      </c>
      <c t="s" s="6" r="AF1578">
        <v>92</v>
      </c>
      <c t="s" s="6" r="AG1578">
        <v>92</v>
      </c>
      <c t="s" s="6" r="AH1578">
        <v>92</v>
      </c>
      <c t="s" s="6" r="AI1578">
        <v>92</v>
      </c>
      <c s="6" r="AJ1578">
        <v>3</v>
      </c>
      <c t="s" s="6" r="AK1578">
        <v>92</v>
      </c>
      <c t="s" s="6" r="AL1578">
        <v>92</v>
      </c>
      <c s="6" r="AM1578">
        <v>2</v>
      </c>
      <c t="s" s="6" r="AN1578">
        <v>92</v>
      </c>
      <c s="6" r="AP1578">
        <v>3</v>
      </c>
      <c s="6" r="AS1578">
        <v>0</v>
      </c>
      <c s="6" r="AT1578">
        <v>0</v>
      </c>
      <c s="6" r="AU1578">
        <v>0</v>
      </c>
      <c s="6" r="AV1578">
        <v>0</v>
      </c>
      <c s="6" r="AW1578">
        <v>0</v>
      </c>
      <c s="6" r="AX1578">
        <v>0</v>
      </c>
      <c s="6" r="AY1578">
        <v>0</v>
      </c>
      <c s="6" r="AZ1578">
        <v>0</v>
      </c>
      <c s="6" r="BA1578">
        <v>0</v>
      </c>
      <c s="6" r="BB1578">
        <v>0</v>
      </c>
      <c s="6" r="BC1578">
        <v>0</v>
      </c>
      <c s="6" r="BD1578">
        <v>0</v>
      </c>
      <c s="6" r="BE1578">
        <v>0</v>
      </c>
      <c s="6" r="BF1578">
        <v>0</v>
      </c>
      <c s="6" r="BG1578">
        <v>0</v>
      </c>
      <c s="6" r="BH1578">
        <v>0</v>
      </c>
      <c s="6" r="BI1578">
        <v>0</v>
      </c>
      <c s="6" r="BJ1578">
        <v>0</v>
      </c>
      <c s="6" r="BK1578">
        <v>0</v>
      </c>
      <c s="6" r="BL1578">
        <v>0</v>
      </c>
      <c s="6" r="BM1578">
        <v>0</v>
      </c>
      <c s="6" r="BN1578">
        <v>0</v>
      </c>
      <c s="6" r="BO1578">
        <v>0</v>
      </c>
      <c s="6" r="BP1578">
        <v>0</v>
      </c>
      <c s="6" r="BQ1578">
        <v>0</v>
      </c>
      <c t="s" s="6" r="BR1578">
        <v>92</v>
      </c>
      <c s="6" r="BS1578">
        <v>1606</v>
      </c>
      <c t="s" s="6" r="BT1578">
        <v>92</v>
      </c>
      <c s="6" r="BY1578">
        <v>0</v>
      </c>
    </row>
    <row customHeight="1" r="1579" ht="14.25">
      <c t="s" s="6" r="A1579">
        <v>11070</v>
      </c>
      <c t="s" s="6" r="B1579">
        <v>115</v>
      </c>
      <c t="s" s="6" r="C1579">
        <v>116</v>
      </c>
      <c t="s" s="6" r="E1579">
        <v>11071</v>
      </c>
      <c t="s" s="6" r="F1579">
        <v>1743</v>
      </c>
      <c t="s" s="6" r="G1579">
        <v>106</v>
      </c>
      <c s="6" r="H1579">
        <v>0</v>
      </c>
      <c t="s" s="6" r="I1579">
        <v>120</v>
      </c>
      <c t="s" s="6" r="L1579">
        <v>11065</v>
      </c>
      <c t="s" s="6" r="M1579">
        <v>109</v>
      </c>
      <c s="6" r="N1579">
        <v>0</v>
      </c>
      <c s="6" r="O1579">
        <v>0</v>
      </c>
      <c t="s" s="6" r="P1579">
        <v>86</v>
      </c>
      <c t="s" s="6" r="Q1579">
        <v>87</v>
      </c>
      <c t="s" s="6" r="R1579">
        <v>11072</v>
      </c>
      <c t="s" s="6" r="S1579">
        <v>11073</v>
      </c>
      <c t="s" s="6" r="T1579">
        <v>11068</v>
      </c>
      <c t="s" s="6" r="U1579">
        <v>11074</v>
      </c>
      <c s="6" r="V1579">
        <v>1</v>
      </c>
      <c s="6" r="W1579">
        <v>1</v>
      </c>
      <c s="6" r="X1579">
        <v>0</v>
      </c>
      <c s="6" r="Y1579">
        <v>0</v>
      </c>
      <c s="6" r="Z1579">
        <v>0</v>
      </c>
      <c s="6" r="AA1579">
        <v>5</v>
      </c>
      <c s="6" r="AB1579">
        <v>5</v>
      </c>
      <c t="s" s="6" r="AC1579">
        <v>92</v>
      </c>
      <c s="6" r="AD1579">
        <v>5</v>
      </c>
      <c t="s" s="6" r="AE1579">
        <v>92</v>
      </c>
      <c t="s" s="6" r="AF1579">
        <v>92</v>
      </c>
      <c t="s" s="6" r="AG1579">
        <v>92</v>
      </c>
      <c t="s" s="6" r="AH1579">
        <v>92</v>
      </c>
      <c t="s" s="6" r="AI1579">
        <v>92</v>
      </c>
      <c s="6" r="AJ1579">
        <v>5</v>
      </c>
      <c t="s" s="6" r="AK1579">
        <v>92</v>
      </c>
      <c t="s" s="6" r="AL1579">
        <v>92</v>
      </c>
      <c s="6" r="AM1579">
        <v>4</v>
      </c>
      <c t="s" s="6" r="AN1579">
        <v>92</v>
      </c>
      <c s="6" r="AP1579">
        <v>5</v>
      </c>
      <c s="6" r="AS1579">
        <v>0</v>
      </c>
      <c s="6" r="AT1579">
        <v>0</v>
      </c>
      <c s="6" r="AU1579">
        <v>0</v>
      </c>
      <c s="6" r="AV1579">
        <v>0</v>
      </c>
      <c s="6" r="AW1579">
        <v>0</v>
      </c>
      <c s="6" r="AX1579">
        <v>0</v>
      </c>
      <c s="6" r="AY1579">
        <v>0</v>
      </c>
      <c s="6" r="AZ1579">
        <v>0</v>
      </c>
      <c s="6" r="BA1579">
        <v>0</v>
      </c>
      <c s="6" r="BB1579">
        <v>0</v>
      </c>
      <c s="6" r="BC1579">
        <v>0</v>
      </c>
      <c s="6" r="BD1579">
        <v>0</v>
      </c>
      <c s="6" r="BE1579">
        <v>0</v>
      </c>
      <c s="6" r="BF1579">
        <v>0</v>
      </c>
      <c s="6" r="BG1579">
        <v>0</v>
      </c>
      <c s="6" r="BH1579">
        <v>0</v>
      </c>
      <c s="6" r="BI1579">
        <v>0</v>
      </c>
      <c s="6" r="BJ1579">
        <v>0</v>
      </c>
      <c s="6" r="BK1579">
        <v>0</v>
      </c>
      <c s="6" r="BL1579">
        <v>0</v>
      </c>
      <c s="6" r="BM1579">
        <v>0</v>
      </c>
      <c s="6" r="BN1579">
        <v>0</v>
      </c>
      <c s="6" r="BO1579">
        <v>0</v>
      </c>
      <c s="6" r="BP1579">
        <v>0</v>
      </c>
      <c s="6" r="BQ1579">
        <v>0</v>
      </c>
      <c t="s" s="6" r="BR1579">
        <v>92</v>
      </c>
      <c s="6" r="BS1579">
        <v>1607</v>
      </c>
      <c t="s" s="6" r="BT1579">
        <v>92</v>
      </c>
      <c s="6" r="BY1579">
        <v>0</v>
      </c>
    </row>
    <row customHeight="1" r="1580" ht="14.25">
      <c t="s" s="6" r="A1580">
        <v>11075</v>
      </c>
      <c t="s" s="6" r="B1580">
        <v>579</v>
      </c>
      <c t="s" s="6" r="C1580">
        <v>2047</v>
      </c>
      <c t="s" s="6" r="E1580">
        <v>4080</v>
      </c>
      <c t="s" s="6" r="F1580">
        <v>81</v>
      </c>
      <c t="s" s="6" r="G1580">
        <v>106</v>
      </c>
      <c s="6" r="H1580">
        <v>0</v>
      </c>
      <c t="s" s="6" r="I1580">
        <v>120</v>
      </c>
      <c t="s" s="6" r="L1580">
        <v>6536</v>
      </c>
      <c t="s" s="6" r="M1580">
        <v>483</v>
      </c>
      <c s="6" r="N1580">
        <v>1</v>
      </c>
      <c s="6" r="O1580">
        <v>0</v>
      </c>
      <c t="s" s="6" r="P1580">
        <v>86</v>
      </c>
      <c t="s" s="6" r="Q1580">
        <v>87</v>
      </c>
      <c t="s" s="6" r="R1580">
        <v>11076</v>
      </c>
      <c t="s" s="6" r="S1580">
        <v>11077</v>
      </c>
      <c t="s" s="6" r="T1580">
        <v>11068</v>
      </c>
      <c t="s" s="6" r="U1580">
        <v>11078</v>
      </c>
      <c s="6" r="V1580">
        <v>1</v>
      </c>
      <c s="6" r="W1580">
        <v>1</v>
      </c>
      <c s="6" r="X1580">
        <v>0</v>
      </c>
      <c s="6" r="Y1580">
        <v>0</v>
      </c>
      <c s="6" r="Z1580">
        <v>0</v>
      </c>
      <c s="6" r="AA1580">
        <v>2</v>
      </c>
      <c s="6" r="AB1580">
        <v>2</v>
      </c>
      <c t="s" s="6" r="AC1580">
        <v>92</v>
      </c>
      <c t="s" s="6" r="AD1580">
        <v>92</v>
      </c>
      <c t="s" s="6" r="AE1580">
        <v>92</v>
      </c>
      <c t="s" s="6" r="AF1580">
        <v>92</v>
      </c>
      <c t="s" s="6" r="AG1580">
        <v>92</v>
      </c>
      <c t="s" s="6" r="AH1580">
        <v>92</v>
      </c>
      <c t="s" s="6" r="AI1580">
        <v>92</v>
      </c>
      <c s="6" r="AJ1580">
        <v>2</v>
      </c>
      <c t="s" s="6" r="AK1580">
        <v>92</v>
      </c>
      <c t="s" s="6" r="AL1580">
        <v>92</v>
      </c>
      <c t="s" s="6" r="AM1580">
        <v>92</v>
      </c>
      <c t="s" s="6" r="AN1580">
        <v>92</v>
      </c>
      <c s="6" r="AP1580">
        <v>2</v>
      </c>
      <c s="6" r="AS1580">
        <v>0</v>
      </c>
      <c s="6" r="AT1580">
        <v>0</v>
      </c>
      <c s="6" r="AU1580">
        <v>0</v>
      </c>
      <c s="6" r="AV1580">
        <v>0</v>
      </c>
      <c s="6" r="AW1580">
        <v>0</v>
      </c>
      <c s="6" r="AX1580">
        <v>0</v>
      </c>
      <c s="6" r="AY1580">
        <v>0</v>
      </c>
      <c s="6" r="AZ1580">
        <v>0</v>
      </c>
      <c s="6" r="BA1580">
        <v>0</v>
      </c>
      <c s="6" r="BB1580">
        <v>0</v>
      </c>
      <c s="6" r="BC1580">
        <v>0</v>
      </c>
      <c s="6" r="BD1580">
        <v>0</v>
      </c>
      <c s="6" r="BE1580">
        <v>0</v>
      </c>
      <c s="6" r="BF1580">
        <v>0</v>
      </c>
      <c s="6" r="BG1580">
        <v>0</v>
      </c>
      <c s="6" r="BH1580">
        <v>0</v>
      </c>
      <c s="6" r="BI1580">
        <v>0</v>
      </c>
      <c s="6" r="BJ1580">
        <v>0</v>
      </c>
      <c s="6" r="BK1580">
        <v>0</v>
      </c>
      <c s="6" r="BL1580">
        <v>0</v>
      </c>
      <c s="6" r="BM1580">
        <v>0</v>
      </c>
      <c s="6" r="BN1580">
        <v>0</v>
      </c>
      <c s="6" r="BO1580">
        <v>0</v>
      </c>
      <c s="6" r="BP1580">
        <v>0</v>
      </c>
      <c s="6" r="BQ1580">
        <v>0</v>
      </c>
      <c t="s" s="6" r="BR1580">
        <v>92</v>
      </c>
      <c s="6" r="BS1580">
        <v>1608</v>
      </c>
      <c t="s" s="6" r="BT1580">
        <v>92</v>
      </c>
      <c s="6" r="BY1580">
        <v>0</v>
      </c>
    </row>
    <row customHeight="1" r="1581" ht="14.25">
      <c t="s" s="6" r="A1581">
        <v>11079</v>
      </c>
      <c t="s" s="6" r="B1581">
        <v>131</v>
      </c>
      <c t="s" s="6" r="E1581">
        <v>4015</v>
      </c>
      <c t="s" s="6" r="F1581">
        <v>81</v>
      </c>
      <c t="s" s="6" r="G1581">
        <v>119</v>
      </c>
      <c s="6" r="H1581">
        <v>0</v>
      </c>
      <c t="s" s="6" r="I1581">
        <v>120</v>
      </c>
      <c t="s" s="6" r="L1581">
        <v>9287</v>
      </c>
      <c t="s" s="6" r="M1581">
        <v>711</v>
      </c>
      <c s="6" r="N1581">
        <v>1</v>
      </c>
      <c s="6" r="O1581">
        <v>0</v>
      </c>
      <c t="s" s="6" r="P1581">
        <v>421</v>
      </c>
      <c t="s" s="6" r="Q1581">
        <v>87</v>
      </c>
      <c t="s" s="6" r="R1581">
        <v>11080</v>
      </c>
      <c t="s" s="6" r="S1581">
        <v>11081</v>
      </c>
      <c t="s" s="6" r="T1581">
        <v>11068</v>
      </c>
      <c t="s" s="6" r="U1581">
        <v>11082</v>
      </c>
      <c s="6" r="V1581">
        <v>1</v>
      </c>
      <c s="6" r="W1581">
        <v>1</v>
      </c>
      <c s="6" r="X1581">
        <v>0</v>
      </c>
      <c s="6" r="Y1581">
        <v>0</v>
      </c>
      <c s="6" r="Z1581">
        <v>1</v>
      </c>
      <c t="s" s="6" r="AA1581">
        <v>92</v>
      </c>
      <c t="s" s="6" r="AB1581">
        <v>92</v>
      </c>
      <c t="s" s="6" r="AC1581">
        <v>92</v>
      </c>
      <c s="6" r="AD1581">
        <v>3</v>
      </c>
      <c s="6" r="AE1581">
        <v>2</v>
      </c>
      <c t="s" s="6" r="AF1581">
        <v>92</v>
      </c>
      <c t="s" s="6" r="AG1581">
        <v>92</v>
      </c>
      <c t="s" s="6" r="AH1581">
        <v>92</v>
      </c>
      <c t="s" s="6" r="AI1581">
        <v>92</v>
      </c>
      <c t="s" s="6" r="AJ1581">
        <v>92</v>
      </c>
      <c t="s" s="6" r="AK1581">
        <v>92</v>
      </c>
      <c t="s" s="6" r="AL1581">
        <v>92</v>
      </c>
      <c t="s" s="6" r="AM1581">
        <v>92</v>
      </c>
      <c t="s" s="6" r="AN1581">
        <v>92</v>
      </c>
      <c s="6" r="AP1581">
        <v>3</v>
      </c>
      <c s="6" r="AS1581">
        <v>0</v>
      </c>
      <c s="6" r="AT1581">
        <v>0</v>
      </c>
      <c s="6" r="AU1581">
        <v>0</v>
      </c>
      <c s="6" r="AV1581">
        <v>0</v>
      </c>
      <c s="6" r="AW1581">
        <v>0</v>
      </c>
      <c s="6" r="AX1581">
        <v>0</v>
      </c>
      <c s="6" r="AY1581">
        <v>0</v>
      </c>
      <c s="6" r="AZ1581">
        <v>0</v>
      </c>
      <c s="6" r="BA1581">
        <v>0</v>
      </c>
      <c s="6" r="BB1581">
        <v>0</v>
      </c>
      <c s="6" r="BC1581">
        <v>0</v>
      </c>
      <c s="6" r="BD1581">
        <v>0</v>
      </c>
      <c s="6" r="BE1581">
        <v>0</v>
      </c>
      <c s="6" r="BF1581">
        <v>0</v>
      </c>
      <c s="6" r="BG1581">
        <v>0</v>
      </c>
      <c s="6" r="BH1581">
        <v>0</v>
      </c>
      <c s="6" r="BI1581">
        <v>0</v>
      </c>
      <c s="6" r="BJ1581">
        <v>0</v>
      </c>
      <c s="6" r="BK1581">
        <v>0</v>
      </c>
      <c s="6" r="BL1581">
        <v>0</v>
      </c>
      <c s="6" r="BM1581">
        <v>0</v>
      </c>
      <c s="6" r="BN1581">
        <v>0</v>
      </c>
      <c s="6" r="BO1581">
        <v>0</v>
      </c>
      <c s="6" r="BP1581">
        <v>0</v>
      </c>
      <c s="6" r="BQ1581">
        <v>0</v>
      </c>
      <c t="s" s="6" r="BR1581">
        <v>92</v>
      </c>
      <c s="6" r="BS1581">
        <v>1609</v>
      </c>
      <c t="s" s="6" r="BT1581">
        <v>92</v>
      </c>
      <c s="6" r="BY1581">
        <v>0</v>
      </c>
    </row>
    <row customHeight="1" r="1582" ht="14.25">
      <c t="s" s="6" r="A1582">
        <v>11083</v>
      </c>
      <c t="s" s="6" r="B1582">
        <v>131</v>
      </c>
      <c t="s" s="6" r="E1582">
        <v>4295</v>
      </c>
      <c t="s" s="6" r="F1582">
        <v>5881</v>
      </c>
      <c t="s" s="6" r="G1582">
        <v>106</v>
      </c>
      <c s="6" r="H1582">
        <v>0</v>
      </c>
      <c t="s" s="6" r="I1582">
        <v>107</v>
      </c>
      <c t="s" s="6" r="L1582">
        <v>9287</v>
      </c>
      <c t="s" s="6" r="M1582">
        <v>272</v>
      </c>
      <c s="6" r="N1582">
        <v>0</v>
      </c>
      <c s="6" r="O1582">
        <v>0</v>
      </c>
      <c t="s" s="6" r="P1582">
        <v>86</v>
      </c>
      <c t="s" s="6" r="Q1582">
        <v>87</v>
      </c>
      <c t="s" s="6" r="R1582">
        <v>11084</v>
      </c>
      <c t="s" s="6" r="S1582">
        <v>11085</v>
      </c>
      <c t="s" s="6" r="T1582">
        <v>11068</v>
      </c>
      <c t="s" s="6" r="U1582">
        <v>11086</v>
      </c>
      <c s="6" r="V1582">
        <v>1</v>
      </c>
      <c s="6" r="W1582">
        <v>1</v>
      </c>
      <c s="6" r="X1582">
        <v>0</v>
      </c>
      <c s="6" r="Y1582">
        <v>0</v>
      </c>
      <c s="6" r="Z1582">
        <v>0</v>
      </c>
      <c t="s" s="6" r="AA1582">
        <v>92</v>
      </c>
      <c t="s" s="6" r="AB1582">
        <v>92</v>
      </c>
      <c t="s" s="6" r="AC1582">
        <v>92</v>
      </c>
      <c s="6" r="AD1582">
        <v>2</v>
      </c>
      <c s="6" r="AE1582">
        <v>2</v>
      </c>
      <c t="s" s="6" r="AF1582">
        <v>92</v>
      </c>
      <c t="s" s="6" r="AG1582">
        <v>92</v>
      </c>
      <c t="s" s="6" r="AH1582">
        <v>92</v>
      </c>
      <c t="s" s="6" r="AI1582">
        <v>92</v>
      </c>
      <c t="s" s="6" r="AJ1582">
        <v>92</v>
      </c>
      <c t="s" s="6" r="AK1582">
        <v>92</v>
      </c>
      <c t="s" s="6" r="AL1582">
        <v>92</v>
      </c>
      <c t="s" s="6" r="AM1582">
        <v>92</v>
      </c>
      <c t="s" s="6" r="AN1582">
        <v>92</v>
      </c>
      <c s="6" r="AP1582">
        <v>2</v>
      </c>
      <c s="6" r="AS1582">
        <v>0</v>
      </c>
      <c s="6" r="AT1582">
        <v>0</v>
      </c>
      <c s="6" r="AU1582">
        <v>0</v>
      </c>
      <c s="6" r="AV1582">
        <v>0</v>
      </c>
      <c s="6" r="AW1582">
        <v>0</v>
      </c>
      <c s="6" r="AX1582">
        <v>0</v>
      </c>
      <c s="6" r="AY1582">
        <v>0</v>
      </c>
      <c s="6" r="AZ1582">
        <v>0</v>
      </c>
      <c s="6" r="BA1582">
        <v>0</v>
      </c>
      <c s="6" r="BB1582">
        <v>0</v>
      </c>
      <c s="6" r="BC1582">
        <v>0</v>
      </c>
      <c s="6" r="BD1582">
        <v>0</v>
      </c>
      <c s="6" r="BE1582">
        <v>0</v>
      </c>
      <c s="6" r="BF1582">
        <v>0</v>
      </c>
      <c s="6" r="BG1582">
        <v>0</v>
      </c>
      <c s="6" r="BH1582">
        <v>0</v>
      </c>
      <c s="6" r="BI1582">
        <v>0</v>
      </c>
      <c s="6" r="BJ1582">
        <v>0</v>
      </c>
      <c s="6" r="BK1582">
        <v>0</v>
      </c>
      <c s="6" r="BL1582">
        <v>0</v>
      </c>
      <c s="6" r="BM1582">
        <v>0</v>
      </c>
      <c s="6" r="BN1582">
        <v>0</v>
      </c>
      <c s="6" r="BO1582">
        <v>0</v>
      </c>
      <c s="6" r="BP1582">
        <v>0</v>
      </c>
      <c s="6" r="BQ1582">
        <v>0</v>
      </c>
      <c t="s" s="6" r="BR1582">
        <v>92</v>
      </c>
      <c s="6" r="BS1582">
        <v>1610</v>
      </c>
      <c t="s" s="6" r="BT1582">
        <v>92</v>
      </c>
      <c s="6" r="BY1582">
        <v>0</v>
      </c>
    </row>
    <row customHeight="1" r="1583" ht="14.25">
      <c t="s" s="6" r="A1583">
        <v>11087</v>
      </c>
      <c t="s" s="6" r="B1583">
        <v>131</v>
      </c>
      <c t="s" s="6" r="C1583">
        <v>152</v>
      </c>
      <c t="s" s="6" r="E1583">
        <v>11088</v>
      </c>
      <c t="s" s="6" r="F1583">
        <v>81</v>
      </c>
      <c t="s" s="6" r="G1583">
        <v>119</v>
      </c>
      <c s="6" r="H1583">
        <v>0</v>
      </c>
      <c t="s" s="6" r="I1583">
        <v>120</v>
      </c>
      <c t="s" s="6" r="L1583">
        <v>11089</v>
      </c>
      <c t="s" s="6" r="M1583">
        <v>5954</v>
      </c>
      <c s="6" r="N1583">
        <v>1</v>
      </c>
      <c s="6" r="O1583">
        <v>0</v>
      </c>
      <c t="s" s="6" r="P1583">
        <v>421</v>
      </c>
      <c t="s" s="6" r="Q1583">
        <v>87</v>
      </c>
      <c t="s" s="6" r="R1583">
        <v>11090</v>
      </c>
      <c t="s" s="6" r="S1583">
        <v>11091</v>
      </c>
      <c t="s" s="6" r="T1583">
        <v>11068</v>
      </c>
      <c t="s" s="6" r="U1583">
        <v>11092</v>
      </c>
      <c s="6" r="V1583">
        <v>1</v>
      </c>
      <c s="6" r="W1583">
        <v>1</v>
      </c>
      <c s="6" r="X1583">
        <v>0</v>
      </c>
      <c s="6" r="Y1583">
        <v>0</v>
      </c>
      <c s="6" r="Z1583">
        <v>1</v>
      </c>
      <c t="s" s="6" r="AA1583">
        <v>92</v>
      </c>
      <c t="s" s="6" r="AB1583">
        <v>92</v>
      </c>
      <c t="s" s="6" r="AC1583">
        <v>92</v>
      </c>
      <c s="6" r="AD1583">
        <v>2</v>
      </c>
      <c s="6" r="AE1583">
        <v>2</v>
      </c>
      <c t="s" s="6" r="AF1583">
        <v>92</v>
      </c>
      <c s="6" r="AG1583">
        <v>2</v>
      </c>
      <c t="s" s="6" r="AH1583">
        <v>92</v>
      </c>
      <c t="s" s="6" r="AI1583">
        <v>92</v>
      </c>
      <c t="s" s="6" r="AJ1583">
        <v>92</v>
      </c>
      <c t="s" s="6" r="AK1583">
        <v>92</v>
      </c>
      <c t="s" s="6" r="AL1583">
        <v>92</v>
      </c>
      <c t="s" s="6" r="AM1583">
        <v>92</v>
      </c>
      <c t="s" s="6" r="AN1583">
        <v>92</v>
      </c>
      <c s="6" r="AP1583">
        <v>2</v>
      </c>
      <c s="6" r="AS1583">
        <v>0</v>
      </c>
      <c s="6" r="AT1583">
        <v>0</v>
      </c>
      <c s="6" r="AU1583">
        <v>0</v>
      </c>
      <c s="6" r="AV1583">
        <v>0</v>
      </c>
      <c s="6" r="AW1583">
        <v>0</v>
      </c>
      <c s="6" r="AX1583">
        <v>0</v>
      </c>
      <c s="6" r="AY1583">
        <v>0</v>
      </c>
      <c s="6" r="AZ1583">
        <v>0</v>
      </c>
      <c s="6" r="BA1583">
        <v>0</v>
      </c>
      <c s="6" r="BB1583">
        <v>0</v>
      </c>
      <c s="6" r="BC1583">
        <v>0</v>
      </c>
      <c s="6" r="BD1583">
        <v>0</v>
      </c>
      <c s="6" r="BE1583">
        <v>0</v>
      </c>
      <c s="6" r="BF1583">
        <v>0</v>
      </c>
      <c s="6" r="BG1583">
        <v>0</v>
      </c>
      <c s="6" r="BH1583">
        <v>0</v>
      </c>
      <c s="6" r="BI1583">
        <v>0</v>
      </c>
      <c s="6" r="BJ1583">
        <v>0</v>
      </c>
      <c s="6" r="BK1583">
        <v>0</v>
      </c>
      <c s="6" r="BL1583">
        <v>0</v>
      </c>
      <c s="6" r="BM1583">
        <v>0</v>
      </c>
      <c s="6" r="BN1583">
        <v>0</v>
      </c>
      <c s="6" r="BO1583">
        <v>0</v>
      </c>
      <c s="6" r="BP1583">
        <v>0</v>
      </c>
      <c s="6" r="BQ1583">
        <v>0</v>
      </c>
      <c t="s" s="6" r="BR1583">
        <v>92</v>
      </c>
      <c s="6" r="BS1583">
        <v>1611</v>
      </c>
      <c t="s" s="6" r="BT1583">
        <v>92</v>
      </c>
      <c s="6" r="BY1583">
        <v>0</v>
      </c>
    </row>
    <row customHeight="1" r="1584" ht="14.25">
      <c t="s" s="6" r="A1584">
        <v>11093</v>
      </c>
      <c t="s" s="6" r="B1584">
        <v>131</v>
      </c>
      <c t="s" s="6" r="E1584">
        <v>11094</v>
      </c>
      <c t="s" s="6" r="F1584">
        <v>81</v>
      </c>
      <c t="s" s="6" r="G1584">
        <v>119</v>
      </c>
      <c s="6" r="H1584">
        <v>0</v>
      </c>
      <c t="s" s="6" r="I1584">
        <v>120</v>
      </c>
      <c t="s" s="6" r="L1584">
        <v>11089</v>
      </c>
      <c t="s" s="6" r="M1584">
        <v>5954</v>
      </c>
      <c s="6" r="N1584">
        <v>1</v>
      </c>
      <c s="6" r="O1584">
        <v>0</v>
      </c>
      <c t="s" s="6" r="P1584">
        <v>421</v>
      </c>
      <c t="s" s="6" r="Q1584">
        <v>87</v>
      </c>
      <c t="s" s="6" r="R1584">
        <v>11095</v>
      </c>
      <c t="s" s="6" r="S1584">
        <v>11096</v>
      </c>
      <c t="s" s="6" r="T1584">
        <v>11068</v>
      </c>
      <c t="s" s="6" r="U1584">
        <v>11097</v>
      </c>
      <c s="6" r="V1584">
        <v>1</v>
      </c>
      <c s="6" r="W1584">
        <v>1</v>
      </c>
      <c s="6" r="X1584">
        <v>0</v>
      </c>
      <c s="6" r="Y1584">
        <v>0</v>
      </c>
      <c s="6" r="Z1584">
        <v>1</v>
      </c>
      <c t="s" s="6" r="AA1584">
        <v>92</v>
      </c>
      <c t="s" s="6" r="AB1584">
        <v>92</v>
      </c>
      <c t="s" s="6" r="AC1584">
        <v>92</v>
      </c>
      <c s="6" r="AD1584">
        <v>4</v>
      </c>
      <c s="6" r="AE1584">
        <v>4</v>
      </c>
      <c t="s" s="6" r="AF1584">
        <v>92</v>
      </c>
      <c s="6" r="AG1584">
        <v>4</v>
      </c>
      <c t="s" s="6" r="AH1584">
        <v>92</v>
      </c>
      <c t="s" s="6" r="AI1584">
        <v>92</v>
      </c>
      <c t="s" s="6" r="AJ1584">
        <v>92</v>
      </c>
      <c t="s" s="6" r="AK1584">
        <v>92</v>
      </c>
      <c t="s" s="6" r="AL1584">
        <v>92</v>
      </c>
      <c t="s" s="6" r="AM1584">
        <v>92</v>
      </c>
      <c t="s" s="6" r="AN1584">
        <v>92</v>
      </c>
      <c s="6" r="AP1584">
        <v>4</v>
      </c>
      <c s="6" r="AS1584">
        <v>0</v>
      </c>
      <c s="6" r="AT1584">
        <v>0</v>
      </c>
      <c s="6" r="AU1584">
        <v>0</v>
      </c>
      <c s="6" r="AV1584">
        <v>0</v>
      </c>
      <c s="6" r="AW1584">
        <v>0</v>
      </c>
      <c s="6" r="AX1584">
        <v>0</v>
      </c>
      <c s="6" r="AY1584">
        <v>0</v>
      </c>
      <c s="6" r="AZ1584">
        <v>0</v>
      </c>
      <c s="6" r="BA1584">
        <v>0</v>
      </c>
      <c s="6" r="BB1584">
        <v>0</v>
      </c>
      <c s="6" r="BC1584">
        <v>0</v>
      </c>
      <c s="6" r="BD1584">
        <v>0</v>
      </c>
      <c s="6" r="BE1584">
        <v>0</v>
      </c>
      <c s="6" r="BF1584">
        <v>0</v>
      </c>
      <c s="6" r="BG1584">
        <v>0</v>
      </c>
      <c s="6" r="BH1584">
        <v>0</v>
      </c>
      <c s="6" r="BI1584">
        <v>0</v>
      </c>
      <c s="6" r="BJ1584">
        <v>0</v>
      </c>
      <c s="6" r="BK1584">
        <v>0</v>
      </c>
      <c s="6" r="BL1584">
        <v>0</v>
      </c>
      <c s="6" r="BM1584">
        <v>0</v>
      </c>
      <c s="6" r="BN1584">
        <v>0</v>
      </c>
      <c s="6" r="BO1584">
        <v>0</v>
      </c>
      <c s="6" r="BP1584">
        <v>0</v>
      </c>
      <c s="6" r="BQ1584">
        <v>0</v>
      </c>
      <c t="s" s="6" r="BR1584">
        <v>92</v>
      </c>
      <c s="6" r="BS1584">
        <v>1612</v>
      </c>
      <c t="s" s="6" r="BT1584">
        <v>92</v>
      </c>
      <c s="6" r="BY1584">
        <v>0</v>
      </c>
    </row>
    <row customHeight="1" r="1585" ht="14.25">
      <c t="s" s="6" r="A1585">
        <v>11098</v>
      </c>
      <c t="s" s="6" r="B1585">
        <v>131</v>
      </c>
      <c t="s" s="6" r="C1585">
        <v>152</v>
      </c>
      <c t="s" s="6" r="E1585">
        <v>11099</v>
      </c>
      <c t="s" s="6" r="F1585">
        <v>81</v>
      </c>
      <c t="s" s="6" r="G1585">
        <v>154</v>
      </c>
      <c s="6" r="H1585">
        <v>0</v>
      </c>
      <c t="s" s="6" r="I1585">
        <v>155</v>
      </c>
      <c t="s" s="6" r="M1585">
        <v>711</v>
      </c>
      <c s="6" r="N1585">
        <v>1</v>
      </c>
      <c s="6" r="O1585">
        <v>0</v>
      </c>
      <c t="s" s="6" r="R1585">
        <v>11100</v>
      </c>
      <c t="s" s="6" r="S1585">
        <v>11101</v>
      </c>
      <c t="s" s="6" r="T1585">
        <v>11068</v>
      </c>
      <c t="s" s="6" r="U1585">
        <v>11102</v>
      </c>
      <c s="6" r="V1585">
        <v>1</v>
      </c>
      <c s="6" r="W1585">
        <v>1</v>
      </c>
      <c s="6" r="X1585">
        <v>1</v>
      </c>
      <c s="6" r="Y1585">
        <v>0</v>
      </c>
      <c s="6" r="Z1585">
        <v>0</v>
      </c>
      <c s="6" r="AA1585">
        <v>4</v>
      </c>
      <c s="6" r="AB1585">
        <v>4</v>
      </c>
      <c t="s" s="6" r="AC1585">
        <v>92</v>
      </c>
      <c t="s" s="6" r="AD1585">
        <v>92</v>
      </c>
      <c s="6" r="AE1585">
        <v>3</v>
      </c>
      <c t="s" s="6" r="AF1585">
        <v>92</v>
      </c>
      <c t="s" s="6" r="AG1585">
        <v>92</v>
      </c>
      <c t="s" s="6" r="AH1585">
        <v>92</v>
      </c>
      <c t="s" s="6" r="AI1585">
        <v>92</v>
      </c>
      <c s="6" r="AJ1585">
        <v>4</v>
      </c>
      <c t="s" s="6" r="AK1585">
        <v>92</v>
      </c>
      <c t="s" s="6" r="AL1585">
        <v>92</v>
      </c>
      <c t="s" s="6" r="AM1585">
        <v>92</v>
      </c>
      <c t="s" s="6" r="AN1585">
        <v>92</v>
      </c>
      <c s="6" r="AP1585">
        <v>3</v>
      </c>
      <c s="6" r="AS1585">
        <v>0</v>
      </c>
      <c s="6" r="AT1585">
        <v>0</v>
      </c>
      <c s="6" r="AU1585">
        <v>0</v>
      </c>
      <c s="6" r="AV1585">
        <v>0</v>
      </c>
      <c s="6" r="AW1585">
        <v>0</v>
      </c>
      <c s="6" r="AX1585">
        <v>0</v>
      </c>
      <c s="6" r="AY1585">
        <v>0</v>
      </c>
      <c s="6" r="AZ1585">
        <v>0</v>
      </c>
      <c s="6" r="BA1585">
        <v>0</v>
      </c>
      <c s="6" r="BB1585">
        <v>0</v>
      </c>
      <c s="6" r="BC1585">
        <v>0</v>
      </c>
      <c s="6" r="BD1585">
        <v>0</v>
      </c>
      <c s="6" r="BE1585">
        <v>0</v>
      </c>
      <c s="6" r="BF1585">
        <v>0</v>
      </c>
      <c s="6" r="BG1585">
        <v>0</v>
      </c>
      <c s="6" r="BH1585">
        <v>0</v>
      </c>
      <c s="6" r="BI1585">
        <v>0</v>
      </c>
      <c s="6" r="BJ1585">
        <v>0</v>
      </c>
      <c s="6" r="BK1585">
        <v>0</v>
      </c>
      <c s="6" r="BL1585">
        <v>0</v>
      </c>
      <c s="6" r="BM1585">
        <v>0</v>
      </c>
      <c s="6" r="BN1585">
        <v>0</v>
      </c>
      <c s="6" r="BO1585">
        <v>0</v>
      </c>
      <c s="6" r="BP1585">
        <v>0</v>
      </c>
      <c s="6" r="BQ1585">
        <v>0</v>
      </c>
      <c t="s" s="6" r="BR1585">
        <v>92</v>
      </c>
      <c s="6" r="BS1585">
        <v>1613</v>
      </c>
      <c t="s" s="6" r="BT1585">
        <v>92</v>
      </c>
      <c s="6" r="BY1585">
        <v>0</v>
      </c>
    </row>
    <row customHeight="1" r="1586" ht="14.25">
      <c t="s" s="6" r="A1586">
        <v>11103</v>
      </c>
      <c t="s" s="6" r="B1586">
        <v>162</v>
      </c>
      <c t="s" s="6" r="E1586">
        <v>11104</v>
      </c>
      <c t="s" s="6" r="F1586">
        <v>81</v>
      </c>
      <c t="s" s="6" r="G1586">
        <v>3915</v>
      </c>
      <c s="6" r="H1586">
        <v>1</v>
      </c>
      <c t="s" s="6" r="I1586">
        <v>107</v>
      </c>
      <c t="s" s="6" r="L1586">
        <v>11065</v>
      </c>
      <c t="s" s="6" r="M1586">
        <v>711</v>
      </c>
      <c s="6" r="N1586">
        <v>1</v>
      </c>
      <c s="6" r="O1586">
        <v>0</v>
      </c>
      <c t="s" s="6" r="P1586">
        <v>421</v>
      </c>
      <c t="s" s="6" r="Q1586">
        <v>123</v>
      </c>
      <c t="s" s="6" r="R1586">
        <v>11105</v>
      </c>
      <c t="s" s="6" r="S1586">
        <v>11106</v>
      </c>
      <c t="s" s="6" r="T1586">
        <v>11068</v>
      </c>
      <c t="s" s="6" r="U1586">
        <v>11107</v>
      </c>
      <c s="6" r="V1586">
        <v>1</v>
      </c>
      <c s="6" r="W1586">
        <v>1</v>
      </c>
      <c s="6" r="X1586">
        <v>0</v>
      </c>
      <c s="6" r="Y1586">
        <v>0</v>
      </c>
      <c s="6" r="Z1586">
        <v>0</v>
      </c>
      <c s="6" r="AA1586">
        <v>1</v>
      </c>
      <c s="6" r="AB1586">
        <v>1</v>
      </c>
      <c t="s" s="6" r="AC1586">
        <v>92</v>
      </c>
      <c s="6" r="AD1586">
        <v>1</v>
      </c>
      <c s="6" r="AE1586">
        <v>1</v>
      </c>
      <c t="s" s="6" r="AF1586">
        <v>92</v>
      </c>
      <c s="6" r="AG1586">
        <v>1</v>
      </c>
      <c t="s" s="6" r="AH1586">
        <v>92</v>
      </c>
      <c t="s" s="6" r="AI1586">
        <v>92</v>
      </c>
      <c s="6" r="AJ1586">
        <v>1</v>
      </c>
      <c t="s" s="6" r="AK1586">
        <v>92</v>
      </c>
      <c t="s" s="6" r="AL1586">
        <v>92</v>
      </c>
      <c s="6" r="AM1586">
        <v>1</v>
      </c>
      <c t="s" s="6" r="AN1586">
        <v>92</v>
      </c>
      <c s="6" r="AP1586">
        <v>1</v>
      </c>
      <c s="6" r="AS1586">
        <v>0</v>
      </c>
      <c s="6" r="AT1586">
        <v>0</v>
      </c>
      <c s="6" r="AU1586">
        <v>0</v>
      </c>
      <c s="6" r="AV1586">
        <v>0</v>
      </c>
      <c s="6" r="AW1586">
        <v>0</v>
      </c>
      <c s="6" r="AX1586">
        <v>0</v>
      </c>
      <c s="6" r="AY1586">
        <v>0</v>
      </c>
      <c s="6" r="AZ1586">
        <v>0</v>
      </c>
      <c s="6" r="BA1586">
        <v>0</v>
      </c>
      <c s="6" r="BB1586">
        <v>0</v>
      </c>
      <c s="6" r="BC1586">
        <v>0</v>
      </c>
      <c s="6" r="BD1586">
        <v>0</v>
      </c>
      <c s="6" r="BE1586">
        <v>0</v>
      </c>
      <c s="6" r="BF1586">
        <v>0</v>
      </c>
      <c s="6" r="BG1586">
        <v>0</v>
      </c>
      <c s="6" r="BH1586">
        <v>0</v>
      </c>
      <c s="6" r="BI1586">
        <v>0</v>
      </c>
      <c s="6" r="BJ1586">
        <v>0</v>
      </c>
      <c s="6" r="BK1586">
        <v>0</v>
      </c>
      <c s="6" r="BL1586">
        <v>0</v>
      </c>
      <c s="6" r="BM1586">
        <v>0</v>
      </c>
      <c s="6" r="BN1586">
        <v>0</v>
      </c>
      <c s="6" r="BO1586">
        <v>0</v>
      </c>
      <c s="6" r="BP1586">
        <v>0</v>
      </c>
      <c s="6" r="BQ1586">
        <v>0</v>
      </c>
      <c t="s" s="6" r="BR1586">
        <v>92</v>
      </c>
      <c s="6" r="BS1586">
        <v>1614</v>
      </c>
      <c s="6" r="BT1586">
        <v>50</v>
      </c>
      <c s="6" r="BY1586">
        <v>0</v>
      </c>
    </row>
    <row customHeight="1" r="1587" ht="14.25">
      <c t="s" s="6" r="A1587">
        <v>11108</v>
      </c>
      <c t="s" s="6" r="B1587">
        <v>131</v>
      </c>
      <c t="s" s="6" r="E1587">
        <v>2248</v>
      </c>
      <c t="s" s="6" r="F1587">
        <v>81</v>
      </c>
      <c t="s" s="6" r="G1587">
        <v>119</v>
      </c>
      <c s="6" r="H1587">
        <v>0</v>
      </c>
      <c t="s" s="6" r="I1587">
        <v>120</v>
      </c>
      <c t="s" s="6" r="L1587">
        <v>11089</v>
      </c>
      <c t="s" s="6" r="M1587">
        <v>5513</v>
      </c>
      <c s="6" r="N1587">
        <v>1</v>
      </c>
      <c s="6" r="O1587">
        <v>0</v>
      </c>
      <c t="s" s="6" r="P1587">
        <v>421</v>
      </c>
      <c t="s" s="6" r="Q1587">
        <v>87</v>
      </c>
      <c t="s" s="6" r="R1587">
        <v>11109</v>
      </c>
      <c t="s" s="6" r="S1587">
        <v>11110</v>
      </c>
      <c t="s" s="6" r="T1587">
        <v>11068</v>
      </c>
      <c t="s" s="6" r="U1587">
        <v>11111</v>
      </c>
      <c s="6" r="V1587">
        <v>1</v>
      </c>
      <c s="6" r="W1587">
        <v>1</v>
      </c>
      <c s="6" r="X1587">
        <v>0</v>
      </c>
      <c s="6" r="Y1587">
        <v>0</v>
      </c>
      <c s="6" r="Z1587">
        <v>1</v>
      </c>
      <c t="s" s="6" r="AA1587">
        <v>92</v>
      </c>
      <c t="s" s="6" r="AB1587">
        <v>92</v>
      </c>
      <c t="s" s="6" r="AC1587">
        <v>92</v>
      </c>
      <c t="s" s="6" r="AD1587">
        <v>92</v>
      </c>
      <c t="s" s="6" r="AE1587">
        <v>92</v>
      </c>
      <c t="s" s="6" r="AF1587">
        <v>92</v>
      </c>
      <c s="6" r="AG1587">
        <v>3</v>
      </c>
      <c t="s" s="6" r="AH1587">
        <v>92</v>
      </c>
      <c t="s" s="6" r="AI1587">
        <v>92</v>
      </c>
      <c t="s" s="6" r="AJ1587">
        <v>92</v>
      </c>
      <c t="s" s="6" r="AK1587">
        <v>92</v>
      </c>
      <c t="s" s="6" r="AL1587">
        <v>92</v>
      </c>
      <c t="s" s="6" r="AM1587">
        <v>92</v>
      </c>
      <c t="s" s="6" r="AN1587">
        <v>92</v>
      </c>
      <c s="6" r="AP1587">
        <v>3</v>
      </c>
      <c s="6" r="AS1587">
        <v>0</v>
      </c>
      <c s="6" r="AT1587">
        <v>0</v>
      </c>
      <c s="6" r="AU1587">
        <v>0</v>
      </c>
      <c s="6" r="AV1587">
        <v>0</v>
      </c>
      <c s="6" r="AW1587">
        <v>0</v>
      </c>
      <c s="6" r="AX1587">
        <v>0</v>
      </c>
      <c s="6" r="AY1587">
        <v>0</v>
      </c>
      <c s="6" r="AZ1587">
        <v>0</v>
      </c>
      <c s="6" r="BA1587">
        <v>0</v>
      </c>
      <c s="6" r="BB1587">
        <v>0</v>
      </c>
      <c s="6" r="BC1587">
        <v>0</v>
      </c>
      <c s="6" r="BD1587">
        <v>0</v>
      </c>
      <c s="6" r="BE1587">
        <v>0</v>
      </c>
      <c s="6" r="BF1587">
        <v>0</v>
      </c>
      <c s="6" r="BG1587">
        <v>0</v>
      </c>
      <c s="6" r="BH1587">
        <v>0</v>
      </c>
      <c s="6" r="BI1587">
        <v>0</v>
      </c>
      <c s="6" r="BJ1587">
        <v>0</v>
      </c>
      <c s="6" r="BK1587">
        <v>0</v>
      </c>
      <c s="6" r="BL1587">
        <v>0</v>
      </c>
      <c s="6" r="BM1587">
        <v>0</v>
      </c>
      <c s="6" r="BN1587">
        <v>0</v>
      </c>
      <c s="6" r="BO1587">
        <v>0</v>
      </c>
      <c s="6" r="BP1587">
        <v>0</v>
      </c>
      <c s="6" r="BQ1587">
        <v>0</v>
      </c>
      <c t="s" s="6" r="BR1587">
        <v>92</v>
      </c>
      <c s="6" r="BS1587">
        <v>1615</v>
      </c>
      <c t="s" s="6" r="BT1587">
        <v>92</v>
      </c>
      <c s="6" r="BY1587">
        <v>0</v>
      </c>
    </row>
    <row customHeight="1" r="1588" ht="14.25">
      <c t="s" s="6" r="A1588">
        <v>11112</v>
      </c>
      <c t="s" s="6" r="B1588">
        <v>493</v>
      </c>
      <c t="s" s="6" r="D1588">
        <v>6933</v>
      </c>
      <c t="s" s="6" r="E1588">
        <v>1904</v>
      </c>
      <c t="s" s="6" r="F1588">
        <v>81</v>
      </c>
      <c t="s" s="6" r="G1588">
        <v>106</v>
      </c>
      <c s="6" r="H1588">
        <v>0</v>
      </c>
      <c t="s" s="6" r="I1588">
        <v>1052</v>
      </c>
      <c t="s" s="6" r="J1588">
        <v>630</v>
      </c>
      <c t="s" s="6" r="M1588">
        <v>109</v>
      </c>
      <c s="6" r="N1588">
        <v>0</v>
      </c>
      <c s="6" r="O1588">
        <v>0</v>
      </c>
      <c t="s" s="6" r="P1588">
        <v>631</v>
      </c>
      <c t="s" s="6" r="Q1588">
        <v>87</v>
      </c>
      <c t="s" s="6" r="R1588">
        <v>11113</v>
      </c>
      <c t="s" s="6" r="S1588">
        <v>11114</v>
      </c>
      <c t="s" s="6" r="T1588">
        <v>11061</v>
      </c>
      <c t="s" s="6" r="U1588">
        <v>11115</v>
      </c>
      <c s="6" r="V1588">
        <v>1</v>
      </c>
      <c s="6" r="W1588">
        <v>1</v>
      </c>
      <c s="6" r="X1588">
        <v>0</v>
      </c>
      <c s="6" r="Y1588">
        <v>0</v>
      </c>
      <c s="6" r="Z1588">
        <v>0</v>
      </c>
      <c s="6" r="AA1588">
        <v>2</v>
      </c>
      <c s="6" r="AB1588">
        <v>2</v>
      </c>
      <c t="s" s="6" r="AC1588">
        <v>92</v>
      </c>
      <c s="6" r="AD1588">
        <v>2</v>
      </c>
      <c t="s" s="6" r="AE1588">
        <v>92</v>
      </c>
      <c t="s" s="6" r="AF1588">
        <v>92</v>
      </c>
      <c t="s" s="6" r="AG1588">
        <v>92</v>
      </c>
      <c t="s" s="6" r="AH1588">
        <v>92</v>
      </c>
      <c t="s" s="6" r="AI1588">
        <v>92</v>
      </c>
      <c s="6" r="AJ1588">
        <v>2</v>
      </c>
      <c t="s" s="6" r="AK1588">
        <v>92</v>
      </c>
      <c t="s" s="6" r="AL1588">
        <v>92</v>
      </c>
      <c t="s" s="6" r="AM1588">
        <v>92</v>
      </c>
      <c s="6" r="AN1588">
        <v>2</v>
      </c>
      <c s="6" r="AP1588">
        <v>2</v>
      </c>
      <c s="6" r="AS1588">
        <v>0</v>
      </c>
      <c s="6" r="AT1588">
        <v>0</v>
      </c>
      <c s="6" r="AU1588">
        <v>0</v>
      </c>
      <c s="6" r="AV1588">
        <v>1</v>
      </c>
      <c s="6" r="AW1588">
        <v>0</v>
      </c>
      <c s="6" r="AX1588">
        <v>0</v>
      </c>
      <c s="6" r="AY1588">
        <v>0</v>
      </c>
      <c s="6" r="AZ1588">
        <v>0</v>
      </c>
      <c s="6" r="BA1588">
        <v>0</v>
      </c>
      <c s="6" r="BB1588">
        <v>0</v>
      </c>
      <c s="6" r="BC1588">
        <v>0</v>
      </c>
      <c s="6" r="BD1588">
        <v>0</v>
      </c>
      <c s="6" r="BE1588">
        <v>0</v>
      </c>
      <c s="6" r="BF1588">
        <v>0</v>
      </c>
      <c s="6" r="BG1588">
        <v>0</v>
      </c>
      <c s="6" r="BH1588">
        <v>0</v>
      </c>
      <c s="6" r="BI1588">
        <v>0</v>
      </c>
      <c s="6" r="BJ1588">
        <v>0</v>
      </c>
      <c s="6" r="BK1588">
        <v>0</v>
      </c>
      <c s="6" r="BL1588">
        <v>0</v>
      </c>
      <c s="6" r="BM1588">
        <v>0</v>
      </c>
      <c s="6" r="BN1588">
        <v>0</v>
      </c>
      <c s="6" r="BO1588">
        <v>0</v>
      </c>
      <c s="6" r="BP1588">
        <v>0</v>
      </c>
      <c s="6" r="BQ1588">
        <v>1</v>
      </c>
      <c t="s" s="6" r="BR1588">
        <v>92</v>
      </c>
      <c s="6" r="BS1588">
        <v>1616</v>
      </c>
      <c t="s" s="6" r="BT1588">
        <v>92</v>
      </c>
      <c s="6" r="BY1588">
        <v>0</v>
      </c>
    </row>
    <row customHeight="1" r="1589" ht="14.25">
      <c t="s" s="6" r="A1589">
        <v>11116</v>
      </c>
      <c t="s" s="6" r="B1589">
        <v>78</v>
      </c>
      <c t="s" s="6" r="C1589">
        <v>79</v>
      </c>
      <c t="s" s="6" r="D1589">
        <v>6933</v>
      </c>
      <c t="s" s="6" r="E1589">
        <v>11117</v>
      </c>
      <c t="s" s="6" r="F1589">
        <v>81</v>
      </c>
      <c t="s" s="6" r="G1589">
        <v>106</v>
      </c>
      <c s="6" r="H1589">
        <v>0</v>
      </c>
      <c t="s" s="6" r="I1589">
        <v>107</v>
      </c>
      <c t="s" s="6" r="K1589">
        <v>11118</v>
      </c>
      <c t="s" s="6" r="M1589">
        <v>109</v>
      </c>
      <c s="6" r="N1589">
        <v>0</v>
      </c>
      <c s="6" r="O1589">
        <v>0</v>
      </c>
      <c t="s" s="6" r="P1589">
        <v>7597</v>
      </c>
      <c t="s" s="6" r="Q1589">
        <v>87</v>
      </c>
      <c t="s" s="6" r="R1589">
        <v>11119</v>
      </c>
      <c t="s" s="6" r="S1589">
        <v>11120</v>
      </c>
      <c t="s" s="6" r="T1589">
        <v>11061</v>
      </c>
      <c t="s" s="6" r="U1589">
        <v>11121</v>
      </c>
      <c s="6" r="V1589">
        <v>1</v>
      </c>
      <c s="6" r="W1589">
        <v>1</v>
      </c>
      <c s="6" r="X1589">
        <v>0</v>
      </c>
      <c s="6" r="Y1589">
        <v>0</v>
      </c>
      <c s="6" r="Z1589">
        <v>0</v>
      </c>
      <c s="6" r="AA1589">
        <v>1</v>
      </c>
      <c s="6" r="AB1589">
        <v>1</v>
      </c>
      <c t="s" s="6" r="AC1589">
        <v>92</v>
      </c>
      <c s="6" r="AD1589">
        <v>1</v>
      </c>
      <c t="s" s="6" r="AE1589">
        <v>92</v>
      </c>
      <c t="s" s="6" r="AF1589">
        <v>92</v>
      </c>
      <c t="s" s="6" r="AG1589">
        <v>92</v>
      </c>
      <c t="s" s="6" r="AH1589">
        <v>92</v>
      </c>
      <c s="6" r="AI1589">
        <v>1</v>
      </c>
      <c s="6" r="AJ1589">
        <v>1</v>
      </c>
      <c t="s" s="6" r="AK1589">
        <v>92</v>
      </c>
      <c t="s" s="6" r="AL1589">
        <v>92</v>
      </c>
      <c t="s" s="6" r="AM1589">
        <v>92</v>
      </c>
      <c s="6" r="AN1589">
        <v>1</v>
      </c>
      <c s="6" r="AP1589">
        <v>1</v>
      </c>
      <c s="6" r="AS1589">
        <v>0</v>
      </c>
      <c s="6" r="AT1589">
        <v>0</v>
      </c>
      <c s="6" r="AU1589">
        <v>0</v>
      </c>
      <c s="6" r="AV1589">
        <v>1</v>
      </c>
      <c s="6" r="AW1589">
        <v>0</v>
      </c>
      <c s="6" r="AX1589">
        <v>0</v>
      </c>
      <c s="6" r="AY1589">
        <v>0</v>
      </c>
      <c s="6" r="AZ1589">
        <v>0</v>
      </c>
      <c s="6" r="BA1589">
        <v>0</v>
      </c>
      <c s="6" r="BB1589">
        <v>0</v>
      </c>
      <c s="6" r="BC1589">
        <v>0</v>
      </c>
      <c s="6" r="BD1589">
        <v>0</v>
      </c>
      <c s="6" r="BE1589">
        <v>0</v>
      </c>
      <c s="6" r="BF1589">
        <v>0</v>
      </c>
      <c s="6" r="BG1589">
        <v>0</v>
      </c>
      <c s="6" r="BH1589">
        <v>0</v>
      </c>
      <c s="6" r="BI1589">
        <v>0</v>
      </c>
      <c s="6" r="BJ1589">
        <v>0</v>
      </c>
      <c s="6" r="BK1589">
        <v>0</v>
      </c>
      <c s="6" r="BL1589">
        <v>0</v>
      </c>
      <c s="6" r="BM1589">
        <v>0</v>
      </c>
      <c s="6" r="BN1589">
        <v>0</v>
      </c>
      <c s="6" r="BO1589">
        <v>0</v>
      </c>
      <c s="6" r="BP1589">
        <v>0</v>
      </c>
      <c s="6" r="BQ1589">
        <v>1</v>
      </c>
      <c t="s" s="6" r="BR1589">
        <v>92</v>
      </c>
      <c s="6" r="BS1589">
        <v>1617</v>
      </c>
      <c t="s" s="6" r="BT1589">
        <v>92</v>
      </c>
      <c s="6" r="BY1589">
        <v>0</v>
      </c>
    </row>
    <row customHeight="1" r="1590" ht="14.25">
      <c t="s" s="6" r="A1590">
        <v>11122</v>
      </c>
      <c t="s" s="6" r="B1590">
        <v>78</v>
      </c>
      <c t="s" s="6" r="D1590">
        <v>47</v>
      </c>
      <c t="s" s="6" r="E1590">
        <v>7163</v>
      </c>
      <c t="s" s="6" r="F1590">
        <v>81</v>
      </c>
      <c t="s" s="6" r="G1590">
        <v>11123</v>
      </c>
      <c s="6" r="H1590">
        <v>0</v>
      </c>
      <c t="s" s="6" r="I1590">
        <v>107</v>
      </c>
      <c t="s" s="6" r="K1590">
        <v>11124</v>
      </c>
      <c t="s" s="6" r="M1590">
        <v>109</v>
      </c>
      <c s="6" r="N1590">
        <v>0</v>
      </c>
      <c s="6" r="O1590">
        <v>0</v>
      </c>
      <c t="s" s="6" r="P1590">
        <v>11125</v>
      </c>
      <c t="s" s="6" r="Q1590">
        <v>87</v>
      </c>
      <c t="s" s="6" r="R1590">
        <v>11126</v>
      </c>
      <c t="s" s="6" r="S1590">
        <v>11127</v>
      </c>
      <c t="s" s="6" r="T1590">
        <v>11061</v>
      </c>
      <c t="s" s="6" r="U1590">
        <v>11128</v>
      </c>
      <c s="6" r="V1590">
        <v>1</v>
      </c>
      <c s="6" r="W1590">
        <v>1</v>
      </c>
      <c s="6" r="X1590">
        <v>1</v>
      </c>
      <c s="6" r="Y1590">
        <v>0</v>
      </c>
      <c s="6" r="Z1590">
        <v>0</v>
      </c>
      <c s="6" r="AA1590">
        <v>3</v>
      </c>
      <c s="6" r="AB1590">
        <v>3</v>
      </c>
      <c t="s" s="6" r="AC1590">
        <v>92</v>
      </c>
      <c s="6" r="AD1590">
        <v>3</v>
      </c>
      <c t="s" s="6" r="AE1590">
        <v>92</v>
      </c>
      <c t="s" s="6" r="AF1590">
        <v>92</v>
      </c>
      <c t="s" s="6" r="AG1590">
        <v>92</v>
      </c>
      <c t="s" s="6" r="AH1590">
        <v>92</v>
      </c>
      <c t="s" s="6" r="AI1590">
        <v>92</v>
      </c>
      <c s="6" r="AJ1590">
        <v>3</v>
      </c>
      <c t="s" s="6" r="AK1590">
        <v>92</v>
      </c>
      <c t="s" s="6" r="AL1590">
        <v>92</v>
      </c>
      <c t="s" s="6" r="AM1590">
        <v>92</v>
      </c>
      <c t="s" s="6" r="AN1590">
        <v>92</v>
      </c>
      <c s="6" r="AP1590">
        <v>3</v>
      </c>
      <c s="6" r="AS1590">
        <v>0</v>
      </c>
      <c s="6" r="AT1590">
        <v>0</v>
      </c>
      <c s="6" r="AU1590">
        <v>0</v>
      </c>
      <c s="6" r="AV1590">
        <v>1</v>
      </c>
      <c s="6" r="AW1590">
        <v>0</v>
      </c>
      <c s="6" r="AX1590">
        <v>0</v>
      </c>
      <c s="6" r="AY1590">
        <v>0</v>
      </c>
      <c s="6" r="AZ1590">
        <v>0</v>
      </c>
      <c s="6" r="BA1590">
        <v>0</v>
      </c>
      <c s="6" r="BB1590">
        <v>0</v>
      </c>
      <c s="6" r="BC1590">
        <v>0</v>
      </c>
      <c s="6" r="BD1590">
        <v>0</v>
      </c>
      <c s="6" r="BE1590">
        <v>0</v>
      </c>
      <c s="6" r="BF1590">
        <v>0</v>
      </c>
      <c s="6" r="BG1590">
        <v>0</v>
      </c>
      <c s="6" r="BH1590">
        <v>0</v>
      </c>
      <c s="6" r="BI1590">
        <v>0</v>
      </c>
      <c s="6" r="BJ1590">
        <v>0</v>
      </c>
      <c s="6" r="BK1590">
        <v>0</v>
      </c>
      <c s="6" r="BL1590">
        <v>0</v>
      </c>
      <c s="6" r="BM1590">
        <v>0</v>
      </c>
      <c s="6" r="BN1590">
        <v>0</v>
      </c>
      <c s="6" r="BO1590">
        <v>0</v>
      </c>
      <c s="6" r="BP1590">
        <v>0</v>
      </c>
      <c s="6" r="BQ1590">
        <v>0</v>
      </c>
      <c t="s" s="6" r="BR1590">
        <v>92</v>
      </c>
      <c s="6" r="BS1590">
        <v>1618</v>
      </c>
      <c t="s" s="6" r="BT1590">
        <v>92</v>
      </c>
      <c s="6" r="BY1590">
        <v>0</v>
      </c>
    </row>
    <row customHeight="1" r="1591" ht="14.25">
      <c t="s" s="6" r="A1591">
        <v>11129</v>
      </c>
      <c t="s" s="6" r="B1591">
        <v>78</v>
      </c>
      <c t="s" s="6" r="C1591">
        <v>598</v>
      </c>
      <c t="s" s="6" r="E1591">
        <v>11130</v>
      </c>
      <c t="s" s="6" r="F1591">
        <v>197</v>
      </c>
      <c t="s" s="6" r="G1591">
        <v>119</v>
      </c>
      <c s="6" r="H1591">
        <v>0</v>
      </c>
      <c t="s" s="6" r="I1591">
        <v>11131</v>
      </c>
      <c t="s" s="6" r="L1591">
        <v>11132</v>
      </c>
      <c t="s" s="6" r="M1591">
        <v>11133</v>
      </c>
      <c s="6" r="N1591">
        <v>0</v>
      </c>
      <c s="6" r="O1591">
        <v>0</v>
      </c>
      <c t="s" s="6" r="P1591">
        <v>11134</v>
      </c>
      <c t="s" s="6" r="Q1591">
        <v>123</v>
      </c>
      <c t="s" s="6" r="R1591">
        <v>11135</v>
      </c>
      <c t="s" s="6" r="S1591">
        <v>11136</v>
      </c>
      <c t="s" s="6" r="T1591">
        <v>11137</v>
      </c>
      <c t="s" s="6" r="U1591">
        <v>11138</v>
      </c>
      <c s="6" r="V1591">
        <v>1</v>
      </c>
      <c s="6" r="W1591">
        <v>1</v>
      </c>
      <c s="6" r="X1591">
        <v>0</v>
      </c>
      <c s="6" r="Y1591">
        <v>0</v>
      </c>
      <c s="6" r="Z1591">
        <v>1</v>
      </c>
      <c t="s" s="6" r="AA1591">
        <v>92</v>
      </c>
      <c t="s" s="6" r="AB1591">
        <v>92</v>
      </c>
      <c s="6" r="AC1591">
        <v>3</v>
      </c>
      <c t="s" s="6" r="AD1591">
        <v>92</v>
      </c>
      <c s="6" r="AE1591">
        <v>3</v>
      </c>
      <c t="s" s="6" r="AF1591">
        <v>92</v>
      </c>
      <c t="s" s="6" r="AG1591">
        <v>92</v>
      </c>
      <c t="s" s="6" r="AH1591">
        <v>92</v>
      </c>
      <c t="s" s="6" r="AI1591">
        <v>92</v>
      </c>
      <c t="s" s="6" r="AJ1591">
        <v>92</v>
      </c>
      <c t="s" s="6" r="AK1591">
        <v>92</v>
      </c>
      <c s="6" r="AL1591">
        <v>3</v>
      </c>
      <c t="s" s="6" r="AM1591">
        <v>92</v>
      </c>
      <c t="s" s="6" r="AN1591">
        <v>92</v>
      </c>
      <c t="s" s="6" r="AO1591">
        <v>11139</v>
      </c>
      <c s="6" r="AP1591">
        <v>3</v>
      </c>
      <c s="6" r="AS1591">
        <v>0</v>
      </c>
      <c s="6" r="AT1591">
        <v>0</v>
      </c>
      <c s="6" r="AU1591">
        <v>0</v>
      </c>
      <c s="6" r="AV1591">
        <v>0</v>
      </c>
      <c s="6" r="AW1591">
        <v>0</v>
      </c>
      <c s="6" r="AX1591">
        <v>0</v>
      </c>
      <c s="6" r="AY1591">
        <v>0</v>
      </c>
      <c s="6" r="AZ1591">
        <v>0</v>
      </c>
      <c s="6" r="BA1591">
        <v>0</v>
      </c>
      <c s="6" r="BB1591">
        <v>0</v>
      </c>
      <c s="6" r="BC1591">
        <v>0</v>
      </c>
      <c s="6" r="BD1591">
        <v>0</v>
      </c>
      <c s="6" r="BE1591">
        <v>0</v>
      </c>
      <c s="6" r="BF1591">
        <v>0</v>
      </c>
      <c s="6" r="BG1591">
        <v>0</v>
      </c>
      <c s="6" r="BH1591">
        <v>0</v>
      </c>
      <c s="6" r="BI1591">
        <v>0</v>
      </c>
      <c s="6" r="BJ1591">
        <v>0</v>
      </c>
      <c s="6" r="BK1591">
        <v>0</v>
      </c>
      <c s="6" r="BL1591">
        <v>0</v>
      </c>
      <c s="6" r="BM1591">
        <v>0</v>
      </c>
      <c s="6" r="BN1591">
        <v>0</v>
      </c>
      <c s="6" r="BO1591">
        <v>0</v>
      </c>
      <c s="6" r="BP1591">
        <v>0</v>
      </c>
      <c s="6" r="BQ1591">
        <v>0</v>
      </c>
      <c t="s" s="6" r="BR1591">
        <v>92</v>
      </c>
      <c s="6" r="BS1591">
        <v>1619</v>
      </c>
      <c t="s" s="6" r="BT1591">
        <v>92</v>
      </c>
      <c s="6" r="BY1591">
        <v>0</v>
      </c>
    </row>
    <row customHeight="1" r="1592" ht="14.25">
      <c t="s" s="6" r="A1592">
        <v>11140</v>
      </c>
      <c t="s" s="6" r="B1592">
        <v>131</v>
      </c>
      <c t="s" s="6" r="E1592">
        <v>11141</v>
      </c>
      <c t="s" s="6" r="F1592">
        <v>81</v>
      </c>
      <c t="s" s="6" r="G1592">
        <v>119</v>
      </c>
      <c s="6" r="H1592">
        <v>0</v>
      </c>
      <c t="s" s="6" r="I1592">
        <v>120</v>
      </c>
      <c t="s" s="6" r="L1592">
        <v>11142</v>
      </c>
      <c t="s" s="6" r="M1592">
        <v>5513</v>
      </c>
      <c s="6" r="N1592">
        <v>1</v>
      </c>
      <c s="6" r="O1592">
        <v>0</v>
      </c>
      <c t="s" s="6" r="P1592">
        <v>144</v>
      </c>
      <c t="s" s="6" r="Q1592">
        <v>145</v>
      </c>
      <c t="s" s="6" r="R1592">
        <v>11143</v>
      </c>
      <c t="s" s="6" r="S1592">
        <v>11144</v>
      </c>
      <c t="s" s="6" r="T1592">
        <v>11137</v>
      </c>
      <c t="s" s="6" r="U1592">
        <v>11145</v>
      </c>
      <c s="6" r="V1592">
        <v>1</v>
      </c>
      <c s="6" r="W1592">
        <v>1</v>
      </c>
      <c s="6" r="X1592">
        <v>0</v>
      </c>
      <c s="6" r="Y1592">
        <v>0</v>
      </c>
      <c s="6" r="Z1592">
        <v>1</v>
      </c>
      <c s="6" r="AA1592">
        <v>1</v>
      </c>
      <c s="6" r="AB1592">
        <v>1</v>
      </c>
      <c s="6" r="AC1592">
        <v>1</v>
      </c>
      <c t="s" s="6" r="AD1592">
        <v>92</v>
      </c>
      <c s="6" r="AE1592">
        <v>1</v>
      </c>
      <c t="s" s="6" r="AF1592">
        <v>92</v>
      </c>
      <c t="s" s="6" r="AG1592">
        <v>92</v>
      </c>
      <c t="s" s="6" r="AH1592">
        <v>92</v>
      </c>
      <c t="s" s="6" r="AI1592">
        <v>92</v>
      </c>
      <c t="s" s="6" r="AJ1592">
        <v>92</v>
      </c>
      <c s="6" r="AK1592">
        <v>1</v>
      </c>
      <c s="6" r="AL1592">
        <v>1</v>
      </c>
      <c t="s" s="6" r="AM1592">
        <v>92</v>
      </c>
      <c t="s" s="6" r="AN1592">
        <v>92</v>
      </c>
      <c t="s" s="6" r="AO1592">
        <v>11139</v>
      </c>
      <c s="6" r="AP1592">
        <v>1</v>
      </c>
      <c s="6" r="AS1592">
        <v>0</v>
      </c>
      <c s="6" r="AT1592">
        <v>0</v>
      </c>
      <c s="6" r="AU1592">
        <v>0</v>
      </c>
      <c s="6" r="AV1592">
        <v>0</v>
      </c>
      <c s="6" r="AW1592">
        <v>0</v>
      </c>
      <c s="6" r="AX1592">
        <v>0</v>
      </c>
      <c s="6" r="AY1592">
        <v>0</v>
      </c>
      <c s="6" r="AZ1592">
        <v>0</v>
      </c>
      <c s="6" r="BA1592">
        <v>0</v>
      </c>
      <c s="6" r="BB1592">
        <v>0</v>
      </c>
      <c s="6" r="BC1592">
        <v>0</v>
      </c>
      <c s="6" r="BD1592">
        <v>0</v>
      </c>
      <c s="6" r="BE1592">
        <v>0</v>
      </c>
      <c s="6" r="BF1592">
        <v>0</v>
      </c>
      <c s="6" r="BG1592">
        <v>0</v>
      </c>
      <c s="6" r="BH1592">
        <v>0</v>
      </c>
      <c s="6" r="BI1592">
        <v>0</v>
      </c>
      <c s="6" r="BJ1592">
        <v>0</v>
      </c>
      <c s="6" r="BK1592">
        <v>0</v>
      </c>
      <c s="6" r="BL1592">
        <v>0</v>
      </c>
      <c s="6" r="BM1592">
        <v>0</v>
      </c>
      <c s="6" r="BN1592">
        <v>0</v>
      </c>
      <c s="6" r="BO1592">
        <v>0</v>
      </c>
      <c s="6" r="BP1592">
        <v>0</v>
      </c>
      <c s="6" r="BQ1592">
        <v>0</v>
      </c>
      <c t="s" s="6" r="BR1592">
        <v>92</v>
      </c>
      <c s="6" r="BS1592">
        <v>1620</v>
      </c>
      <c t="s" s="6" r="BT1592">
        <v>92</v>
      </c>
      <c s="6" r="BY1592">
        <v>0</v>
      </c>
    </row>
    <row customHeight="1" r="1593" ht="14.25">
      <c t="s" s="6" r="A1593">
        <v>11146</v>
      </c>
      <c t="s" s="6" r="B1593">
        <v>78</v>
      </c>
      <c t="s" s="6" r="C1593">
        <v>79</v>
      </c>
      <c t="s" s="6" r="E1593">
        <v>11147</v>
      </c>
      <c t="s" s="6" r="F1593">
        <v>81</v>
      </c>
      <c t="s" s="6" r="G1593">
        <v>11148</v>
      </c>
      <c s="6" r="H1593">
        <v>0</v>
      </c>
      <c t="s" s="6" r="I1593">
        <v>97</v>
      </c>
      <c t="s" s="6" r="J1593">
        <v>141</v>
      </c>
      <c t="s" s="6" r="K1593">
        <v>11149</v>
      </c>
      <c t="s" s="6" r="M1593">
        <v>109</v>
      </c>
      <c s="6" r="N1593">
        <v>0</v>
      </c>
      <c s="6" r="O1593">
        <v>0</v>
      </c>
      <c t="s" s="6" r="P1593">
        <v>11150</v>
      </c>
      <c t="s" s="6" r="Q1593">
        <v>188</v>
      </c>
      <c t="s" s="6" r="R1593">
        <v>11151</v>
      </c>
      <c t="s" s="6" r="S1593">
        <v>11152</v>
      </c>
      <c t="s" s="6" r="T1593">
        <v>11153</v>
      </c>
      <c t="s" s="6" r="U1593">
        <v>11154</v>
      </c>
      <c s="6" r="V1593">
        <v>1</v>
      </c>
      <c s="6" r="W1593">
        <v>1</v>
      </c>
      <c s="6" r="X1593">
        <v>1</v>
      </c>
      <c s="6" r="Y1593">
        <v>0</v>
      </c>
      <c s="6" r="Z1593">
        <v>0</v>
      </c>
      <c s="6" r="AA1593">
        <v>4</v>
      </c>
      <c s="6" r="AB1593">
        <v>4</v>
      </c>
      <c t="s" s="6" r="AC1593">
        <v>92</v>
      </c>
      <c t="s" s="6" r="AD1593">
        <v>92</v>
      </c>
      <c t="s" s="6" r="AE1593">
        <v>92</v>
      </c>
      <c t="s" s="6" r="AF1593">
        <v>92</v>
      </c>
      <c t="s" s="6" r="AG1593">
        <v>92</v>
      </c>
      <c t="s" s="6" r="AH1593">
        <v>92</v>
      </c>
      <c t="s" s="6" r="AI1593">
        <v>92</v>
      </c>
      <c t="s" s="6" r="AJ1593">
        <v>92</v>
      </c>
      <c t="s" s="6" r="AK1593">
        <v>92</v>
      </c>
      <c t="s" s="6" r="AL1593">
        <v>92</v>
      </c>
      <c t="s" s="6" r="AM1593">
        <v>92</v>
      </c>
      <c s="6" r="AN1593">
        <v>5</v>
      </c>
      <c s="6" r="AP1593">
        <v>4</v>
      </c>
      <c s="6" r="AS1593">
        <v>0</v>
      </c>
      <c s="6" r="AT1593">
        <v>0</v>
      </c>
      <c s="6" r="AU1593">
        <v>0</v>
      </c>
      <c s="6" r="AV1593">
        <v>0</v>
      </c>
      <c s="6" r="AW1593">
        <v>0</v>
      </c>
      <c s="6" r="AX1593">
        <v>0</v>
      </c>
      <c s="6" r="AY1593">
        <v>0</v>
      </c>
      <c s="6" r="AZ1593">
        <v>0</v>
      </c>
      <c s="6" r="BA1593">
        <v>0</v>
      </c>
      <c s="6" r="BB1593">
        <v>0</v>
      </c>
      <c s="6" r="BC1593">
        <v>0</v>
      </c>
      <c s="6" r="BD1593">
        <v>0</v>
      </c>
      <c s="6" r="BE1593">
        <v>0</v>
      </c>
      <c s="6" r="BF1593">
        <v>0</v>
      </c>
      <c s="6" r="BG1593">
        <v>0</v>
      </c>
      <c s="6" r="BH1593">
        <v>0</v>
      </c>
      <c s="6" r="BI1593">
        <v>0</v>
      </c>
      <c s="6" r="BJ1593">
        <v>0</v>
      </c>
      <c s="6" r="BK1593">
        <v>0</v>
      </c>
      <c s="6" r="BL1593">
        <v>0</v>
      </c>
      <c s="6" r="BM1593">
        <v>0</v>
      </c>
      <c s="6" r="BN1593">
        <v>0</v>
      </c>
      <c s="6" r="BO1593">
        <v>0</v>
      </c>
      <c s="6" r="BP1593">
        <v>0</v>
      </c>
      <c s="6" r="BQ1593">
        <v>0</v>
      </c>
      <c t="s" s="6" r="BR1593">
        <v>92</v>
      </c>
      <c s="6" r="BS1593">
        <v>1621</v>
      </c>
      <c t="s" s="6" r="BT1593">
        <v>92</v>
      </c>
      <c s="6" r="BY1593">
        <v>0</v>
      </c>
    </row>
    <row customHeight="1" r="1594" ht="14.25">
      <c t="s" s="6" r="A1594">
        <v>11155</v>
      </c>
      <c t="s" s="6" r="B1594">
        <v>131</v>
      </c>
      <c t="s" s="6" r="E1594">
        <v>11156</v>
      </c>
      <c t="s" s="6" r="F1594">
        <v>81</v>
      </c>
      <c t="s" s="6" r="G1594">
        <v>11157</v>
      </c>
      <c s="6" r="H1594">
        <v>0</v>
      </c>
      <c t="s" s="6" r="I1594">
        <v>97</v>
      </c>
      <c t="s" s="6" r="K1594">
        <v>11158</v>
      </c>
      <c t="s" s="6" r="M1594">
        <v>711</v>
      </c>
      <c s="6" r="N1594">
        <v>1</v>
      </c>
      <c s="6" r="O1594">
        <v>0</v>
      </c>
      <c t="s" s="6" r="P1594">
        <v>86</v>
      </c>
      <c t="s" s="6" r="Q1594">
        <v>87</v>
      </c>
      <c t="s" s="6" r="R1594">
        <v>11159</v>
      </c>
      <c t="s" s="6" r="S1594">
        <v>11160</v>
      </c>
      <c t="s" s="6" r="T1594">
        <v>11153</v>
      </c>
      <c t="s" s="6" r="U1594">
        <v>11161</v>
      </c>
      <c s="6" r="V1594">
        <v>1</v>
      </c>
      <c s="6" r="W1594">
        <v>1</v>
      </c>
      <c s="6" r="X1594">
        <v>1</v>
      </c>
      <c s="6" r="Y1594">
        <v>0</v>
      </c>
      <c s="6" r="Z1594">
        <v>0</v>
      </c>
      <c s="6" r="AA1594">
        <v>4</v>
      </c>
      <c s="6" r="AB1594">
        <v>4</v>
      </c>
      <c t="s" s="6" r="AC1594">
        <v>92</v>
      </c>
      <c s="6" r="AD1594">
        <v>4</v>
      </c>
      <c s="6" r="AE1594">
        <v>3</v>
      </c>
      <c t="s" s="6" r="AF1594">
        <v>92</v>
      </c>
      <c t="s" s="6" r="AG1594">
        <v>92</v>
      </c>
      <c t="s" s="6" r="AH1594">
        <v>92</v>
      </c>
      <c t="s" s="6" r="AI1594">
        <v>92</v>
      </c>
      <c t="s" s="6" r="AJ1594">
        <v>92</v>
      </c>
      <c t="s" s="6" r="AK1594">
        <v>92</v>
      </c>
      <c t="s" s="6" r="AL1594">
        <v>92</v>
      </c>
      <c t="s" s="6" r="AM1594">
        <v>92</v>
      </c>
      <c t="s" s="6" r="AN1594">
        <v>92</v>
      </c>
      <c s="6" r="AP1594">
        <v>4</v>
      </c>
      <c s="6" r="AS1594">
        <v>0</v>
      </c>
      <c s="6" r="AT1594">
        <v>0</v>
      </c>
      <c s="6" r="AU1594">
        <v>0</v>
      </c>
      <c s="6" r="AV1594">
        <v>0</v>
      </c>
      <c s="6" r="AW1594">
        <v>0</v>
      </c>
      <c s="6" r="AX1594">
        <v>0</v>
      </c>
      <c s="6" r="AY1594">
        <v>0</v>
      </c>
      <c s="6" r="AZ1594">
        <v>0</v>
      </c>
      <c s="6" r="BA1594">
        <v>0</v>
      </c>
      <c s="6" r="BB1594">
        <v>0</v>
      </c>
      <c s="6" r="BC1594">
        <v>0</v>
      </c>
      <c s="6" r="BD1594">
        <v>0</v>
      </c>
      <c s="6" r="BE1594">
        <v>0</v>
      </c>
      <c s="6" r="BF1594">
        <v>0</v>
      </c>
      <c s="6" r="BG1594">
        <v>0</v>
      </c>
      <c s="6" r="BH1594">
        <v>0</v>
      </c>
      <c s="6" r="BI1594">
        <v>0</v>
      </c>
      <c s="6" r="BJ1594">
        <v>0</v>
      </c>
      <c s="6" r="BK1594">
        <v>0</v>
      </c>
      <c s="6" r="BL1594">
        <v>0</v>
      </c>
      <c s="6" r="BM1594">
        <v>0</v>
      </c>
      <c s="6" r="BN1594">
        <v>0</v>
      </c>
      <c s="6" r="BO1594">
        <v>0</v>
      </c>
      <c s="6" r="BP1594">
        <v>0</v>
      </c>
      <c s="6" r="BQ1594">
        <v>0</v>
      </c>
      <c t="s" s="6" r="BR1594">
        <v>92</v>
      </c>
      <c s="6" r="BS1594">
        <v>1622</v>
      </c>
      <c t="s" s="6" r="BT1594">
        <v>92</v>
      </c>
      <c s="6" r="BY1594">
        <v>0</v>
      </c>
    </row>
    <row customHeight="1" r="1595" ht="14.25">
      <c t="s" s="6" r="A1595">
        <v>11162</v>
      </c>
      <c t="s" s="6" r="B1595">
        <v>174</v>
      </c>
      <c t="s" s="6" r="E1595">
        <v>11163</v>
      </c>
      <c t="s" s="6" r="F1595">
        <v>81</v>
      </c>
      <c t="s" s="6" r="G1595">
        <v>106</v>
      </c>
      <c s="6" r="H1595">
        <v>0</v>
      </c>
      <c t="s" s="6" r="I1595">
        <v>120</v>
      </c>
      <c t="s" s="6" r="L1595">
        <v>11164</v>
      </c>
      <c t="s" s="6" r="M1595">
        <v>11165</v>
      </c>
      <c s="6" r="N1595">
        <v>1</v>
      </c>
      <c s="6" r="O1595">
        <v>0</v>
      </c>
      <c t="s" s="6" r="P1595">
        <v>86</v>
      </c>
      <c t="s" s="6" r="Q1595">
        <v>87</v>
      </c>
      <c t="s" s="6" r="R1595">
        <v>11166</v>
      </c>
      <c t="s" s="6" r="S1595">
        <v>11167</v>
      </c>
      <c t="s" s="6" r="T1595">
        <v>11153</v>
      </c>
      <c t="s" s="6" r="U1595">
        <v>11168</v>
      </c>
      <c s="6" r="V1595">
        <v>1</v>
      </c>
      <c s="6" r="W1595">
        <v>1</v>
      </c>
      <c s="6" r="X1595">
        <v>0</v>
      </c>
      <c s="6" r="Y1595">
        <v>0</v>
      </c>
      <c s="6" r="Z1595">
        <v>0</v>
      </c>
      <c s="6" r="AA1595">
        <v>2</v>
      </c>
      <c s="6" r="AB1595">
        <v>2</v>
      </c>
      <c t="s" s="6" r="AC1595">
        <v>92</v>
      </c>
      <c s="6" r="AD1595">
        <v>2</v>
      </c>
      <c t="s" s="6" r="AE1595">
        <v>92</v>
      </c>
      <c s="6" r="AF1595">
        <v>2</v>
      </c>
      <c t="s" s="6" r="AG1595">
        <v>92</v>
      </c>
      <c t="s" s="6" r="AH1595">
        <v>92</v>
      </c>
      <c t="s" s="6" r="AI1595">
        <v>92</v>
      </c>
      <c t="s" s="6" r="AJ1595">
        <v>92</v>
      </c>
      <c t="s" s="6" r="AK1595">
        <v>92</v>
      </c>
      <c t="s" s="6" r="AL1595">
        <v>92</v>
      </c>
      <c t="s" s="6" r="AM1595">
        <v>92</v>
      </c>
      <c t="s" s="6" r="AN1595">
        <v>92</v>
      </c>
      <c s="6" r="AP1595">
        <v>2</v>
      </c>
      <c s="6" r="AS1595">
        <v>0</v>
      </c>
      <c s="6" r="AT1595">
        <v>0</v>
      </c>
      <c s="6" r="AU1595">
        <v>0</v>
      </c>
      <c s="6" r="AV1595">
        <v>0</v>
      </c>
      <c s="6" r="AW1595">
        <v>0</v>
      </c>
      <c s="6" r="AX1595">
        <v>0</v>
      </c>
      <c s="6" r="AY1595">
        <v>0</v>
      </c>
      <c s="6" r="AZ1595">
        <v>0</v>
      </c>
      <c s="6" r="BA1595">
        <v>0</v>
      </c>
      <c s="6" r="BB1595">
        <v>0</v>
      </c>
      <c s="6" r="BC1595">
        <v>0</v>
      </c>
      <c s="6" r="BD1595">
        <v>0</v>
      </c>
      <c s="6" r="BE1595">
        <v>0</v>
      </c>
      <c s="6" r="BF1595">
        <v>0</v>
      </c>
      <c s="6" r="BG1595">
        <v>0</v>
      </c>
      <c s="6" r="BH1595">
        <v>0</v>
      </c>
      <c s="6" r="BI1595">
        <v>0</v>
      </c>
      <c s="6" r="BJ1595">
        <v>0</v>
      </c>
      <c s="6" r="BK1595">
        <v>0</v>
      </c>
      <c s="6" r="BL1595">
        <v>0</v>
      </c>
      <c s="6" r="BM1595">
        <v>0</v>
      </c>
      <c s="6" r="BN1595">
        <v>0</v>
      </c>
      <c s="6" r="BO1595">
        <v>0</v>
      </c>
      <c s="6" r="BP1595">
        <v>0</v>
      </c>
      <c s="6" r="BQ1595">
        <v>0</v>
      </c>
      <c t="s" s="6" r="BR1595">
        <v>92</v>
      </c>
      <c s="6" r="BS1595">
        <v>1623</v>
      </c>
      <c t="s" s="6" r="BT1595">
        <v>92</v>
      </c>
      <c s="6" r="BY1595">
        <v>0</v>
      </c>
    </row>
    <row customHeight="1" r="1596" ht="14.25">
      <c t="s" s="6" r="A1596">
        <v>11169</v>
      </c>
      <c t="s" s="6" r="B1596">
        <v>174</v>
      </c>
      <c t="s" s="6" r="E1596">
        <v>2426</v>
      </c>
      <c t="s" s="6" r="F1596">
        <v>81</v>
      </c>
      <c t="s" s="6" r="G1596">
        <v>11170</v>
      </c>
      <c s="6" r="H1596">
        <v>1</v>
      </c>
      <c t="s" s="6" r="I1596">
        <v>897</v>
      </c>
      <c t="s" s="6" r="J1596">
        <v>1195</v>
      </c>
      <c t="s" s="6" r="M1596">
        <v>11171</v>
      </c>
      <c s="6" r="N1596">
        <v>1</v>
      </c>
      <c s="6" r="O1596">
        <v>0</v>
      </c>
      <c t="s" s="6" r="P1596">
        <v>86</v>
      </c>
      <c t="s" s="6" r="Q1596">
        <v>87</v>
      </c>
      <c t="s" s="6" r="R1596">
        <v>11172</v>
      </c>
      <c t="s" s="6" r="S1596">
        <v>11173</v>
      </c>
      <c t="s" s="6" r="T1596">
        <v>11153</v>
      </c>
      <c t="s" s="6" r="U1596">
        <v>11174</v>
      </c>
      <c s="6" r="V1596">
        <v>1</v>
      </c>
      <c s="6" r="W1596">
        <v>1</v>
      </c>
      <c s="6" r="X1596">
        <v>0</v>
      </c>
      <c s="6" r="Y1596">
        <v>0</v>
      </c>
      <c s="6" r="Z1596">
        <v>0</v>
      </c>
      <c s="6" r="AA1596">
        <v>3</v>
      </c>
      <c s="6" r="AB1596">
        <v>3</v>
      </c>
      <c t="s" s="6" r="AC1596">
        <v>92</v>
      </c>
      <c t="s" s="6" r="AD1596">
        <v>92</v>
      </c>
      <c t="s" s="6" r="AE1596">
        <v>92</v>
      </c>
      <c s="6" r="AF1596">
        <v>3</v>
      </c>
      <c t="s" s="6" r="AG1596">
        <v>92</v>
      </c>
      <c t="s" s="6" r="AH1596">
        <v>92</v>
      </c>
      <c t="s" s="6" r="AI1596">
        <v>92</v>
      </c>
      <c t="s" s="6" r="AJ1596">
        <v>92</v>
      </c>
      <c t="s" s="6" r="AK1596">
        <v>92</v>
      </c>
      <c t="s" s="6" r="AL1596">
        <v>92</v>
      </c>
      <c t="s" s="6" r="AM1596">
        <v>92</v>
      </c>
      <c t="s" s="6" r="AN1596">
        <v>92</v>
      </c>
      <c s="6" r="AP1596">
        <v>3</v>
      </c>
      <c s="6" r="AS1596">
        <v>0</v>
      </c>
      <c s="6" r="AT1596">
        <v>0</v>
      </c>
      <c s="6" r="AU1596">
        <v>0</v>
      </c>
      <c s="6" r="AV1596">
        <v>0</v>
      </c>
      <c s="6" r="AW1596">
        <v>0</v>
      </c>
      <c s="6" r="AX1596">
        <v>0</v>
      </c>
      <c s="6" r="AY1596">
        <v>0</v>
      </c>
      <c s="6" r="AZ1596">
        <v>0</v>
      </c>
      <c s="6" r="BA1596">
        <v>0</v>
      </c>
      <c s="6" r="BB1596">
        <v>0</v>
      </c>
      <c s="6" r="BC1596">
        <v>0</v>
      </c>
      <c s="6" r="BD1596">
        <v>0</v>
      </c>
      <c s="6" r="BE1596">
        <v>0</v>
      </c>
      <c s="6" r="BF1596">
        <v>0</v>
      </c>
      <c s="6" r="BG1596">
        <v>0</v>
      </c>
      <c s="6" r="BH1596">
        <v>0</v>
      </c>
      <c s="6" r="BI1596">
        <v>0</v>
      </c>
      <c s="6" r="BJ1596">
        <v>0</v>
      </c>
      <c s="6" r="BK1596">
        <v>0</v>
      </c>
      <c s="6" r="BL1596">
        <v>0</v>
      </c>
      <c s="6" r="BM1596">
        <v>0</v>
      </c>
      <c s="6" r="BN1596">
        <v>0</v>
      </c>
      <c s="6" r="BO1596">
        <v>0</v>
      </c>
      <c s="6" r="BP1596">
        <v>0</v>
      </c>
      <c s="6" r="BQ1596">
        <v>0</v>
      </c>
      <c t="s" s="6" r="BR1596">
        <v>92</v>
      </c>
      <c s="6" r="BS1596">
        <v>1624</v>
      </c>
      <c s="6" r="BT1596">
        <v>100</v>
      </c>
      <c s="6" r="BY1596">
        <v>0</v>
      </c>
    </row>
    <row customHeight="1" r="1597" ht="14.25">
      <c t="s" s="6" r="A1597">
        <v>11175</v>
      </c>
      <c t="s" s="6" r="B1597">
        <v>227</v>
      </c>
      <c t="s" s="6" r="E1597">
        <v>11176</v>
      </c>
      <c t="s" s="6" r="F1597">
        <v>11177</v>
      </c>
      <c t="s" s="6" r="G1597">
        <v>11178</v>
      </c>
      <c s="6" r="H1597">
        <v>0</v>
      </c>
      <c t="s" s="6" r="I1597">
        <v>5115</v>
      </c>
      <c t="s" s="6" r="L1597">
        <v>11179</v>
      </c>
      <c t="s" s="6" r="M1597">
        <v>109</v>
      </c>
      <c s="6" r="N1597">
        <v>0</v>
      </c>
      <c s="6" r="O1597">
        <v>0</v>
      </c>
      <c t="s" s="6" r="P1597">
        <v>86</v>
      </c>
      <c t="s" s="6" r="Q1597">
        <v>87</v>
      </c>
      <c t="s" s="6" r="R1597">
        <v>11180</v>
      </c>
      <c t="s" s="6" r="S1597">
        <v>11181</v>
      </c>
      <c t="s" s="6" r="T1597">
        <v>11153</v>
      </c>
      <c t="s" s="6" r="U1597">
        <v>11182</v>
      </c>
      <c s="6" r="V1597">
        <v>1</v>
      </c>
      <c s="6" r="W1597">
        <v>1</v>
      </c>
      <c s="6" r="X1597">
        <v>1</v>
      </c>
      <c s="6" r="Y1597">
        <v>0</v>
      </c>
      <c s="6" r="Z1597">
        <v>1</v>
      </c>
      <c t="s" s="6" r="AA1597">
        <v>92</v>
      </c>
      <c t="s" s="6" r="AB1597">
        <v>92</v>
      </c>
      <c s="6" r="AC1597">
        <v>4</v>
      </c>
      <c t="s" s="6" r="AD1597">
        <v>92</v>
      </c>
      <c t="s" s="6" r="AE1597">
        <v>92</v>
      </c>
      <c t="s" s="6" r="AF1597">
        <v>92</v>
      </c>
      <c t="s" s="6" r="AG1597">
        <v>92</v>
      </c>
      <c t="s" s="6" r="AH1597">
        <v>92</v>
      </c>
      <c t="s" s="6" r="AI1597">
        <v>92</v>
      </c>
      <c s="6" r="AJ1597">
        <v>3</v>
      </c>
      <c t="s" s="6" r="AK1597">
        <v>92</v>
      </c>
      <c s="6" r="AL1597">
        <v>4</v>
      </c>
      <c t="s" s="6" r="AM1597">
        <v>92</v>
      </c>
      <c t="s" s="6" r="AN1597">
        <v>92</v>
      </c>
      <c s="6" r="AP1597">
        <v>4</v>
      </c>
      <c s="6" r="AS1597">
        <v>0</v>
      </c>
      <c s="6" r="AT1597">
        <v>0</v>
      </c>
      <c s="6" r="AU1597">
        <v>0</v>
      </c>
      <c s="6" r="AV1597">
        <v>0</v>
      </c>
      <c s="6" r="AW1597">
        <v>0</v>
      </c>
      <c s="6" r="AX1597">
        <v>0</v>
      </c>
      <c s="6" r="AY1597">
        <v>0</v>
      </c>
      <c s="6" r="AZ1597">
        <v>0</v>
      </c>
      <c s="6" r="BA1597">
        <v>0</v>
      </c>
      <c s="6" r="BB1597">
        <v>0</v>
      </c>
      <c s="6" r="BC1597">
        <v>0</v>
      </c>
      <c s="6" r="BD1597">
        <v>0</v>
      </c>
      <c s="6" r="BE1597">
        <v>0</v>
      </c>
      <c s="6" r="BF1597">
        <v>0</v>
      </c>
      <c s="6" r="BG1597">
        <v>0</v>
      </c>
      <c s="6" r="BH1597">
        <v>0</v>
      </c>
      <c s="6" r="BI1597">
        <v>0</v>
      </c>
      <c s="6" r="BJ1597">
        <v>0</v>
      </c>
      <c s="6" r="BK1597">
        <v>0</v>
      </c>
      <c s="6" r="BL1597">
        <v>0</v>
      </c>
      <c s="6" r="BM1597">
        <v>0</v>
      </c>
      <c s="6" r="BN1597">
        <v>0</v>
      </c>
      <c s="6" r="BO1597">
        <v>0</v>
      </c>
      <c s="6" r="BP1597">
        <v>0</v>
      </c>
      <c s="6" r="BQ1597">
        <v>0</v>
      </c>
      <c t="s" s="6" r="BR1597">
        <v>92</v>
      </c>
      <c s="6" r="BS1597">
        <v>1625</v>
      </c>
      <c t="s" s="6" r="BT1597">
        <v>92</v>
      </c>
      <c s="6" r="BY1597">
        <v>0</v>
      </c>
    </row>
    <row customHeight="1" r="1598" ht="14.25">
      <c t="s" s="6" r="A1598">
        <v>11183</v>
      </c>
      <c t="s" s="6" r="B1598">
        <v>227</v>
      </c>
      <c t="s" s="6" r="E1598">
        <v>11184</v>
      </c>
      <c t="s" s="6" r="F1598">
        <v>11185</v>
      </c>
      <c t="s" s="6" r="G1598">
        <v>11178</v>
      </c>
      <c s="6" r="H1598">
        <v>0</v>
      </c>
      <c t="s" s="6" r="I1598">
        <v>5115</v>
      </c>
      <c t="s" s="6" r="L1598">
        <v>11179</v>
      </c>
      <c t="s" s="6" r="M1598">
        <v>109</v>
      </c>
      <c s="6" r="N1598">
        <v>0</v>
      </c>
      <c s="6" r="O1598">
        <v>0</v>
      </c>
      <c t="s" s="6" r="P1598">
        <v>86</v>
      </c>
      <c t="s" s="6" r="Q1598">
        <v>87</v>
      </c>
      <c t="s" s="6" r="R1598">
        <v>11186</v>
      </c>
      <c t="s" s="6" r="S1598">
        <v>11187</v>
      </c>
      <c t="s" s="6" r="T1598">
        <v>11153</v>
      </c>
      <c t="s" s="6" r="U1598">
        <v>11188</v>
      </c>
      <c s="6" r="V1598">
        <v>1</v>
      </c>
      <c s="6" r="W1598">
        <v>1</v>
      </c>
      <c s="6" r="X1598">
        <v>1</v>
      </c>
      <c s="6" r="Y1598">
        <v>0</v>
      </c>
      <c s="6" r="Z1598">
        <v>1</v>
      </c>
      <c t="s" s="6" r="AA1598">
        <v>92</v>
      </c>
      <c t="s" s="6" r="AB1598">
        <v>92</v>
      </c>
      <c s="6" r="AC1598">
        <v>8</v>
      </c>
      <c t="s" s="6" r="AD1598">
        <v>92</v>
      </c>
      <c t="s" s="6" r="AE1598">
        <v>92</v>
      </c>
      <c t="s" s="6" r="AF1598">
        <v>92</v>
      </c>
      <c t="s" s="6" r="AG1598">
        <v>92</v>
      </c>
      <c t="s" s="6" r="AH1598">
        <v>92</v>
      </c>
      <c t="s" s="6" r="AI1598">
        <v>92</v>
      </c>
      <c s="6" r="AJ1598">
        <v>7</v>
      </c>
      <c t="s" s="6" r="AK1598">
        <v>92</v>
      </c>
      <c s="6" r="AL1598">
        <v>8</v>
      </c>
      <c t="s" s="6" r="AM1598">
        <v>92</v>
      </c>
      <c t="s" s="6" r="AN1598">
        <v>92</v>
      </c>
      <c s="6" r="AP1598">
        <v>8</v>
      </c>
      <c s="6" r="AS1598">
        <v>0</v>
      </c>
      <c s="6" r="AT1598">
        <v>0</v>
      </c>
      <c s="6" r="AU1598">
        <v>0</v>
      </c>
      <c s="6" r="AV1598">
        <v>0</v>
      </c>
      <c s="6" r="AW1598">
        <v>0</v>
      </c>
      <c s="6" r="AX1598">
        <v>0</v>
      </c>
      <c s="6" r="AY1598">
        <v>0</v>
      </c>
      <c s="6" r="AZ1598">
        <v>0</v>
      </c>
      <c s="6" r="BA1598">
        <v>0</v>
      </c>
      <c s="6" r="BB1598">
        <v>0</v>
      </c>
      <c s="6" r="BC1598">
        <v>0</v>
      </c>
      <c s="6" r="BD1598">
        <v>0</v>
      </c>
      <c s="6" r="BE1598">
        <v>0</v>
      </c>
      <c s="6" r="BF1598">
        <v>0</v>
      </c>
      <c s="6" r="BG1598">
        <v>0</v>
      </c>
      <c s="6" r="BH1598">
        <v>0</v>
      </c>
      <c s="6" r="BI1598">
        <v>0</v>
      </c>
      <c s="6" r="BJ1598">
        <v>0</v>
      </c>
      <c s="6" r="BK1598">
        <v>0</v>
      </c>
      <c s="6" r="BL1598">
        <v>0</v>
      </c>
      <c s="6" r="BM1598">
        <v>0</v>
      </c>
      <c s="6" r="BN1598">
        <v>0</v>
      </c>
      <c s="6" r="BO1598">
        <v>0</v>
      </c>
      <c s="6" r="BP1598">
        <v>0</v>
      </c>
      <c s="6" r="BQ1598">
        <v>0</v>
      </c>
      <c t="s" s="6" r="BR1598">
        <v>92</v>
      </c>
      <c s="6" r="BS1598">
        <v>1626</v>
      </c>
      <c t="s" s="6" r="BT1598">
        <v>92</v>
      </c>
      <c s="6" r="BY1598">
        <v>0</v>
      </c>
    </row>
    <row customHeight="1" r="1599" ht="14.25">
      <c t="s" s="6" r="A1599">
        <v>11189</v>
      </c>
      <c t="s" s="6" r="B1599">
        <v>227</v>
      </c>
      <c t="s" s="6" r="E1599">
        <v>1609</v>
      </c>
      <c t="s" s="6" r="F1599">
        <v>81</v>
      </c>
      <c t="s" s="6" r="G1599">
        <v>8982</v>
      </c>
      <c s="6" r="H1599">
        <v>0</v>
      </c>
      <c t="s" s="6" r="I1599">
        <v>107</v>
      </c>
      <c t="s" s="6" r="K1599">
        <v>8983</v>
      </c>
      <c t="s" s="6" r="M1599">
        <v>99</v>
      </c>
      <c s="6" r="N1599">
        <v>0</v>
      </c>
      <c s="6" r="O1599">
        <v>0</v>
      </c>
      <c t="s" s="6" r="P1599">
        <v>86</v>
      </c>
      <c t="s" s="6" r="Q1599">
        <v>188</v>
      </c>
      <c t="s" s="6" r="R1599">
        <v>11190</v>
      </c>
      <c t="s" s="6" r="S1599">
        <v>11191</v>
      </c>
      <c t="s" s="6" r="T1599">
        <v>8912</v>
      </c>
      <c t="s" s="6" r="U1599">
        <v>11192</v>
      </c>
      <c s="6" r="V1599">
        <v>1</v>
      </c>
      <c s="6" r="W1599">
        <v>1</v>
      </c>
      <c s="6" r="X1599">
        <v>1</v>
      </c>
      <c s="6" r="Y1599">
        <v>0</v>
      </c>
      <c s="6" r="Z1599">
        <v>0</v>
      </c>
      <c s="6" r="AA1599">
        <v>4</v>
      </c>
      <c s="6" r="AB1599">
        <v>4</v>
      </c>
      <c t="s" s="6" r="AC1599">
        <v>92</v>
      </c>
      <c t="s" s="6" r="AD1599">
        <v>92</v>
      </c>
      <c t="s" s="6" r="AE1599">
        <v>92</v>
      </c>
      <c t="s" s="6" r="AF1599">
        <v>92</v>
      </c>
      <c t="s" s="6" r="AG1599">
        <v>92</v>
      </c>
      <c t="s" s="6" r="AH1599">
        <v>92</v>
      </c>
      <c t="s" s="6" r="AI1599">
        <v>92</v>
      </c>
      <c s="6" r="AJ1599">
        <v>4</v>
      </c>
      <c t="s" s="6" r="AK1599">
        <v>92</v>
      </c>
      <c t="s" s="6" r="AL1599">
        <v>92</v>
      </c>
      <c t="s" s="6" r="AM1599">
        <v>92</v>
      </c>
      <c t="s" s="6" r="AN1599">
        <v>92</v>
      </c>
      <c s="6" r="AP1599">
        <v>4</v>
      </c>
      <c s="6" r="AS1599">
        <v>0</v>
      </c>
      <c s="6" r="AT1599">
        <v>0</v>
      </c>
      <c s="6" r="AU1599">
        <v>0</v>
      </c>
      <c s="6" r="AV1599">
        <v>0</v>
      </c>
      <c s="6" r="AW1599">
        <v>0</v>
      </c>
      <c s="6" r="AX1599">
        <v>0</v>
      </c>
      <c s="6" r="AY1599">
        <v>0</v>
      </c>
      <c s="6" r="AZ1599">
        <v>0</v>
      </c>
      <c s="6" r="BA1599">
        <v>0</v>
      </c>
      <c s="6" r="BB1599">
        <v>0</v>
      </c>
      <c s="6" r="BC1599">
        <v>0</v>
      </c>
      <c s="6" r="BD1599">
        <v>0</v>
      </c>
      <c s="6" r="BE1599">
        <v>0</v>
      </c>
      <c s="6" r="BF1599">
        <v>0</v>
      </c>
      <c s="6" r="BG1599">
        <v>0</v>
      </c>
      <c s="6" r="BH1599">
        <v>0</v>
      </c>
      <c s="6" r="BI1599">
        <v>0</v>
      </c>
      <c s="6" r="BJ1599">
        <v>0</v>
      </c>
      <c s="6" r="BK1599">
        <v>0</v>
      </c>
      <c s="6" r="BL1599">
        <v>0</v>
      </c>
      <c s="6" r="BM1599">
        <v>0</v>
      </c>
      <c s="6" r="BN1599">
        <v>0</v>
      </c>
      <c s="6" r="BO1599">
        <v>0</v>
      </c>
      <c s="6" r="BP1599">
        <v>0</v>
      </c>
      <c s="6" r="BQ1599">
        <v>0</v>
      </c>
      <c t="s" s="6" r="BR1599">
        <v>92</v>
      </c>
      <c s="6" r="BS1599">
        <v>1627</v>
      </c>
      <c t="s" s="6" r="BT1599">
        <v>92</v>
      </c>
      <c s="6" r="BY1599">
        <v>0</v>
      </c>
    </row>
    <row customHeight="1" r="1600" ht="14.25">
      <c t="s" s="6" r="A1600">
        <v>11193</v>
      </c>
      <c t="s" s="6" r="B1600">
        <v>227</v>
      </c>
      <c t="s" s="6" r="E1600">
        <v>11194</v>
      </c>
      <c t="s" s="6" r="F1600">
        <v>81</v>
      </c>
      <c t="s" s="6" r="G1600">
        <v>119</v>
      </c>
      <c s="6" r="H1600">
        <v>0</v>
      </c>
      <c t="s" s="6" r="I1600">
        <v>120</v>
      </c>
      <c t="s" s="6" r="L1600">
        <v>11195</v>
      </c>
      <c t="s" s="6" r="M1600">
        <v>11196</v>
      </c>
      <c s="6" r="N1600">
        <v>0</v>
      </c>
      <c s="6" r="O1600">
        <v>0</v>
      </c>
      <c t="s" s="6" r="P1600">
        <v>86</v>
      </c>
      <c t="s" s="6" r="Q1600">
        <v>87</v>
      </c>
      <c t="s" s="6" r="R1600">
        <v>11197</v>
      </c>
      <c t="s" s="6" r="S1600">
        <v>11198</v>
      </c>
      <c t="s" s="6" r="T1600">
        <v>5000</v>
      </c>
      <c t="s" s="6" r="U1600">
        <v>11199</v>
      </c>
      <c s="6" r="V1600">
        <v>1</v>
      </c>
      <c s="6" r="W1600">
        <v>1</v>
      </c>
      <c s="6" r="X1600">
        <v>0</v>
      </c>
      <c s="6" r="Y1600">
        <v>0</v>
      </c>
      <c s="6" r="Z1600">
        <v>1</v>
      </c>
      <c t="s" s="6" r="AA1600">
        <v>92</v>
      </c>
      <c t="s" s="6" r="AB1600">
        <v>92</v>
      </c>
      <c s="6" r="AC1600">
        <v>3</v>
      </c>
      <c t="s" s="6" r="AD1600">
        <v>92</v>
      </c>
      <c t="s" s="6" r="AE1600">
        <v>92</v>
      </c>
      <c t="s" s="6" r="AF1600">
        <v>92</v>
      </c>
      <c s="6" r="AG1600">
        <v>2</v>
      </c>
      <c t="s" s="6" r="AH1600">
        <v>92</v>
      </c>
      <c t="s" s="6" r="AI1600">
        <v>92</v>
      </c>
      <c t="s" s="6" r="AJ1600">
        <v>92</v>
      </c>
      <c t="s" s="6" r="AK1600">
        <v>92</v>
      </c>
      <c s="6" r="AL1600">
        <v>3</v>
      </c>
      <c t="s" s="6" r="AM1600">
        <v>92</v>
      </c>
      <c t="s" s="6" r="AN1600">
        <v>92</v>
      </c>
      <c t="s" s="6" r="AO1600">
        <v>11200</v>
      </c>
      <c s="6" r="AP1600">
        <v>3</v>
      </c>
      <c s="6" r="AS1600">
        <v>0</v>
      </c>
      <c s="6" r="AT1600">
        <v>0</v>
      </c>
      <c s="6" r="AU1600">
        <v>0</v>
      </c>
      <c s="6" r="AV1600">
        <v>0</v>
      </c>
      <c s="6" r="AW1600">
        <v>0</v>
      </c>
      <c s="6" r="AX1600">
        <v>0</v>
      </c>
      <c s="6" r="AY1600">
        <v>0</v>
      </c>
      <c s="6" r="AZ1600">
        <v>0</v>
      </c>
      <c s="6" r="BA1600">
        <v>0</v>
      </c>
      <c s="6" r="BB1600">
        <v>0</v>
      </c>
      <c s="6" r="BC1600">
        <v>0</v>
      </c>
      <c s="6" r="BD1600">
        <v>0</v>
      </c>
      <c s="6" r="BE1600">
        <v>0</v>
      </c>
      <c s="6" r="BF1600">
        <v>0</v>
      </c>
      <c s="6" r="BG1600">
        <v>0</v>
      </c>
      <c s="6" r="BH1600">
        <v>0</v>
      </c>
      <c s="6" r="BI1600">
        <v>0</v>
      </c>
      <c s="6" r="BJ1600">
        <v>0</v>
      </c>
      <c s="6" r="BK1600">
        <v>0</v>
      </c>
      <c s="6" r="BL1600">
        <v>0</v>
      </c>
      <c s="6" r="BM1600">
        <v>0</v>
      </c>
      <c s="6" r="BN1600">
        <v>0</v>
      </c>
      <c s="6" r="BO1600">
        <v>0</v>
      </c>
      <c s="6" r="BP1600">
        <v>0</v>
      </c>
      <c s="6" r="BQ1600">
        <v>0</v>
      </c>
      <c t="s" s="6" r="BR1600">
        <v>92</v>
      </c>
      <c s="6" r="BS1600">
        <v>1628</v>
      </c>
      <c t="s" s="6" r="BT1600">
        <v>92</v>
      </c>
      <c s="6" r="BY1600">
        <v>0</v>
      </c>
    </row>
    <row customHeight="1" r="1601" ht="14.25">
      <c t="s" s="6" r="A1601">
        <v>11201</v>
      </c>
      <c t="s" s="6" r="B1601">
        <v>162</v>
      </c>
      <c t="s" s="6" r="E1601">
        <v>11202</v>
      </c>
      <c t="s" s="6" r="F1601">
        <v>81</v>
      </c>
      <c t="s" s="6" r="G1601">
        <v>106</v>
      </c>
      <c s="6" r="H1601">
        <v>0</v>
      </c>
      <c t="s" s="6" r="I1601">
        <v>107</v>
      </c>
      <c t="s" s="6" r="J1601">
        <v>11203</v>
      </c>
      <c t="s" s="6" r="M1601">
        <v>5005</v>
      </c>
      <c s="6" r="N1601">
        <v>0</v>
      </c>
      <c s="6" r="O1601">
        <v>0</v>
      </c>
      <c t="s" s="6" r="P1601">
        <v>421</v>
      </c>
      <c t="s" s="6" r="Q1601">
        <v>123</v>
      </c>
      <c t="s" s="6" r="R1601">
        <v>11204</v>
      </c>
      <c t="s" s="6" r="S1601">
        <v>11205</v>
      </c>
      <c t="s" s="6" r="T1601">
        <v>5000</v>
      </c>
      <c t="s" s="6" r="U1601">
        <v>11206</v>
      </c>
      <c s="6" r="V1601">
        <v>1</v>
      </c>
      <c s="6" r="W1601">
        <v>1</v>
      </c>
      <c s="6" r="X1601">
        <v>0</v>
      </c>
      <c s="6" r="Y1601">
        <v>0</v>
      </c>
      <c s="6" r="Z1601">
        <v>0</v>
      </c>
      <c t="s" s="6" r="AA1601">
        <v>92</v>
      </c>
      <c t="s" s="6" r="AB1601">
        <v>92</v>
      </c>
      <c s="6" r="AC1601">
        <v>3</v>
      </c>
      <c t="s" s="6" r="AD1601">
        <v>92</v>
      </c>
      <c s="6" r="AE1601">
        <v>4</v>
      </c>
      <c t="s" s="6" r="AF1601">
        <v>92</v>
      </c>
      <c s="6" r="AG1601">
        <v>3</v>
      </c>
      <c t="s" s="6" r="AH1601">
        <v>92</v>
      </c>
      <c t="s" s="6" r="AI1601">
        <v>92</v>
      </c>
      <c t="s" s="6" r="AJ1601">
        <v>92</v>
      </c>
      <c t="s" s="6" r="AK1601">
        <v>92</v>
      </c>
      <c s="6" r="AL1601">
        <v>3</v>
      </c>
      <c t="s" s="6" r="AM1601">
        <v>92</v>
      </c>
      <c t="s" s="6" r="AN1601">
        <v>92</v>
      </c>
      <c t="s" s="6" r="AO1601">
        <v>7089</v>
      </c>
      <c s="6" r="AP1601">
        <v>3</v>
      </c>
      <c s="6" r="AS1601">
        <v>0</v>
      </c>
      <c s="6" r="AT1601">
        <v>0</v>
      </c>
      <c s="6" r="AU1601">
        <v>0</v>
      </c>
      <c s="6" r="AV1601">
        <v>0</v>
      </c>
      <c s="6" r="AW1601">
        <v>0</v>
      </c>
      <c s="6" r="AX1601">
        <v>0</v>
      </c>
      <c s="6" r="AY1601">
        <v>0</v>
      </c>
      <c s="6" r="AZ1601">
        <v>0</v>
      </c>
      <c s="6" r="BA1601">
        <v>0</v>
      </c>
      <c s="6" r="BB1601">
        <v>0</v>
      </c>
      <c s="6" r="BC1601">
        <v>0</v>
      </c>
      <c s="6" r="BD1601">
        <v>0</v>
      </c>
      <c s="6" r="BE1601">
        <v>0</v>
      </c>
      <c s="6" r="BF1601">
        <v>0</v>
      </c>
      <c s="6" r="BG1601">
        <v>0</v>
      </c>
      <c s="6" r="BH1601">
        <v>0</v>
      </c>
      <c s="6" r="BI1601">
        <v>0</v>
      </c>
      <c s="6" r="BJ1601">
        <v>0</v>
      </c>
      <c s="6" r="BK1601">
        <v>0</v>
      </c>
      <c s="6" r="BL1601">
        <v>0</v>
      </c>
      <c s="6" r="BM1601">
        <v>0</v>
      </c>
      <c s="6" r="BN1601">
        <v>0</v>
      </c>
      <c s="6" r="BO1601">
        <v>0</v>
      </c>
      <c s="6" r="BP1601">
        <v>0</v>
      </c>
      <c s="6" r="BQ1601">
        <v>0</v>
      </c>
      <c t="s" s="6" r="BR1601">
        <v>92</v>
      </c>
      <c s="6" r="BS1601">
        <v>1629</v>
      </c>
      <c t="s" s="6" r="BT1601">
        <v>92</v>
      </c>
      <c s="6" r="BY1601">
        <v>0</v>
      </c>
    </row>
    <row customHeight="1" r="1602" ht="14.25">
      <c t="s" s="6" r="A1602">
        <v>11207</v>
      </c>
      <c t="s" s="6" r="B1602">
        <v>78</v>
      </c>
      <c t="s" s="6" r="C1602">
        <v>598</v>
      </c>
      <c t="s" s="6" r="E1602">
        <v>11208</v>
      </c>
      <c t="s" s="6" r="F1602">
        <v>81</v>
      </c>
      <c t="s" s="6" r="G1602">
        <v>106</v>
      </c>
      <c s="6" r="H1602">
        <v>0</v>
      </c>
      <c t="s" s="6" r="I1602">
        <v>107</v>
      </c>
      <c t="s" s="6" r="L1602">
        <v>7051</v>
      </c>
      <c t="s" s="6" r="M1602">
        <v>109</v>
      </c>
      <c s="6" r="N1602">
        <v>0</v>
      </c>
      <c s="6" r="O1602">
        <v>0</v>
      </c>
      <c t="s" s="6" r="P1602">
        <v>421</v>
      </c>
      <c t="s" s="6" r="Q1602">
        <v>123</v>
      </c>
      <c t="s" s="6" r="R1602">
        <v>11209</v>
      </c>
      <c t="s" s="6" r="S1602">
        <v>11210</v>
      </c>
      <c t="s" s="6" r="T1602">
        <v>11211</v>
      </c>
      <c t="s" s="6" r="U1602">
        <v>11212</v>
      </c>
      <c s="6" r="V1602">
        <v>1</v>
      </c>
      <c s="6" r="W1602">
        <v>1</v>
      </c>
      <c s="6" r="X1602">
        <v>0</v>
      </c>
      <c s="6" r="Y1602">
        <v>0</v>
      </c>
      <c s="6" r="Z1602">
        <v>0</v>
      </c>
      <c t="s" s="6" r="AA1602">
        <v>92</v>
      </c>
      <c t="s" s="6" r="AB1602">
        <v>92</v>
      </c>
      <c s="6" r="AC1602">
        <v>2</v>
      </c>
      <c s="6" r="AD1602">
        <v>2</v>
      </c>
      <c s="6" r="AE1602">
        <v>3</v>
      </c>
      <c t="s" s="6" r="AF1602">
        <v>92</v>
      </c>
      <c s="6" r="AG1602">
        <v>2</v>
      </c>
      <c t="s" s="6" r="AH1602">
        <v>92</v>
      </c>
      <c t="s" s="6" r="AI1602">
        <v>92</v>
      </c>
      <c s="6" r="AJ1602">
        <v>2</v>
      </c>
      <c s="6" r="AK1602">
        <v>2</v>
      </c>
      <c s="6" r="AL1602">
        <v>2</v>
      </c>
      <c t="s" s="6" r="AM1602">
        <v>92</v>
      </c>
      <c t="s" s="6" r="AN1602">
        <v>92</v>
      </c>
      <c s="6" r="AP1602">
        <v>2</v>
      </c>
      <c s="6" r="AS1602">
        <v>0</v>
      </c>
      <c s="6" r="AT1602">
        <v>0</v>
      </c>
      <c s="6" r="AU1602">
        <v>0</v>
      </c>
      <c s="6" r="AV1602">
        <v>0</v>
      </c>
      <c s="6" r="AW1602">
        <v>0</v>
      </c>
      <c s="6" r="AX1602">
        <v>0</v>
      </c>
      <c s="6" r="AY1602">
        <v>0</v>
      </c>
      <c s="6" r="AZ1602">
        <v>0</v>
      </c>
      <c s="6" r="BA1602">
        <v>0</v>
      </c>
      <c s="6" r="BB1602">
        <v>0</v>
      </c>
      <c s="6" r="BC1602">
        <v>0</v>
      </c>
      <c s="6" r="BD1602">
        <v>0</v>
      </c>
      <c s="6" r="BE1602">
        <v>0</v>
      </c>
      <c s="6" r="BF1602">
        <v>0</v>
      </c>
      <c s="6" r="BG1602">
        <v>0</v>
      </c>
      <c s="6" r="BH1602">
        <v>0</v>
      </c>
      <c s="6" r="BI1602">
        <v>0</v>
      </c>
      <c s="6" r="BJ1602">
        <v>0</v>
      </c>
      <c s="6" r="BK1602">
        <v>0</v>
      </c>
      <c s="6" r="BL1602">
        <v>0</v>
      </c>
      <c s="6" r="BM1602">
        <v>0</v>
      </c>
      <c s="6" r="BN1602">
        <v>0</v>
      </c>
      <c s="6" r="BO1602">
        <v>0</v>
      </c>
      <c s="6" r="BP1602">
        <v>0</v>
      </c>
      <c s="6" r="BQ1602">
        <v>0</v>
      </c>
      <c t="s" s="6" r="BR1602">
        <v>92</v>
      </c>
      <c s="6" r="BS1602">
        <v>1630</v>
      </c>
      <c t="s" s="6" r="BT1602">
        <v>92</v>
      </c>
      <c s="6" r="BY1602">
        <v>0</v>
      </c>
    </row>
    <row customHeight="1" r="1603" ht="14.25">
      <c t="s" s="6" r="A1603">
        <v>11213</v>
      </c>
      <c t="s" s="6" r="B1603">
        <v>493</v>
      </c>
      <c t="s" s="6" r="D1603">
        <v>47</v>
      </c>
      <c t="s" s="6" r="E1603">
        <v>11214</v>
      </c>
      <c t="s" s="6" r="F1603">
        <v>81</v>
      </c>
      <c t="s" s="6" r="G1603">
        <v>119</v>
      </c>
      <c s="6" r="H1603">
        <v>0</v>
      </c>
      <c t="s" s="6" r="I1603">
        <v>11215</v>
      </c>
      <c t="s" s="6" r="L1603">
        <v>1235</v>
      </c>
      <c t="s" s="6" r="M1603">
        <v>109</v>
      </c>
      <c s="6" r="N1603">
        <v>0</v>
      </c>
      <c s="6" r="O1603">
        <v>0</v>
      </c>
      <c t="s" s="6" r="P1603">
        <v>86</v>
      </c>
      <c t="s" s="6" r="Q1603">
        <v>188</v>
      </c>
      <c t="s" s="6" r="R1603">
        <v>11216</v>
      </c>
      <c t="s" s="6" r="S1603">
        <v>11217</v>
      </c>
      <c t="s" s="6" r="T1603">
        <v>11218</v>
      </c>
      <c t="s" s="6" r="U1603">
        <v>11219</v>
      </c>
      <c s="6" r="V1603">
        <v>1</v>
      </c>
      <c s="6" r="W1603">
        <v>1</v>
      </c>
      <c s="6" r="X1603">
        <v>0</v>
      </c>
      <c s="6" r="Y1603">
        <v>0</v>
      </c>
      <c s="6" r="Z1603">
        <v>1</v>
      </c>
      <c t="s" s="6" r="AA1603">
        <v>92</v>
      </c>
      <c t="s" s="6" r="AB1603">
        <v>92</v>
      </c>
      <c s="6" r="AC1603">
        <v>3</v>
      </c>
      <c t="s" s="6" r="AD1603">
        <v>92</v>
      </c>
      <c s="6" r="AE1603">
        <v>3</v>
      </c>
      <c t="s" s="6" r="AF1603">
        <v>92</v>
      </c>
      <c t="s" s="6" r="AG1603">
        <v>92</v>
      </c>
      <c t="s" s="6" r="AH1603">
        <v>92</v>
      </c>
      <c t="s" s="6" r="AI1603">
        <v>92</v>
      </c>
      <c t="s" s="6" r="AJ1603">
        <v>92</v>
      </c>
      <c s="6" r="AK1603">
        <v>3</v>
      </c>
      <c t="s" s="6" r="AL1603">
        <v>92</v>
      </c>
      <c s="6" r="AM1603">
        <v>3</v>
      </c>
      <c t="s" s="6" r="AN1603">
        <v>92</v>
      </c>
      <c t="s" s="6" r="AO1603">
        <v>11220</v>
      </c>
      <c s="6" r="AP1603">
        <v>3</v>
      </c>
      <c s="6" r="AS1603">
        <v>0</v>
      </c>
      <c s="6" r="AT1603">
        <v>0</v>
      </c>
      <c s="6" r="AU1603">
        <v>0</v>
      </c>
      <c s="6" r="AV1603">
        <v>1</v>
      </c>
      <c s="6" r="AW1603">
        <v>0</v>
      </c>
      <c s="6" r="AX1603">
        <v>0</v>
      </c>
      <c s="6" r="AY1603">
        <v>0</v>
      </c>
      <c s="6" r="AZ1603">
        <v>0</v>
      </c>
      <c s="6" r="BA1603">
        <v>0</v>
      </c>
      <c s="6" r="BB1603">
        <v>0</v>
      </c>
      <c s="6" r="BC1603">
        <v>0</v>
      </c>
      <c s="6" r="BD1603">
        <v>0</v>
      </c>
      <c s="6" r="BE1603">
        <v>0</v>
      </c>
      <c s="6" r="BF1603">
        <v>0</v>
      </c>
      <c s="6" r="BG1603">
        <v>0</v>
      </c>
      <c s="6" r="BH1603">
        <v>0</v>
      </c>
      <c s="6" r="BI1603">
        <v>0</v>
      </c>
      <c s="6" r="BJ1603">
        <v>0</v>
      </c>
      <c s="6" r="BK1603">
        <v>0</v>
      </c>
      <c s="6" r="BL1603">
        <v>0</v>
      </c>
      <c s="6" r="BM1603">
        <v>0</v>
      </c>
      <c s="6" r="BN1603">
        <v>0</v>
      </c>
      <c s="6" r="BO1603">
        <v>0</v>
      </c>
      <c s="6" r="BP1603">
        <v>0</v>
      </c>
      <c s="6" r="BQ1603">
        <v>0</v>
      </c>
      <c t="s" s="6" r="BR1603">
        <v>92</v>
      </c>
      <c s="6" r="BS1603">
        <v>1631</v>
      </c>
      <c t="s" s="6" r="BT1603">
        <v>92</v>
      </c>
      <c s="6" r="BY1603">
        <v>0</v>
      </c>
    </row>
    <row customHeight="1" r="1604" ht="14.25">
      <c t="s" s="6" r="A1604">
        <v>11221</v>
      </c>
      <c t="s" s="6" r="B1604">
        <v>78</v>
      </c>
      <c t="s" s="6" r="C1604">
        <v>598</v>
      </c>
      <c t="s" s="6" r="D1604">
        <v>59</v>
      </c>
      <c t="s" s="6" r="E1604">
        <v>11222</v>
      </c>
      <c t="s" s="6" r="F1604">
        <v>81</v>
      </c>
      <c t="s" s="6" r="G1604">
        <v>11223</v>
      </c>
      <c s="6" r="H1604">
        <v>0</v>
      </c>
      <c t="s" s="6" r="I1604">
        <v>120</v>
      </c>
      <c t="s" s="6" r="L1604">
        <v>420</v>
      </c>
      <c t="s" s="6" r="M1604">
        <v>109</v>
      </c>
      <c s="6" r="N1604">
        <v>0</v>
      </c>
      <c s="6" r="O1604">
        <v>0</v>
      </c>
      <c t="s" s="6" r="P1604">
        <v>1227</v>
      </c>
      <c t="s" s="6" r="Q1604">
        <v>123</v>
      </c>
      <c t="s" s="6" r="R1604">
        <v>11224</v>
      </c>
      <c t="s" s="6" r="S1604">
        <v>11225</v>
      </c>
      <c t="s" s="6" r="T1604">
        <v>11226</v>
      </c>
      <c t="s" s="6" r="U1604">
        <v>11227</v>
      </c>
      <c s="6" r="V1604">
        <v>1</v>
      </c>
      <c s="6" r="W1604">
        <v>1</v>
      </c>
      <c s="6" r="X1604">
        <v>1</v>
      </c>
      <c s="6" r="Y1604">
        <v>0</v>
      </c>
      <c s="6" r="Z1604">
        <v>1</v>
      </c>
      <c t="s" s="6" r="AA1604">
        <v>92</v>
      </c>
      <c t="s" s="6" r="AB1604">
        <v>92</v>
      </c>
      <c s="6" r="AC1604">
        <v>3</v>
      </c>
      <c s="6" r="AD1604">
        <v>3</v>
      </c>
      <c t="s" s="6" r="AE1604">
        <v>92</v>
      </c>
      <c s="6" r="AF1604">
        <v>3</v>
      </c>
      <c s="6" r="AG1604">
        <v>3</v>
      </c>
      <c t="s" s="6" r="AH1604">
        <v>92</v>
      </c>
      <c t="s" s="6" r="AI1604">
        <v>92</v>
      </c>
      <c s="6" r="AJ1604">
        <v>3</v>
      </c>
      <c t="s" s="6" r="AK1604">
        <v>92</v>
      </c>
      <c s="6" r="AL1604">
        <v>3</v>
      </c>
      <c t="s" s="6" r="AM1604">
        <v>92</v>
      </c>
      <c t="s" s="6" r="AN1604">
        <v>92</v>
      </c>
      <c s="6" r="AP1604">
        <v>3</v>
      </c>
      <c s="6" r="AS1604">
        <v>0</v>
      </c>
      <c s="6" r="AT1604">
        <v>0</v>
      </c>
      <c s="6" r="AU1604">
        <v>0</v>
      </c>
      <c s="6" r="AV1604">
        <v>0</v>
      </c>
      <c s="6" r="AW1604">
        <v>0</v>
      </c>
      <c s="6" r="AX1604">
        <v>0</v>
      </c>
      <c s="6" r="AY1604">
        <v>0</v>
      </c>
      <c s="6" r="AZ1604">
        <v>0</v>
      </c>
      <c s="6" r="BA1604">
        <v>0</v>
      </c>
      <c s="6" r="BB1604">
        <v>0</v>
      </c>
      <c s="6" r="BC1604">
        <v>0</v>
      </c>
      <c s="6" r="BD1604">
        <v>0</v>
      </c>
      <c s="6" r="BE1604">
        <v>0</v>
      </c>
      <c s="6" r="BF1604">
        <v>0</v>
      </c>
      <c s="6" r="BG1604">
        <v>0</v>
      </c>
      <c s="6" r="BH1604">
        <v>1</v>
      </c>
      <c s="6" r="BI1604">
        <v>0</v>
      </c>
      <c s="6" r="BJ1604">
        <v>0</v>
      </c>
      <c s="6" r="BK1604">
        <v>0</v>
      </c>
      <c s="6" r="BL1604">
        <v>0</v>
      </c>
      <c s="6" r="BM1604">
        <v>0</v>
      </c>
      <c s="6" r="BN1604">
        <v>0</v>
      </c>
      <c s="6" r="BO1604">
        <v>0</v>
      </c>
      <c s="6" r="BP1604">
        <v>0</v>
      </c>
      <c s="6" r="BQ1604">
        <v>0</v>
      </c>
      <c t="s" s="6" r="BR1604">
        <v>92</v>
      </c>
      <c s="6" r="BS1604">
        <v>1632</v>
      </c>
      <c t="s" s="6" r="BT1604">
        <v>92</v>
      </c>
      <c s="6" r="BY1604">
        <v>0</v>
      </c>
    </row>
    <row customHeight="1" r="1605" ht="14.25">
      <c t="s" s="6" r="A1605">
        <v>11228</v>
      </c>
      <c t="s" s="6" r="B1605">
        <v>131</v>
      </c>
      <c t="s" s="6" r="D1605">
        <v>59</v>
      </c>
      <c t="s" s="6" r="E1605">
        <v>11229</v>
      </c>
      <c t="s" s="6" r="F1605">
        <v>81</v>
      </c>
      <c t="s" s="6" r="G1605">
        <v>106</v>
      </c>
      <c s="6" r="H1605">
        <v>0</v>
      </c>
      <c t="s" s="6" r="I1605">
        <v>155</v>
      </c>
      <c t="s" s="6" r="L1605">
        <v>156</v>
      </c>
      <c t="s" s="6" r="M1605">
        <v>5513</v>
      </c>
      <c s="6" r="N1605">
        <v>1</v>
      </c>
      <c s="6" r="O1605">
        <v>0</v>
      </c>
      <c t="s" s="6" r="P1605">
        <v>86</v>
      </c>
      <c t="s" s="6" r="Q1605">
        <v>87</v>
      </c>
      <c t="s" s="6" r="R1605">
        <v>11230</v>
      </c>
      <c t="s" s="6" r="S1605">
        <v>11231</v>
      </c>
      <c t="s" s="6" r="T1605">
        <v>11226</v>
      </c>
      <c t="s" s="6" r="U1605">
        <v>11232</v>
      </c>
      <c s="6" r="V1605">
        <v>1</v>
      </c>
      <c s="6" r="W1605">
        <v>1</v>
      </c>
      <c s="6" r="X1605">
        <v>0</v>
      </c>
      <c s="6" r="Y1605">
        <v>0</v>
      </c>
      <c s="6" r="Z1605">
        <v>0</v>
      </c>
      <c s="6" r="AA1605">
        <v>2</v>
      </c>
      <c s="6" r="AB1605">
        <v>2</v>
      </c>
      <c s="6" r="AC1605">
        <v>2</v>
      </c>
      <c t="s" s="6" r="AD1605">
        <v>92</v>
      </c>
      <c t="s" s="6" r="AE1605">
        <v>92</v>
      </c>
      <c t="s" s="6" r="AF1605">
        <v>92</v>
      </c>
      <c s="6" r="AG1605">
        <v>2</v>
      </c>
      <c t="s" s="6" r="AH1605">
        <v>92</v>
      </c>
      <c t="s" s="6" r="AI1605">
        <v>92</v>
      </c>
      <c t="s" s="6" r="AJ1605">
        <v>92</v>
      </c>
      <c t="s" s="6" r="AK1605">
        <v>92</v>
      </c>
      <c s="6" r="AL1605">
        <v>2</v>
      </c>
      <c t="s" s="6" r="AM1605">
        <v>92</v>
      </c>
      <c t="s" s="6" r="AN1605">
        <v>92</v>
      </c>
      <c s="6" r="AP1605">
        <v>2</v>
      </c>
      <c s="6" r="AS1605">
        <v>0</v>
      </c>
      <c s="6" r="AT1605">
        <v>0</v>
      </c>
      <c s="6" r="AU1605">
        <v>0</v>
      </c>
      <c s="6" r="AV1605">
        <v>0</v>
      </c>
      <c s="6" r="AW1605">
        <v>0</v>
      </c>
      <c s="6" r="AX1605">
        <v>0</v>
      </c>
      <c s="6" r="AY1605">
        <v>0</v>
      </c>
      <c s="6" r="AZ1605">
        <v>0</v>
      </c>
      <c s="6" r="BA1605">
        <v>0</v>
      </c>
      <c s="6" r="BB1605">
        <v>0</v>
      </c>
      <c s="6" r="BC1605">
        <v>0</v>
      </c>
      <c s="6" r="BD1605">
        <v>0</v>
      </c>
      <c s="6" r="BE1605">
        <v>0</v>
      </c>
      <c s="6" r="BF1605">
        <v>0</v>
      </c>
      <c s="6" r="BG1605">
        <v>0</v>
      </c>
      <c s="6" r="BH1605">
        <v>1</v>
      </c>
      <c s="6" r="BI1605">
        <v>0</v>
      </c>
      <c s="6" r="BJ1605">
        <v>0</v>
      </c>
      <c s="6" r="BK1605">
        <v>0</v>
      </c>
      <c s="6" r="BL1605">
        <v>0</v>
      </c>
      <c s="6" r="BM1605">
        <v>0</v>
      </c>
      <c s="6" r="BN1605">
        <v>0</v>
      </c>
      <c s="6" r="BO1605">
        <v>0</v>
      </c>
      <c s="6" r="BP1605">
        <v>0</v>
      </c>
      <c s="6" r="BQ1605">
        <v>0</v>
      </c>
      <c t="s" s="6" r="BR1605">
        <v>92</v>
      </c>
      <c s="6" r="BS1605">
        <v>1633</v>
      </c>
      <c t="s" s="6" r="BT1605">
        <v>92</v>
      </c>
      <c s="6" r="BY1605">
        <v>0</v>
      </c>
    </row>
    <row customHeight="1" r="1606" ht="14.25">
      <c t="s" s="6" r="A1606">
        <v>11233</v>
      </c>
      <c t="s" s="6" r="B1606">
        <v>131</v>
      </c>
      <c t="s" s="6" r="D1606">
        <v>59</v>
      </c>
      <c t="s" s="6" r="E1606">
        <v>11234</v>
      </c>
      <c t="s" s="6" r="F1606">
        <v>81</v>
      </c>
      <c t="s" s="6" r="G1606">
        <v>106</v>
      </c>
      <c s="6" r="H1606">
        <v>0</v>
      </c>
      <c t="s" s="6" r="I1606">
        <v>155</v>
      </c>
      <c t="s" s="6" r="L1606">
        <v>156</v>
      </c>
      <c t="s" s="6" r="M1606">
        <v>5513</v>
      </c>
      <c s="6" r="N1606">
        <v>1</v>
      </c>
      <c s="6" r="O1606">
        <v>0</v>
      </c>
      <c t="s" s="6" r="P1606">
        <v>86</v>
      </c>
      <c t="s" s="6" r="Q1606">
        <v>87</v>
      </c>
      <c t="s" s="6" r="R1606">
        <v>11235</v>
      </c>
      <c t="s" s="6" r="S1606">
        <v>11236</v>
      </c>
      <c t="s" s="6" r="T1606">
        <v>11226</v>
      </c>
      <c t="s" s="6" r="U1606">
        <v>11237</v>
      </c>
      <c s="6" r="V1606">
        <v>1</v>
      </c>
      <c s="6" r="W1606">
        <v>1</v>
      </c>
      <c s="6" r="X1606">
        <v>0</v>
      </c>
      <c s="6" r="Y1606">
        <v>0</v>
      </c>
      <c s="6" r="Z1606">
        <v>0</v>
      </c>
      <c s="6" r="AA1606">
        <v>8</v>
      </c>
      <c s="6" r="AB1606">
        <v>8</v>
      </c>
      <c s="6" r="AC1606">
        <v>8</v>
      </c>
      <c t="s" s="6" r="AD1606">
        <v>92</v>
      </c>
      <c t="s" s="6" r="AE1606">
        <v>92</v>
      </c>
      <c t="s" s="6" r="AF1606">
        <v>92</v>
      </c>
      <c s="6" r="AG1606">
        <v>4</v>
      </c>
      <c t="s" s="6" r="AH1606">
        <v>92</v>
      </c>
      <c t="s" s="6" r="AI1606">
        <v>92</v>
      </c>
      <c t="s" s="6" r="AJ1606">
        <v>92</v>
      </c>
      <c t="s" s="6" r="AK1606">
        <v>92</v>
      </c>
      <c s="6" r="AL1606">
        <v>8</v>
      </c>
      <c t="s" s="6" r="AM1606">
        <v>92</v>
      </c>
      <c t="s" s="6" r="AN1606">
        <v>92</v>
      </c>
      <c s="6" r="AP1606">
        <v>8</v>
      </c>
      <c s="6" r="AS1606">
        <v>0</v>
      </c>
      <c s="6" r="AT1606">
        <v>0</v>
      </c>
      <c s="6" r="AU1606">
        <v>0</v>
      </c>
      <c s="6" r="AV1606">
        <v>0</v>
      </c>
      <c s="6" r="AW1606">
        <v>0</v>
      </c>
      <c s="6" r="AX1606">
        <v>0</v>
      </c>
      <c s="6" r="AY1606">
        <v>0</v>
      </c>
      <c s="6" r="AZ1606">
        <v>0</v>
      </c>
      <c s="6" r="BA1606">
        <v>0</v>
      </c>
      <c s="6" r="BB1606">
        <v>0</v>
      </c>
      <c s="6" r="BC1606">
        <v>0</v>
      </c>
      <c s="6" r="BD1606">
        <v>0</v>
      </c>
      <c s="6" r="BE1606">
        <v>0</v>
      </c>
      <c s="6" r="BF1606">
        <v>0</v>
      </c>
      <c s="6" r="BG1606">
        <v>0</v>
      </c>
      <c s="6" r="BH1606">
        <v>1</v>
      </c>
      <c s="6" r="BI1606">
        <v>0</v>
      </c>
      <c s="6" r="BJ1606">
        <v>0</v>
      </c>
      <c s="6" r="BK1606">
        <v>0</v>
      </c>
      <c s="6" r="BL1606">
        <v>0</v>
      </c>
      <c s="6" r="BM1606">
        <v>0</v>
      </c>
      <c s="6" r="BN1606">
        <v>0</v>
      </c>
      <c s="6" r="BO1606">
        <v>0</v>
      </c>
      <c s="6" r="BP1606">
        <v>0</v>
      </c>
      <c s="6" r="BQ1606">
        <v>0</v>
      </c>
      <c t="s" s="6" r="BR1606">
        <v>92</v>
      </c>
      <c s="6" r="BS1606">
        <v>1634</v>
      </c>
      <c t="s" s="6" r="BT1606">
        <v>92</v>
      </c>
      <c s="6" r="BY1606">
        <v>0</v>
      </c>
    </row>
    <row customHeight="1" r="1607" ht="14.25">
      <c t="s" s="6" r="A1607">
        <v>11238</v>
      </c>
      <c t="s" s="6" r="B1607">
        <v>131</v>
      </c>
      <c t="s" s="6" r="D1607">
        <v>59</v>
      </c>
      <c t="s" s="6" r="E1607">
        <v>11239</v>
      </c>
      <c t="s" s="6" r="F1607">
        <v>81</v>
      </c>
      <c t="s" s="6" r="G1607">
        <v>106</v>
      </c>
      <c s="6" r="H1607">
        <v>0</v>
      </c>
      <c t="s" s="6" r="I1607">
        <v>155</v>
      </c>
      <c t="s" s="6" r="L1607">
        <v>156</v>
      </c>
      <c t="s" s="6" r="M1607">
        <v>5513</v>
      </c>
      <c s="6" r="N1607">
        <v>1</v>
      </c>
      <c s="6" r="O1607">
        <v>0</v>
      </c>
      <c t="s" s="6" r="P1607">
        <v>86</v>
      </c>
      <c t="s" s="6" r="Q1607">
        <v>87</v>
      </c>
      <c t="s" s="6" r="R1607">
        <v>11240</v>
      </c>
      <c t="s" s="6" r="S1607">
        <v>11241</v>
      </c>
      <c t="s" s="6" r="T1607">
        <v>11226</v>
      </c>
      <c t="s" s="6" r="U1607">
        <v>11242</v>
      </c>
      <c s="6" r="V1607">
        <v>1</v>
      </c>
      <c s="6" r="W1607">
        <v>1</v>
      </c>
      <c s="6" r="X1607">
        <v>0</v>
      </c>
      <c s="6" r="Y1607">
        <v>0</v>
      </c>
      <c s="6" r="Z1607">
        <v>0</v>
      </c>
      <c s="6" r="AA1607">
        <v>5</v>
      </c>
      <c s="6" r="AB1607">
        <v>5</v>
      </c>
      <c s="6" r="AC1607">
        <v>5</v>
      </c>
      <c t="s" s="6" r="AD1607">
        <v>92</v>
      </c>
      <c t="s" s="6" r="AE1607">
        <v>92</v>
      </c>
      <c t="s" s="6" r="AF1607">
        <v>92</v>
      </c>
      <c s="6" r="AG1607">
        <v>3</v>
      </c>
      <c t="s" s="6" r="AH1607">
        <v>92</v>
      </c>
      <c t="s" s="6" r="AI1607">
        <v>92</v>
      </c>
      <c t="s" s="6" r="AJ1607">
        <v>92</v>
      </c>
      <c t="s" s="6" r="AK1607">
        <v>92</v>
      </c>
      <c s="6" r="AL1607">
        <v>5</v>
      </c>
      <c t="s" s="6" r="AM1607">
        <v>92</v>
      </c>
      <c t="s" s="6" r="AN1607">
        <v>92</v>
      </c>
      <c s="6" r="AP1607">
        <v>5</v>
      </c>
      <c s="6" r="AS1607">
        <v>0</v>
      </c>
      <c s="6" r="AT1607">
        <v>0</v>
      </c>
      <c s="6" r="AU1607">
        <v>0</v>
      </c>
      <c s="6" r="AV1607">
        <v>0</v>
      </c>
      <c s="6" r="AW1607">
        <v>0</v>
      </c>
      <c s="6" r="AX1607">
        <v>0</v>
      </c>
      <c s="6" r="AY1607">
        <v>0</v>
      </c>
      <c s="6" r="AZ1607">
        <v>0</v>
      </c>
      <c s="6" r="BA1607">
        <v>0</v>
      </c>
      <c s="6" r="BB1607">
        <v>0</v>
      </c>
      <c s="6" r="BC1607">
        <v>0</v>
      </c>
      <c s="6" r="BD1607">
        <v>0</v>
      </c>
      <c s="6" r="BE1607">
        <v>0</v>
      </c>
      <c s="6" r="BF1607">
        <v>0</v>
      </c>
      <c s="6" r="BG1607">
        <v>0</v>
      </c>
      <c s="6" r="BH1607">
        <v>1</v>
      </c>
      <c s="6" r="BI1607">
        <v>0</v>
      </c>
      <c s="6" r="BJ1607">
        <v>0</v>
      </c>
      <c s="6" r="BK1607">
        <v>0</v>
      </c>
      <c s="6" r="BL1607">
        <v>0</v>
      </c>
      <c s="6" r="BM1607">
        <v>0</v>
      </c>
      <c s="6" r="BN1607">
        <v>0</v>
      </c>
      <c s="6" r="BO1607">
        <v>0</v>
      </c>
      <c s="6" r="BP1607">
        <v>0</v>
      </c>
      <c s="6" r="BQ1607">
        <v>0</v>
      </c>
      <c t="s" s="6" r="BR1607">
        <v>92</v>
      </c>
      <c s="6" r="BS1607">
        <v>1635</v>
      </c>
      <c t="s" s="6" r="BT1607">
        <v>92</v>
      </c>
      <c s="6" r="BY1607">
        <v>0</v>
      </c>
    </row>
    <row customHeight="1" r="1608" ht="14.25">
      <c t="s" s="6" r="A1608">
        <v>11243</v>
      </c>
      <c t="s" s="6" r="B1608">
        <v>493</v>
      </c>
      <c t="s" s="6" r="D1608">
        <v>2374</v>
      </c>
      <c t="s" s="6" r="E1608">
        <v>11244</v>
      </c>
      <c t="s" s="6" r="F1608">
        <v>81</v>
      </c>
      <c t="s" s="6" r="G1608">
        <v>106</v>
      </c>
      <c s="6" r="H1608">
        <v>0</v>
      </c>
      <c t="s" s="6" r="I1608">
        <v>1052</v>
      </c>
      <c t="s" s="6" r="J1608">
        <v>630</v>
      </c>
      <c t="s" s="6" r="M1608">
        <v>109</v>
      </c>
      <c s="6" r="N1608">
        <v>0</v>
      </c>
      <c s="6" r="O1608">
        <v>0</v>
      </c>
      <c t="s" s="6" r="P1608">
        <v>187</v>
      </c>
      <c t="s" s="6" r="Q1608">
        <v>188</v>
      </c>
      <c t="s" s="6" r="R1608">
        <v>11245</v>
      </c>
      <c t="s" s="6" r="S1608">
        <v>11246</v>
      </c>
      <c t="s" s="6" r="T1608">
        <v>11226</v>
      </c>
      <c t="s" s="6" r="U1608">
        <v>11247</v>
      </c>
      <c s="6" r="V1608">
        <v>1</v>
      </c>
      <c s="6" r="W1608">
        <v>1</v>
      </c>
      <c s="6" r="X1608">
        <v>0</v>
      </c>
      <c s="6" r="Y1608">
        <v>0</v>
      </c>
      <c s="6" r="Z1608">
        <v>0</v>
      </c>
      <c s="6" r="AA1608">
        <v>7</v>
      </c>
      <c s="6" r="AB1608">
        <v>7</v>
      </c>
      <c s="6" r="AC1608">
        <v>7</v>
      </c>
      <c t="s" s="6" r="AD1608">
        <v>92</v>
      </c>
      <c t="s" s="6" r="AE1608">
        <v>92</v>
      </c>
      <c s="6" r="AF1608">
        <v>5</v>
      </c>
      <c s="6" r="AG1608">
        <v>4</v>
      </c>
      <c t="s" s="6" r="AH1608">
        <v>92</v>
      </c>
      <c t="s" s="6" r="AI1608">
        <v>92</v>
      </c>
      <c t="s" s="6" r="AJ1608">
        <v>92</v>
      </c>
      <c t="s" s="6" r="AK1608">
        <v>92</v>
      </c>
      <c s="6" r="AL1608">
        <v>7</v>
      </c>
      <c t="s" s="6" r="AM1608">
        <v>92</v>
      </c>
      <c t="s" s="6" r="AN1608">
        <v>92</v>
      </c>
      <c s="6" r="AP1608">
        <v>7</v>
      </c>
      <c s="6" r="AS1608">
        <v>0</v>
      </c>
      <c s="6" r="AT1608">
        <v>0</v>
      </c>
      <c s="6" r="AU1608">
        <v>0</v>
      </c>
      <c s="6" r="AV1608">
        <v>0</v>
      </c>
      <c s="6" r="AW1608">
        <v>0</v>
      </c>
      <c s="6" r="AX1608">
        <v>0</v>
      </c>
      <c s="6" r="AY1608">
        <v>0</v>
      </c>
      <c s="6" r="AZ1608">
        <v>0</v>
      </c>
      <c s="6" r="BA1608">
        <v>0</v>
      </c>
      <c s="6" r="BB1608">
        <v>0</v>
      </c>
      <c s="6" r="BC1608">
        <v>0</v>
      </c>
      <c s="6" r="BD1608">
        <v>0</v>
      </c>
      <c s="6" r="BE1608">
        <v>0</v>
      </c>
      <c s="6" r="BF1608">
        <v>0</v>
      </c>
      <c s="6" r="BG1608">
        <v>0</v>
      </c>
      <c s="6" r="BH1608">
        <v>1</v>
      </c>
      <c s="6" r="BI1608">
        <v>0</v>
      </c>
      <c s="6" r="BJ1608">
        <v>0</v>
      </c>
      <c s="6" r="BK1608">
        <v>0</v>
      </c>
      <c s="6" r="BL1608">
        <v>0</v>
      </c>
      <c s="6" r="BM1608">
        <v>0</v>
      </c>
      <c s="6" r="BN1608">
        <v>0</v>
      </c>
      <c s="6" r="BO1608">
        <v>0</v>
      </c>
      <c s="6" r="BP1608">
        <v>1</v>
      </c>
      <c s="6" r="BQ1608">
        <v>0</v>
      </c>
      <c t="s" s="6" r="BR1608">
        <v>92</v>
      </c>
      <c s="6" r="BS1608">
        <v>1636</v>
      </c>
      <c t="s" s="6" r="BT1608">
        <v>92</v>
      </c>
      <c s="6" r="BY1608">
        <v>0</v>
      </c>
    </row>
    <row customHeight="1" r="1609" ht="14.25">
      <c t="s" s="6" r="A1609">
        <v>11248</v>
      </c>
      <c t="s" s="6" r="B1609">
        <v>493</v>
      </c>
      <c t="s" s="6" r="D1609">
        <v>6189</v>
      </c>
      <c t="s" s="6" r="E1609">
        <v>11249</v>
      </c>
      <c t="s" s="6" r="F1609">
        <v>81</v>
      </c>
      <c t="s" s="6" r="G1609">
        <v>11250</v>
      </c>
      <c s="6" r="H1609">
        <v>0</v>
      </c>
      <c t="s" s="6" r="I1609">
        <v>83</v>
      </c>
      <c t="s" s="6" r="J1609">
        <v>7326</v>
      </c>
      <c t="s" s="6" r="M1609">
        <v>109</v>
      </c>
      <c s="6" r="N1609">
        <v>0</v>
      </c>
      <c s="6" r="O1609">
        <v>0</v>
      </c>
      <c t="s" s="6" r="P1609">
        <v>4129</v>
      </c>
      <c t="s" s="6" r="Q1609">
        <v>188</v>
      </c>
      <c t="s" s="6" r="R1609">
        <v>11251</v>
      </c>
      <c t="s" s="6" r="S1609">
        <v>11252</v>
      </c>
      <c t="s" s="6" r="T1609">
        <v>11226</v>
      </c>
      <c t="s" s="6" r="U1609">
        <v>11253</v>
      </c>
      <c s="6" r="V1609">
        <v>1</v>
      </c>
      <c s="6" r="W1609">
        <v>1</v>
      </c>
      <c s="6" r="X1609">
        <v>1</v>
      </c>
      <c s="6" r="Y1609">
        <v>0</v>
      </c>
      <c s="6" r="Z1609">
        <v>1</v>
      </c>
      <c s="6" r="AA1609">
        <v>2</v>
      </c>
      <c s="6" r="AB1609">
        <v>2</v>
      </c>
      <c s="6" r="AC1609">
        <v>2</v>
      </c>
      <c s="6" r="AD1609">
        <v>2</v>
      </c>
      <c t="s" s="6" r="AE1609">
        <v>92</v>
      </c>
      <c t="s" s="6" r="AF1609">
        <v>92</v>
      </c>
      <c t="s" s="6" r="AG1609">
        <v>92</v>
      </c>
      <c t="s" s="6" r="AH1609">
        <v>92</v>
      </c>
      <c t="s" s="6" r="AI1609">
        <v>92</v>
      </c>
      <c t="s" s="6" r="AJ1609">
        <v>92</v>
      </c>
      <c t="s" s="6" r="AK1609">
        <v>92</v>
      </c>
      <c s="6" r="AL1609">
        <v>2</v>
      </c>
      <c t="s" s="6" r="AM1609">
        <v>92</v>
      </c>
      <c t="s" s="6" r="AN1609">
        <v>92</v>
      </c>
      <c s="6" r="AP1609">
        <v>2</v>
      </c>
      <c s="6" r="AS1609">
        <v>0</v>
      </c>
      <c s="6" r="AT1609">
        <v>0</v>
      </c>
      <c s="6" r="AU1609">
        <v>0</v>
      </c>
      <c s="6" r="AV1609">
        <v>0</v>
      </c>
      <c s="6" r="AW1609">
        <v>0</v>
      </c>
      <c s="6" r="AX1609">
        <v>0</v>
      </c>
      <c s="6" r="AY1609">
        <v>0</v>
      </c>
      <c s="6" r="AZ1609">
        <v>0</v>
      </c>
      <c s="6" r="BA1609">
        <v>0</v>
      </c>
      <c s="6" r="BB1609">
        <v>0</v>
      </c>
      <c s="6" r="BC1609">
        <v>0</v>
      </c>
      <c s="6" r="BD1609">
        <v>0</v>
      </c>
      <c s="6" r="BE1609">
        <v>0</v>
      </c>
      <c s="6" r="BF1609">
        <v>0</v>
      </c>
      <c s="6" r="BG1609">
        <v>0</v>
      </c>
      <c s="6" r="BH1609">
        <v>1</v>
      </c>
      <c s="6" r="BI1609">
        <v>0</v>
      </c>
      <c s="6" r="BJ1609">
        <v>0</v>
      </c>
      <c s="6" r="BK1609">
        <v>1</v>
      </c>
      <c s="6" r="BL1609">
        <v>0</v>
      </c>
      <c s="6" r="BM1609">
        <v>0</v>
      </c>
      <c s="6" r="BN1609">
        <v>0</v>
      </c>
      <c s="6" r="BO1609">
        <v>0</v>
      </c>
      <c s="6" r="BP1609">
        <v>0</v>
      </c>
      <c s="6" r="BQ1609">
        <v>0</v>
      </c>
      <c t="s" s="6" r="BR1609">
        <v>92</v>
      </c>
      <c s="6" r="BS1609">
        <v>1637</v>
      </c>
      <c t="s" s="6" r="BT1609">
        <v>92</v>
      </c>
      <c s="6" r="BY1609">
        <v>0</v>
      </c>
    </row>
    <row customHeight="1" r="1610" ht="14.25">
      <c t="s" s="6" r="A1610">
        <v>11254</v>
      </c>
      <c t="s" s="6" r="B1610">
        <v>78</v>
      </c>
      <c t="s" s="6" r="C1610">
        <v>79</v>
      </c>
      <c t="s" s="6" r="D1610">
        <v>59</v>
      </c>
      <c t="s" s="6" r="E1610">
        <v>11255</v>
      </c>
      <c t="s" s="6" r="F1610">
        <v>81</v>
      </c>
      <c t="s" s="6" r="G1610">
        <v>11256</v>
      </c>
      <c s="6" r="H1610">
        <v>0</v>
      </c>
      <c t="s" s="6" r="I1610">
        <v>11257</v>
      </c>
      <c t="s" s="6" r="L1610">
        <v>1235</v>
      </c>
      <c t="s" s="6" r="M1610">
        <v>483</v>
      </c>
      <c s="6" r="N1610">
        <v>1</v>
      </c>
      <c s="6" r="O1610">
        <v>0</v>
      </c>
      <c t="s" s="6" r="P1610">
        <v>1865</v>
      </c>
      <c t="s" s="6" r="Q1610">
        <v>87</v>
      </c>
      <c t="s" s="6" r="R1610">
        <v>11258</v>
      </c>
      <c t="s" s="6" r="S1610">
        <v>11259</v>
      </c>
      <c t="s" s="6" r="T1610">
        <v>11226</v>
      </c>
      <c t="s" s="6" r="U1610">
        <v>11260</v>
      </c>
      <c s="6" r="V1610">
        <v>1</v>
      </c>
      <c s="6" r="W1610">
        <v>1</v>
      </c>
      <c s="6" r="X1610">
        <v>0</v>
      </c>
      <c s="6" r="Y1610">
        <v>0</v>
      </c>
      <c s="6" r="Z1610">
        <v>0</v>
      </c>
      <c s="6" r="AA1610">
        <v>6</v>
      </c>
      <c s="6" r="AB1610">
        <v>6</v>
      </c>
      <c s="6" r="AC1610">
        <v>6</v>
      </c>
      <c t="s" s="6" r="AD1610">
        <v>92</v>
      </c>
      <c t="s" s="6" r="AE1610">
        <v>92</v>
      </c>
      <c t="s" s="6" r="AF1610">
        <v>92</v>
      </c>
      <c s="6" r="AG1610">
        <v>4</v>
      </c>
      <c t="s" s="6" r="AH1610">
        <v>92</v>
      </c>
      <c t="s" s="6" r="AI1610">
        <v>92</v>
      </c>
      <c t="s" s="6" r="AJ1610">
        <v>92</v>
      </c>
      <c s="6" r="AK1610">
        <v>5</v>
      </c>
      <c s="6" r="AL1610">
        <v>6</v>
      </c>
      <c t="s" s="6" r="AM1610">
        <v>92</v>
      </c>
      <c t="s" s="6" r="AN1610">
        <v>92</v>
      </c>
      <c s="6" r="AP1610">
        <v>6</v>
      </c>
      <c s="6" r="AS1610">
        <v>0</v>
      </c>
      <c s="6" r="AT1610">
        <v>0</v>
      </c>
      <c s="6" r="AU1610">
        <v>0</v>
      </c>
      <c s="6" r="AV1610">
        <v>0</v>
      </c>
      <c s="6" r="AW1610">
        <v>0</v>
      </c>
      <c s="6" r="AX1610">
        <v>0</v>
      </c>
      <c s="6" r="AY1610">
        <v>0</v>
      </c>
      <c s="6" r="AZ1610">
        <v>0</v>
      </c>
      <c s="6" r="BA1610">
        <v>0</v>
      </c>
      <c s="6" r="BB1610">
        <v>0</v>
      </c>
      <c s="6" r="BC1610">
        <v>0</v>
      </c>
      <c s="6" r="BD1610">
        <v>0</v>
      </c>
      <c s="6" r="BE1610">
        <v>0</v>
      </c>
      <c s="6" r="BF1610">
        <v>0</v>
      </c>
      <c s="6" r="BG1610">
        <v>0</v>
      </c>
      <c s="6" r="BH1610">
        <v>1</v>
      </c>
      <c s="6" r="BI1610">
        <v>0</v>
      </c>
      <c s="6" r="BJ1610">
        <v>0</v>
      </c>
      <c s="6" r="BK1610">
        <v>0</v>
      </c>
      <c s="6" r="BL1610">
        <v>0</v>
      </c>
      <c s="6" r="BM1610">
        <v>0</v>
      </c>
      <c s="6" r="BN1610">
        <v>0</v>
      </c>
      <c s="6" r="BO1610">
        <v>0</v>
      </c>
      <c s="6" r="BP1610">
        <v>0</v>
      </c>
      <c s="6" r="BQ1610">
        <v>0</v>
      </c>
      <c t="s" s="6" r="BR1610">
        <v>92</v>
      </c>
      <c s="6" r="BS1610">
        <v>1638</v>
      </c>
      <c t="s" s="6" r="BT1610">
        <v>92</v>
      </c>
      <c s="6" r="BY1610">
        <v>0</v>
      </c>
    </row>
    <row customHeight="1" r="1611" ht="14.25">
      <c t="s" s="6" r="A1611">
        <v>11261</v>
      </c>
      <c t="s" s="6" r="B1611">
        <v>115</v>
      </c>
      <c t="s" s="6" r="C1611">
        <v>116</v>
      </c>
      <c t="s" s="6" r="D1611">
        <v>5340</v>
      </c>
      <c t="s" s="6" r="E1611">
        <v>11262</v>
      </c>
      <c t="s" s="6" r="F1611">
        <v>81</v>
      </c>
      <c t="s" s="6" r="G1611">
        <v>119</v>
      </c>
      <c s="6" r="H1611">
        <v>0</v>
      </c>
      <c t="s" s="6" r="I1611">
        <v>120</v>
      </c>
      <c t="s" s="6" r="L1611">
        <v>1235</v>
      </c>
      <c t="s" s="6" r="M1611">
        <v>483</v>
      </c>
      <c s="6" r="N1611">
        <v>1</v>
      </c>
      <c s="6" r="O1611">
        <v>0</v>
      </c>
      <c t="s" s="6" r="P1611">
        <v>221</v>
      </c>
      <c t="s" s="6" r="Q1611">
        <v>188</v>
      </c>
      <c t="s" s="6" r="R1611">
        <v>11263</v>
      </c>
      <c t="s" s="6" r="S1611">
        <v>11264</v>
      </c>
      <c t="s" s="6" r="T1611">
        <v>11226</v>
      </c>
      <c t="s" s="6" r="U1611">
        <v>11265</v>
      </c>
      <c s="6" r="V1611">
        <v>1</v>
      </c>
      <c s="6" r="W1611">
        <v>1</v>
      </c>
      <c s="6" r="X1611">
        <v>0</v>
      </c>
      <c s="6" r="Y1611">
        <v>0</v>
      </c>
      <c s="6" r="Z1611">
        <v>1</v>
      </c>
      <c s="6" r="AA1611">
        <v>2</v>
      </c>
      <c s="6" r="AB1611">
        <v>2</v>
      </c>
      <c s="6" r="AC1611">
        <v>2</v>
      </c>
      <c t="s" s="6" r="AD1611">
        <v>92</v>
      </c>
      <c t="s" s="6" r="AE1611">
        <v>92</v>
      </c>
      <c s="6" r="AF1611">
        <v>2</v>
      </c>
      <c t="s" s="6" r="AG1611">
        <v>92</v>
      </c>
      <c t="s" s="6" r="AH1611">
        <v>92</v>
      </c>
      <c t="s" s="6" r="AI1611">
        <v>92</v>
      </c>
      <c t="s" s="6" r="AJ1611">
        <v>92</v>
      </c>
      <c t="s" s="6" r="AK1611">
        <v>92</v>
      </c>
      <c s="6" r="AL1611">
        <v>2</v>
      </c>
      <c t="s" s="6" r="AM1611">
        <v>92</v>
      </c>
      <c t="s" s="6" r="AN1611">
        <v>92</v>
      </c>
      <c s="6" r="AP1611">
        <v>2</v>
      </c>
      <c s="6" r="AS1611">
        <v>0</v>
      </c>
      <c s="6" r="AT1611">
        <v>0</v>
      </c>
      <c s="6" r="AU1611">
        <v>0</v>
      </c>
      <c s="6" r="AV1611">
        <v>0</v>
      </c>
      <c s="6" r="AW1611">
        <v>0</v>
      </c>
      <c s="6" r="AX1611">
        <v>0</v>
      </c>
      <c s="6" r="AY1611">
        <v>0</v>
      </c>
      <c s="6" r="AZ1611">
        <v>0</v>
      </c>
      <c s="6" r="BA1611">
        <v>0</v>
      </c>
      <c s="6" r="BB1611">
        <v>0</v>
      </c>
      <c s="6" r="BC1611">
        <v>0</v>
      </c>
      <c s="6" r="BD1611">
        <v>0</v>
      </c>
      <c s="6" r="BE1611">
        <v>0</v>
      </c>
      <c s="6" r="BF1611">
        <v>0</v>
      </c>
      <c s="6" r="BG1611">
        <v>0</v>
      </c>
      <c s="6" r="BH1611">
        <v>1</v>
      </c>
      <c s="6" r="BI1611">
        <v>0</v>
      </c>
      <c s="6" r="BJ1611">
        <v>0</v>
      </c>
      <c s="6" r="BK1611">
        <v>0</v>
      </c>
      <c s="6" r="BL1611">
        <v>1</v>
      </c>
      <c s="6" r="BM1611">
        <v>0</v>
      </c>
      <c s="6" r="BN1611">
        <v>0</v>
      </c>
      <c s="6" r="BO1611">
        <v>0</v>
      </c>
      <c s="6" r="BP1611">
        <v>0</v>
      </c>
      <c s="6" r="BQ1611">
        <v>0</v>
      </c>
      <c t="s" s="6" r="BR1611">
        <v>92</v>
      </c>
      <c s="6" r="BS1611">
        <v>1639</v>
      </c>
      <c t="s" s="6" r="BT1611">
        <v>92</v>
      </c>
      <c s="6" r="BY1611">
        <v>0</v>
      </c>
    </row>
    <row customHeight="1" r="1612" ht="14.25">
      <c t="s" s="6" r="A1612">
        <v>11266</v>
      </c>
      <c t="s" s="6" r="B1612">
        <v>115</v>
      </c>
      <c t="s" s="6" r="C1612">
        <v>116</v>
      </c>
      <c t="s" s="6" r="D1612">
        <v>5340</v>
      </c>
      <c t="s" s="6" r="E1612">
        <v>11267</v>
      </c>
      <c t="s" s="6" r="F1612">
        <v>81</v>
      </c>
      <c t="s" s="6" r="G1612">
        <v>106</v>
      </c>
      <c s="6" r="H1612">
        <v>0</v>
      </c>
      <c t="s" s="6" r="I1612">
        <v>1052</v>
      </c>
      <c t="s" s="6" r="J1612">
        <v>5342</v>
      </c>
      <c t="s" s="6" r="M1612">
        <v>483</v>
      </c>
      <c s="6" r="N1612">
        <v>1</v>
      </c>
      <c s="6" r="O1612">
        <v>0</v>
      </c>
      <c t="s" s="6" r="P1612">
        <v>221</v>
      </c>
      <c t="s" s="6" r="Q1612">
        <v>188</v>
      </c>
      <c t="s" s="6" r="R1612">
        <v>11268</v>
      </c>
      <c t="s" s="6" r="S1612">
        <v>11269</v>
      </c>
      <c t="s" s="6" r="T1612">
        <v>11226</v>
      </c>
      <c t="s" s="6" r="U1612">
        <v>11270</v>
      </c>
      <c s="6" r="V1612">
        <v>1</v>
      </c>
      <c s="6" r="W1612">
        <v>1</v>
      </c>
      <c s="6" r="X1612">
        <v>0</v>
      </c>
      <c s="6" r="Y1612">
        <v>0</v>
      </c>
      <c s="6" r="Z1612">
        <v>0</v>
      </c>
      <c t="s" s="6" r="AA1612">
        <v>92</v>
      </c>
      <c t="s" s="6" r="AB1612">
        <v>92</v>
      </c>
      <c s="6" r="AC1612">
        <v>5</v>
      </c>
      <c t="s" s="6" r="AD1612">
        <v>92</v>
      </c>
      <c t="s" s="6" r="AE1612">
        <v>92</v>
      </c>
      <c s="6" r="AF1612">
        <v>5</v>
      </c>
      <c t="s" s="6" r="AG1612">
        <v>92</v>
      </c>
      <c t="s" s="6" r="AH1612">
        <v>92</v>
      </c>
      <c t="s" s="6" r="AI1612">
        <v>92</v>
      </c>
      <c t="s" s="6" r="AJ1612">
        <v>92</v>
      </c>
      <c t="s" s="6" r="AK1612">
        <v>92</v>
      </c>
      <c s="6" r="AL1612">
        <v>5</v>
      </c>
      <c t="s" s="6" r="AM1612">
        <v>92</v>
      </c>
      <c t="s" s="6" r="AN1612">
        <v>92</v>
      </c>
      <c s="6" r="AP1612">
        <v>5</v>
      </c>
      <c s="6" r="AS1612">
        <v>0</v>
      </c>
      <c s="6" r="AT1612">
        <v>0</v>
      </c>
      <c s="6" r="AU1612">
        <v>0</v>
      </c>
      <c s="6" r="AV1612">
        <v>0</v>
      </c>
      <c s="6" r="AW1612">
        <v>0</v>
      </c>
      <c s="6" r="AX1612">
        <v>0</v>
      </c>
      <c s="6" r="AY1612">
        <v>0</v>
      </c>
      <c s="6" r="AZ1612">
        <v>0</v>
      </c>
      <c s="6" r="BA1612">
        <v>0</v>
      </c>
      <c s="6" r="BB1612">
        <v>0</v>
      </c>
      <c s="6" r="BC1612">
        <v>0</v>
      </c>
      <c s="6" r="BD1612">
        <v>0</v>
      </c>
      <c s="6" r="BE1612">
        <v>0</v>
      </c>
      <c s="6" r="BF1612">
        <v>0</v>
      </c>
      <c s="6" r="BG1612">
        <v>0</v>
      </c>
      <c s="6" r="BH1612">
        <v>1</v>
      </c>
      <c s="6" r="BI1612">
        <v>0</v>
      </c>
      <c s="6" r="BJ1612">
        <v>0</v>
      </c>
      <c s="6" r="BK1612">
        <v>0</v>
      </c>
      <c s="6" r="BL1612">
        <v>1</v>
      </c>
      <c s="6" r="BM1612">
        <v>0</v>
      </c>
      <c s="6" r="BN1612">
        <v>0</v>
      </c>
      <c s="6" r="BO1612">
        <v>0</v>
      </c>
      <c s="6" r="BP1612">
        <v>0</v>
      </c>
      <c s="6" r="BQ1612">
        <v>0</v>
      </c>
      <c t="s" s="6" r="BR1612">
        <v>92</v>
      </c>
      <c s="6" r="BS1612">
        <v>1640</v>
      </c>
      <c t="s" s="6" r="BT1612">
        <v>92</v>
      </c>
      <c s="6" r="BY1612">
        <v>0</v>
      </c>
    </row>
    <row customHeight="1" r="1613" ht="14.25">
      <c t="s" s="6" r="A1613">
        <v>11271</v>
      </c>
      <c t="s" s="6" r="B1613">
        <v>162</v>
      </c>
      <c t="s" s="6" r="D1613">
        <v>59</v>
      </c>
      <c t="s" s="6" r="E1613">
        <v>11272</v>
      </c>
      <c t="s" s="6" r="F1613">
        <v>81</v>
      </c>
      <c t="s" s="6" r="G1613">
        <v>106</v>
      </c>
      <c s="6" r="H1613">
        <v>0</v>
      </c>
      <c t="s" s="6" r="I1613">
        <v>508</v>
      </c>
      <c t="s" s="6" r="J1613">
        <v>11273</v>
      </c>
      <c t="s" s="6" r="M1613">
        <v>483</v>
      </c>
      <c s="6" r="N1613">
        <v>1</v>
      </c>
      <c s="6" r="O1613">
        <v>0</v>
      </c>
      <c t="s" s="6" r="P1613">
        <v>221</v>
      </c>
      <c t="s" s="6" r="Q1613">
        <v>188</v>
      </c>
      <c t="s" s="6" r="R1613">
        <v>11274</v>
      </c>
      <c t="s" s="6" r="S1613">
        <v>11275</v>
      </c>
      <c t="s" s="6" r="T1613">
        <v>11226</v>
      </c>
      <c t="s" s="6" r="U1613">
        <v>11276</v>
      </c>
      <c s="6" r="V1613">
        <v>1</v>
      </c>
      <c s="6" r="W1613">
        <v>1</v>
      </c>
      <c s="6" r="X1613">
        <v>0</v>
      </c>
      <c s="6" r="Y1613">
        <v>0</v>
      </c>
      <c s="6" r="Z1613">
        <v>0</v>
      </c>
      <c t="s" s="6" r="AA1613">
        <v>92</v>
      </c>
      <c t="s" s="6" r="AB1613">
        <v>92</v>
      </c>
      <c s="6" r="AC1613">
        <v>7</v>
      </c>
      <c t="s" s="6" r="AD1613">
        <v>92</v>
      </c>
      <c t="s" s="6" r="AE1613">
        <v>92</v>
      </c>
      <c s="6" r="AF1613">
        <v>6</v>
      </c>
      <c t="s" s="6" r="AG1613">
        <v>92</v>
      </c>
      <c t="s" s="6" r="AH1613">
        <v>92</v>
      </c>
      <c t="s" s="6" r="AI1613">
        <v>92</v>
      </c>
      <c t="s" s="6" r="AJ1613">
        <v>92</v>
      </c>
      <c t="s" s="6" r="AK1613">
        <v>92</v>
      </c>
      <c s="6" r="AL1613">
        <v>7</v>
      </c>
      <c t="s" s="6" r="AM1613">
        <v>92</v>
      </c>
      <c t="s" s="6" r="AN1613">
        <v>92</v>
      </c>
      <c s="6" r="AP1613">
        <v>7</v>
      </c>
      <c s="6" r="AS1613">
        <v>0</v>
      </c>
      <c s="6" r="AT1613">
        <v>0</v>
      </c>
      <c s="6" r="AU1613">
        <v>0</v>
      </c>
      <c s="6" r="AV1613">
        <v>0</v>
      </c>
      <c s="6" r="AW1613">
        <v>0</v>
      </c>
      <c s="6" r="AX1613">
        <v>0</v>
      </c>
      <c s="6" r="AY1613">
        <v>0</v>
      </c>
      <c s="6" r="AZ1613">
        <v>0</v>
      </c>
      <c s="6" r="BA1613">
        <v>0</v>
      </c>
      <c s="6" r="BB1613">
        <v>0</v>
      </c>
      <c s="6" r="BC1613">
        <v>0</v>
      </c>
      <c s="6" r="BD1613">
        <v>0</v>
      </c>
      <c s="6" r="BE1613">
        <v>0</v>
      </c>
      <c s="6" r="BF1613">
        <v>0</v>
      </c>
      <c s="6" r="BG1613">
        <v>0</v>
      </c>
      <c s="6" r="BH1613">
        <v>1</v>
      </c>
      <c s="6" r="BI1613">
        <v>0</v>
      </c>
      <c s="6" r="BJ1613">
        <v>0</v>
      </c>
      <c s="6" r="BK1613">
        <v>0</v>
      </c>
      <c s="6" r="BL1613">
        <v>0</v>
      </c>
      <c s="6" r="BM1613">
        <v>0</v>
      </c>
      <c s="6" r="BN1613">
        <v>0</v>
      </c>
      <c s="6" r="BO1613">
        <v>0</v>
      </c>
      <c s="6" r="BP1613">
        <v>0</v>
      </c>
      <c s="6" r="BQ1613">
        <v>0</v>
      </c>
      <c t="s" s="6" r="BR1613">
        <v>92</v>
      </c>
      <c s="6" r="BS1613">
        <v>1641</v>
      </c>
      <c t="s" s="6" r="BT1613">
        <v>92</v>
      </c>
      <c s="6" r="BY1613">
        <v>0</v>
      </c>
    </row>
    <row customHeight="1" r="1614" ht="14.25">
      <c t="s" s="6" r="A1614">
        <v>11277</v>
      </c>
      <c t="s" s="6" r="B1614">
        <v>227</v>
      </c>
      <c t="s" s="6" r="E1614">
        <v>11278</v>
      </c>
      <c t="s" s="6" r="F1614">
        <v>81</v>
      </c>
      <c t="s" s="6" r="G1614">
        <v>106</v>
      </c>
      <c s="6" r="H1614">
        <v>0</v>
      </c>
      <c t="s" s="6" r="I1614">
        <v>97</v>
      </c>
      <c t="s" s="6" r="L1614">
        <v>473</v>
      </c>
      <c t="s" s="6" r="M1614">
        <v>99</v>
      </c>
      <c s="6" r="N1614">
        <v>0</v>
      </c>
      <c s="6" r="O1614">
        <v>0</v>
      </c>
      <c t="s" s="6" r="P1614">
        <v>187</v>
      </c>
      <c t="s" s="6" r="Q1614">
        <v>188</v>
      </c>
      <c t="s" s="6" r="R1614">
        <v>11279</v>
      </c>
      <c t="s" s="6" r="S1614">
        <v>11280</v>
      </c>
      <c t="s" s="6" r="T1614">
        <v>11281</v>
      </c>
      <c t="s" s="6" r="U1614">
        <v>11282</v>
      </c>
      <c s="6" r="V1614">
        <v>1</v>
      </c>
      <c s="6" r="W1614">
        <v>1</v>
      </c>
      <c s="6" r="X1614">
        <v>0</v>
      </c>
      <c s="6" r="Y1614">
        <v>0</v>
      </c>
      <c s="6" r="Z1614">
        <v>0</v>
      </c>
      <c t="s" s="6" r="AA1614">
        <v>92</v>
      </c>
      <c t="s" s="6" r="AB1614">
        <v>92</v>
      </c>
      <c s="6" r="AC1614">
        <v>2</v>
      </c>
      <c t="s" s="6" r="AD1614">
        <v>92</v>
      </c>
      <c t="s" s="6" r="AE1614">
        <v>92</v>
      </c>
      <c t="s" s="6" r="AF1614">
        <v>92</v>
      </c>
      <c t="s" s="6" r="AG1614">
        <v>92</v>
      </c>
      <c t="s" s="6" r="AH1614">
        <v>92</v>
      </c>
      <c t="s" s="6" r="AI1614">
        <v>92</v>
      </c>
      <c t="s" s="6" r="AJ1614">
        <v>92</v>
      </c>
      <c s="6" r="AK1614">
        <v>3</v>
      </c>
      <c s="6" r="AL1614">
        <v>2</v>
      </c>
      <c t="s" s="6" r="AM1614">
        <v>92</v>
      </c>
      <c t="s" s="6" r="AN1614">
        <v>92</v>
      </c>
      <c s="6" r="AP1614">
        <v>2</v>
      </c>
      <c s="6" r="AS1614">
        <v>0</v>
      </c>
      <c s="6" r="AT1614">
        <v>0</v>
      </c>
      <c s="6" r="AU1614">
        <v>0</v>
      </c>
      <c s="6" r="AV1614">
        <v>0</v>
      </c>
      <c s="6" r="AW1614">
        <v>0</v>
      </c>
      <c s="6" r="AX1614">
        <v>0</v>
      </c>
      <c s="6" r="AY1614">
        <v>0</v>
      </c>
      <c s="6" r="AZ1614">
        <v>0</v>
      </c>
      <c s="6" r="BA1614">
        <v>0</v>
      </c>
      <c s="6" r="BB1614">
        <v>0</v>
      </c>
      <c s="6" r="BC1614">
        <v>0</v>
      </c>
      <c s="6" r="BD1614">
        <v>0</v>
      </c>
      <c s="6" r="BE1614">
        <v>0</v>
      </c>
      <c s="6" r="BF1614">
        <v>0</v>
      </c>
      <c s="6" r="BG1614">
        <v>0</v>
      </c>
      <c s="6" r="BH1614">
        <v>0</v>
      </c>
      <c s="6" r="BI1614">
        <v>0</v>
      </c>
      <c s="6" r="BJ1614">
        <v>0</v>
      </c>
      <c s="6" r="BK1614">
        <v>0</v>
      </c>
      <c s="6" r="BL1614">
        <v>0</v>
      </c>
      <c s="6" r="BM1614">
        <v>0</v>
      </c>
      <c s="6" r="BN1614">
        <v>0</v>
      </c>
      <c s="6" r="BO1614">
        <v>0</v>
      </c>
      <c s="6" r="BP1614">
        <v>0</v>
      </c>
      <c s="6" r="BQ1614">
        <v>0</v>
      </c>
      <c t="s" s="6" r="BR1614">
        <v>92</v>
      </c>
      <c s="6" r="BS1614">
        <v>1642</v>
      </c>
      <c t="s" s="6" r="BT1614">
        <v>92</v>
      </c>
      <c s="6" r="BY1614">
        <v>0</v>
      </c>
    </row>
    <row customHeight="1" r="1615" ht="14.25">
      <c t="s" s="6" r="A1615">
        <v>11283</v>
      </c>
      <c t="s" s="6" r="B1615">
        <v>115</v>
      </c>
      <c t="s" s="6" r="C1615">
        <v>116</v>
      </c>
      <c t="s" s="6" r="D1615">
        <v>117</v>
      </c>
      <c t="s" s="6" r="E1615">
        <v>11284</v>
      </c>
      <c t="s" s="6" r="F1615">
        <v>81</v>
      </c>
      <c t="s" s="6" r="G1615">
        <v>11285</v>
      </c>
      <c s="6" r="H1615">
        <v>0</v>
      </c>
      <c t="s" s="6" r="I1615">
        <v>107</v>
      </c>
      <c t="s" s="6" r="L1615">
        <v>731</v>
      </c>
      <c t="s" s="6" r="M1615">
        <v>99</v>
      </c>
      <c s="6" r="N1615">
        <v>0</v>
      </c>
      <c s="6" r="O1615">
        <v>0</v>
      </c>
      <c t="s" s="6" r="P1615">
        <v>221</v>
      </c>
      <c t="s" s="6" r="Q1615">
        <v>188</v>
      </c>
      <c t="s" s="6" r="R1615">
        <v>11286</v>
      </c>
      <c t="s" s="6" r="S1615">
        <v>11287</v>
      </c>
      <c t="s" s="6" r="T1615">
        <v>11281</v>
      </c>
      <c t="s" s="6" r="U1615">
        <v>11288</v>
      </c>
      <c s="6" r="V1615">
        <v>1</v>
      </c>
      <c s="6" r="W1615">
        <v>1</v>
      </c>
      <c s="6" r="X1615">
        <v>0</v>
      </c>
      <c s="6" r="Y1615">
        <v>0</v>
      </c>
      <c s="6" r="Z1615">
        <v>1</v>
      </c>
      <c s="6" r="AA1615">
        <v>3</v>
      </c>
      <c s="6" r="AB1615">
        <v>3</v>
      </c>
      <c s="6" r="AC1615">
        <v>3</v>
      </c>
      <c t="s" s="6" r="AD1615">
        <v>92</v>
      </c>
      <c t="s" s="6" r="AE1615">
        <v>92</v>
      </c>
      <c s="6" r="AF1615">
        <v>2</v>
      </c>
      <c t="s" s="6" r="AG1615">
        <v>92</v>
      </c>
      <c t="s" s="6" r="AH1615">
        <v>92</v>
      </c>
      <c t="s" s="6" r="AI1615">
        <v>92</v>
      </c>
      <c s="6" r="AJ1615">
        <v>3</v>
      </c>
      <c t="s" s="6" r="AK1615">
        <v>92</v>
      </c>
      <c s="6" r="AL1615">
        <v>3</v>
      </c>
      <c t="s" s="6" r="AM1615">
        <v>92</v>
      </c>
      <c t="s" s="6" r="AN1615">
        <v>92</v>
      </c>
      <c s="6" r="AP1615">
        <v>3</v>
      </c>
      <c s="6" r="AS1615">
        <v>0</v>
      </c>
      <c s="6" r="AT1615">
        <v>0</v>
      </c>
      <c s="6" r="AU1615">
        <v>0</v>
      </c>
      <c s="6" r="AV1615">
        <v>0</v>
      </c>
      <c s="6" r="AW1615">
        <v>0</v>
      </c>
      <c s="6" r="AX1615">
        <v>0</v>
      </c>
      <c s="6" r="AY1615">
        <v>0</v>
      </c>
      <c s="6" r="AZ1615">
        <v>0</v>
      </c>
      <c s="6" r="BA1615">
        <v>0</v>
      </c>
      <c s="6" r="BB1615">
        <v>0</v>
      </c>
      <c s="6" r="BC1615">
        <v>0</v>
      </c>
      <c s="6" r="BD1615">
        <v>0</v>
      </c>
      <c s="6" r="BE1615">
        <v>0</v>
      </c>
      <c s="6" r="BF1615">
        <v>0</v>
      </c>
      <c s="6" r="BG1615">
        <v>0</v>
      </c>
      <c s="6" r="BH1615">
        <v>0</v>
      </c>
      <c s="6" r="BI1615">
        <v>0</v>
      </c>
      <c s="6" r="BJ1615">
        <v>0</v>
      </c>
      <c s="6" r="BK1615">
        <v>0</v>
      </c>
      <c s="6" r="BL1615">
        <v>1</v>
      </c>
      <c s="6" r="BM1615">
        <v>0</v>
      </c>
      <c s="6" r="BN1615">
        <v>0</v>
      </c>
      <c s="6" r="BO1615">
        <v>0</v>
      </c>
      <c s="6" r="BP1615">
        <v>0</v>
      </c>
      <c s="6" r="BQ1615">
        <v>0</v>
      </c>
      <c t="s" s="6" r="BR1615">
        <v>92</v>
      </c>
      <c s="6" r="BS1615">
        <v>1643</v>
      </c>
      <c t="s" s="6" r="BT1615">
        <v>92</v>
      </c>
      <c s="6" r="BY1615">
        <v>0</v>
      </c>
    </row>
    <row customHeight="1" r="1616" ht="14.25">
      <c t="s" s="6" r="A1616">
        <v>11289</v>
      </c>
      <c t="s" s="6" r="B1616">
        <v>493</v>
      </c>
      <c t="s" s="6" r="D1616">
        <v>11290</v>
      </c>
      <c t="s" s="6" r="E1616">
        <v>7372</v>
      </c>
      <c t="s" s="6" r="F1616">
        <v>81</v>
      </c>
      <c t="s" s="6" r="G1616">
        <v>11291</v>
      </c>
      <c s="6" r="H1616">
        <v>0</v>
      </c>
      <c t="s" s="6" r="I1616">
        <v>107</v>
      </c>
      <c t="s" s="6" r="K1616">
        <v>11292</v>
      </c>
      <c t="s" s="6" r="M1616">
        <v>11293</v>
      </c>
      <c s="6" r="N1616">
        <v>0</v>
      </c>
      <c s="6" r="O1616">
        <v>0</v>
      </c>
      <c t="s" s="6" r="P1616">
        <v>86</v>
      </c>
      <c t="s" s="6" r="Q1616">
        <v>188</v>
      </c>
      <c t="s" s="6" r="R1616">
        <v>11294</v>
      </c>
      <c t="s" s="6" r="S1616">
        <v>11295</v>
      </c>
      <c t="s" s="6" r="T1616">
        <v>11281</v>
      </c>
      <c t="s" s="6" r="U1616">
        <v>11296</v>
      </c>
      <c s="6" r="V1616">
        <v>1</v>
      </c>
      <c s="6" r="W1616">
        <v>1</v>
      </c>
      <c s="6" r="X1616">
        <v>1</v>
      </c>
      <c s="6" r="Y1616">
        <v>0</v>
      </c>
      <c s="6" r="Z1616">
        <v>1</v>
      </c>
      <c s="6" r="AA1616">
        <v>6</v>
      </c>
      <c s="6" r="AB1616">
        <v>6</v>
      </c>
      <c s="6" r="AC1616">
        <v>6</v>
      </c>
      <c t="s" s="6" r="AD1616">
        <v>92</v>
      </c>
      <c t="s" s="6" r="AE1616">
        <v>92</v>
      </c>
      <c t="s" s="6" r="AF1616">
        <v>92</v>
      </c>
      <c t="s" s="6" r="AG1616">
        <v>92</v>
      </c>
      <c t="s" s="6" r="AH1616">
        <v>92</v>
      </c>
      <c t="s" s="6" r="AI1616">
        <v>92</v>
      </c>
      <c t="s" s="6" r="AJ1616">
        <v>92</v>
      </c>
      <c t="s" s="6" r="AK1616">
        <v>92</v>
      </c>
      <c s="6" r="AL1616">
        <v>6</v>
      </c>
      <c t="s" s="6" r="AM1616">
        <v>92</v>
      </c>
      <c t="s" s="6" r="AN1616">
        <v>92</v>
      </c>
      <c s="6" r="AP1616">
        <v>6</v>
      </c>
      <c s="6" r="AS1616">
        <v>1</v>
      </c>
      <c s="6" r="AT1616">
        <v>0</v>
      </c>
      <c s="6" r="AU1616">
        <v>0</v>
      </c>
      <c s="6" r="AV1616">
        <v>1</v>
      </c>
      <c s="6" r="AW1616">
        <v>0</v>
      </c>
      <c s="6" r="AX1616">
        <v>0</v>
      </c>
      <c s="6" r="AY1616">
        <v>0</v>
      </c>
      <c s="6" r="AZ1616">
        <v>0</v>
      </c>
      <c s="6" r="BA1616">
        <v>0</v>
      </c>
      <c s="6" r="BB1616">
        <v>1</v>
      </c>
      <c s="6" r="BC1616">
        <v>0</v>
      </c>
      <c s="6" r="BD1616">
        <v>0</v>
      </c>
      <c s="6" r="BE1616">
        <v>0</v>
      </c>
      <c s="6" r="BF1616">
        <v>1</v>
      </c>
      <c s="6" r="BG1616">
        <v>0</v>
      </c>
      <c s="6" r="BH1616">
        <v>0</v>
      </c>
      <c s="6" r="BI1616">
        <v>0</v>
      </c>
      <c s="6" r="BJ1616">
        <v>0</v>
      </c>
      <c s="6" r="BK1616">
        <v>0</v>
      </c>
      <c s="6" r="BL1616">
        <v>0</v>
      </c>
      <c s="6" r="BM1616">
        <v>0</v>
      </c>
      <c s="6" r="BN1616">
        <v>0</v>
      </c>
      <c s="6" r="BO1616">
        <v>0</v>
      </c>
      <c s="6" r="BP1616">
        <v>0</v>
      </c>
      <c s="6" r="BQ1616">
        <v>0</v>
      </c>
      <c t="s" s="6" r="BR1616">
        <v>92</v>
      </c>
      <c s="6" r="BS1616">
        <v>1644</v>
      </c>
      <c t="s" s="6" r="BT1616">
        <v>92</v>
      </c>
      <c s="6" r="BY1616">
        <v>0</v>
      </c>
    </row>
    <row customHeight="1" r="1617" ht="14.25">
      <c t="s" s="6" r="A1617">
        <v>11297</v>
      </c>
      <c t="s" s="6" r="B1617">
        <v>131</v>
      </c>
      <c t="s" s="6" r="E1617">
        <v>11298</v>
      </c>
      <c t="s" s="6" r="F1617">
        <v>81</v>
      </c>
      <c t="s" s="6" r="G1617">
        <v>119</v>
      </c>
      <c s="6" r="H1617">
        <v>0</v>
      </c>
      <c t="s" s="6" r="I1617">
        <v>107</v>
      </c>
      <c t="s" s="6" r="J1617">
        <v>482</v>
      </c>
      <c t="s" s="6" r="M1617">
        <v>99</v>
      </c>
      <c s="6" r="N1617">
        <v>0</v>
      </c>
      <c s="6" r="O1617">
        <v>0</v>
      </c>
      <c t="s" s="6" r="P1617">
        <v>144</v>
      </c>
      <c t="s" s="6" r="Q1617">
        <v>145</v>
      </c>
      <c t="s" s="6" r="R1617">
        <v>11299</v>
      </c>
      <c t="s" s="6" r="S1617">
        <v>11300</v>
      </c>
      <c t="s" s="6" r="T1617">
        <v>11281</v>
      </c>
      <c t="s" s="6" r="U1617">
        <v>11301</v>
      </c>
      <c s="6" r="V1617">
        <v>1</v>
      </c>
      <c s="6" r="W1617">
        <v>1</v>
      </c>
      <c s="6" r="X1617">
        <v>0</v>
      </c>
      <c s="6" r="Y1617">
        <v>0</v>
      </c>
      <c s="6" r="Z1617">
        <v>1</v>
      </c>
      <c t="s" s="6" r="AA1617">
        <v>92</v>
      </c>
      <c t="s" s="6" r="AB1617">
        <v>92</v>
      </c>
      <c s="6" r="AC1617">
        <v>5</v>
      </c>
      <c t="s" s="6" r="AD1617">
        <v>92</v>
      </c>
      <c t="s" s="6" r="AE1617">
        <v>92</v>
      </c>
      <c t="s" s="6" r="AF1617">
        <v>92</v>
      </c>
      <c s="6" r="AG1617">
        <v>3</v>
      </c>
      <c t="s" s="6" r="AH1617">
        <v>92</v>
      </c>
      <c t="s" s="6" r="AI1617">
        <v>92</v>
      </c>
      <c t="s" s="6" r="AJ1617">
        <v>92</v>
      </c>
      <c t="s" s="6" r="AK1617">
        <v>92</v>
      </c>
      <c s="6" r="AL1617">
        <v>5</v>
      </c>
      <c t="s" s="6" r="AM1617">
        <v>92</v>
      </c>
      <c t="s" s="6" r="AN1617">
        <v>92</v>
      </c>
      <c s="6" r="AP1617">
        <v>5</v>
      </c>
      <c s="6" r="AS1617">
        <v>0</v>
      </c>
      <c s="6" r="AT1617">
        <v>0</v>
      </c>
      <c s="6" r="AU1617">
        <v>0</v>
      </c>
      <c s="6" r="AV1617">
        <v>0</v>
      </c>
      <c s="6" r="AW1617">
        <v>0</v>
      </c>
      <c s="6" r="AX1617">
        <v>0</v>
      </c>
      <c s="6" r="AY1617">
        <v>0</v>
      </c>
      <c s="6" r="AZ1617">
        <v>0</v>
      </c>
      <c s="6" r="BA1617">
        <v>0</v>
      </c>
      <c s="6" r="BB1617">
        <v>0</v>
      </c>
      <c s="6" r="BC1617">
        <v>0</v>
      </c>
      <c s="6" r="BD1617">
        <v>0</v>
      </c>
      <c s="6" r="BE1617">
        <v>0</v>
      </c>
      <c s="6" r="BF1617">
        <v>0</v>
      </c>
      <c s="6" r="BG1617">
        <v>0</v>
      </c>
      <c s="6" r="BH1617">
        <v>0</v>
      </c>
      <c s="6" r="BI1617">
        <v>0</v>
      </c>
      <c s="6" r="BJ1617">
        <v>0</v>
      </c>
      <c s="6" r="BK1617">
        <v>0</v>
      </c>
      <c s="6" r="BL1617">
        <v>0</v>
      </c>
      <c s="6" r="BM1617">
        <v>0</v>
      </c>
      <c s="6" r="BN1617">
        <v>0</v>
      </c>
      <c s="6" r="BO1617">
        <v>0</v>
      </c>
      <c s="6" r="BP1617">
        <v>0</v>
      </c>
      <c s="6" r="BQ1617">
        <v>0</v>
      </c>
      <c t="s" s="6" r="BR1617">
        <v>92</v>
      </c>
      <c s="6" r="BS1617">
        <v>1645</v>
      </c>
      <c t="s" s="6" r="BT1617">
        <v>92</v>
      </c>
      <c s="6" r="BY1617">
        <v>0</v>
      </c>
    </row>
    <row customHeight="1" r="1618" ht="14.25">
      <c t="s" s="6" r="A1618">
        <v>11302</v>
      </c>
      <c t="s" s="6" r="B1618">
        <v>78</v>
      </c>
      <c t="s" s="6" r="C1618">
        <v>1042</v>
      </c>
      <c t="s" s="6" r="E1618">
        <v>11303</v>
      </c>
      <c t="s" s="6" r="F1618">
        <v>272</v>
      </c>
      <c t="s" s="6" r="G1618">
        <v>11304</v>
      </c>
      <c s="6" r="H1618">
        <v>0</v>
      </c>
      <c t="s" s="6" r="I1618">
        <v>97</v>
      </c>
      <c t="s" s="6" r="K1618">
        <v>11305</v>
      </c>
      <c t="s" s="6" r="M1618">
        <v>99</v>
      </c>
      <c s="6" r="N1618">
        <v>0</v>
      </c>
      <c s="6" r="O1618">
        <v>0</v>
      </c>
      <c t="s" s="6" r="P1618">
        <v>11306</v>
      </c>
      <c t="s" s="6" r="Q1618">
        <v>87</v>
      </c>
      <c t="s" s="6" r="R1618">
        <v>11307</v>
      </c>
      <c t="s" s="6" r="S1618">
        <v>11308</v>
      </c>
      <c t="s" s="6" r="T1618">
        <v>11281</v>
      </c>
      <c t="s" s="6" r="U1618">
        <v>11309</v>
      </c>
      <c s="6" r="V1618">
        <v>1</v>
      </c>
      <c s="6" r="W1618">
        <v>1</v>
      </c>
      <c s="6" r="X1618">
        <v>1</v>
      </c>
      <c s="6" r="Y1618">
        <v>0</v>
      </c>
      <c s="6" r="Z1618">
        <v>0</v>
      </c>
      <c t="s" s="6" r="AA1618">
        <v>92</v>
      </c>
      <c t="s" s="6" r="AB1618">
        <v>92</v>
      </c>
      <c s="6" r="AC1618">
        <v>6</v>
      </c>
      <c s="6" r="AD1618">
        <v>6</v>
      </c>
      <c t="s" s="6" r="AE1618">
        <v>92</v>
      </c>
      <c t="s" s="6" r="AF1618">
        <v>92</v>
      </c>
      <c t="s" s="6" r="AG1618">
        <v>92</v>
      </c>
      <c t="s" s="6" r="AH1618">
        <v>92</v>
      </c>
      <c s="6" r="AI1618">
        <v>4</v>
      </c>
      <c t="s" s="6" r="AJ1618">
        <v>92</v>
      </c>
      <c t="s" s="6" r="AK1618">
        <v>92</v>
      </c>
      <c s="6" r="AL1618">
        <v>6</v>
      </c>
      <c t="s" s="6" r="AM1618">
        <v>92</v>
      </c>
      <c t="s" s="6" r="AN1618">
        <v>92</v>
      </c>
      <c s="6" r="AP1618">
        <v>6</v>
      </c>
      <c s="6" r="AS1618">
        <v>0</v>
      </c>
      <c s="6" r="AT1618">
        <v>0</v>
      </c>
      <c s="6" r="AU1618">
        <v>0</v>
      </c>
      <c s="6" r="AV1618">
        <v>0</v>
      </c>
      <c s="6" r="AW1618">
        <v>0</v>
      </c>
      <c s="6" r="AX1618">
        <v>0</v>
      </c>
      <c s="6" r="AY1618">
        <v>0</v>
      </c>
      <c s="6" r="AZ1618">
        <v>0</v>
      </c>
      <c s="6" r="BA1618">
        <v>0</v>
      </c>
      <c s="6" r="BB1618">
        <v>0</v>
      </c>
      <c s="6" r="BC1618">
        <v>0</v>
      </c>
      <c s="6" r="BD1618">
        <v>0</v>
      </c>
      <c s="6" r="BE1618">
        <v>0</v>
      </c>
      <c s="6" r="BF1618">
        <v>0</v>
      </c>
      <c s="6" r="BG1618">
        <v>0</v>
      </c>
      <c s="6" r="BH1618">
        <v>0</v>
      </c>
      <c s="6" r="BI1618">
        <v>0</v>
      </c>
      <c s="6" r="BJ1618">
        <v>0</v>
      </c>
      <c s="6" r="BK1618">
        <v>0</v>
      </c>
      <c s="6" r="BL1618">
        <v>0</v>
      </c>
      <c s="6" r="BM1618">
        <v>0</v>
      </c>
      <c s="6" r="BN1618">
        <v>0</v>
      </c>
      <c s="6" r="BO1618">
        <v>0</v>
      </c>
      <c s="6" r="BP1618">
        <v>0</v>
      </c>
      <c s="6" r="BQ1618">
        <v>0</v>
      </c>
      <c t="s" s="6" r="BR1618">
        <v>92</v>
      </c>
      <c s="6" r="BS1618">
        <v>1646</v>
      </c>
      <c t="s" s="6" r="BT1618">
        <v>92</v>
      </c>
      <c s="6" r="BY1618">
        <v>0</v>
      </c>
    </row>
    <row customHeight="1" r="1619" ht="14.25">
      <c t="s" s="6" r="A1619">
        <v>11310</v>
      </c>
      <c t="s" s="6" r="B1619">
        <v>78</v>
      </c>
      <c t="s" s="6" r="E1619">
        <v>1547</v>
      </c>
      <c t="s" s="6" r="F1619">
        <v>311</v>
      </c>
      <c t="s" s="6" r="G1619">
        <v>119</v>
      </c>
      <c s="6" r="H1619">
        <v>0</v>
      </c>
      <c t="s" s="6" r="I1619">
        <v>83</v>
      </c>
      <c t="s" s="6" r="J1619">
        <v>11311</v>
      </c>
      <c t="s" s="6" r="M1619">
        <v>711</v>
      </c>
      <c s="6" r="N1619">
        <v>1</v>
      </c>
      <c s="6" r="O1619">
        <v>0</v>
      </c>
      <c t="s" s="6" r="P1619">
        <v>11150</v>
      </c>
      <c t="s" s="6" r="Q1619">
        <v>188</v>
      </c>
      <c t="s" s="6" r="R1619">
        <v>11312</v>
      </c>
      <c t="s" s="6" r="S1619">
        <v>11313</v>
      </c>
      <c t="s" s="6" r="T1619">
        <v>11281</v>
      </c>
      <c t="s" s="6" r="U1619">
        <v>11314</v>
      </c>
      <c s="6" r="V1619">
        <v>1</v>
      </c>
      <c s="6" r="W1619">
        <v>1</v>
      </c>
      <c s="6" r="X1619">
        <v>0</v>
      </c>
      <c s="6" r="Y1619">
        <v>0</v>
      </c>
      <c s="6" r="Z1619">
        <v>1</v>
      </c>
      <c t="s" s="6" r="AA1619">
        <v>92</v>
      </c>
      <c t="s" s="6" r="AB1619">
        <v>92</v>
      </c>
      <c s="6" r="AC1619">
        <v>8</v>
      </c>
      <c s="6" r="AD1619">
        <v>8</v>
      </c>
      <c t="s" s="6" r="AE1619">
        <v>92</v>
      </c>
      <c t="s" s="6" r="AF1619">
        <v>92</v>
      </c>
      <c t="s" s="6" r="AG1619">
        <v>92</v>
      </c>
      <c t="s" s="6" r="AH1619">
        <v>92</v>
      </c>
      <c t="s" s="6" r="AI1619">
        <v>92</v>
      </c>
      <c t="s" s="6" r="AJ1619">
        <v>92</v>
      </c>
      <c t="s" s="6" r="AK1619">
        <v>92</v>
      </c>
      <c s="6" r="AL1619">
        <v>8</v>
      </c>
      <c t="s" s="6" r="AM1619">
        <v>92</v>
      </c>
      <c t="s" s="6" r="AN1619">
        <v>92</v>
      </c>
      <c s="6" r="AP1619">
        <v>8</v>
      </c>
      <c s="6" r="AS1619">
        <v>0</v>
      </c>
      <c s="6" r="AT1619">
        <v>0</v>
      </c>
      <c s="6" r="AU1619">
        <v>0</v>
      </c>
      <c s="6" r="AV1619">
        <v>0</v>
      </c>
      <c s="6" r="AW1619">
        <v>0</v>
      </c>
      <c s="6" r="AX1619">
        <v>0</v>
      </c>
      <c s="6" r="AY1619">
        <v>0</v>
      </c>
      <c s="6" r="AZ1619">
        <v>0</v>
      </c>
      <c s="6" r="BA1619">
        <v>0</v>
      </c>
      <c s="6" r="BB1619">
        <v>0</v>
      </c>
      <c s="6" r="BC1619">
        <v>0</v>
      </c>
      <c s="6" r="BD1619">
        <v>0</v>
      </c>
      <c s="6" r="BE1619">
        <v>0</v>
      </c>
      <c s="6" r="BF1619">
        <v>0</v>
      </c>
      <c s="6" r="BG1619">
        <v>0</v>
      </c>
      <c s="6" r="BH1619">
        <v>0</v>
      </c>
      <c s="6" r="BI1619">
        <v>0</v>
      </c>
      <c s="6" r="BJ1619">
        <v>0</v>
      </c>
      <c s="6" r="BK1619">
        <v>0</v>
      </c>
      <c s="6" r="BL1619">
        <v>0</v>
      </c>
      <c s="6" r="BM1619">
        <v>0</v>
      </c>
      <c s="6" r="BN1619">
        <v>0</v>
      </c>
      <c s="6" r="BO1619">
        <v>0</v>
      </c>
      <c s="6" r="BP1619">
        <v>0</v>
      </c>
      <c s="6" r="BQ1619">
        <v>0</v>
      </c>
      <c t="s" s="6" r="BR1619">
        <v>92</v>
      </c>
      <c s="6" r="BS1619">
        <v>1647</v>
      </c>
      <c t="s" s="6" r="BT1619">
        <v>92</v>
      </c>
      <c s="6" r="BY1619">
        <v>0</v>
      </c>
    </row>
    <row customHeight="1" r="1620" ht="14.25">
      <c t="s" s="6" r="A1620">
        <v>11315</v>
      </c>
      <c t="s" s="6" r="B1620">
        <v>227</v>
      </c>
      <c t="s" s="6" r="E1620">
        <v>11316</v>
      </c>
      <c t="s" s="6" r="F1620">
        <v>81</v>
      </c>
      <c t="s" s="6" r="G1620">
        <v>11317</v>
      </c>
      <c s="6" r="H1620">
        <v>0</v>
      </c>
      <c t="s" s="6" r="I1620">
        <v>120</v>
      </c>
      <c t="s" s="6" r="L1620">
        <v>11318</v>
      </c>
      <c t="s" s="6" r="M1620">
        <v>5513</v>
      </c>
      <c s="6" r="N1620">
        <v>1</v>
      </c>
      <c s="6" r="O1620">
        <v>0</v>
      </c>
      <c t="s" s="6" r="P1620">
        <v>144</v>
      </c>
      <c t="s" s="6" r="Q1620">
        <v>145</v>
      </c>
      <c t="s" s="6" r="R1620">
        <v>11319</v>
      </c>
      <c t="s" s="6" r="S1620">
        <v>11320</v>
      </c>
      <c t="s" s="6" r="T1620">
        <v>11321</v>
      </c>
      <c t="s" s="6" r="U1620">
        <v>11322</v>
      </c>
      <c s="6" r="V1620">
        <v>1</v>
      </c>
      <c s="6" r="W1620">
        <v>1</v>
      </c>
      <c s="6" r="X1620">
        <v>0</v>
      </c>
      <c s="6" r="Y1620">
        <v>0</v>
      </c>
      <c s="6" r="Z1620">
        <v>0</v>
      </c>
      <c s="6" r="AA1620">
        <v>3</v>
      </c>
      <c s="6" r="AB1620">
        <v>3</v>
      </c>
      <c s="6" r="AC1620">
        <v>3</v>
      </c>
      <c t="s" s="6" r="AD1620">
        <v>92</v>
      </c>
      <c s="6" r="AE1620">
        <v>3</v>
      </c>
      <c t="s" s="6" r="AF1620">
        <v>92</v>
      </c>
      <c t="s" s="6" r="AG1620">
        <v>92</v>
      </c>
      <c t="s" s="6" r="AH1620">
        <v>92</v>
      </c>
      <c t="s" s="6" r="AI1620">
        <v>92</v>
      </c>
      <c t="s" s="6" r="AJ1620">
        <v>92</v>
      </c>
      <c t="s" s="6" r="AK1620">
        <v>92</v>
      </c>
      <c s="6" r="AL1620">
        <v>3</v>
      </c>
      <c s="6" r="AM1620">
        <v>3</v>
      </c>
      <c t="s" s="6" r="AN1620">
        <v>92</v>
      </c>
      <c t="s" s="6" r="AO1620">
        <v>11323</v>
      </c>
      <c s="6" r="AP1620">
        <v>3</v>
      </c>
      <c s="6" r="AS1620">
        <v>0</v>
      </c>
      <c s="6" r="AT1620">
        <v>0</v>
      </c>
      <c s="6" r="AU1620">
        <v>0</v>
      </c>
      <c s="6" r="AV1620">
        <v>0</v>
      </c>
      <c s="6" r="AW1620">
        <v>0</v>
      </c>
      <c s="6" r="AX1620">
        <v>0</v>
      </c>
      <c s="6" r="AY1620">
        <v>0</v>
      </c>
      <c s="6" r="AZ1620">
        <v>0</v>
      </c>
      <c s="6" r="BA1620">
        <v>0</v>
      </c>
      <c s="6" r="BB1620">
        <v>0</v>
      </c>
      <c s="6" r="BC1620">
        <v>0</v>
      </c>
      <c s="6" r="BD1620">
        <v>0</v>
      </c>
      <c s="6" r="BE1620">
        <v>0</v>
      </c>
      <c s="6" r="BF1620">
        <v>0</v>
      </c>
      <c s="6" r="BG1620">
        <v>0</v>
      </c>
      <c s="6" r="BH1620">
        <v>0</v>
      </c>
      <c s="6" r="BI1620">
        <v>0</v>
      </c>
      <c s="6" r="BJ1620">
        <v>0</v>
      </c>
      <c s="6" r="BK1620">
        <v>0</v>
      </c>
      <c s="6" r="BL1620">
        <v>0</v>
      </c>
      <c s="6" r="BM1620">
        <v>0</v>
      </c>
      <c s="6" r="BN1620">
        <v>0</v>
      </c>
      <c s="6" r="BO1620">
        <v>0</v>
      </c>
      <c s="6" r="BP1620">
        <v>0</v>
      </c>
      <c s="6" r="BQ1620">
        <v>0</v>
      </c>
      <c t="s" s="6" r="BR1620">
        <v>92</v>
      </c>
      <c s="6" r="BS1620">
        <v>1648</v>
      </c>
      <c t="s" s="6" r="BT1620">
        <v>92</v>
      </c>
      <c s="6" r="BY1620">
        <v>0</v>
      </c>
    </row>
    <row customHeight="1" r="1621" ht="14.25">
      <c t="s" s="6" r="A1621">
        <v>11324</v>
      </c>
      <c t="s" s="6" r="B1621">
        <v>227</v>
      </c>
      <c t="s" s="6" r="E1621">
        <v>2887</v>
      </c>
      <c t="s" s="6" r="F1621">
        <v>81</v>
      </c>
      <c t="s" s="6" r="G1621">
        <v>106</v>
      </c>
      <c s="6" r="H1621">
        <v>0</v>
      </c>
      <c t="s" s="6" r="I1621">
        <v>11325</v>
      </c>
      <c t="s" s="6" r="L1621">
        <v>11326</v>
      </c>
      <c t="s" s="6" r="M1621">
        <v>5005</v>
      </c>
      <c s="6" r="N1621">
        <v>0</v>
      </c>
      <c s="6" r="O1621">
        <v>0</v>
      </c>
      <c t="s" s="6" r="P1621">
        <v>86</v>
      </c>
      <c t="s" s="6" r="Q1621">
        <v>188</v>
      </c>
      <c t="s" s="6" r="R1621">
        <v>11327</v>
      </c>
      <c t="s" s="6" r="S1621">
        <v>11328</v>
      </c>
      <c t="s" s="6" r="T1621">
        <v>11321</v>
      </c>
      <c t="s" s="6" r="U1621">
        <v>11329</v>
      </c>
      <c s="6" r="V1621">
        <v>1</v>
      </c>
      <c s="6" r="W1621">
        <v>1</v>
      </c>
      <c s="6" r="X1621">
        <v>0</v>
      </c>
      <c s="6" r="Y1621">
        <v>0</v>
      </c>
      <c s="6" r="Z1621">
        <v>0</v>
      </c>
      <c s="6" r="AA1621">
        <v>2</v>
      </c>
      <c s="6" r="AB1621">
        <v>2</v>
      </c>
      <c s="6" r="AC1621">
        <v>2</v>
      </c>
      <c t="s" s="6" r="AD1621">
        <v>92</v>
      </c>
      <c t="s" s="6" r="AE1621">
        <v>92</v>
      </c>
      <c t="s" s="6" r="AF1621">
        <v>92</v>
      </c>
      <c t="s" s="6" r="AG1621">
        <v>92</v>
      </c>
      <c t="s" s="6" r="AH1621">
        <v>92</v>
      </c>
      <c t="s" s="6" r="AI1621">
        <v>92</v>
      </c>
      <c t="s" s="6" r="AJ1621">
        <v>92</v>
      </c>
      <c t="s" s="6" r="AK1621">
        <v>92</v>
      </c>
      <c s="6" r="AL1621">
        <v>2</v>
      </c>
      <c t="s" s="6" r="AM1621">
        <v>92</v>
      </c>
      <c t="s" s="6" r="AN1621">
        <v>92</v>
      </c>
      <c t="s" s="6" r="AO1621">
        <v>11323</v>
      </c>
      <c s="6" r="AP1621">
        <v>2</v>
      </c>
      <c s="6" r="AS1621">
        <v>0</v>
      </c>
      <c s="6" r="AT1621">
        <v>0</v>
      </c>
      <c s="6" r="AU1621">
        <v>0</v>
      </c>
      <c s="6" r="AV1621">
        <v>0</v>
      </c>
      <c s="6" r="AW1621">
        <v>0</v>
      </c>
      <c s="6" r="AX1621">
        <v>0</v>
      </c>
      <c s="6" r="AY1621">
        <v>0</v>
      </c>
      <c s="6" r="AZ1621">
        <v>0</v>
      </c>
      <c s="6" r="BA1621">
        <v>0</v>
      </c>
      <c s="6" r="BB1621">
        <v>0</v>
      </c>
      <c s="6" r="BC1621">
        <v>0</v>
      </c>
      <c s="6" r="BD1621">
        <v>0</v>
      </c>
      <c s="6" r="BE1621">
        <v>0</v>
      </c>
      <c s="6" r="BF1621">
        <v>0</v>
      </c>
      <c s="6" r="BG1621">
        <v>0</v>
      </c>
      <c s="6" r="BH1621">
        <v>0</v>
      </c>
      <c s="6" r="BI1621">
        <v>0</v>
      </c>
      <c s="6" r="BJ1621">
        <v>0</v>
      </c>
      <c s="6" r="BK1621">
        <v>0</v>
      </c>
      <c s="6" r="BL1621">
        <v>0</v>
      </c>
      <c s="6" r="BM1621">
        <v>0</v>
      </c>
      <c s="6" r="BN1621">
        <v>0</v>
      </c>
      <c s="6" r="BO1621">
        <v>0</v>
      </c>
      <c s="6" r="BP1621">
        <v>0</v>
      </c>
      <c s="6" r="BQ1621">
        <v>0</v>
      </c>
      <c t="s" s="6" r="BR1621">
        <v>92</v>
      </c>
      <c s="6" r="BS1621">
        <v>1649</v>
      </c>
      <c t="s" s="6" r="BT1621">
        <v>92</v>
      </c>
      <c s="6" r="BY1621">
        <v>0</v>
      </c>
    </row>
    <row customHeight="1" r="1622" ht="14.25">
      <c t="s" s="6" r="A1622">
        <v>11330</v>
      </c>
      <c t="s" s="6" r="B1622">
        <v>131</v>
      </c>
      <c t="s" s="6" r="E1622">
        <v>11331</v>
      </c>
      <c t="s" s="6" r="F1622">
        <v>81</v>
      </c>
      <c t="s" s="6" r="G1622">
        <v>119</v>
      </c>
      <c s="6" r="H1622">
        <v>0</v>
      </c>
      <c t="s" s="6" r="I1622">
        <v>107</v>
      </c>
      <c t="s" s="6" r="L1622">
        <v>9135</v>
      </c>
      <c t="s" s="6" r="M1622">
        <v>483</v>
      </c>
      <c s="6" r="N1622">
        <v>1</v>
      </c>
      <c s="6" r="O1622">
        <v>0</v>
      </c>
      <c t="s" s="6" r="P1622">
        <v>535</v>
      </c>
      <c t="s" s="6" r="Q1622">
        <v>536</v>
      </c>
      <c t="s" s="6" r="R1622">
        <v>11332</v>
      </c>
      <c t="s" s="6" r="S1622">
        <v>11333</v>
      </c>
      <c t="s" s="6" r="T1622">
        <v>11334</v>
      </c>
      <c t="s" s="6" r="U1622">
        <v>11335</v>
      </c>
      <c s="6" r="V1622">
        <v>1</v>
      </c>
      <c s="6" r="W1622">
        <v>1</v>
      </c>
      <c s="6" r="X1622">
        <v>0</v>
      </c>
      <c s="6" r="Y1622">
        <v>0</v>
      </c>
      <c s="6" r="Z1622">
        <v>1</v>
      </c>
      <c s="6" r="AA1622">
        <v>5</v>
      </c>
      <c s="6" r="AB1622">
        <v>5</v>
      </c>
      <c t="s" s="6" r="AC1622">
        <v>92</v>
      </c>
      <c t="s" s="6" r="AD1622">
        <v>92</v>
      </c>
      <c t="s" s="6" r="AE1622">
        <v>92</v>
      </c>
      <c t="s" s="6" r="AF1622">
        <v>92</v>
      </c>
      <c t="s" s="6" r="AG1622">
        <v>92</v>
      </c>
      <c s="6" r="AH1622">
        <v>4</v>
      </c>
      <c t="s" s="6" r="AI1622">
        <v>92</v>
      </c>
      <c s="6" r="AJ1622">
        <v>5</v>
      </c>
      <c s="6" r="AK1622">
        <v>4</v>
      </c>
      <c t="s" s="6" r="AL1622">
        <v>92</v>
      </c>
      <c t="s" s="6" r="AM1622">
        <v>92</v>
      </c>
      <c s="6" r="AN1622">
        <v>4</v>
      </c>
      <c s="6" r="AP1622">
        <v>5</v>
      </c>
      <c s="6" r="AS1622">
        <v>0</v>
      </c>
      <c s="6" r="AT1622">
        <v>0</v>
      </c>
      <c s="6" r="AU1622">
        <v>0</v>
      </c>
      <c s="6" r="AV1622">
        <v>0</v>
      </c>
      <c s="6" r="AW1622">
        <v>0</v>
      </c>
      <c s="6" r="AX1622">
        <v>0</v>
      </c>
      <c s="6" r="AY1622">
        <v>0</v>
      </c>
      <c s="6" r="AZ1622">
        <v>0</v>
      </c>
      <c s="6" r="BA1622">
        <v>0</v>
      </c>
      <c s="6" r="BB1622">
        <v>0</v>
      </c>
      <c s="6" r="BC1622">
        <v>0</v>
      </c>
      <c s="6" r="BD1622">
        <v>0</v>
      </c>
      <c s="6" r="BE1622">
        <v>0</v>
      </c>
      <c s="6" r="BF1622">
        <v>0</v>
      </c>
      <c s="6" r="BG1622">
        <v>0</v>
      </c>
      <c s="6" r="BH1622">
        <v>0</v>
      </c>
      <c s="6" r="BI1622">
        <v>0</v>
      </c>
      <c s="6" r="BJ1622">
        <v>0</v>
      </c>
      <c s="6" r="BK1622">
        <v>0</v>
      </c>
      <c s="6" r="BL1622">
        <v>0</v>
      </c>
      <c s="6" r="BM1622">
        <v>0</v>
      </c>
      <c s="6" r="BN1622">
        <v>0</v>
      </c>
      <c s="6" r="BO1622">
        <v>0</v>
      </c>
      <c s="6" r="BP1622">
        <v>0</v>
      </c>
      <c s="6" r="BQ1622">
        <v>0</v>
      </c>
      <c t="s" s="6" r="BR1622">
        <v>92</v>
      </c>
      <c s="6" r="BS1622">
        <v>1650</v>
      </c>
      <c t="s" s="6" r="BT1622">
        <v>92</v>
      </c>
      <c s="6" r="BY1622">
        <v>0</v>
      </c>
    </row>
    <row customHeight="1" r="1623" ht="14.25">
      <c t="s" s="6" r="A1623">
        <v>11336</v>
      </c>
      <c t="s" s="6" r="B1623">
        <v>131</v>
      </c>
      <c t="s" s="6" r="E1623">
        <v>11337</v>
      </c>
      <c t="s" s="6" r="F1623">
        <v>81</v>
      </c>
      <c t="s" s="6" r="G1623">
        <v>119</v>
      </c>
      <c s="6" r="H1623">
        <v>0</v>
      </c>
      <c t="s" s="6" r="I1623">
        <v>155</v>
      </c>
      <c t="s" s="6" r="L1623">
        <v>156</v>
      </c>
      <c t="s" s="6" r="M1623">
        <v>5954</v>
      </c>
      <c s="6" r="N1623">
        <v>1</v>
      </c>
      <c s="6" r="O1623">
        <v>0</v>
      </c>
      <c t="s" s="6" r="R1623">
        <v>11338</v>
      </c>
      <c t="s" s="6" r="S1623">
        <v>11339</v>
      </c>
      <c t="s" s="6" r="T1623">
        <v>11334</v>
      </c>
      <c t="s" s="6" r="U1623">
        <v>11340</v>
      </c>
      <c s="6" r="V1623">
        <v>1</v>
      </c>
      <c s="6" r="W1623">
        <v>1</v>
      </c>
      <c s="6" r="X1623">
        <v>0</v>
      </c>
      <c s="6" r="Y1623">
        <v>0</v>
      </c>
      <c s="6" r="Z1623">
        <v>1</v>
      </c>
      <c s="6" r="AA1623">
        <v>0</v>
      </c>
      <c s="6" r="AB1623">
        <v>0</v>
      </c>
      <c t="s" s="6" r="AC1623">
        <v>92</v>
      </c>
      <c s="6" r="AD1623">
        <v>0</v>
      </c>
      <c s="6" r="AE1623">
        <v>1</v>
      </c>
      <c t="s" s="6" r="AF1623">
        <v>92</v>
      </c>
      <c t="s" s="6" r="AG1623">
        <v>92</v>
      </c>
      <c s="6" r="AH1623">
        <v>1</v>
      </c>
      <c t="s" s="6" r="AI1623">
        <v>92</v>
      </c>
      <c t="s" s="6" r="AJ1623">
        <v>92</v>
      </c>
      <c t="s" s="6" r="AK1623">
        <v>92</v>
      </c>
      <c t="s" s="6" r="AL1623">
        <v>92</v>
      </c>
      <c t="s" s="6" r="AM1623">
        <v>92</v>
      </c>
      <c t="s" s="6" r="AN1623">
        <v>92</v>
      </c>
      <c s="6" r="AP1623">
        <v>0</v>
      </c>
      <c s="6" r="AS1623">
        <v>0</v>
      </c>
      <c s="6" r="AT1623">
        <v>0</v>
      </c>
      <c s="6" r="AU1623">
        <v>0</v>
      </c>
      <c s="6" r="AV1623">
        <v>0</v>
      </c>
      <c s="6" r="AW1623">
        <v>0</v>
      </c>
      <c s="6" r="AX1623">
        <v>0</v>
      </c>
      <c s="6" r="AY1623">
        <v>0</v>
      </c>
      <c s="6" r="AZ1623">
        <v>0</v>
      </c>
      <c s="6" r="BA1623">
        <v>0</v>
      </c>
      <c s="6" r="BB1623">
        <v>0</v>
      </c>
      <c s="6" r="BC1623">
        <v>0</v>
      </c>
      <c s="6" r="BD1623">
        <v>0</v>
      </c>
      <c s="6" r="BE1623">
        <v>0</v>
      </c>
      <c s="6" r="BF1623">
        <v>0</v>
      </c>
      <c s="6" r="BG1623">
        <v>0</v>
      </c>
      <c s="6" r="BH1623">
        <v>0</v>
      </c>
      <c s="6" r="BI1623">
        <v>0</v>
      </c>
      <c s="6" r="BJ1623">
        <v>0</v>
      </c>
      <c s="6" r="BK1623">
        <v>0</v>
      </c>
      <c s="6" r="BL1623">
        <v>0</v>
      </c>
      <c s="6" r="BM1623">
        <v>0</v>
      </c>
      <c s="6" r="BN1623">
        <v>0</v>
      </c>
      <c s="6" r="BO1623">
        <v>0</v>
      </c>
      <c s="6" r="BP1623">
        <v>0</v>
      </c>
      <c s="6" r="BQ1623">
        <v>0</v>
      </c>
      <c t="s" s="6" r="BR1623">
        <v>92</v>
      </c>
      <c s="6" r="BS1623">
        <v>1651</v>
      </c>
      <c t="s" s="6" r="BT1623">
        <v>92</v>
      </c>
      <c s="6" r="BY1623">
        <v>0</v>
      </c>
    </row>
    <row customHeight="1" r="1624" ht="14.25">
      <c t="s" s="6" r="A1624">
        <v>11341</v>
      </c>
      <c t="s" s="6" r="B1624">
        <v>493</v>
      </c>
      <c t="s" s="6" r="D1624">
        <v>62</v>
      </c>
      <c t="s" s="6" r="E1624">
        <v>11342</v>
      </c>
      <c t="s" s="6" r="F1624">
        <v>81</v>
      </c>
      <c t="s" s="6" r="G1624">
        <v>11343</v>
      </c>
      <c s="6" r="H1624">
        <v>0</v>
      </c>
      <c t="s" s="6" r="I1624">
        <v>97</v>
      </c>
      <c t="s" s="6" r="J1624">
        <v>11344</v>
      </c>
      <c t="s" s="6" r="M1624">
        <v>109</v>
      </c>
      <c s="6" r="N1624">
        <v>0</v>
      </c>
      <c s="6" r="O1624">
        <v>0</v>
      </c>
      <c t="s" s="6" r="P1624">
        <v>1254</v>
      </c>
      <c t="s" s="6" r="Q1624">
        <v>188</v>
      </c>
      <c t="s" s="6" r="R1624">
        <v>11345</v>
      </c>
      <c t="s" s="6" r="S1624">
        <v>11346</v>
      </c>
      <c t="s" s="6" r="T1624">
        <v>11334</v>
      </c>
      <c t="s" s="6" r="U1624">
        <v>11347</v>
      </c>
      <c s="6" r="V1624">
        <v>1</v>
      </c>
      <c s="6" r="W1624">
        <v>1</v>
      </c>
      <c s="6" r="X1624">
        <v>1</v>
      </c>
      <c s="6" r="Y1624">
        <v>0</v>
      </c>
      <c s="6" r="Z1624">
        <v>1</v>
      </c>
      <c s="6" r="AA1624">
        <v>3</v>
      </c>
      <c s="6" r="AB1624">
        <v>3</v>
      </c>
      <c s="6" r="AC1624">
        <v>3</v>
      </c>
      <c s="6" r="AD1624">
        <v>3</v>
      </c>
      <c t="s" s="6" r="AE1624">
        <v>92</v>
      </c>
      <c t="s" s="6" r="AF1624">
        <v>92</v>
      </c>
      <c t="s" s="6" r="AG1624">
        <v>92</v>
      </c>
      <c t="s" s="6" r="AH1624">
        <v>92</v>
      </c>
      <c t="s" s="6" r="AI1624">
        <v>92</v>
      </c>
      <c t="s" s="6" r="AJ1624">
        <v>92</v>
      </c>
      <c t="s" s="6" r="AK1624">
        <v>92</v>
      </c>
      <c s="6" r="AL1624">
        <v>3</v>
      </c>
      <c t="s" s="6" r="AM1624">
        <v>92</v>
      </c>
      <c t="s" s="6" r="AN1624">
        <v>92</v>
      </c>
      <c s="6" r="AP1624">
        <v>3</v>
      </c>
      <c s="6" r="AS1624">
        <v>0</v>
      </c>
      <c s="6" r="AT1624">
        <v>0</v>
      </c>
      <c s="6" r="AU1624">
        <v>0</v>
      </c>
      <c s="6" r="AV1624">
        <v>0</v>
      </c>
      <c s="6" r="AW1624">
        <v>0</v>
      </c>
      <c s="6" r="AX1624">
        <v>0</v>
      </c>
      <c s="6" r="AY1624">
        <v>0</v>
      </c>
      <c s="6" r="AZ1624">
        <v>0</v>
      </c>
      <c s="6" r="BA1624">
        <v>0</v>
      </c>
      <c s="6" r="BB1624">
        <v>0</v>
      </c>
      <c s="6" r="BC1624">
        <v>0</v>
      </c>
      <c s="6" r="BD1624">
        <v>0</v>
      </c>
      <c s="6" r="BE1624">
        <v>0</v>
      </c>
      <c s="6" r="BF1624">
        <v>0</v>
      </c>
      <c s="6" r="BG1624">
        <v>0</v>
      </c>
      <c s="6" r="BH1624">
        <v>0</v>
      </c>
      <c s="6" r="BI1624">
        <v>0</v>
      </c>
      <c s="6" r="BJ1624">
        <v>0</v>
      </c>
      <c s="6" r="BK1624">
        <v>1</v>
      </c>
      <c s="6" r="BL1624">
        <v>0</v>
      </c>
      <c s="6" r="BM1624">
        <v>0</v>
      </c>
      <c s="6" r="BN1624">
        <v>0</v>
      </c>
      <c s="6" r="BO1624">
        <v>0</v>
      </c>
      <c s="6" r="BP1624">
        <v>0</v>
      </c>
      <c s="6" r="BQ1624">
        <v>0</v>
      </c>
      <c t="s" s="6" r="BR1624">
        <v>92</v>
      </c>
      <c s="6" r="BS1624">
        <v>1652</v>
      </c>
      <c t="s" s="6" r="BT1624">
        <v>92</v>
      </c>
      <c s="6" r="BY1624">
        <v>0</v>
      </c>
    </row>
    <row customHeight="1" r="1625" ht="14.25">
      <c t="s" s="6" r="A1625">
        <v>11348</v>
      </c>
      <c t="s" s="6" r="B1625">
        <v>131</v>
      </c>
      <c t="s" s="6" r="E1625">
        <v>11349</v>
      </c>
      <c t="s" s="6" r="F1625">
        <v>81</v>
      </c>
      <c t="s" s="6" r="G1625">
        <v>106</v>
      </c>
      <c s="6" r="H1625">
        <v>0</v>
      </c>
      <c t="s" s="6" r="I1625">
        <v>155</v>
      </c>
      <c t="s" s="6" r="L1625">
        <v>11350</v>
      </c>
      <c t="s" s="6" r="M1625">
        <v>209</v>
      </c>
      <c s="6" r="N1625">
        <v>0</v>
      </c>
      <c s="6" r="O1625">
        <v>0</v>
      </c>
      <c t="s" s="6" r="R1625">
        <v>11351</v>
      </c>
      <c t="s" s="6" r="S1625">
        <v>11352</v>
      </c>
      <c t="s" s="6" r="T1625">
        <v>11334</v>
      </c>
      <c t="s" s="6" r="U1625">
        <v>11353</v>
      </c>
      <c s="6" r="V1625">
        <v>1</v>
      </c>
      <c s="6" r="W1625">
        <v>1</v>
      </c>
      <c s="6" r="X1625">
        <v>0</v>
      </c>
      <c s="6" r="Y1625">
        <v>0</v>
      </c>
      <c s="6" r="Z1625">
        <v>0</v>
      </c>
      <c s="6" r="AA1625">
        <v>1</v>
      </c>
      <c s="6" r="AB1625">
        <v>1</v>
      </c>
      <c t="s" s="6" r="AC1625">
        <v>92</v>
      </c>
      <c s="6" r="AD1625">
        <v>1</v>
      </c>
      <c t="s" s="6" r="AE1625">
        <v>92</v>
      </c>
      <c t="s" s="6" r="AF1625">
        <v>92</v>
      </c>
      <c t="s" s="6" r="AG1625">
        <v>92</v>
      </c>
      <c s="6" r="AH1625">
        <v>1</v>
      </c>
      <c s="6" r="AI1625">
        <v>1</v>
      </c>
      <c s="6" r="AJ1625">
        <v>1</v>
      </c>
      <c t="s" s="6" r="AK1625">
        <v>92</v>
      </c>
      <c t="s" s="6" r="AL1625">
        <v>92</v>
      </c>
      <c s="6" r="AM1625">
        <v>1</v>
      </c>
      <c s="6" r="AN1625">
        <v>1</v>
      </c>
      <c s="6" r="AP1625">
        <v>1</v>
      </c>
      <c s="6" r="AS1625">
        <v>0</v>
      </c>
      <c s="6" r="AT1625">
        <v>0</v>
      </c>
      <c s="6" r="AU1625">
        <v>0</v>
      </c>
      <c s="6" r="AV1625">
        <v>0</v>
      </c>
      <c s="6" r="AW1625">
        <v>0</v>
      </c>
      <c s="6" r="AX1625">
        <v>0</v>
      </c>
      <c s="6" r="AY1625">
        <v>0</v>
      </c>
      <c s="6" r="AZ1625">
        <v>0</v>
      </c>
      <c s="6" r="BA1625">
        <v>0</v>
      </c>
      <c s="6" r="BB1625">
        <v>0</v>
      </c>
      <c s="6" r="BC1625">
        <v>0</v>
      </c>
      <c s="6" r="BD1625">
        <v>0</v>
      </c>
      <c s="6" r="BE1625">
        <v>0</v>
      </c>
      <c s="6" r="BF1625">
        <v>0</v>
      </c>
      <c s="6" r="BG1625">
        <v>0</v>
      </c>
      <c s="6" r="BH1625">
        <v>0</v>
      </c>
      <c s="6" r="BI1625">
        <v>0</v>
      </c>
      <c s="6" r="BJ1625">
        <v>0</v>
      </c>
      <c s="6" r="BK1625">
        <v>0</v>
      </c>
      <c s="6" r="BL1625">
        <v>0</v>
      </c>
      <c s="6" r="BM1625">
        <v>0</v>
      </c>
      <c s="6" r="BN1625">
        <v>0</v>
      </c>
      <c s="6" r="BO1625">
        <v>0</v>
      </c>
      <c s="6" r="BP1625">
        <v>0</v>
      </c>
      <c s="6" r="BQ1625">
        <v>0</v>
      </c>
      <c t="s" s="6" r="BR1625">
        <v>92</v>
      </c>
      <c s="6" r="BS1625">
        <v>1653</v>
      </c>
      <c t="s" s="6" r="BT1625">
        <v>92</v>
      </c>
      <c s="6" r="BY1625">
        <v>0</v>
      </c>
    </row>
    <row customHeight="1" r="1626" ht="14.25">
      <c t="s" s="6" r="A1626">
        <v>11354</v>
      </c>
      <c t="s" s="6" r="B1626">
        <v>78</v>
      </c>
      <c t="s" s="6" r="C1626">
        <v>79</v>
      </c>
      <c t="s" s="6" r="E1626">
        <v>11355</v>
      </c>
      <c t="s" s="6" r="F1626">
        <v>81</v>
      </c>
      <c t="s" s="6" r="G1626">
        <v>11356</v>
      </c>
      <c s="6" r="H1626">
        <v>0</v>
      </c>
      <c t="s" s="6" r="I1626">
        <v>120</v>
      </c>
      <c t="s" s="6" r="L1626">
        <v>11357</v>
      </c>
      <c t="s" s="6" r="M1626">
        <v>5513</v>
      </c>
      <c s="6" r="N1626">
        <v>1</v>
      </c>
      <c s="6" r="O1626">
        <v>0</v>
      </c>
      <c t="s" s="6" r="P1626">
        <v>144</v>
      </c>
      <c t="s" s="6" r="Q1626">
        <v>145</v>
      </c>
      <c t="s" s="6" r="R1626">
        <v>11358</v>
      </c>
      <c t="s" s="6" r="S1626">
        <v>11359</v>
      </c>
      <c t="s" s="6" r="T1626">
        <v>11334</v>
      </c>
      <c t="s" s="6" r="U1626">
        <v>11360</v>
      </c>
      <c s="6" r="V1626">
        <v>1</v>
      </c>
      <c s="6" r="W1626">
        <v>1</v>
      </c>
      <c s="6" r="X1626">
        <v>0</v>
      </c>
      <c s="6" r="Y1626">
        <v>0</v>
      </c>
      <c s="6" r="Z1626">
        <v>0</v>
      </c>
      <c s="6" r="AA1626">
        <v>2</v>
      </c>
      <c s="6" r="AB1626">
        <v>2</v>
      </c>
      <c s="6" r="AC1626">
        <v>2</v>
      </c>
      <c s="6" r="AD1626">
        <v>2</v>
      </c>
      <c s="6" r="AE1626">
        <v>2</v>
      </c>
      <c t="s" s="6" r="AF1626">
        <v>92</v>
      </c>
      <c t="s" s="6" r="AG1626">
        <v>92</v>
      </c>
      <c s="6" r="AH1626">
        <v>3</v>
      </c>
      <c t="s" s="6" r="AI1626">
        <v>92</v>
      </c>
      <c s="6" r="AJ1626">
        <v>2</v>
      </c>
      <c t="s" s="6" r="AK1626">
        <v>92</v>
      </c>
      <c s="6" r="AL1626">
        <v>2</v>
      </c>
      <c t="s" s="6" r="AM1626">
        <v>92</v>
      </c>
      <c t="s" s="6" r="AN1626">
        <v>92</v>
      </c>
      <c s="6" r="AP1626">
        <v>2</v>
      </c>
      <c s="6" r="AS1626">
        <v>0</v>
      </c>
      <c s="6" r="AT1626">
        <v>0</v>
      </c>
      <c s="6" r="AU1626">
        <v>0</v>
      </c>
      <c s="6" r="AV1626">
        <v>0</v>
      </c>
      <c s="6" r="AW1626">
        <v>0</v>
      </c>
      <c s="6" r="AX1626">
        <v>0</v>
      </c>
      <c s="6" r="AY1626">
        <v>0</v>
      </c>
      <c s="6" r="AZ1626">
        <v>0</v>
      </c>
      <c s="6" r="BA1626">
        <v>0</v>
      </c>
      <c s="6" r="BB1626">
        <v>0</v>
      </c>
      <c s="6" r="BC1626">
        <v>0</v>
      </c>
      <c s="6" r="BD1626">
        <v>0</v>
      </c>
      <c s="6" r="BE1626">
        <v>0</v>
      </c>
      <c s="6" r="BF1626">
        <v>0</v>
      </c>
      <c s="6" r="BG1626">
        <v>0</v>
      </c>
      <c s="6" r="BH1626">
        <v>0</v>
      </c>
      <c s="6" r="BI1626">
        <v>0</v>
      </c>
      <c s="6" r="BJ1626">
        <v>0</v>
      </c>
      <c s="6" r="BK1626">
        <v>0</v>
      </c>
      <c s="6" r="BL1626">
        <v>0</v>
      </c>
      <c s="6" r="BM1626">
        <v>0</v>
      </c>
      <c s="6" r="BN1626">
        <v>0</v>
      </c>
      <c s="6" r="BO1626">
        <v>0</v>
      </c>
      <c s="6" r="BP1626">
        <v>0</v>
      </c>
      <c s="6" r="BQ1626">
        <v>0</v>
      </c>
      <c t="s" s="6" r="BR1626">
        <v>92</v>
      </c>
      <c s="6" r="BS1626">
        <v>1654</v>
      </c>
      <c t="s" s="6" r="BT1626">
        <v>92</v>
      </c>
      <c s="6" r="BY1626">
        <v>0</v>
      </c>
    </row>
    <row customHeight="1" r="1627" ht="14.25">
      <c t="s" s="6" r="A1627">
        <v>11361</v>
      </c>
      <c t="s" s="6" r="B1627">
        <v>579</v>
      </c>
      <c t="s" s="6" r="C1627">
        <v>66</v>
      </c>
      <c t="s" s="6" r="D1627">
        <v>66</v>
      </c>
      <c t="s" s="6" r="E1627">
        <v>2194</v>
      </c>
      <c t="s" s="6" r="F1627">
        <v>81</v>
      </c>
      <c t="s" s="6" r="G1627">
        <v>106</v>
      </c>
      <c s="6" r="H1627">
        <v>0</v>
      </c>
      <c t="s" s="6" r="I1627">
        <v>155</v>
      </c>
      <c t="s" s="6" r="M1627">
        <v>99</v>
      </c>
      <c s="6" r="N1627">
        <v>0</v>
      </c>
      <c s="6" r="O1627">
        <v>0</v>
      </c>
      <c t="s" s="6" r="P1627">
        <v>11362</v>
      </c>
      <c t="s" s="6" r="Q1627">
        <v>11363</v>
      </c>
      <c t="s" s="6" r="R1627">
        <v>11364</v>
      </c>
      <c t="s" s="6" r="S1627">
        <v>11365</v>
      </c>
      <c t="s" s="6" r="T1627">
        <v>11334</v>
      </c>
      <c t="s" s="6" r="U1627">
        <v>11366</v>
      </c>
      <c s="6" r="V1627">
        <v>1</v>
      </c>
      <c s="6" r="W1627">
        <v>1</v>
      </c>
      <c s="6" r="X1627">
        <v>0</v>
      </c>
      <c s="6" r="Y1627">
        <v>0</v>
      </c>
      <c s="6" r="Z1627">
        <v>0</v>
      </c>
      <c s="6" r="AA1627">
        <v>4</v>
      </c>
      <c s="6" r="AB1627">
        <v>4</v>
      </c>
      <c t="s" s="6" r="AC1627">
        <v>92</v>
      </c>
      <c t="s" s="6" r="AD1627">
        <v>92</v>
      </c>
      <c t="s" s="6" r="AE1627">
        <v>92</v>
      </c>
      <c s="6" r="AF1627">
        <v>4</v>
      </c>
      <c t="s" s="6" r="AG1627">
        <v>92</v>
      </c>
      <c t="s" s="6" r="AH1627">
        <v>92</v>
      </c>
      <c t="s" s="6" r="AI1627">
        <v>92</v>
      </c>
      <c t="s" s="6" r="AJ1627">
        <v>92</v>
      </c>
      <c t="s" s="6" r="AK1627">
        <v>92</v>
      </c>
      <c t="s" s="6" r="AL1627">
        <v>92</v>
      </c>
      <c t="s" s="6" r="AM1627">
        <v>92</v>
      </c>
      <c t="s" s="6" r="AN1627">
        <v>92</v>
      </c>
      <c s="6" r="AP1627">
        <v>4</v>
      </c>
      <c s="6" r="AS1627">
        <v>0</v>
      </c>
      <c s="6" r="AT1627">
        <v>0</v>
      </c>
      <c s="6" r="AU1627">
        <v>0</v>
      </c>
      <c s="6" r="AV1627">
        <v>0</v>
      </c>
      <c s="6" r="AW1627">
        <v>0</v>
      </c>
      <c s="6" r="AX1627">
        <v>0</v>
      </c>
      <c s="6" r="AY1627">
        <v>0</v>
      </c>
      <c s="6" r="AZ1627">
        <v>0</v>
      </c>
      <c s="6" r="BA1627">
        <v>0</v>
      </c>
      <c s="6" r="BB1627">
        <v>0</v>
      </c>
      <c s="6" r="BC1627">
        <v>0</v>
      </c>
      <c s="6" r="BD1627">
        <v>0</v>
      </c>
      <c s="6" r="BE1627">
        <v>0</v>
      </c>
      <c s="6" r="BF1627">
        <v>0</v>
      </c>
      <c s="6" r="BG1627">
        <v>0</v>
      </c>
      <c s="6" r="BH1627">
        <v>0</v>
      </c>
      <c s="6" r="BI1627">
        <v>0</v>
      </c>
      <c s="6" r="BJ1627">
        <v>0</v>
      </c>
      <c s="6" r="BK1627">
        <v>0</v>
      </c>
      <c s="6" r="BL1627">
        <v>0</v>
      </c>
      <c s="6" r="BM1627">
        <v>0</v>
      </c>
      <c s="6" r="BN1627">
        <v>0</v>
      </c>
      <c s="6" r="BO1627">
        <v>1</v>
      </c>
      <c s="6" r="BP1627">
        <v>0</v>
      </c>
      <c s="6" r="BQ1627">
        <v>0</v>
      </c>
      <c t="s" s="6" r="BR1627">
        <v>92</v>
      </c>
      <c s="6" r="BS1627">
        <v>1655</v>
      </c>
      <c t="s" s="6" r="BT1627">
        <v>92</v>
      </c>
      <c s="6" r="BY1627">
        <v>0</v>
      </c>
    </row>
    <row customHeight="1" r="1628" ht="14.25">
      <c t="s" s="6" r="A1628">
        <v>11367</v>
      </c>
      <c t="s" s="6" r="B1628">
        <v>131</v>
      </c>
      <c t="s" s="6" r="E1628">
        <v>552</v>
      </c>
      <c t="s" s="6" r="F1628">
        <v>81</v>
      </c>
      <c t="s" s="6" r="G1628">
        <v>11368</v>
      </c>
      <c s="6" r="H1628">
        <v>0</v>
      </c>
      <c t="s" s="6" r="I1628">
        <v>107</v>
      </c>
      <c t="s" s="6" r="L1628">
        <v>473</v>
      </c>
      <c t="s" s="6" r="M1628">
        <v>2718</v>
      </c>
      <c s="6" r="N1628">
        <v>0</v>
      </c>
      <c s="6" r="O1628">
        <v>0</v>
      </c>
      <c t="s" s="6" r="P1628">
        <v>11369</v>
      </c>
      <c t="s" s="6" r="Q1628">
        <v>188</v>
      </c>
      <c t="s" s="6" r="R1628">
        <v>11370</v>
      </c>
      <c t="s" s="6" r="S1628">
        <v>11371</v>
      </c>
      <c t="s" s="6" r="T1628">
        <v>11334</v>
      </c>
      <c t="s" s="6" r="U1628">
        <v>11372</v>
      </c>
      <c s="6" r="V1628">
        <v>1</v>
      </c>
      <c s="6" r="W1628">
        <v>1</v>
      </c>
      <c s="6" r="X1628">
        <v>1</v>
      </c>
      <c s="6" r="Y1628">
        <v>0</v>
      </c>
      <c s="6" r="Z1628">
        <v>1</v>
      </c>
      <c s="6" r="AA1628">
        <v>5</v>
      </c>
      <c s="6" r="AB1628">
        <v>5</v>
      </c>
      <c t="s" s="6" r="AC1628">
        <v>92</v>
      </c>
      <c s="6" r="AD1628">
        <v>4</v>
      </c>
      <c t="s" s="6" r="AE1628">
        <v>92</v>
      </c>
      <c t="s" s="6" r="AF1628">
        <v>92</v>
      </c>
      <c t="s" s="6" r="AG1628">
        <v>92</v>
      </c>
      <c t="s" s="6" r="AH1628">
        <v>92</v>
      </c>
      <c t="s" s="6" r="AI1628">
        <v>92</v>
      </c>
      <c s="6" r="AJ1628">
        <v>5</v>
      </c>
      <c t="s" s="6" r="AK1628">
        <v>92</v>
      </c>
      <c t="s" s="6" r="AL1628">
        <v>92</v>
      </c>
      <c t="s" s="6" r="AM1628">
        <v>92</v>
      </c>
      <c t="s" s="6" r="AN1628">
        <v>92</v>
      </c>
      <c s="6" r="AP1628">
        <v>5</v>
      </c>
      <c s="6" r="AS1628">
        <v>0</v>
      </c>
      <c s="6" r="AT1628">
        <v>0</v>
      </c>
      <c s="6" r="AU1628">
        <v>0</v>
      </c>
      <c s="6" r="AV1628">
        <v>0</v>
      </c>
      <c s="6" r="AW1628">
        <v>0</v>
      </c>
      <c s="6" r="AX1628">
        <v>0</v>
      </c>
      <c s="6" r="AY1628">
        <v>0</v>
      </c>
      <c s="6" r="AZ1628">
        <v>0</v>
      </c>
      <c s="6" r="BA1628">
        <v>0</v>
      </c>
      <c s="6" r="BB1628">
        <v>0</v>
      </c>
      <c s="6" r="BC1628">
        <v>0</v>
      </c>
      <c s="6" r="BD1628">
        <v>0</v>
      </c>
      <c s="6" r="BE1628">
        <v>0</v>
      </c>
      <c s="6" r="BF1628">
        <v>0</v>
      </c>
      <c s="6" r="BG1628">
        <v>0</v>
      </c>
      <c s="6" r="BH1628">
        <v>0</v>
      </c>
      <c s="6" r="BI1628">
        <v>0</v>
      </c>
      <c s="6" r="BJ1628">
        <v>0</v>
      </c>
      <c s="6" r="BK1628">
        <v>0</v>
      </c>
      <c s="6" r="BL1628">
        <v>0</v>
      </c>
      <c s="6" r="BM1628">
        <v>0</v>
      </c>
      <c s="6" r="BN1628">
        <v>0</v>
      </c>
      <c s="6" r="BO1628">
        <v>0</v>
      </c>
      <c s="6" r="BP1628">
        <v>0</v>
      </c>
      <c s="6" r="BQ1628">
        <v>0</v>
      </c>
      <c t="s" s="6" r="BR1628">
        <v>92</v>
      </c>
      <c s="6" r="BS1628">
        <v>1656</v>
      </c>
      <c t="s" s="6" r="BT1628">
        <v>92</v>
      </c>
      <c s="6" r="BY1628">
        <v>0</v>
      </c>
    </row>
    <row customHeight="1" r="1629" ht="14.25">
      <c t="s" s="6" r="A1629">
        <v>11373</v>
      </c>
      <c t="s" s="6" r="B1629">
        <v>78</v>
      </c>
      <c t="s" s="6" r="C1629">
        <v>79</v>
      </c>
      <c t="s" s="6" r="E1629">
        <v>11374</v>
      </c>
      <c t="s" s="6" r="F1629">
        <v>81</v>
      </c>
      <c t="s" s="6" r="G1629">
        <v>11375</v>
      </c>
      <c s="6" r="H1629">
        <v>0</v>
      </c>
      <c t="s" s="6" r="I1629">
        <v>11376</v>
      </c>
      <c t="s" s="6" r="K1629">
        <v>11377</v>
      </c>
      <c t="s" s="6" r="M1629">
        <v>2718</v>
      </c>
      <c s="6" r="N1629">
        <v>0</v>
      </c>
      <c s="6" r="O1629">
        <v>0</v>
      </c>
      <c t="s" s="6" r="P1629">
        <v>86</v>
      </c>
      <c t="s" s="6" r="Q1629">
        <v>87</v>
      </c>
      <c t="s" s="6" r="R1629">
        <v>11378</v>
      </c>
      <c t="s" s="6" r="S1629">
        <v>11379</v>
      </c>
      <c t="s" s="6" r="T1629">
        <v>11334</v>
      </c>
      <c t="s" s="6" r="U1629">
        <v>11380</v>
      </c>
      <c s="6" r="V1629">
        <v>1</v>
      </c>
      <c s="6" r="W1629">
        <v>1</v>
      </c>
      <c s="6" r="X1629">
        <v>1</v>
      </c>
      <c s="6" r="Y1629">
        <v>0</v>
      </c>
      <c s="6" r="Z1629">
        <v>0</v>
      </c>
      <c s="6" r="AA1629">
        <v>3</v>
      </c>
      <c s="6" r="AB1629">
        <v>3</v>
      </c>
      <c t="s" s="6" r="AC1629">
        <v>92</v>
      </c>
      <c t="s" s="6" r="AD1629">
        <v>92</v>
      </c>
      <c t="s" s="6" r="AE1629">
        <v>92</v>
      </c>
      <c t="s" s="6" r="AF1629">
        <v>92</v>
      </c>
      <c t="s" s="6" r="AG1629">
        <v>92</v>
      </c>
      <c t="s" s="6" r="AH1629">
        <v>92</v>
      </c>
      <c s="6" r="AI1629">
        <v>2</v>
      </c>
      <c s="6" r="AJ1629">
        <v>3</v>
      </c>
      <c t="s" s="6" r="AK1629">
        <v>92</v>
      </c>
      <c t="s" s="6" r="AL1629">
        <v>92</v>
      </c>
      <c t="s" s="6" r="AM1629">
        <v>92</v>
      </c>
      <c t="s" s="6" r="AN1629">
        <v>92</v>
      </c>
      <c s="6" r="AP1629">
        <v>3</v>
      </c>
      <c s="6" r="AS1629">
        <v>0</v>
      </c>
      <c s="6" r="AT1629">
        <v>0</v>
      </c>
      <c s="6" r="AU1629">
        <v>0</v>
      </c>
      <c s="6" r="AV1629">
        <v>0</v>
      </c>
      <c s="6" r="AW1629">
        <v>0</v>
      </c>
      <c s="6" r="AX1629">
        <v>0</v>
      </c>
      <c s="6" r="AY1629">
        <v>0</v>
      </c>
      <c s="6" r="AZ1629">
        <v>0</v>
      </c>
      <c s="6" r="BA1629">
        <v>0</v>
      </c>
      <c s="6" r="BB1629">
        <v>0</v>
      </c>
      <c s="6" r="BC1629">
        <v>0</v>
      </c>
      <c s="6" r="BD1629">
        <v>0</v>
      </c>
      <c s="6" r="BE1629">
        <v>0</v>
      </c>
      <c s="6" r="BF1629">
        <v>0</v>
      </c>
      <c s="6" r="BG1629">
        <v>0</v>
      </c>
      <c s="6" r="BH1629">
        <v>0</v>
      </c>
      <c s="6" r="BI1629">
        <v>0</v>
      </c>
      <c s="6" r="BJ1629">
        <v>0</v>
      </c>
      <c s="6" r="BK1629">
        <v>0</v>
      </c>
      <c s="6" r="BL1629">
        <v>0</v>
      </c>
      <c s="6" r="BM1629">
        <v>0</v>
      </c>
      <c s="6" r="BN1629">
        <v>0</v>
      </c>
      <c s="6" r="BO1629">
        <v>0</v>
      </c>
      <c s="6" r="BP1629">
        <v>0</v>
      </c>
      <c s="6" r="BQ1629">
        <v>0</v>
      </c>
      <c t="s" s="6" r="BR1629">
        <v>92</v>
      </c>
      <c s="6" r="BS1629">
        <v>1657</v>
      </c>
      <c t="s" s="6" r="BT1629">
        <v>92</v>
      </c>
      <c s="6" r="BY1629">
        <v>0</v>
      </c>
    </row>
    <row customHeight="1" r="1630" ht="14.25">
      <c t="s" s="6" r="A1630">
        <v>11381</v>
      </c>
      <c t="s" s="6" r="B1630">
        <v>174</v>
      </c>
      <c t="s" s="6" r="E1630">
        <v>11382</v>
      </c>
      <c t="s" s="6" r="F1630">
        <v>81</v>
      </c>
      <c t="s" s="6" r="G1630">
        <v>11383</v>
      </c>
      <c s="6" r="H1630">
        <v>0</v>
      </c>
      <c t="s" s="6" r="L1630">
        <v>11384</v>
      </c>
      <c t="s" s="6" r="M1630">
        <v>11017</v>
      </c>
      <c s="6" r="N1630">
        <v>1</v>
      </c>
      <c s="6" r="O1630">
        <v>0</v>
      </c>
      <c t="s" s="6" r="P1630">
        <v>474</v>
      </c>
      <c t="s" s="6" r="Q1630">
        <v>87</v>
      </c>
      <c t="s" s="6" r="R1630">
        <v>11385</v>
      </c>
      <c t="s" s="6" r="S1630">
        <v>11386</v>
      </c>
      <c t="s" s="6" r="T1630">
        <v>11387</v>
      </c>
      <c t="s" s="6" r="U1630">
        <v>11388</v>
      </c>
      <c s="6" r="V1630">
        <v>1</v>
      </c>
      <c s="6" r="W1630">
        <v>1</v>
      </c>
      <c s="6" r="X1630">
        <v>0</v>
      </c>
      <c s="6" r="Y1630">
        <v>0</v>
      </c>
      <c s="6" r="Z1630">
        <v>1</v>
      </c>
      <c t="s" s="6" r="AA1630">
        <v>92</v>
      </c>
      <c t="s" s="6" r="AB1630">
        <v>92</v>
      </c>
      <c s="6" r="AC1630">
        <v>2</v>
      </c>
      <c t="s" s="6" r="AD1630">
        <v>92</v>
      </c>
      <c t="s" s="6" r="AE1630">
        <v>92</v>
      </c>
      <c s="6" r="AF1630">
        <v>2</v>
      </c>
      <c t="s" s="6" r="AG1630">
        <v>92</v>
      </c>
      <c t="s" s="6" r="AH1630">
        <v>92</v>
      </c>
      <c t="s" s="6" r="AI1630">
        <v>92</v>
      </c>
      <c s="6" r="AJ1630">
        <v>2</v>
      </c>
      <c s="6" r="AK1630">
        <v>2</v>
      </c>
      <c s="6" r="AL1630">
        <v>2</v>
      </c>
      <c t="s" s="6" r="AM1630">
        <v>92</v>
      </c>
      <c t="s" s="6" r="AN1630">
        <v>92</v>
      </c>
      <c s="6" r="AP1630">
        <v>2</v>
      </c>
      <c s="6" r="AS1630">
        <v>0</v>
      </c>
      <c s="6" r="AT1630">
        <v>0</v>
      </c>
      <c s="6" r="AU1630">
        <v>0</v>
      </c>
      <c s="6" r="AV1630">
        <v>0</v>
      </c>
      <c s="6" r="AW1630">
        <v>0</v>
      </c>
      <c s="6" r="AX1630">
        <v>0</v>
      </c>
      <c s="6" r="AY1630">
        <v>0</v>
      </c>
      <c s="6" r="AZ1630">
        <v>0</v>
      </c>
      <c s="6" r="BA1630">
        <v>0</v>
      </c>
      <c s="6" r="BB1630">
        <v>0</v>
      </c>
      <c s="6" r="BC1630">
        <v>0</v>
      </c>
      <c s="6" r="BD1630">
        <v>0</v>
      </c>
      <c s="6" r="BE1630">
        <v>0</v>
      </c>
      <c s="6" r="BF1630">
        <v>0</v>
      </c>
      <c s="6" r="BG1630">
        <v>0</v>
      </c>
      <c s="6" r="BH1630">
        <v>0</v>
      </c>
      <c s="6" r="BI1630">
        <v>0</v>
      </c>
      <c s="6" r="BJ1630">
        <v>0</v>
      </c>
      <c s="6" r="BK1630">
        <v>0</v>
      </c>
      <c s="6" r="BL1630">
        <v>0</v>
      </c>
      <c s="6" r="BM1630">
        <v>0</v>
      </c>
      <c s="6" r="BN1630">
        <v>0</v>
      </c>
      <c s="6" r="BO1630">
        <v>0</v>
      </c>
      <c s="6" r="BP1630">
        <v>0</v>
      </c>
      <c s="6" r="BQ1630">
        <v>0</v>
      </c>
      <c t="s" s="6" r="BR1630">
        <v>92</v>
      </c>
      <c s="6" r="BS1630">
        <v>1658</v>
      </c>
      <c t="s" s="6" r="BT1630">
        <v>92</v>
      </c>
      <c s="6" r="BY1630">
        <v>0</v>
      </c>
    </row>
    <row customHeight="1" r="1631" ht="14.25">
      <c t="s" s="6" r="A1631">
        <v>11389</v>
      </c>
      <c t="s" s="6" r="B1631">
        <v>115</v>
      </c>
      <c t="s" s="6" r="E1631">
        <v>2426</v>
      </c>
      <c t="s" s="6" r="F1631">
        <v>81</v>
      </c>
      <c t="s" s="6" r="G1631">
        <v>11390</v>
      </c>
      <c s="6" r="H1631">
        <v>1</v>
      </c>
      <c t="s" s="6" r="I1631">
        <v>120</v>
      </c>
      <c t="s" s="6" r="L1631">
        <v>11391</v>
      </c>
      <c t="s" s="6" r="M1631">
        <v>11392</v>
      </c>
      <c s="6" r="N1631">
        <v>1</v>
      </c>
      <c s="6" r="O1631">
        <v>0</v>
      </c>
      <c t="s" s="6" r="P1631">
        <v>86</v>
      </c>
      <c t="s" s="6" r="Q1631">
        <v>87</v>
      </c>
      <c t="s" s="6" r="R1631">
        <v>11393</v>
      </c>
      <c t="s" s="6" r="S1631">
        <v>11394</v>
      </c>
      <c t="s" s="6" r="T1631">
        <v>11387</v>
      </c>
      <c t="s" s="6" r="U1631">
        <v>11395</v>
      </c>
      <c s="6" r="V1631">
        <v>1</v>
      </c>
      <c s="6" r="W1631">
        <v>1</v>
      </c>
      <c s="6" r="X1631">
        <v>1</v>
      </c>
      <c s="6" r="Y1631">
        <v>0</v>
      </c>
      <c s="6" r="Z1631">
        <v>0</v>
      </c>
      <c s="6" r="AA1631">
        <v>3</v>
      </c>
      <c s="6" r="AB1631">
        <v>3</v>
      </c>
      <c t="s" s="6" r="AC1631">
        <v>92</v>
      </c>
      <c t="s" s="6" r="AD1631">
        <v>92</v>
      </c>
      <c t="s" s="6" r="AE1631">
        <v>92</v>
      </c>
      <c s="6" r="AF1631">
        <v>3</v>
      </c>
      <c t="s" s="6" r="AG1631">
        <v>92</v>
      </c>
      <c t="s" s="6" r="AH1631">
        <v>92</v>
      </c>
      <c t="s" s="6" r="AI1631">
        <v>92</v>
      </c>
      <c t="s" s="6" r="AJ1631">
        <v>92</v>
      </c>
      <c t="s" s="6" r="AK1631">
        <v>92</v>
      </c>
      <c t="s" s="6" r="AL1631">
        <v>92</v>
      </c>
      <c t="s" s="6" r="AM1631">
        <v>92</v>
      </c>
      <c t="s" s="6" r="AN1631">
        <v>92</v>
      </c>
      <c s="6" r="AP1631">
        <v>3</v>
      </c>
      <c s="6" r="AS1631">
        <v>0</v>
      </c>
      <c s="6" r="AT1631">
        <v>0</v>
      </c>
      <c s="6" r="AU1631">
        <v>0</v>
      </c>
      <c s="6" r="AV1631">
        <v>0</v>
      </c>
      <c s="6" r="AW1631">
        <v>0</v>
      </c>
      <c s="6" r="AX1631">
        <v>0</v>
      </c>
      <c s="6" r="AY1631">
        <v>0</v>
      </c>
      <c s="6" r="AZ1631">
        <v>0</v>
      </c>
      <c s="6" r="BA1631">
        <v>0</v>
      </c>
      <c s="6" r="BB1631">
        <v>0</v>
      </c>
      <c s="6" r="BC1631">
        <v>0</v>
      </c>
      <c s="6" r="BD1631">
        <v>0</v>
      </c>
      <c s="6" r="BE1631">
        <v>0</v>
      </c>
      <c s="6" r="BF1631">
        <v>0</v>
      </c>
      <c s="6" r="BG1631">
        <v>0</v>
      </c>
      <c s="6" r="BH1631">
        <v>0</v>
      </c>
      <c s="6" r="BI1631">
        <v>0</v>
      </c>
      <c s="6" r="BJ1631">
        <v>0</v>
      </c>
      <c s="6" r="BK1631">
        <v>0</v>
      </c>
      <c s="6" r="BL1631">
        <v>0</v>
      </c>
      <c s="6" r="BM1631">
        <v>0</v>
      </c>
      <c s="6" r="BN1631">
        <v>0</v>
      </c>
      <c s="6" r="BO1631">
        <v>0</v>
      </c>
      <c s="6" r="BP1631">
        <v>0</v>
      </c>
      <c s="6" r="BQ1631">
        <v>0</v>
      </c>
      <c t="s" s="6" r="BR1631">
        <v>92</v>
      </c>
      <c s="6" r="BS1631">
        <v>1659</v>
      </c>
      <c s="6" r="BT1631">
        <v>10</v>
      </c>
      <c s="6" r="BY1631">
        <v>0</v>
      </c>
    </row>
    <row customHeight="1" r="1632" ht="14.25">
      <c t="s" s="6" r="A1632">
        <v>11396</v>
      </c>
      <c t="s" s="6" r="B1632">
        <v>115</v>
      </c>
      <c t="s" s="6" r="E1632">
        <v>2426</v>
      </c>
      <c t="s" s="6" r="F1632">
        <v>10734</v>
      </c>
      <c t="s" s="6" r="G1632">
        <v>106</v>
      </c>
      <c s="6" r="H1632">
        <v>0</v>
      </c>
      <c t="s" s="6" r="I1632">
        <v>120</v>
      </c>
      <c t="s" s="6" r="L1632">
        <v>11397</v>
      </c>
      <c t="s" s="6" r="M1632">
        <v>5196</v>
      </c>
      <c s="6" r="N1632">
        <v>1</v>
      </c>
      <c s="6" r="O1632">
        <v>0</v>
      </c>
      <c t="s" s="6" r="P1632">
        <v>86</v>
      </c>
      <c t="s" s="6" r="Q1632">
        <v>188</v>
      </c>
      <c t="s" s="6" r="R1632">
        <v>11398</v>
      </c>
      <c t="s" s="6" r="S1632">
        <v>11399</v>
      </c>
      <c t="s" s="6" r="T1632">
        <v>11387</v>
      </c>
      <c t="s" s="6" r="U1632">
        <v>11400</v>
      </c>
      <c s="6" r="V1632">
        <v>1</v>
      </c>
      <c s="6" r="W1632">
        <v>1</v>
      </c>
      <c s="6" r="X1632">
        <v>0</v>
      </c>
      <c s="6" r="Y1632">
        <v>0</v>
      </c>
      <c s="6" r="Z1632">
        <v>0</v>
      </c>
      <c s="6" r="AA1632">
        <v>3</v>
      </c>
      <c s="6" r="AB1632">
        <v>3</v>
      </c>
      <c t="s" s="6" r="AC1632">
        <v>92</v>
      </c>
      <c t="s" s="6" r="AD1632">
        <v>92</v>
      </c>
      <c t="s" s="6" r="AE1632">
        <v>92</v>
      </c>
      <c s="6" r="AF1632">
        <v>3</v>
      </c>
      <c t="s" s="6" r="AG1632">
        <v>92</v>
      </c>
      <c t="s" s="6" r="AH1632">
        <v>92</v>
      </c>
      <c t="s" s="6" r="AI1632">
        <v>92</v>
      </c>
      <c t="s" s="6" r="AJ1632">
        <v>92</v>
      </c>
      <c t="s" s="6" r="AK1632">
        <v>92</v>
      </c>
      <c t="s" s="6" r="AL1632">
        <v>92</v>
      </c>
      <c t="s" s="6" r="AM1632">
        <v>92</v>
      </c>
      <c t="s" s="6" r="AN1632">
        <v>92</v>
      </c>
      <c s="6" r="AP1632">
        <v>3</v>
      </c>
      <c s="6" r="AS1632">
        <v>0</v>
      </c>
      <c s="6" r="AT1632">
        <v>0</v>
      </c>
      <c s="6" r="AU1632">
        <v>0</v>
      </c>
      <c s="6" r="AV1632">
        <v>0</v>
      </c>
      <c s="6" r="AW1632">
        <v>0</v>
      </c>
      <c s="6" r="AX1632">
        <v>0</v>
      </c>
      <c s="6" r="AY1632">
        <v>0</v>
      </c>
      <c s="6" r="AZ1632">
        <v>0</v>
      </c>
      <c s="6" r="BA1632">
        <v>0</v>
      </c>
      <c s="6" r="BB1632">
        <v>0</v>
      </c>
      <c s="6" r="BC1632">
        <v>0</v>
      </c>
      <c s="6" r="BD1632">
        <v>0</v>
      </c>
      <c s="6" r="BE1632">
        <v>0</v>
      </c>
      <c s="6" r="BF1632">
        <v>0</v>
      </c>
      <c s="6" r="BG1632">
        <v>0</v>
      </c>
      <c s="6" r="BH1632">
        <v>0</v>
      </c>
      <c s="6" r="BI1632">
        <v>0</v>
      </c>
      <c s="6" r="BJ1632">
        <v>0</v>
      </c>
      <c s="6" r="BK1632">
        <v>0</v>
      </c>
      <c s="6" r="BL1632">
        <v>0</v>
      </c>
      <c s="6" r="BM1632">
        <v>0</v>
      </c>
      <c s="6" r="BN1632">
        <v>0</v>
      </c>
      <c s="6" r="BO1632">
        <v>0</v>
      </c>
      <c s="6" r="BP1632">
        <v>0</v>
      </c>
      <c s="6" r="BQ1632">
        <v>0</v>
      </c>
      <c t="s" s="6" r="BR1632">
        <v>92</v>
      </c>
      <c s="6" r="BS1632">
        <v>1660</v>
      </c>
      <c t="s" s="6" r="BT1632">
        <v>92</v>
      </c>
      <c s="6" r="BY1632">
        <v>0</v>
      </c>
    </row>
    <row customHeight="1" r="1633" ht="14.25">
      <c t="s" s="6" r="A1633">
        <v>11401</v>
      </c>
      <c t="s" s="6" r="B1633">
        <v>131</v>
      </c>
      <c t="s" s="6" r="E1633">
        <v>11402</v>
      </c>
      <c t="s" s="6" r="F1633">
        <v>3073</v>
      </c>
      <c t="s" s="6" r="G1633">
        <v>11403</v>
      </c>
      <c s="6" r="H1633">
        <v>1</v>
      </c>
      <c t="s" s="6" r="I1633">
        <v>120</v>
      </c>
      <c t="s" s="6" r="L1633">
        <v>11404</v>
      </c>
      <c t="s" s="6" r="M1633">
        <v>109</v>
      </c>
      <c s="6" r="N1633">
        <v>0</v>
      </c>
      <c s="6" r="O1633">
        <v>0</v>
      </c>
      <c t="s" s="6" r="P1633">
        <v>11405</v>
      </c>
      <c t="s" s="6" r="Q1633">
        <v>87</v>
      </c>
      <c t="s" s="6" r="R1633">
        <v>11406</v>
      </c>
      <c t="s" s="6" r="S1633">
        <v>11407</v>
      </c>
      <c t="s" s="6" r="T1633">
        <v>11387</v>
      </c>
      <c t="s" s="6" r="U1633">
        <v>11408</v>
      </c>
      <c s="6" r="V1633">
        <v>1</v>
      </c>
      <c s="6" r="W1633">
        <v>1</v>
      </c>
      <c s="6" r="X1633">
        <v>1</v>
      </c>
      <c s="6" r="Y1633">
        <v>0</v>
      </c>
      <c s="6" r="Z1633">
        <v>0</v>
      </c>
      <c s="6" r="AA1633">
        <v>4</v>
      </c>
      <c s="6" r="AB1633">
        <v>4</v>
      </c>
      <c t="s" s="6" r="AC1633">
        <v>92</v>
      </c>
      <c t="s" s="6" r="AD1633">
        <v>92</v>
      </c>
      <c t="s" s="6" r="AE1633">
        <v>92</v>
      </c>
      <c s="6" r="AF1633">
        <v>5</v>
      </c>
      <c t="s" s="6" r="AG1633">
        <v>92</v>
      </c>
      <c t="s" s="6" r="AH1633">
        <v>92</v>
      </c>
      <c t="s" s="6" r="AI1633">
        <v>92</v>
      </c>
      <c t="s" s="6" r="AJ1633">
        <v>92</v>
      </c>
      <c t="s" s="6" r="AK1633">
        <v>92</v>
      </c>
      <c t="s" s="6" r="AL1633">
        <v>92</v>
      </c>
      <c t="s" s="6" r="AM1633">
        <v>92</v>
      </c>
      <c t="s" s="6" r="AN1633">
        <v>92</v>
      </c>
      <c s="6" r="AP1633">
        <v>4</v>
      </c>
      <c s="6" r="AS1633">
        <v>0</v>
      </c>
      <c s="6" r="AT1633">
        <v>0</v>
      </c>
      <c s="6" r="AU1633">
        <v>0</v>
      </c>
      <c s="6" r="AV1633">
        <v>0</v>
      </c>
      <c s="6" r="AW1633">
        <v>0</v>
      </c>
      <c s="6" r="AX1633">
        <v>0</v>
      </c>
      <c s="6" r="AY1633">
        <v>0</v>
      </c>
      <c s="6" r="AZ1633">
        <v>0</v>
      </c>
      <c s="6" r="BA1633">
        <v>0</v>
      </c>
      <c s="6" r="BB1633">
        <v>0</v>
      </c>
      <c s="6" r="BC1633">
        <v>0</v>
      </c>
      <c s="6" r="BD1633">
        <v>0</v>
      </c>
      <c s="6" r="BE1633">
        <v>0</v>
      </c>
      <c s="6" r="BF1633">
        <v>0</v>
      </c>
      <c s="6" r="BG1633">
        <v>0</v>
      </c>
      <c s="6" r="BH1633">
        <v>0</v>
      </c>
      <c s="6" r="BI1633">
        <v>0</v>
      </c>
      <c s="6" r="BJ1633">
        <v>0</v>
      </c>
      <c s="6" r="BK1633">
        <v>0</v>
      </c>
      <c s="6" r="BL1633">
        <v>0</v>
      </c>
      <c s="6" r="BM1633">
        <v>0</v>
      </c>
      <c s="6" r="BN1633">
        <v>0</v>
      </c>
      <c s="6" r="BO1633">
        <v>0</v>
      </c>
      <c s="6" r="BP1633">
        <v>0</v>
      </c>
      <c s="6" r="BQ1633">
        <v>0</v>
      </c>
      <c t="s" s="6" r="BR1633">
        <v>92</v>
      </c>
      <c s="6" r="BS1633">
        <v>1661</v>
      </c>
      <c s="6" r="BT1633">
        <v>1000</v>
      </c>
      <c s="6" r="BY1633">
        <v>0</v>
      </c>
    </row>
    <row customHeight="1" r="1634" ht="14.25">
      <c t="s" s="6" r="A1634">
        <v>11409</v>
      </c>
      <c t="s" s="6" r="B1634">
        <v>78</v>
      </c>
      <c t="s" s="6" r="C1634">
        <v>1356</v>
      </c>
      <c t="s" s="6" r="E1634">
        <v>947</v>
      </c>
      <c t="s" s="6" r="F1634">
        <v>3073</v>
      </c>
      <c t="s" s="6" r="G1634">
        <v>11410</v>
      </c>
      <c s="6" r="H1634">
        <v>1</v>
      </c>
      <c t="s" s="6" r="I1634">
        <v>120</v>
      </c>
      <c t="s" s="6" r="L1634">
        <v>11391</v>
      </c>
      <c t="s" s="6" r="M1634">
        <v>109</v>
      </c>
      <c s="6" r="N1634">
        <v>0</v>
      </c>
      <c s="6" r="O1634">
        <v>0</v>
      </c>
      <c t="s" s="6" r="P1634">
        <v>535</v>
      </c>
      <c t="s" s="6" r="Q1634">
        <v>536</v>
      </c>
      <c t="s" s="6" r="R1634">
        <v>11411</v>
      </c>
      <c t="s" s="6" r="S1634">
        <v>11412</v>
      </c>
      <c t="s" s="6" r="T1634">
        <v>11387</v>
      </c>
      <c t="s" s="6" r="U1634">
        <v>11413</v>
      </c>
      <c s="6" r="V1634">
        <v>1</v>
      </c>
      <c s="6" r="W1634">
        <v>0</v>
      </c>
      <c s="6" r="X1634">
        <v>1</v>
      </c>
      <c s="6" r="Y1634">
        <v>0</v>
      </c>
      <c s="6" r="Z1634">
        <v>0</v>
      </c>
      <c s="6" r="AA1634">
        <v>6</v>
      </c>
      <c s="6" r="AB1634">
        <v>6</v>
      </c>
      <c t="s" s="6" r="AC1634">
        <v>92</v>
      </c>
      <c t="s" s="6" r="AD1634">
        <v>92</v>
      </c>
      <c t="s" s="6" r="AE1634">
        <v>92</v>
      </c>
      <c t="s" s="6" r="AF1634">
        <v>92</v>
      </c>
      <c t="s" s="6" r="AG1634">
        <v>92</v>
      </c>
      <c t="s" s="6" r="AH1634">
        <v>92</v>
      </c>
      <c t="s" s="6" r="AI1634">
        <v>92</v>
      </c>
      <c t="s" s="6" r="AJ1634">
        <v>92</v>
      </c>
      <c t="s" s="6" r="AK1634">
        <v>92</v>
      </c>
      <c t="s" s="6" r="AL1634">
        <v>92</v>
      </c>
      <c t="s" s="6" r="AM1634">
        <v>92</v>
      </c>
      <c t="s" s="6" r="AN1634">
        <v>92</v>
      </c>
      <c s="6" r="AP1634">
        <v>6</v>
      </c>
      <c s="6" r="AS1634">
        <v>0</v>
      </c>
      <c s="6" r="AT1634">
        <v>0</v>
      </c>
      <c s="6" r="AU1634">
        <v>0</v>
      </c>
      <c s="6" r="AV1634">
        <v>0</v>
      </c>
      <c s="6" r="AW1634">
        <v>0</v>
      </c>
      <c s="6" r="AX1634">
        <v>0</v>
      </c>
      <c s="6" r="AY1634">
        <v>0</v>
      </c>
      <c s="6" r="AZ1634">
        <v>0</v>
      </c>
      <c s="6" r="BA1634">
        <v>0</v>
      </c>
      <c s="6" r="BB1634">
        <v>0</v>
      </c>
      <c s="6" r="BC1634">
        <v>0</v>
      </c>
      <c s="6" r="BD1634">
        <v>0</v>
      </c>
      <c s="6" r="BE1634">
        <v>0</v>
      </c>
      <c s="6" r="BF1634">
        <v>0</v>
      </c>
      <c s="6" r="BG1634">
        <v>0</v>
      </c>
      <c s="6" r="BH1634">
        <v>0</v>
      </c>
      <c s="6" r="BI1634">
        <v>0</v>
      </c>
      <c s="6" r="BJ1634">
        <v>0</v>
      </c>
      <c s="6" r="BK1634">
        <v>0</v>
      </c>
      <c s="6" r="BL1634">
        <v>0</v>
      </c>
      <c s="6" r="BM1634">
        <v>0</v>
      </c>
      <c s="6" r="BN1634">
        <v>0</v>
      </c>
      <c s="6" r="BO1634">
        <v>0</v>
      </c>
      <c s="6" r="BP1634">
        <v>0</v>
      </c>
      <c s="6" r="BQ1634">
        <v>0</v>
      </c>
      <c t="s" s="6" r="BR1634">
        <v>92</v>
      </c>
      <c s="6" r="BS1634">
        <v>1662</v>
      </c>
      <c s="6" r="BT1634">
        <v>50</v>
      </c>
      <c s="6" r="BY1634">
        <v>0</v>
      </c>
    </row>
    <row customHeight="1" r="1635" ht="14.25">
      <c t="s" s="6" r="A1635">
        <v>11414</v>
      </c>
      <c t="s" s="6" r="B1635">
        <v>115</v>
      </c>
      <c t="s" s="6" r="C1635">
        <v>116</v>
      </c>
      <c t="s" s="6" r="D1635">
        <v>117</v>
      </c>
      <c t="s" s="6" r="E1635">
        <v>11415</v>
      </c>
      <c t="s" s="6" r="F1635">
        <v>81</v>
      </c>
      <c t="s" s="6" r="G1635">
        <v>119</v>
      </c>
      <c s="6" r="H1635">
        <v>0</v>
      </c>
      <c t="s" s="6" r="I1635">
        <v>11416</v>
      </c>
      <c t="s" s="6" r="L1635">
        <v>11417</v>
      </c>
      <c t="s" s="6" r="M1635">
        <v>11418</v>
      </c>
      <c s="6" r="N1635">
        <v>0</v>
      </c>
      <c s="6" r="O1635">
        <v>0</v>
      </c>
      <c t="s" s="6" r="P1635">
        <v>86</v>
      </c>
      <c t="s" s="6" r="Q1635">
        <v>123</v>
      </c>
      <c t="s" s="6" r="R1635">
        <v>11419</v>
      </c>
      <c t="s" s="6" r="S1635">
        <v>11420</v>
      </c>
      <c t="s" s="6" r="T1635">
        <v>11387</v>
      </c>
      <c t="s" s="6" r="U1635">
        <v>11421</v>
      </c>
      <c s="6" r="V1635">
        <v>1</v>
      </c>
      <c s="6" r="W1635">
        <v>1</v>
      </c>
      <c s="6" r="X1635">
        <v>0</v>
      </c>
      <c s="6" r="Y1635">
        <v>0</v>
      </c>
      <c s="6" r="Z1635">
        <v>1</v>
      </c>
      <c t="s" s="6" r="AA1635">
        <v>92</v>
      </c>
      <c t="s" s="6" r="AB1635">
        <v>92</v>
      </c>
      <c s="6" r="AC1635">
        <v>6</v>
      </c>
      <c t="s" s="6" r="AD1635">
        <v>92</v>
      </c>
      <c t="s" s="6" r="AE1635">
        <v>92</v>
      </c>
      <c t="s" s="6" r="AF1635">
        <v>92</v>
      </c>
      <c t="s" s="6" r="AG1635">
        <v>92</v>
      </c>
      <c t="s" s="6" r="AH1635">
        <v>92</v>
      </c>
      <c t="s" s="6" r="AI1635">
        <v>92</v>
      </c>
      <c t="s" s="6" r="AJ1635">
        <v>92</v>
      </c>
      <c t="s" s="6" r="AK1635">
        <v>92</v>
      </c>
      <c s="6" r="AL1635">
        <v>6</v>
      </c>
      <c t="s" s="6" r="AM1635">
        <v>92</v>
      </c>
      <c t="s" s="6" r="AN1635">
        <v>92</v>
      </c>
      <c s="6" r="AP1635">
        <v>6</v>
      </c>
      <c s="6" r="AS1635">
        <v>0</v>
      </c>
      <c s="6" r="AT1635">
        <v>0</v>
      </c>
      <c s="6" r="AU1635">
        <v>0</v>
      </c>
      <c s="6" r="AV1635">
        <v>0</v>
      </c>
      <c s="6" r="AW1635">
        <v>0</v>
      </c>
      <c s="6" r="AX1635">
        <v>0</v>
      </c>
      <c s="6" r="AY1635">
        <v>0</v>
      </c>
      <c s="6" r="AZ1635">
        <v>0</v>
      </c>
      <c s="6" r="BA1635">
        <v>0</v>
      </c>
      <c s="6" r="BB1635">
        <v>0</v>
      </c>
      <c s="6" r="BC1635">
        <v>0</v>
      </c>
      <c s="6" r="BD1635">
        <v>0</v>
      </c>
      <c s="6" r="BE1635">
        <v>0</v>
      </c>
      <c s="6" r="BF1635">
        <v>0</v>
      </c>
      <c s="6" r="BG1635">
        <v>0</v>
      </c>
      <c s="6" r="BH1635">
        <v>0</v>
      </c>
      <c s="6" r="BI1635">
        <v>0</v>
      </c>
      <c s="6" r="BJ1635">
        <v>0</v>
      </c>
      <c s="6" r="BK1635">
        <v>0</v>
      </c>
      <c s="6" r="BL1635">
        <v>1</v>
      </c>
      <c s="6" r="BM1635">
        <v>0</v>
      </c>
      <c s="6" r="BN1635">
        <v>0</v>
      </c>
      <c s="6" r="BO1635">
        <v>0</v>
      </c>
      <c s="6" r="BP1635">
        <v>0</v>
      </c>
      <c s="6" r="BQ1635">
        <v>0</v>
      </c>
      <c t="s" s="6" r="BR1635">
        <v>92</v>
      </c>
      <c s="6" r="BS1635">
        <v>1663</v>
      </c>
      <c t="s" s="6" r="BT1635">
        <v>92</v>
      </c>
      <c s="6" r="BY1635">
        <v>0</v>
      </c>
    </row>
    <row customHeight="1" r="1636" ht="14.25">
      <c t="s" s="6" r="A1636">
        <v>11422</v>
      </c>
      <c t="s" s="6" r="B1636">
        <v>493</v>
      </c>
      <c t="s" s="6" r="E1636">
        <v>11423</v>
      </c>
      <c t="s" s="6" r="F1636">
        <v>311</v>
      </c>
      <c t="s" s="6" r="G1636">
        <v>11424</v>
      </c>
      <c s="6" r="H1636">
        <v>1</v>
      </c>
      <c t="s" s="6" r="I1636">
        <v>11416</v>
      </c>
      <c t="s" s="6" r="L1636">
        <v>11417</v>
      </c>
      <c t="s" s="6" r="M1636">
        <v>11418</v>
      </c>
      <c s="6" r="N1636">
        <v>0</v>
      </c>
      <c s="6" r="O1636">
        <v>0</v>
      </c>
      <c t="s" s="6" r="P1636">
        <v>1768</v>
      </c>
      <c t="s" s="6" r="Q1636">
        <v>188</v>
      </c>
      <c t="s" s="6" r="R1636">
        <v>11425</v>
      </c>
      <c t="s" s="6" r="S1636">
        <v>11426</v>
      </c>
      <c t="s" s="6" r="T1636">
        <v>11387</v>
      </c>
      <c t="s" s="6" r="U1636">
        <v>11427</v>
      </c>
      <c s="6" r="V1636">
        <v>1</v>
      </c>
      <c s="6" r="W1636">
        <v>1</v>
      </c>
      <c s="6" r="X1636">
        <v>0</v>
      </c>
      <c s="6" r="Y1636">
        <v>0</v>
      </c>
      <c s="6" r="Z1636">
        <v>0</v>
      </c>
      <c t="s" s="6" r="AA1636">
        <v>92</v>
      </c>
      <c t="s" s="6" r="AB1636">
        <v>92</v>
      </c>
      <c s="6" r="AC1636">
        <v>9</v>
      </c>
      <c t="s" s="6" r="AD1636">
        <v>92</v>
      </c>
      <c t="s" s="6" r="AE1636">
        <v>92</v>
      </c>
      <c t="s" s="6" r="AF1636">
        <v>92</v>
      </c>
      <c t="s" s="6" r="AG1636">
        <v>92</v>
      </c>
      <c t="s" s="6" r="AH1636">
        <v>92</v>
      </c>
      <c t="s" s="6" r="AI1636">
        <v>92</v>
      </c>
      <c t="s" s="6" r="AJ1636">
        <v>92</v>
      </c>
      <c t="s" s="6" r="AK1636">
        <v>92</v>
      </c>
      <c s="6" r="AL1636">
        <v>9</v>
      </c>
      <c t="s" s="6" r="AM1636">
        <v>92</v>
      </c>
      <c t="s" s="6" r="AN1636">
        <v>92</v>
      </c>
      <c s="6" r="AP1636">
        <v>9</v>
      </c>
      <c s="6" r="AS1636">
        <v>0</v>
      </c>
      <c s="6" r="AT1636">
        <v>0</v>
      </c>
      <c s="6" r="AU1636">
        <v>0</v>
      </c>
      <c s="6" r="AV1636">
        <v>0</v>
      </c>
      <c s="6" r="AW1636">
        <v>0</v>
      </c>
      <c s="6" r="AX1636">
        <v>0</v>
      </c>
      <c s="6" r="AY1636">
        <v>0</v>
      </c>
      <c s="6" r="AZ1636">
        <v>0</v>
      </c>
      <c s="6" r="BA1636">
        <v>0</v>
      </c>
      <c s="6" r="BB1636">
        <v>0</v>
      </c>
      <c s="6" r="BC1636">
        <v>0</v>
      </c>
      <c s="6" r="BD1636">
        <v>0</v>
      </c>
      <c s="6" r="BE1636">
        <v>0</v>
      </c>
      <c s="6" r="BF1636">
        <v>0</v>
      </c>
      <c s="6" r="BG1636">
        <v>0</v>
      </c>
      <c s="6" r="BH1636">
        <v>0</v>
      </c>
      <c s="6" r="BI1636">
        <v>0</v>
      </c>
      <c s="6" r="BJ1636">
        <v>0</v>
      </c>
      <c s="6" r="BK1636">
        <v>0</v>
      </c>
      <c s="6" r="BL1636">
        <v>0</v>
      </c>
      <c s="6" r="BM1636">
        <v>0</v>
      </c>
      <c s="6" r="BN1636">
        <v>0</v>
      </c>
      <c s="6" r="BO1636">
        <v>0</v>
      </c>
      <c s="6" r="BP1636">
        <v>0</v>
      </c>
      <c s="6" r="BQ1636">
        <v>0</v>
      </c>
      <c t="s" s="6" r="BR1636">
        <v>92</v>
      </c>
      <c s="6" r="BS1636">
        <v>1664</v>
      </c>
      <c s="6" r="BT1636">
        <v>100</v>
      </c>
      <c s="6" r="BY1636">
        <v>0</v>
      </c>
    </row>
    <row customHeight="1" r="1637" ht="14.25">
      <c t="s" s="6" r="A1637">
        <v>11428</v>
      </c>
      <c t="s" s="6" r="B1637">
        <v>174</v>
      </c>
      <c t="s" s="6" r="E1637">
        <v>11429</v>
      </c>
      <c t="s" s="6" r="F1637">
        <v>81</v>
      </c>
      <c t="s" s="6" r="G1637">
        <v>106</v>
      </c>
      <c s="6" r="H1637">
        <v>0</v>
      </c>
      <c t="s" s="6" r="I1637">
        <v>11416</v>
      </c>
      <c t="s" s="6" r="L1637">
        <v>11417</v>
      </c>
      <c t="s" s="6" r="M1637">
        <v>11418</v>
      </c>
      <c s="6" r="N1637">
        <v>0</v>
      </c>
      <c s="6" r="O1637">
        <v>0</v>
      </c>
      <c t="s" s="6" r="P1637">
        <v>86</v>
      </c>
      <c t="s" s="6" r="Q1637">
        <v>87</v>
      </c>
      <c t="s" s="6" r="R1637">
        <v>11430</v>
      </c>
      <c t="s" s="6" r="S1637">
        <v>11431</v>
      </c>
      <c t="s" s="6" r="T1637">
        <v>11387</v>
      </c>
      <c t="s" s="6" r="U1637">
        <v>11432</v>
      </c>
      <c s="6" r="V1637">
        <v>1</v>
      </c>
      <c s="6" r="W1637">
        <v>1</v>
      </c>
      <c s="6" r="X1637">
        <v>0</v>
      </c>
      <c s="6" r="Y1637">
        <v>0</v>
      </c>
      <c s="6" r="Z1637">
        <v>0</v>
      </c>
      <c t="s" s="6" r="AA1637">
        <v>92</v>
      </c>
      <c t="s" s="6" r="AB1637">
        <v>92</v>
      </c>
      <c t="s" s="6" r="AC1637">
        <v>92</v>
      </c>
      <c t="s" s="6" r="AD1637">
        <v>92</v>
      </c>
      <c t="s" s="6" r="AE1637">
        <v>92</v>
      </c>
      <c s="6" r="AF1637">
        <v>6</v>
      </c>
      <c t="s" s="6" r="AG1637">
        <v>92</v>
      </c>
      <c t="s" s="6" r="AH1637">
        <v>92</v>
      </c>
      <c t="s" s="6" r="AI1637">
        <v>92</v>
      </c>
      <c t="s" s="6" r="AJ1637">
        <v>92</v>
      </c>
      <c s="6" r="AK1637">
        <v>6</v>
      </c>
      <c t="s" s="6" r="AL1637">
        <v>92</v>
      </c>
      <c t="s" s="6" r="AM1637">
        <v>92</v>
      </c>
      <c t="s" s="6" r="AN1637">
        <v>92</v>
      </c>
      <c s="6" r="AP1637">
        <v>6</v>
      </c>
      <c s="6" r="AS1637">
        <v>0</v>
      </c>
      <c s="6" r="AT1637">
        <v>0</v>
      </c>
      <c s="6" r="AU1637">
        <v>0</v>
      </c>
      <c s="6" r="AV1637">
        <v>0</v>
      </c>
      <c s="6" r="AW1637">
        <v>0</v>
      </c>
      <c s="6" r="AX1637">
        <v>0</v>
      </c>
      <c s="6" r="AY1637">
        <v>0</v>
      </c>
      <c s="6" r="AZ1637">
        <v>0</v>
      </c>
      <c s="6" r="BA1637">
        <v>0</v>
      </c>
      <c s="6" r="BB1637">
        <v>0</v>
      </c>
      <c s="6" r="BC1637">
        <v>0</v>
      </c>
      <c s="6" r="BD1637">
        <v>0</v>
      </c>
      <c s="6" r="BE1637">
        <v>0</v>
      </c>
      <c s="6" r="BF1637">
        <v>0</v>
      </c>
      <c s="6" r="BG1637">
        <v>0</v>
      </c>
      <c s="6" r="BH1637">
        <v>0</v>
      </c>
      <c s="6" r="BI1637">
        <v>0</v>
      </c>
      <c s="6" r="BJ1637">
        <v>0</v>
      </c>
      <c s="6" r="BK1637">
        <v>0</v>
      </c>
      <c s="6" r="BL1637">
        <v>0</v>
      </c>
      <c s="6" r="BM1637">
        <v>0</v>
      </c>
      <c s="6" r="BN1637">
        <v>0</v>
      </c>
      <c s="6" r="BO1637">
        <v>0</v>
      </c>
      <c s="6" r="BP1637">
        <v>0</v>
      </c>
      <c s="6" r="BQ1637">
        <v>0</v>
      </c>
      <c t="s" s="6" r="BR1637">
        <v>92</v>
      </c>
      <c s="6" r="BS1637">
        <v>1665</v>
      </c>
      <c t="s" s="6" r="BT1637">
        <v>92</v>
      </c>
      <c s="6" r="BY1637">
        <v>0</v>
      </c>
    </row>
    <row customHeight="1" r="1638" ht="14.25">
      <c t="s" s="6" r="A1638">
        <v>11433</v>
      </c>
      <c t="s" s="6" r="B1638">
        <v>131</v>
      </c>
      <c t="s" s="6" r="E1638">
        <v>1653</v>
      </c>
      <c t="s" s="6" r="F1638">
        <v>3073</v>
      </c>
      <c t="s" s="6" r="G1638">
        <v>119</v>
      </c>
      <c s="6" r="H1638">
        <v>0</v>
      </c>
      <c t="s" s="6" r="I1638">
        <v>11434</v>
      </c>
      <c t="s" s="6" r="L1638">
        <v>11435</v>
      </c>
      <c t="s" s="6" r="M1638">
        <v>11436</v>
      </c>
      <c s="6" r="N1638">
        <v>0</v>
      </c>
      <c s="6" r="O1638">
        <v>0</v>
      </c>
      <c t="s" s="6" r="P1638">
        <v>2206</v>
      </c>
      <c t="s" s="6" r="Q1638">
        <v>188</v>
      </c>
      <c t="s" s="6" r="R1638">
        <v>11437</v>
      </c>
      <c t="s" s="6" r="S1638">
        <v>11438</v>
      </c>
      <c t="s" s="6" r="T1638">
        <v>11387</v>
      </c>
      <c t="s" s="6" r="U1638">
        <v>11439</v>
      </c>
      <c s="6" r="V1638">
        <v>1</v>
      </c>
      <c s="6" r="W1638">
        <v>1</v>
      </c>
      <c s="6" r="X1638">
        <v>0</v>
      </c>
      <c s="6" r="Y1638">
        <v>0</v>
      </c>
      <c s="6" r="Z1638">
        <v>1</v>
      </c>
      <c t="s" s="6" r="AA1638">
        <v>92</v>
      </c>
      <c t="s" s="6" r="AB1638">
        <v>92</v>
      </c>
      <c s="6" r="AC1638">
        <v>1</v>
      </c>
      <c t="s" s="6" r="AD1638">
        <v>92</v>
      </c>
      <c t="s" s="6" r="AE1638">
        <v>92</v>
      </c>
      <c t="s" s="6" r="AF1638">
        <v>92</v>
      </c>
      <c t="s" s="6" r="AG1638">
        <v>92</v>
      </c>
      <c t="s" s="6" r="AH1638">
        <v>92</v>
      </c>
      <c t="s" s="6" r="AI1638">
        <v>92</v>
      </c>
      <c t="s" s="6" r="AJ1638">
        <v>92</v>
      </c>
      <c t="s" s="6" r="AK1638">
        <v>92</v>
      </c>
      <c s="6" r="AL1638">
        <v>1</v>
      </c>
      <c t="s" s="6" r="AM1638">
        <v>92</v>
      </c>
      <c t="s" s="6" r="AN1638">
        <v>92</v>
      </c>
      <c s="6" r="AP1638">
        <v>1</v>
      </c>
      <c s="6" r="AS1638">
        <v>0</v>
      </c>
      <c s="6" r="AT1638">
        <v>0</v>
      </c>
      <c s="6" r="AU1638">
        <v>0</v>
      </c>
      <c s="6" r="AV1638">
        <v>0</v>
      </c>
      <c s="6" r="AW1638">
        <v>0</v>
      </c>
      <c s="6" r="AX1638">
        <v>0</v>
      </c>
      <c s="6" r="AY1638">
        <v>0</v>
      </c>
      <c s="6" r="AZ1638">
        <v>0</v>
      </c>
      <c s="6" r="BA1638">
        <v>0</v>
      </c>
      <c s="6" r="BB1638">
        <v>0</v>
      </c>
      <c s="6" r="BC1638">
        <v>0</v>
      </c>
      <c s="6" r="BD1638">
        <v>0</v>
      </c>
      <c s="6" r="BE1638">
        <v>0</v>
      </c>
      <c s="6" r="BF1638">
        <v>0</v>
      </c>
      <c s="6" r="BG1638">
        <v>0</v>
      </c>
      <c s="6" r="BH1638">
        <v>0</v>
      </c>
      <c s="6" r="BI1638">
        <v>0</v>
      </c>
      <c s="6" r="BJ1638">
        <v>0</v>
      </c>
      <c s="6" r="BK1638">
        <v>0</v>
      </c>
      <c s="6" r="BL1638">
        <v>0</v>
      </c>
      <c s="6" r="BM1638">
        <v>0</v>
      </c>
      <c s="6" r="BN1638">
        <v>0</v>
      </c>
      <c s="6" r="BO1638">
        <v>0</v>
      </c>
      <c s="6" r="BP1638">
        <v>0</v>
      </c>
      <c s="6" r="BQ1638">
        <v>0</v>
      </c>
      <c t="s" s="6" r="BR1638">
        <v>92</v>
      </c>
      <c s="6" r="BS1638">
        <v>1666</v>
      </c>
      <c t="s" s="6" r="BT1638">
        <v>92</v>
      </c>
      <c s="6" r="BY1638">
        <v>0</v>
      </c>
    </row>
    <row customHeight="1" r="1639" ht="14.25">
      <c t="s" s="6" r="A1639">
        <v>11440</v>
      </c>
      <c t="s" s="6" r="B1639">
        <v>162</v>
      </c>
      <c t="s" s="6" r="E1639">
        <v>11441</v>
      </c>
      <c t="s" s="6" r="F1639">
        <v>81</v>
      </c>
      <c t="s" s="6" r="G1639">
        <v>11442</v>
      </c>
      <c s="6" r="H1639">
        <v>0</v>
      </c>
      <c t="s" s="6" r="I1639">
        <v>155</v>
      </c>
      <c t="s" s="6" r="L1639">
        <v>156</v>
      </c>
      <c t="s" s="6" r="M1639">
        <v>99</v>
      </c>
      <c s="6" r="N1639">
        <v>0</v>
      </c>
      <c s="6" r="O1639">
        <v>0</v>
      </c>
      <c t="s" s="6" r="R1639">
        <v>11443</v>
      </c>
      <c t="s" s="6" r="S1639">
        <v>11444</v>
      </c>
      <c t="s" s="6" r="T1639">
        <v>11445</v>
      </c>
      <c t="s" s="6" r="U1639">
        <v>11446</v>
      </c>
      <c s="6" r="V1639">
        <v>1</v>
      </c>
      <c s="6" r="W1639">
        <v>1</v>
      </c>
      <c s="6" r="X1639">
        <v>1</v>
      </c>
      <c s="6" r="Y1639">
        <v>0</v>
      </c>
      <c s="6" r="Z1639">
        <v>0</v>
      </c>
      <c s="6" r="AA1639">
        <v>3</v>
      </c>
      <c s="6" r="AB1639">
        <v>3</v>
      </c>
      <c s="6" r="AC1639">
        <v>3</v>
      </c>
      <c s="6" r="AD1639">
        <v>2</v>
      </c>
      <c t="s" s="6" r="AE1639">
        <v>92</v>
      </c>
      <c t="s" s="6" r="AF1639">
        <v>92</v>
      </c>
      <c t="s" s="6" r="AG1639">
        <v>92</v>
      </c>
      <c s="6" r="AH1639">
        <v>3</v>
      </c>
      <c t="s" s="6" r="AI1639">
        <v>92</v>
      </c>
      <c t="s" s="6" r="AJ1639">
        <v>92</v>
      </c>
      <c t="s" s="6" r="AK1639">
        <v>92</v>
      </c>
      <c s="6" r="AL1639">
        <v>3</v>
      </c>
      <c t="s" s="6" r="AM1639">
        <v>92</v>
      </c>
      <c t="s" s="6" r="AN1639">
        <v>92</v>
      </c>
      <c s="6" r="AP1639">
        <v>3</v>
      </c>
      <c s="6" r="AS1639">
        <v>0</v>
      </c>
      <c s="6" r="AT1639">
        <v>0</v>
      </c>
      <c s="6" r="AU1639">
        <v>0</v>
      </c>
      <c s="6" r="AV1639">
        <v>0</v>
      </c>
      <c s="6" r="AW1639">
        <v>0</v>
      </c>
      <c s="6" r="AX1639">
        <v>0</v>
      </c>
      <c s="6" r="AY1639">
        <v>0</v>
      </c>
      <c s="6" r="AZ1639">
        <v>0</v>
      </c>
      <c s="6" r="BA1639">
        <v>0</v>
      </c>
      <c s="6" r="BB1639">
        <v>0</v>
      </c>
      <c s="6" r="BC1639">
        <v>0</v>
      </c>
      <c s="6" r="BD1639">
        <v>0</v>
      </c>
      <c s="6" r="BE1639">
        <v>0</v>
      </c>
      <c s="6" r="BF1639">
        <v>0</v>
      </c>
      <c s="6" r="BG1639">
        <v>0</v>
      </c>
      <c s="6" r="BH1639">
        <v>0</v>
      </c>
      <c s="6" r="BI1639">
        <v>0</v>
      </c>
      <c s="6" r="BJ1639">
        <v>0</v>
      </c>
      <c s="6" r="BK1639">
        <v>0</v>
      </c>
      <c s="6" r="BL1639">
        <v>0</v>
      </c>
      <c s="6" r="BM1639">
        <v>0</v>
      </c>
      <c s="6" r="BN1639">
        <v>0</v>
      </c>
      <c s="6" r="BO1639">
        <v>0</v>
      </c>
      <c s="6" r="BP1639">
        <v>0</v>
      </c>
      <c s="6" r="BQ1639">
        <v>0</v>
      </c>
      <c t="s" s="6" r="BR1639">
        <v>92</v>
      </c>
      <c s="6" r="BS1639">
        <v>1668</v>
      </c>
      <c t="s" s="6" r="BT1639">
        <v>92</v>
      </c>
      <c s="6" r="BY1639">
        <v>0</v>
      </c>
    </row>
    <row customHeight="1" r="1640" ht="14.25">
      <c t="s" s="6" r="A1640">
        <v>11447</v>
      </c>
      <c t="s" s="6" r="B1640">
        <v>162</v>
      </c>
      <c t="s" s="6" r="E1640">
        <v>1755</v>
      </c>
      <c t="s" s="6" r="F1640">
        <v>81</v>
      </c>
      <c t="s" s="6" r="G1640">
        <v>106</v>
      </c>
      <c s="6" r="H1640">
        <v>0</v>
      </c>
      <c t="s" s="6" r="I1640">
        <v>5115</v>
      </c>
      <c t="s" s="6" r="L1640">
        <v>11448</v>
      </c>
      <c t="s" s="6" r="M1640">
        <v>483</v>
      </c>
      <c s="6" r="N1640">
        <v>1</v>
      </c>
      <c s="6" r="O1640">
        <v>0</v>
      </c>
      <c t="s" s="6" r="P1640">
        <v>187</v>
      </c>
      <c t="s" s="6" r="Q1640">
        <v>188</v>
      </c>
      <c t="s" s="6" r="R1640">
        <v>11449</v>
      </c>
      <c t="s" s="6" r="S1640">
        <v>11450</v>
      </c>
      <c t="s" s="6" r="T1640">
        <v>11445</v>
      </c>
      <c t="s" s="6" r="U1640">
        <v>11451</v>
      </c>
      <c s="6" r="V1640">
        <v>1</v>
      </c>
      <c s="6" r="W1640">
        <v>1</v>
      </c>
      <c s="6" r="X1640">
        <v>0</v>
      </c>
      <c s="6" r="Y1640">
        <v>0</v>
      </c>
      <c s="6" r="Z1640">
        <v>0</v>
      </c>
      <c s="6" r="AA1640">
        <v>5</v>
      </c>
      <c s="6" r="AB1640">
        <v>5</v>
      </c>
      <c t="s" s="6" r="AC1640">
        <v>92</v>
      </c>
      <c t="s" s="6" r="AD1640">
        <v>92</v>
      </c>
      <c t="s" s="6" r="AE1640">
        <v>92</v>
      </c>
      <c t="s" s="6" r="AF1640">
        <v>92</v>
      </c>
      <c t="s" s="6" r="AG1640">
        <v>92</v>
      </c>
      <c t="s" s="6" r="AH1640">
        <v>92</v>
      </c>
      <c t="s" s="6" r="AI1640">
        <v>92</v>
      </c>
      <c s="6" r="AJ1640">
        <v>5</v>
      </c>
      <c t="s" s="6" r="AK1640">
        <v>92</v>
      </c>
      <c t="s" s="6" r="AL1640">
        <v>92</v>
      </c>
      <c t="s" s="6" r="AM1640">
        <v>92</v>
      </c>
      <c t="s" s="6" r="AN1640">
        <v>92</v>
      </c>
      <c s="6" r="AP1640">
        <v>5</v>
      </c>
      <c s="6" r="AS1640">
        <v>0</v>
      </c>
      <c s="6" r="AT1640">
        <v>0</v>
      </c>
      <c s="6" r="AU1640">
        <v>0</v>
      </c>
      <c s="6" r="AV1640">
        <v>0</v>
      </c>
      <c s="6" r="AW1640">
        <v>0</v>
      </c>
      <c s="6" r="AX1640">
        <v>0</v>
      </c>
      <c s="6" r="AY1640">
        <v>0</v>
      </c>
      <c s="6" r="AZ1640">
        <v>0</v>
      </c>
      <c s="6" r="BA1640">
        <v>0</v>
      </c>
      <c s="6" r="BB1640">
        <v>0</v>
      </c>
      <c s="6" r="BC1640">
        <v>0</v>
      </c>
      <c s="6" r="BD1640">
        <v>0</v>
      </c>
      <c s="6" r="BE1640">
        <v>0</v>
      </c>
      <c s="6" r="BF1640">
        <v>0</v>
      </c>
      <c s="6" r="BG1640">
        <v>0</v>
      </c>
      <c s="6" r="BH1640">
        <v>0</v>
      </c>
      <c s="6" r="BI1640">
        <v>0</v>
      </c>
      <c s="6" r="BJ1640">
        <v>0</v>
      </c>
      <c s="6" r="BK1640">
        <v>0</v>
      </c>
      <c s="6" r="BL1640">
        <v>0</v>
      </c>
      <c s="6" r="BM1640">
        <v>0</v>
      </c>
      <c s="6" r="BN1640">
        <v>0</v>
      </c>
      <c s="6" r="BO1640">
        <v>0</v>
      </c>
      <c s="6" r="BP1640">
        <v>0</v>
      </c>
      <c s="6" r="BQ1640">
        <v>0</v>
      </c>
      <c t="s" s="6" r="BR1640">
        <v>92</v>
      </c>
      <c s="6" r="BS1640">
        <v>1669</v>
      </c>
      <c t="s" s="6" r="BT1640">
        <v>92</v>
      </c>
      <c s="6" r="BY1640">
        <v>0</v>
      </c>
    </row>
    <row customHeight="1" r="1641" ht="14.25">
      <c t="s" s="6" r="A1641">
        <v>11452</v>
      </c>
      <c t="s" s="6" r="B1641">
        <v>131</v>
      </c>
      <c t="s" s="6" r="E1641">
        <v>9107</v>
      </c>
      <c t="s" s="6" r="F1641">
        <v>81</v>
      </c>
      <c t="s" s="6" r="G1641">
        <v>106</v>
      </c>
      <c s="6" r="H1641">
        <v>0</v>
      </c>
      <c t="s" s="6" r="I1641">
        <v>155</v>
      </c>
      <c t="s" s="6" r="L1641">
        <v>156</v>
      </c>
      <c t="s" s="6" r="M1641">
        <v>2718</v>
      </c>
      <c s="6" r="N1641">
        <v>0</v>
      </c>
      <c s="6" r="O1641">
        <v>0</v>
      </c>
      <c t="s" s="6" r="R1641">
        <v>11453</v>
      </c>
      <c t="s" s="6" r="S1641">
        <v>11454</v>
      </c>
      <c t="s" s="6" r="T1641">
        <v>11445</v>
      </c>
      <c t="s" s="6" r="U1641">
        <v>11455</v>
      </c>
      <c s="6" r="V1641">
        <v>1</v>
      </c>
      <c s="6" r="W1641">
        <v>1</v>
      </c>
      <c s="6" r="X1641">
        <v>0</v>
      </c>
      <c s="6" r="Y1641">
        <v>0</v>
      </c>
      <c s="6" r="Z1641">
        <v>0</v>
      </c>
      <c s="6" r="AA1641">
        <v>2</v>
      </c>
      <c s="6" r="AB1641">
        <v>2</v>
      </c>
      <c t="s" s="6" r="AC1641">
        <v>92</v>
      </c>
      <c t="s" s="6" r="AD1641">
        <v>92</v>
      </c>
      <c t="s" s="6" r="AE1641">
        <v>92</v>
      </c>
      <c s="6" r="AF1641">
        <v>2</v>
      </c>
      <c t="s" s="6" r="AG1641">
        <v>92</v>
      </c>
      <c s="6" r="AH1641">
        <v>2</v>
      </c>
      <c t="s" s="6" r="AI1641">
        <v>92</v>
      </c>
      <c s="6" r="AJ1641">
        <v>2</v>
      </c>
      <c t="s" s="6" r="AK1641">
        <v>92</v>
      </c>
      <c t="s" s="6" r="AL1641">
        <v>92</v>
      </c>
      <c t="s" s="6" r="AM1641">
        <v>92</v>
      </c>
      <c t="s" s="6" r="AN1641">
        <v>92</v>
      </c>
      <c s="6" r="AP1641">
        <v>2</v>
      </c>
      <c s="6" r="AS1641">
        <v>0</v>
      </c>
      <c s="6" r="AT1641">
        <v>0</v>
      </c>
      <c s="6" r="AU1641">
        <v>0</v>
      </c>
      <c s="6" r="AV1641">
        <v>0</v>
      </c>
      <c s="6" r="AW1641">
        <v>0</v>
      </c>
      <c s="6" r="AX1641">
        <v>0</v>
      </c>
      <c s="6" r="AY1641">
        <v>0</v>
      </c>
      <c s="6" r="AZ1641">
        <v>0</v>
      </c>
      <c s="6" r="BA1641">
        <v>0</v>
      </c>
      <c s="6" r="BB1641">
        <v>0</v>
      </c>
      <c s="6" r="BC1641">
        <v>0</v>
      </c>
      <c s="6" r="BD1641">
        <v>0</v>
      </c>
      <c s="6" r="BE1641">
        <v>0</v>
      </c>
      <c s="6" r="BF1641">
        <v>0</v>
      </c>
      <c s="6" r="BG1641">
        <v>0</v>
      </c>
      <c s="6" r="BH1641">
        <v>0</v>
      </c>
      <c s="6" r="BI1641">
        <v>0</v>
      </c>
      <c s="6" r="BJ1641">
        <v>0</v>
      </c>
      <c s="6" r="BK1641">
        <v>0</v>
      </c>
      <c s="6" r="BL1641">
        <v>0</v>
      </c>
      <c s="6" r="BM1641">
        <v>0</v>
      </c>
      <c s="6" r="BN1641">
        <v>0</v>
      </c>
      <c s="6" r="BO1641">
        <v>0</v>
      </c>
      <c s="6" r="BP1641">
        <v>0</v>
      </c>
      <c s="6" r="BQ1641">
        <v>0</v>
      </c>
      <c t="s" s="6" r="BR1641">
        <v>92</v>
      </c>
      <c s="6" r="BS1641">
        <v>1670</v>
      </c>
      <c t="s" s="6" r="BT1641">
        <v>92</v>
      </c>
      <c s="6" r="BY1641">
        <v>0</v>
      </c>
    </row>
    <row customHeight="1" r="1642" ht="14.25">
      <c t="s" s="6" r="A1642">
        <v>11456</v>
      </c>
      <c t="s" s="6" r="B1642">
        <v>174</v>
      </c>
      <c t="s" s="6" r="E1642">
        <v>11457</v>
      </c>
      <c t="s" s="6" r="F1642">
        <v>81</v>
      </c>
      <c t="s" s="6" r="G1642">
        <v>11458</v>
      </c>
      <c s="6" r="H1642">
        <v>1</v>
      </c>
      <c t="s" s="6" r="I1642">
        <v>155</v>
      </c>
      <c t="s" s="6" r="J1642">
        <v>11459</v>
      </c>
      <c t="s" s="6" r="M1642">
        <v>109</v>
      </c>
      <c s="6" r="N1642">
        <v>0</v>
      </c>
      <c s="6" r="O1642">
        <v>0</v>
      </c>
      <c t="s" s="6" r="R1642">
        <v>11460</v>
      </c>
      <c t="s" s="6" r="S1642">
        <v>11461</v>
      </c>
      <c t="s" s="6" r="T1642">
        <v>11445</v>
      </c>
      <c t="s" s="6" r="U1642">
        <v>11462</v>
      </c>
      <c s="6" r="V1642">
        <v>1</v>
      </c>
      <c s="6" r="W1642">
        <v>1</v>
      </c>
      <c s="6" r="X1642">
        <v>0</v>
      </c>
      <c s="6" r="Y1642">
        <v>0</v>
      </c>
      <c s="6" r="Z1642">
        <v>0</v>
      </c>
      <c s="6" r="AA1642">
        <v>5</v>
      </c>
      <c s="6" r="AB1642">
        <v>5</v>
      </c>
      <c s="6" r="AC1642">
        <v>5</v>
      </c>
      <c t="s" s="6" r="AD1642">
        <v>92</v>
      </c>
      <c t="s" s="6" r="AE1642">
        <v>92</v>
      </c>
      <c s="6" r="AF1642">
        <v>4</v>
      </c>
      <c t="s" s="6" r="AG1642">
        <v>92</v>
      </c>
      <c t="s" s="6" r="AH1642">
        <v>92</v>
      </c>
      <c t="s" s="6" r="AI1642">
        <v>92</v>
      </c>
      <c t="s" s="6" r="AJ1642">
        <v>92</v>
      </c>
      <c s="6" r="AK1642">
        <v>4</v>
      </c>
      <c s="6" r="AL1642">
        <v>5</v>
      </c>
      <c t="s" s="6" r="AM1642">
        <v>92</v>
      </c>
      <c t="s" s="6" r="AN1642">
        <v>92</v>
      </c>
      <c s="6" r="AP1642">
        <v>5</v>
      </c>
      <c s="6" r="AS1642">
        <v>0</v>
      </c>
      <c s="6" r="AT1642">
        <v>0</v>
      </c>
      <c s="6" r="AU1642">
        <v>0</v>
      </c>
      <c s="6" r="AV1642">
        <v>0</v>
      </c>
      <c s="6" r="AW1642">
        <v>0</v>
      </c>
      <c s="6" r="AX1642">
        <v>0</v>
      </c>
      <c s="6" r="AY1642">
        <v>0</v>
      </c>
      <c s="6" r="AZ1642">
        <v>0</v>
      </c>
      <c s="6" r="BA1642">
        <v>0</v>
      </c>
      <c s="6" r="BB1642">
        <v>0</v>
      </c>
      <c s="6" r="BC1642">
        <v>0</v>
      </c>
      <c s="6" r="BD1642">
        <v>0</v>
      </c>
      <c s="6" r="BE1642">
        <v>0</v>
      </c>
      <c s="6" r="BF1642">
        <v>0</v>
      </c>
      <c s="6" r="BG1642">
        <v>0</v>
      </c>
      <c s="6" r="BH1642">
        <v>0</v>
      </c>
      <c s="6" r="BI1642">
        <v>0</v>
      </c>
      <c s="6" r="BJ1642">
        <v>0</v>
      </c>
      <c s="6" r="BK1642">
        <v>0</v>
      </c>
      <c s="6" r="BL1642">
        <v>0</v>
      </c>
      <c s="6" r="BM1642">
        <v>0</v>
      </c>
      <c s="6" r="BN1642">
        <v>0</v>
      </c>
      <c s="6" r="BO1642">
        <v>0</v>
      </c>
      <c s="6" r="BP1642">
        <v>0</v>
      </c>
      <c s="6" r="BQ1642">
        <v>0</v>
      </c>
      <c t="s" s="6" r="BR1642">
        <v>92</v>
      </c>
      <c s="6" r="BS1642">
        <v>1671</v>
      </c>
      <c s="6" r="BT1642">
        <v>150</v>
      </c>
      <c s="6" r="BY1642">
        <v>0</v>
      </c>
    </row>
    <row customHeight="1" r="1643" ht="14.25">
      <c t="s" s="6" r="A1643">
        <v>11463</v>
      </c>
      <c t="s" s="6" r="B1643">
        <v>131</v>
      </c>
      <c t="s" s="6" r="E1643">
        <v>10976</v>
      </c>
      <c t="s" s="6" r="F1643">
        <v>81</v>
      </c>
      <c t="s" s="6" r="G1643">
        <v>106</v>
      </c>
      <c s="6" r="H1643">
        <v>0</v>
      </c>
      <c t="s" s="6" r="I1643">
        <v>5115</v>
      </c>
      <c t="s" s="6" r="L1643">
        <v>1235</v>
      </c>
      <c t="s" s="6" r="M1643">
        <v>99</v>
      </c>
      <c s="6" r="N1643">
        <v>0</v>
      </c>
      <c s="6" r="O1643">
        <v>0</v>
      </c>
      <c t="s" s="6" r="P1643">
        <v>11464</v>
      </c>
      <c t="s" s="6" r="Q1643">
        <v>188</v>
      </c>
      <c t="s" s="6" r="R1643">
        <v>11465</v>
      </c>
      <c t="s" s="6" r="S1643">
        <v>11466</v>
      </c>
      <c t="s" s="6" r="T1643">
        <v>11445</v>
      </c>
      <c t="s" s="6" r="U1643">
        <v>11467</v>
      </c>
      <c s="6" r="V1643">
        <v>1</v>
      </c>
      <c s="6" r="W1643">
        <v>1</v>
      </c>
      <c s="6" r="X1643">
        <v>0</v>
      </c>
      <c s="6" r="Y1643">
        <v>0</v>
      </c>
      <c s="6" r="Z1643">
        <v>0</v>
      </c>
      <c s="6" r="AA1643">
        <v>3</v>
      </c>
      <c s="6" r="AB1643">
        <v>3</v>
      </c>
      <c t="s" s="6" r="AC1643">
        <v>92</v>
      </c>
      <c t="s" s="6" r="AD1643">
        <v>92</v>
      </c>
      <c t="s" s="6" r="AE1643">
        <v>92</v>
      </c>
      <c t="s" s="6" r="AF1643">
        <v>92</v>
      </c>
      <c t="s" s="6" r="AG1643">
        <v>92</v>
      </c>
      <c t="s" s="6" r="AH1643">
        <v>92</v>
      </c>
      <c t="s" s="6" r="AI1643">
        <v>92</v>
      </c>
      <c s="6" r="AJ1643">
        <v>3</v>
      </c>
      <c t="s" s="6" r="AK1643">
        <v>92</v>
      </c>
      <c t="s" s="6" r="AL1643">
        <v>92</v>
      </c>
      <c t="s" s="6" r="AM1643">
        <v>92</v>
      </c>
      <c s="6" r="AN1643">
        <v>2</v>
      </c>
      <c s="6" r="AP1643">
        <v>3</v>
      </c>
      <c s="6" r="AS1643">
        <v>0</v>
      </c>
      <c s="6" r="AT1643">
        <v>0</v>
      </c>
      <c s="6" r="AU1643">
        <v>0</v>
      </c>
      <c s="6" r="AV1643">
        <v>0</v>
      </c>
      <c s="6" r="AW1643">
        <v>0</v>
      </c>
      <c s="6" r="AX1643">
        <v>0</v>
      </c>
      <c s="6" r="AY1643">
        <v>0</v>
      </c>
      <c s="6" r="AZ1643">
        <v>0</v>
      </c>
      <c s="6" r="BA1643">
        <v>0</v>
      </c>
      <c s="6" r="BB1643">
        <v>0</v>
      </c>
      <c s="6" r="BC1643">
        <v>0</v>
      </c>
      <c s="6" r="BD1643">
        <v>0</v>
      </c>
      <c s="6" r="BE1643">
        <v>0</v>
      </c>
      <c s="6" r="BF1643">
        <v>0</v>
      </c>
      <c s="6" r="BG1643">
        <v>0</v>
      </c>
      <c s="6" r="BH1643">
        <v>0</v>
      </c>
      <c s="6" r="BI1643">
        <v>0</v>
      </c>
      <c s="6" r="BJ1643">
        <v>0</v>
      </c>
      <c s="6" r="BK1643">
        <v>0</v>
      </c>
      <c s="6" r="BL1643">
        <v>0</v>
      </c>
      <c s="6" r="BM1643">
        <v>0</v>
      </c>
      <c s="6" r="BN1643">
        <v>0</v>
      </c>
      <c s="6" r="BO1643">
        <v>0</v>
      </c>
      <c s="6" r="BP1643">
        <v>0</v>
      </c>
      <c s="6" r="BQ1643">
        <v>0</v>
      </c>
      <c t="s" s="6" r="BR1643">
        <v>92</v>
      </c>
      <c s="6" r="BS1643">
        <v>1672</v>
      </c>
      <c t="s" s="6" r="BT1643">
        <v>92</v>
      </c>
      <c s="6" r="BY1643">
        <v>0</v>
      </c>
    </row>
    <row customHeight="1" r="1644" ht="14.25">
      <c t="s" s="6" r="A1644">
        <v>11468</v>
      </c>
      <c t="s" s="6" r="B1644">
        <v>131</v>
      </c>
      <c t="s" s="6" r="E1644">
        <v>11469</v>
      </c>
      <c t="s" s="6" r="F1644">
        <v>81</v>
      </c>
      <c t="s" s="6" r="G1644">
        <v>11470</v>
      </c>
      <c s="6" r="H1644">
        <v>0</v>
      </c>
      <c t="s" s="6" r="I1644">
        <v>97</v>
      </c>
      <c t="s" s="6" r="L1644">
        <v>1235</v>
      </c>
      <c t="s" s="6" r="M1644">
        <v>483</v>
      </c>
      <c s="6" r="N1644">
        <v>1</v>
      </c>
      <c s="6" r="O1644">
        <v>0</v>
      </c>
      <c t="s" s="6" r="P1644">
        <v>187</v>
      </c>
      <c t="s" s="6" r="Q1644">
        <v>87</v>
      </c>
      <c t="s" s="6" r="R1644">
        <v>11471</v>
      </c>
      <c t="s" s="6" r="S1644">
        <v>11472</v>
      </c>
      <c t="s" s="6" r="T1644">
        <v>11445</v>
      </c>
      <c t="s" s="6" r="U1644">
        <v>11473</v>
      </c>
      <c s="6" r="V1644">
        <v>1</v>
      </c>
      <c s="6" r="W1644">
        <v>1</v>
      </c>
      <c s="6" r="X1644">
        <v>1</v>
      </c>
      <c s="6" r="Y1644">
        <v>0</v>
      </c>
      <c s="6" r="Z1644">
        <v>0</v>
      </c>
      <c s="6" r="AA1644">
        <v>5</v>
      </c>
      <c s="6" r="AB1644">
        <v>5</v>
      </c>
      <c t="s" s="6" r="AC1644">
        <v>92</v>
      </c>
      <c s="6" r="AD1644">
        <v>6</v>
      </c>
      <c t="s" s="6" r="AE1644">
        <v>92</v>
      </c>
      <c t="s" s="6" r="AF1644">
        <v>92</v>
      </c>
      <c t="s" s="6" r="AG1644">
        <v>92</v>
      </c>
      <c t="s" s="6" r="AH1644">
        <v>92</v>
      </c>
      <c t="s" s="6" r="AI1644">
        <v>92</v>
      </c>
      <c t="s" s="6" r="AJ1644">
        <v>92</v>
      </c>
      <c t="s" s="6" r="AK1644">
        <v>92</v>
      </c>
      <c t="s" s="6" r="AL1644">
        <v>92</v>
      </c>
      <c t="s" s="6" r="AM1644">
        <v>92</v>
      </c>
      <c t="s" s="6" r="AN1644">
        <v>92</v>
      </c>
      <c s="6" r="AP1644">
        <v>5</v>
      </c>
      <c s="6" r="AS1644">
        <v>0</v>
      </c>
      <c s="6" r="AT1644">
        <v>0</v>
      </c>
      <c s="6" r="AU1644">
        <v>0</v>
      </c>
      <c s="6" r="AV1644">
        <v>0</v>
      </c>
      <c s="6" r="AW1644">
        <v>0</v>
      </c>
      <c s="6" r="AX1644">
        <v>0</v>
      </c>
      <c s="6" r="AY1644">
        <v>0</v>
      </c>
      <c s="6" r="AZ1644">
        <v>0</v>
      </c>
      <c s="6" r="BA1644">
        <v>0</v>
      </c>
      <c s="6" r="BB1644">
        <v>0</v>
      </c>
      <c s="6" r="BC1644">
        <v>0</v>
      </c>
      <c s="6" r="BD1644">
        <v>0</v>
      </c>
      <c s="6" r="BE1644">
        <v>0</v>
      </c>
      <c s="6" r="BF1644">
        <v>0</v>
      </c>
      <c s="6" r="BG1644">
        <v>0</v>
      </c>
      <c s="6" r="BH1644">
        <v>0</v>
      </c>
      <c s="6" r="BI1644">
        <v>0</v>
      </c>
      <c s="6" r="BJ1644">
        <v>0</v>
      </c>
      <c s="6" r="BK1644">
        <v>0</v>
      </c>
      <c s="6" r="BL1644">
        <v>0</v>
      </c>
      <c s="6" r="BM1644">
        <v>0</v>
      </c>
      <c s="6" r="BN1644">
        <v>0</v>
      </c>
      <c s="6" r="BO1644">
        <v>0</v>
      </c>
      <c s="6" r="BP1644">
        <v>0</v>
      </c>
      <c s="6" r="BQ1644">
        <v>0</v>
      </c>
      <c t="s" s="6" r="BR1644">
        <v>92</v>
      </c>
      <c s="6" r="BS1644">
        <v>1673</v>
      </c>
      <c t="s" s="6" r="BT1644">
        <v>92</v>
      </c>
      <c s="6" r="BY1644">
        <v>0</v>
      </c>
    </row>
    <row customHeight="1" r="1645" ht="14.25">
      <c t="s" s="6" r="A1645">
        <v>11474</v>
      </c>
      <c t="s" s="6" r="B1645">
        <v>131</v>
      </c>
      <c t="s" s="6" r="E1645">
        <v>11475</v>
      </c>
      <c t="s" s="6" r="F1645">
        <v>81</v>
      </c>
      <c t="s" s="6" r="G1645">
        <v>11476</v>
      </c>
      <c s="6" r="H1645">
        <v>0</v>
      </c>
      <c t="s" s="6" r="I1645">
        <v>120</v>
      </c>
      <c t="s" s="6" r="L1645">
        <v>420</v>
      </c>
      <c t="s" s="6" r="M1645">
        <v>99</v>
      </c>
      <c s="6" r="N1645">
        <v>0</v>
      </c>
      <c s="6" r="O1645">
        <v>0</v>
      </c>
      <c t="s" s="6" r="P1645">
        <v>5334</v>
      </c>
      <c t="s" s="6" r="Q1645">
        <v>87</v>
      </c>
      <c t="s" s="6" r="R1645">
        <v>11477</v>
      </c>
      <c t="s" s="6" r="S1645">
        <v>11478</v>
      </c>
      <c t="s" s="6" r="T1645">
        <v>11445</v>
      </c>
      <c t="s" s="6" r="U1645">
        <v>11479</v>
      </c>
      <c s="6" r="V1645">
        <v>1</v>
      </c>
      <c s="6" r="W1645">
        <v>1</v>
      </c>
      <c s="6" r="X1645">
        <v>0</v>
      </c>
      <c s="6" r="Y1645">
        <v>0</v>
      </c>
      <c s="6" r="Z1645">
        <v>0</v>
      </c>
      <c s="6" r="AA1645">
        <v>8</v>
      </c>
      <c s="6" r="AB1645">
        <v>8</v>
      </c>
      <c s="6" r="AC1645">
        <v>8</v>
      </c>
      <c s="6" r="AD1645">
        <v>8</v>
      </c>
      <c t="s" s="6" r="AE1645">
        <v>92</v>
      </c>
      <c t="s" s="6" r="AF1645">
        <v>92</v>
      </c>
      <c t="s" s="6" r="AG1645">
        <v>92</v>
      </c>
      <c t="s" s="6" r="AH1645">
        <v>92</v>
      </c>
      <c t="s" s="6" r="AI1645">
        <v>92</v>
      </c>
      <c s="6" r="AJ1645">
        <v>8</v>
      </c>
      <c t="s" s="6" r="AK1645">
        <v>92</v>
      </c>
      <c s="6" r="AL1645">
        <v>8</v>
      </c>
      <c t="s" s="6" r="AM1645">
        <v>92</v>
      </c>
      <c t="s" s="6" r="AN1645">
        <v>92</v>
      </c>
      <c s="6" r="AP1645">
        <v>8</v>
      </c>
      <c s="6" r="AS1645">
        <v>0</v>
      </c>
      <c s="6" r="AT1645">
        <v>0</v>
      </c>
      <c s="6" r="AU1645">
        <v>0</v>
      </c>
      <c s="6" r="AV1645">
        <v>0</v>
      </c>
      <c s="6" r="AW1645">
        <v>0</v>
      </c>
      <c s="6" r="AX1645">
        <v>0</v>
      </c>
      <c s="6" r="AY1645">
        <v>0</v>
      </c>
      <c s="6" r="AZ1645">
        <v>0</v>
      </c>
      <c s="6" r="BA1645">
        <v>0</v>
      </c>
      <c s="6" r="BB1645">
        <v>0</v>
      </c>
      <c s="6" r="BC1645">
        <v>0</v>
      </c>
      <c s="6" r="BD1645">
        <v>0</v>
      </c>
      <c s="6" r="BE1645">
        <v>0</v>
      </c>
      <c s="6" r="BF1645">
        <v>0</v>
      </c>
      <c s="6" r="BG1645">
        <v>0</v>
      </c>
      <c s="6" r="BH1645">
        <v>0</v>
      </c>
      <c s="6" r="BI1645">
        <v>0</v>
      </c>
      <c s="6" r="BJ1645">
        <v>0</v>
      </c>
      <c s="6" r="BK1645">
        <v>0</v>
      </c>
      <c s="6" r="BL1645">
        <v>0</v>
      </c>
      <c s="6" r="BM1645">
        <v>0</v>
      </c>
      <c s="6" r="BN1645">
        <v>0</v>
      </c>
      <c s="6" r="BO1645">
        <v>0</v>
      </c>
      <c s="6" r="BP1645">
        <v>0</v>
      </c>
      <c s="6" r="BQ1645">
        <v>0</v>
      </c>
      <c t="s" s="6" r="BR1645">
        <v>92</v>
      </c>
      <c s="6" r="BS1645">
        <v>1674</v>
      </c>
      <c t="s" s="6" r="BT1645">
        <v>92</v>
      </c>
      <c s="6" r="BY1645">
        <v>0</v>
      </c>
    </row>
    <row customHeight="1" r="1646" ht="14.25">
      <c t="s" s="6" r="A1646">
        <v>11480</v>
      </c>
      <c t="s" s="6" r="B1646">
        <v>579</v>
      </c>
      <c t="s" s="6" r="C1646">
        <v>1523</v>
      </c>
      <c t="s" s="6" r="D1646">
        <v>117</v>
      </c>
      <c t="s" s="6" r="E1646">
        <v>8276</v>
      </c>
      <c t="s" s="6" r="F1646">
        <v>81</v>
      </c>
      <c t="s" s="6" r="G1646">
        <v>11481</v>
      </c>
      <c s="6" r="H1646">
        <v>0</v>
      </c>
      <c t="s" s="6" r="I1646">
        <v>97</v>
      </c>
      <c t="s" s="6" r="L1646">
        <v>1235</v>
      </c>
      <c t="s" s="6" r="M1646">
        <v>711</v>
      </c>
      <c s="6" r="N1646">
        <v>1</v>
      </c>
      <c s="6" r="O1646">
        <v>0</v>
      </c>
      <c t="s" s="6" r="P1646">
        <v>11482</v>
      </c>
      <c t="s" s="6" r="Q1646">
        <v>188</v>
      </c>
      <c t="s" s="6" r="R1646">
        <v>11483</v>
      </c>
      <c t="s" s="6" r="S1646">
        <v>11484</v>
      </c>
      <c t="s" s="6" r="T1646">
        <v>11445</v>
      </c>
      <c t="s" s="6" r="U1646">
        <v>11485</v>
      </c>
      <c s="6" r="V1646">
        <v>0</v>
      </c>
      <c s="6" r="W1646">
        <v>1</v>
      </c>
      <c s="6" r="X1646">
        <v>1</v>
      </c>
      <c s="6" r="Y1646">
        <v>0</v>
      </c>
      <c s="6" r="Z1646">
        <v>0</v>
      </c>
      <c s="6" r="AA1646">
        <v>5</v>
      </c>
      <c s="6" r="AB1646">
        <v>5</v>
      </c>
      <c t="s" s="6" r="AC1646">
        <v>92</v>
      </c>
      <c t="s" s="6" r="AD1646">
        <v>92</v>
      </c>
      <c t="s" s="6" r="AE1646">
        <v>92</v>
      </c>
      <c s="6" r="AF1646">
        <v>4</v>
      </c>
      <c t="s" s="6" r="AG1646">
        <v>92</v>
      </c>
      <c t="s" s="6" r="AH1646">
        <v>92</v>
      </c>
      <c t="s" s="6" r="AI1646">
        <v>92</v>
      </c>
      <c t="s" s="6" r="AJ1646">
        <v>92</v>
      </c>
      <c t="s" s="6" r="AK1646">
        <v>92</v>
      </c>
      <c t="s" s="6" r="AL1646">
        <v>92</v>
      </c>
      <c t="s" s="6" r="AM1646">
        <v>92</v>
      </c>
      <c t="s" s="6" r="AN1646">
        <v>92</v>
      </c>
      <c s="6" r="AP1646">
        <v>5</v>
      </c>
      <c s="6" r="AS1646">
        <v>0</v>
      </c>
      <c s="6" r="AT1646">
        <v>0</v>
      </c>
      <c s="6" r="AU1646">
        <v>0</v>
      </c>
      <c s="6" r="AV1646">
        <v>0</v>
      </c>
      <c s="6" r="AW1646">
        <v>0</v>
      </c>
      <c s="6" r="AX1646">
        <v>0</v>
      </c>
      <c s="6" r="AY1646">
        <v>0</v>
      </c>
      <c s="6" r="AZ1646">
        <v>0</v>
      </c>
      <c s="6" r="BA1646">
        <v>0</v>
      </c>
      <c s="6" r="BB1646">
        <v>0</v>
      </c>
      <c s="6" r="BC1646">
        <v>0</v>
      </c>
      <c s="6" r="BD1646">
        <v>0</v>
      </c>
      <c s="6" r="BE1646">
        <v>0</v>
      </c>
      <c s="6" r="BF1646">
        <v>0</v>
      </c>
      <c s="6" r="BG1646">
        <v>0</v>
      </c>
      <c s="6" r="BH1646">
        <v>0</v>
      </c>
      <c s="6" r="BI1646">
        <v>0</v>
      </c>
      <c s="6" r="BJ1646">
        <v>0</v>
      </c>
      <c s="6" r="BK1646">
        <v>0</v>
      </c>
      <c s="6" r="BL1646">
        <v>1</v>
      </c>
      <c s="6" r="BM1646">
        <v>0</v>
      </c>
      <c s="6" r="BN1646">
        <v>0</v>
      </c>
      <c s="6" r="BO1646">
        <v>0</v>
      </c>
      <c s="6" r="BP1646">
        <v>0</v>
      </c>
      <c s="6" r="BQ1646">
        <v>0</v>
      </c>
      <c t="s" s="6" r="BR1646">
        <v>92</v>
      </c>
      <c s="6" r="BS1646">
        <v>1675</v>
      </c>
      <c t="s" s="6" r="BT1646">
        <v>92</v>
      </c>
      <c s="6" r="BY1646">
        <v>0</v>
      </c>
    </row>
    <row customHeight="1" r="1647" ht="14.25">
      <c t="s" s="6" r="A1647">
        <v>11486</v>
      </c>
      <c t="s" s="6" r="B1647">
        <v>174</v>
      </c>
      <c t="s" s="6" r="E1647">
        <v>11487</v>
      </c>
      <c t="s" s="6" r="F1647">
        <v>81</v>
      </c>
      <c t="s" s="6" r="G1647">
        <v>106</v>
      </c>
      <c s="6" r="H1647">
        <v>0</v>
      </c>
      <c t="s" s="6" r="I1647">
        <v>120</v>
      </c>
      <c t="s" s="6" r="L1647">
        <v>11488</v>
      </c>
      <c t="s" s="6" r="M1647">
        <v>109</v>
      </c>
      <c s="6" r="N1647">
        <v>0</v>
      </c>
      <c s="6" r="O1647">
        <v>0</v>
      </c>
      <c t="s" s="6" r="P1647">
        <v>144</v>
      </c>
      <c t="s" s="6" r="Q1647">
        <v>145</v>
      </c>
      <c t="s" s="6" r="R1647">
        <v>11489</v>
      </c>
      <c t="s" s="6" r="S1647">
        <v>11490</v>
      </c>
      <c t="s" s="6" r="T1647">
        <v>11491</v>
      </c>
      <c t="s" s="6" r="U1647">
        <v>11492</v>
      </c>
      <c s="6" r="V1647">
        <v>1</v>
      </c>
      <c s="6" r="W1647">
        <v>1</v>
      </c>
      <c s="6" r="X1647">
        <v>0</v>
      </c>
      <c s="6" r="Y1647">
        <v>0</v>
      </c>
      <c s="6" r="Z1647">
        <v>0</v>
      </c>
      <c s="6" r="AA1647">
        <v>1</v>
      </c>
      <c s="6" r="AB1647">
        <v>1</v>
      </c>
      <c s="6" r="AC1647">
        <v>1</v>
      </c>
      <c t="s" s="6" r="AD1647">
        <v>92</v>
      </c>
      <c t="s" s="6" r="AE1647">
        <v>92</v>
      </c>
      <c s="6" r="AF1647">
        <v>1</v>
      </c>
      <c t="s" s="6" r="AG1647">
        <v>92</v>
      </c>
      <c t="s" s="6" r="AH1647">
        <v>92</v>
      </c>
      <c t="s" s="6" r="AI1647">
        <v>92</v>
      </c>
      <c t="s" s="6" r="AJ1647">
        <v>92</v>
      </c>
      <c t="s" s="6" r="AK1647">
        <v>92</v>
      </c>
      <c s="6" r="AL1647">
        <v>1</v>
      </c>
      <c t="s" s="6" r="AM1647">
        <v>92</v>
      </c>
      <c s="6" r="AN1647">
        <v>1</v>
      </c>
      <c s="6" r="AP1647">
        <v>1</v>
      </c>
      <c s="6" r="AS1647">
        <v>0</v>
      </c>
      <c s="6" r="AT1647">
        <v>0</v>
      </c>
      <c s="6" r="AU1647">
        <v>0</v>
      </c>
      <c s="6" r="AV1647">
        <v>0</v>
      </c>
      <c s="6" r="AW1647">
        <v>0</v>
      </c>
      <c s="6" r="AX1647">
        <v>0</v>
      </c>
      <c s="6" r="AY1647">
        <v>0</v>
      </c>
      <c s="6" r="AZ1647">
        <v>0</v>
      </c>
      <c s="6" r="BA1647">
        <v>0</v>
      </c>
      <c s="6" r="BB1647">
        <v>0</v>
      </c>
      <c s="6" r="BC1647">
        <v>0</v>
      </c>
      <c s="6" r="BD1647">
        <v>0</v>
      </c>
      <c s="6" r="BE1647">
        <v>0</v>
      </c>
      <c s="6" r="BF1647">
        <v>0</v>
      </c>
      <c s="6" r="BG1647">
        <v>0</v>
      </c>
      <c s="6" r="BH1647">
        <v>0</v>
      </c>
      <c s="6" r="BI1647">
        <v>0</v>
      </c>
      <c s="6" r="BJ1647">
        <v>0</v>
      </c>
      <c s="6" r="BK1647">
        <v>0</v>
      </c>
      <c s="6" r="BL1647">
        <v>0</v>
      </c>
      <c s="6" r="BM1647">
        <v>0</v>
      </c>
      <c s="6" r="BN1647">
        <v>0</v>
      </c>
      <c s="6" r="BO1647">
        <v>0</v>
      </c>
      <c s="6" r="BP1647">
        <v>0</v>
      </c>
      <c s="6" r="BQ1647">
        <v>0</v>
      </c>
      <c t="s" s="6" r="BR1647">
        <v>92</v>
      </c>
      <c s="6" r="BS1647">
        <v>1676</v>
      </c>
      <c t="s" s="6" r="BT1647">
        <v>92</v>
      </c>
      <c s="6" r="BY1647">
        <v>0</v>
      </c>
    </row>
    <row customHeight="1" r="1648" ht="14.25">
      <c t="s" s="6" r="A1648">
        <v>11493</v>
      </c>
      <c t="s" s="6" r="B1648">
        <v>174</v>
      </c>
      <c t="s" s="6" r="E1648">
        <v>11494</v>
      </c>
      <c t="s" s="6" r="F1648">
        <v>272</v>
      </c>
      <c t="s" s="6" r="G1648">
        <v>11495</v>
      </c>
      <c s="6" r="H1648">
        <v>0</v>
      </c>
      <c t="s" s="6" r="I1648">
        <v>155</v>
      </c>
      <c t="s" s="6" r="M1648">
        <v>6977</v>
      </c>
      <c s="6" r="N1648">
        <v>0</v>
      </c>
      <c s="6" r="O1648">
        <v>0</v>
      </c>
      <c t="s" s="6" r="P1648">
        <v>86</v>
      </c>
      <c t="s" s="6" r="Q1648">
        <v>87</v>
      </c>
      <c t="s" s="6" r="R1648">
        <v>11496</v>
      </c>
      <c t="s" s="6" r="S1648">
        <v>11497</v>
      </c>
      <c t="s" s="6" r="T1648">
        <v>11491</v>
      </c>
      <c t="s" s="6" r="U1648">
        <v>11498</v>
      </c>
      <c s="6" r="V1648">
        <v>1</v>
      </c>
      <c s="6" r="W1648">
        <v>1</v>
      </c>
      <c s="6" r="X1648">
        <v>0</v>
      </c>
      <c s="6" r="Y1648">
        <v>0</v>
      </c>
      <c s="6" r="Z1648">
        <v>0</v>
      </c>
      <c s="6" r="AA1648">
        <v>2</v>
      </c>
      <c s="6" r="AB1648">
        <v>2</v>
      </c>
      <c s="6" r="AC1648">
        <v>2</v>
      </c>
      <c t="s" s="6" r="AD1648">
        <v>92</v>
      </c>
      <c t="s" s="6" r="AE1648">
        <v>92</v>
      </c>
      <c s="6" r="AF1648">
        <v>2</v>
      </c>
      <c t="s" s="6" r="AG1648">
        <v>92</v>
      </c>
      <c t="s" s="6" r="AH1648">
        <v>92</v>
      </c>
      <c t="s" s="6" r="AI1648">
        <v>92</v>
      </c>
      <c t="s" s="6" r="AJ1648">
        <v>92</v>
      </c>
      <c t="s" s="6" r="AK1648">
        <v>92</v>
      </c>
      <c s="6" r="AL1648">
        <v>2</v>
      </c>
      <c t="s" s="6" r="AM1648">
        <v>92</v>
      </c>
      <c s="6" r="AN1648">
        <v>2</v>
      </c>
      <c s="6" r="AP1648">
        <v>2</v>
      </c>
      <c s="6" r="AS1648">
        <v>0</v>
      </c>
      <c s="6" r="AT1648">
        <v>0</v>
      </c>
      <c s="6" r="AU1648">
        <v>0</v>
      </c>
      <c s="6" r="AV1648">
        <v>0</v>
      </c>
      <c s="6" r="AW1648">
        <v>0</v>
      </c>
      <c s="6" r="AX1648">
        <v>0</v>
      </c>
      <c s="6" r="AY1648">
        <v>0</v>
      </c>
      <c s="6" r="AZ1648">
        <v>0</v>
      </c>
      <c s="6" r="BA1648">
        <v>0</v>
      </c>
      <c s="6" r="BB1648">
        <v>0</v>
      </c>
      <c s="6" r="BC1648">
        <v>0</v>
      </c>
      <c s="6" r="BD1648">
        <v>0</v>
      </c>
      <c s="6" r="BE1648">
        <v>0</v>
      </c>
      <c s="6" r="BF1648">
        <v>0</v>
      </c>
      <c s="6" r="BG1648">
        <v>0</v>
      </c>
      <c s="6" r="BH1648">
        <v>0</v>
      </c>
      <c s="6" r="BI1648">
        <v>0</v>
      </c>
      <c s="6" r="BJ1648">
        <v>0</v>
      </c>
      <c s="6" r="BK1648">
        <v>0</v>
      </c>
      <c s="6" r="BL1648">
        <v>0</v>
      </c>
      <c s="6" r="BM1648">
        <v>0</v>
      </c>
      <c s="6" r="BN1648">
        <v>0</v>
      </c>
      <c s="6" r="BO1648">
        <v>0</v>
      </c>
      <c s="6" r="BP1648">
        <v>0</v>
      </c>
      <c s="6" r="BQ1648">
        <v>0</v>
      </c>
      <c t="s" s="6" r="BR1648">
        <v>92</v>
      </c>
      <c s="6" r="BS1648">
        <v>1677</v>
      </c>
      <c t="s" s="6" r="BT1648">
        <v>92</v>
      </c>
      <c s="6" r="BY1648">
        <v>0</v>
      </c>
    </row>
    <row customHeight="1" r="1649" ht="14.25">
      <c t="s" s="6" r="A1649">
        <v>11499</v>
      </c>
      <c t="s" s="6" r="B1649">
        <v>330</v>
      </c>
      <c t="s" s="6" r="E1649">
        <v>11500</v>
      </c>
      <c t="s" s="6" r="F1649">
        <v>1743</v>
      </c>
      <c t="s" s="6" r="G1649">
        <v>11501</v>
      </c>
      <c s="6" r="H1649">
        <v>0</v>
      </c>
      <c t="s" s="6" r="I1649">
        <v>107</v>
      </c>
      <c t="s" s="6" r="L1649">
        <v>1235</v>
      </c>
      <c t="s" s="6" r="M1649">
        <v>109</v>
      </c>
      <c s="6" r="N1649">
        <v>0</v>
      </c>
      <c s="6" r="O1649">
        <v>0</v>
      </c>
      <c t="s" s="6" r="R1649">
        <v>11502</v>
      </c>
      <c t="s" s="6" r="S1649">
        <v>11503</v>
      </c>
      <c t="s" s="6" r="T1649">
        <v>11491</v>
      </c>
      <c t="s" s="6" r="U1649">
        <v>11504</v>
      </c>
      <c s="6" r="V1649">
        <v>1</v>
      </c>
      <c s="6" r="W1649">
        <v>1</v>
      </c>
      <c s="6" r="X1649">
        <v>0</v>
      </c>
      <c s="6" r="Y1649">
        <v>0</v>
      </c>
      <c s="6" r="Z1649">
        <v>0</v>
      </c>
      <c s="6" r="AA1649">
        <v>3</v>
      </c>
      <c s="6" r="AB1649">
        <v>3</v>
      </c>
      <c s="6" r="AC1649">
        <v>3</v>
      </c>
      <c s="6" r="AD1649">
        <v>3</v>
      </c>
      <c t="s" s="6" r="AE1649">
        <v>92</v>
      </c>
      <c s="6" r="AF1649">
        <v>3</v>
      </c>
      <c t="s" s="6" r="AG1649">
        <v>92</v>
      </c>
      <c t="s" s="6" r="AH1649">
        <v>92</v>
      </c>
      <c s="6" r="AI1649">
        <v>3</v>
      </c>
      <c s="6" r="AJ1649">
        <v>3</v>
      </c>
      <c t="s" s="6" r="AK1649">
        <v>92</v>
      </c>
      <c s="6" r="AL1649">
        <v>3</v>
      </c>
      <c t="s" s="6" r="AM1649">
        <v>92</v>
      </c>
      <c s="6" r="AN1649">
        <v>3</v>
      </c>
      <c s="6" r="AP1649">
        <v>3</v>
      </c>
      <c s="6" r="AS1649">
        <v>0</v>
      </c>
      <c s="6" r="AT1649">
        <v>0</v>
      </c>
      <c s="6" r="AU1649">
        <v>0</v>
      </c>
      <c s="6" r="AV1649">
        <v>0</v>
      </c>
      <c s="6" r="AW1649">
        <v>0</v>
      </c>
      <c s="6" r="AX1649">
        <v>0</v>
      </c>
      <c s="6" r="AY1649">
        <v>0</v>
      </c>
      <c s="6" r="AZ1649">
        <v>0</v>
      </c>
      <c s="6" r="BA1649">
        <v>0</v>
      </c>
      <c s="6" r="BB1649">
        <v>0</v>
      </c>
      <c s="6" r="BC1649">
        <v>0</v>
      </c>
      <c s="6" r="BD1649">
        <v>0</v>
      </c>
      <c s="6" r="BE1649">
        <v>0</v>
      </c>
      <c s="6" r="BF1649">
        <v>0</v>
      </c>
      <c s="6" r="BG1649">
        <v>0</v>
      </c>
      <c s="6" r="BH1649">
        <v>0</v>
      </c>
      <c s="6" r="BI1649">
        <v>0</v>
      </c>
      <c s="6" r="BJ1649">
        <v>0</v>
      </c>
      <c s="6" r="BK1649">
        <v>0</v>
      </c>
      <c s="6" r="BL1649">
        <v>0</v>
      </c>
      <c s="6" r="BM1649">
        <v>0</v>
      </c>
      <c s="6" r="BN1649">
        <v>0</v>
      </c>
      <c s="6" r="BO1649">
        <v>0</v>
      </c>
      <c s="6" r="BP1649">
        <v>0</v>
      </c>
      <c s="6" r="BQ1649">
        <v>0</v>
      </c>
      <c t="s" s="6" r="BR1649">
        <v>92</v>
      </c>
      <c s="6" r="BS1649">
        <v>1678</v>
      </c>
      <c t="s" s="6" r="BT1649">
        <v>92</v>
      </c>
      <c s="6" r="BY1649">
        <v>0</v>
      </c>
    </row>
    <row customHeight="1" r="1650" ht="14.25">
      <c t="s" s="6" r="A1650">
        <v>11505</v>
      </c>
      <c t="s" s="6" r="B1650">
        <v>174</v>
      </c>
      <c t="s" s="6" r="E1650">
        <v>11506</v>
      </c>
      <c t="s" s="6" r="F1650">
        <v>81</v>
      </c>
      <c t="s" s="6" r="G1650">
        <v>11507</v>
      </c>
      <c s="6" r="H1650">
        <v>0</v>
      </c>
      <c t="s" s="6" r="I1650">
        <v>155</v>
      </c>
      <c t="s" s="6" r="L1650">
        <v>156</v>
      </c>
      <c t="s" s="6" r="M1650">
        <v>10551</v>
      </c>
      <c s="6" r="N1650">
        <v>0</v>
      </c>
      <c s="6" r="O1650">
        <v>0</v>
      </c>
      <c t="s" s="6" r="R1650">
        <v>11508</v>
      </c>
      <c t="s" s="6" r="S1650">
        <v>11509</v>
      </c>
      <c t="s" s="6" r="T1650">
        <v>11491</v>
      </c>
      <c t="s" s="6" r="U1650">
        <v>11510</v>
      </c>
      <c s="6" r="V1650">
        <v>1</v>
      </c>
      <c s="6" r="W1650">
        <v>0</v>
      </c>
      <c s="6" r="X1650">
        <v>0</v>
      </c>
      <c s="6" r="Y1650">
        <v>0</v>
      </c>
      <c s="6" r="Z1650">
        <v>0</v>
      </c>
      <c s="6" r="AA1650">
        <v>1</v>
      </c>
      <c s="6" r="AB1650">
        <v>1</v>
      </c>
      <c s="6" r="AC1650">
        <v>1</v>
      </c>
      <c t="s" s="6" r="AD1650">
        <v>92</v>
      </c>
      <c t="s" s="6" r="AE1650">
        <v>92</v>
      </c>
      <c s="6" r="AF1650">
        <v>1</v>
      </c>
      <c t="s" s="6" r="AG1650">
        <v>92</v>
      </c>
      <c t="s" s="6" r="AH1650">
        <v>92</v>
      </c>
      <c t="s" s="6" r="AI1650">
        <v>92</v>
      </c>
      <c s="6" r="AJ1650">
        <v>1</v>
      </c>
      <c s="6" r="AK1650">
        <v>1</v>
      </c>
      <c s="6" r="AL1650">
        <v>1</v>
      </c>
      <c t="s" s="6" r="AM1650">
        <v>92</v>
      </c>
      <c t="s" s="6" r="AN1650">
        <v>92</v>
      </c>
      <c s="6" r="AP1650">
        <v>1</v>
      </c>
      <c s="6" r="AS1650">
        <v>0</v>
      </c>
      <c s="6" r="AT1650">
        <v>0</v>
      </c>
      <c s="6" r="AU1650">
        <v>0</v>
      </c>
      <c s="6" r="AV1650">
        <v>0</v>
      </c>
      <c s="6" r="AW1650">
        <v>0</v>
      </c>
      <c s="6" r="AX1650">
        <v>0</v>
      </c>
      <c s="6" r="AY1650">
        <v>0</v>
      </c>
      <c s="6" r="AZ1650">
        <v>0</v>
      </c>
      <c s="6" r="BA1650">
        <v>0</v>
      </c>
      <c s="6" r="BB1650">
        <v>0</v>
      </c>
      <c s="6" r="BC1650">
        <v>0</v>
      </c>
      <c s="6" r="BD1650">
        <v>0</v>
      </c>
      <c s="6" r="BE1650">
        <v>0</v>
      </c>
      <c s="6" r="BF1650">
        <v>0</v>
      </c>
      <c s="6" r="BG1650">
        <v>0</v>
      </c>
      <c s="6" r="BH1650">
        <v>0</v>
      </c>
      <c s="6" r="BI1650">
        <v>0</v>
      </c>
      <c s="6" r="BJ1650">
        <v>0</v>
      </c>
      <c s="6" r="BK1650">
        <v>0</v>
      </c>
      <c s="6" r="BL1650">
        <v>0</v>
      </c>
      <c s="6" r="BM1650">
        <v>0</v>
      </c>
      <c s="6" r="BN1650">
        <v>0</v>
      </c>
      <c s="6" r="BO1650">
        <v>0</v>
      </c>
      <c s="6" r="BP1650">
        <v>0</v>
      </c>
      <c s="6" r="BQ1650">
        <v>0</v>
      </c>
      <c t="s" s="6" r="BR1650">
        <v>92</v>
      </c>
      <c s="6" r="BS1650">
        <v>1679</v>
      </c>
      <c t="s" s="6" r="BT1650">
        <v>92</v>
      </c>
      <c s="6" r="BY1650">
        <v>0</v>
      </c>
    </row>
    <row customHeight="1" r="1651" ht="14.25">
      <c t="s" s="6" r="A1651">
        <v>11511</v>
      </c>
      <c t="s" s="6" r="B1651">
        <v>131</v>
      </c>
      <c t="s" s="6" r="E1651">
        <v>11512</v>
      </c>
      <c t="s" s="6" r="F1651">
        <v>81</v>
      </c>
      <c t="s" s="6" r="G1651">
        <v>11513</v>
      </c>
      <c s="6" r="H1651">
        <v>0</v>
      </c>
      <c t="s" s="6" r="I1651">
        <v>107</v>
      </c>
      <c t="s" s="6" r="L1651">
        <v>2600</v>
      </c>
      <c t="s" s="6" r="M1651">
        <v>2718</v>
      </c>
      <c s="6" r="N1651">
        <v>0</v>
      </c>
      <c s="6" r="O1651">
        <v>0</v>
      </c>
      <c t="s" s="6" r="P1651">
        <v>144</v>
      </c>
      <c t="s" s="6" r="Q1651">
        <v>145</v>
      </c>
      <c t="s" s="6" r="R1651">
        <v>11514</v>
      </c>
      <c t="s" s="6" r="S1651">
        <v>11515</v>
      </c>
      <c t="s" s="6" r="T1651">
        <v>11491</v>
      </c>
      <c t="s" s="6" r="U1651">
        <v>11516</v>
      </c>
      <c s="6" r="V1651">
        <v>1</v>
      </c>
      <c s="6" r="W1651">
        <v>1</v>
      </c>
      <c s="6" r="X1651">
        <v>1</v>
      </c>
      <c s="6" r="Y1651">
        <v>0</v>
      </c>
      <c s="6" r="Z1651">
        <v>0</v>
      </c>
      <c s="6" r="AA1651">
        <v>3</v>
      </c>
      <c s="6" r="AB1651">
        <v>3</v>
      </c>
      <c t="s" s="6" r="AC1651">
        <v>92</v>
      </c>
      <c t="s" s="6" r="AD1651">
        <v>92</v>
      </c>
      <c s="6" r="AE1651">
        <v>2</v>
      </c>
      <c s="6" r="AF1651">
        <v>2</v>
      </c>
      <c t="s" s="6" r="AG1651">
        <v>92</v>
      </c>
      <c t="s" s="6" r="AH1651">
        <v>92</v>
      </c>
      <c t="s" s="6" r="AI1651">
        <v>92</v>
      </c>
      <c t="s" s="6" r="AJ1651">
        <v>92</v>
      </c>
      <c t="s" s="6" r="AK1651">
        <v>92</v>
      </c>
      <c t="s" s="6" r="AL1651">
        <v>92</v>
      </c>
      <c t="s" s="6" r="AM1651">
        <v>92</v>
      </c>
      <c s="6" r="AN1651">
        <v>2</v>
      </c>
      <c s="6" r="AP1651">
        <v>3</v>
      </c>
      <c s="6" r="AS1651">
        <v>0</v>
      </c>
      <c s="6" r="AT1651">
        <v>0</v>
      </c>
      <c s="6" r="AU1651">
        <v>0</v>
      </c>
      <c s="6" r="AV1651">
        <v>0</v>
      </c>
      <c s="6" r="AW1651">
        <v>0</v>
      </c>
      <c s="6" r="AX1651">
        <v>0</v>
      </c>
      <c s="6" r="AY1651">
        <v>0</v>
      </c>
      <c s="6" r="AZ1651">
        <v>0</v>
      </c>
      <c s="6" r="BA1651">
        <v>0</v>
      </c>
      <c s="6" r="BB1651">
        <v>0</v>
      </c>
      <c s="6" r="BC1651">
        <v>0</v>
      </c>
      <c s="6" r="BD1651">
        <v>0</v>
      </c>
      <c s="6" r="BE1651">
        <v>0</v>
      </c>
      <c s="6" r="BF1651">
        <v>0</v>
      </c>
      <c s="6" r="BG1651">
        <v>0</v>
      </c>
      <c s="6" r="BH1651">
        <v>0</v>
      </c>
      <c s="6" r="BI1651">
        <v>0</v>
      </c>
      <c s="6" r="BJ1651">
        <v>0</v>
      </c>
      <c s="6" r="BK1651">
        <v>0</v>
      </c>
      <c s="6" r="BL1651">
        <v>0</v>
      </c>
      <c s="6" r="BM1651">
        <v>0</v>
      </c>
      <c s="6" r="BN1651">
        <v>0</v>
      </c>
      <c s="6" r="BO1651">
        <v>0</v>
      </c>
      <c s="6" r="BP1651">
        <v>0</v>
      </c>
      <c s="6" r="BQ1651">
        <v>0</v>
      </c>
      <c t="s" s="6" r="BR1651">
        <v>92</v>
      </c>
      <c s="6" r="BS1651">
        <v>1680</v>
      </c>
      <c t="s" s="6" r="BT1651">
        <v>92</v>
      </c>
      <c s="6" r="BY1651">
        <v>0</v>
      </c>
    </row>
    <row customHeight="1" r="1652" ht="14.25">
      <c t="s" s="6" r="A1652">
        <v>11517</v>
      </c>
      <c t="s" s="6" r="B1652">
        <v>115</v>
      </c>
      <c t="s" s="6" r="C1652">
        <v>116</v>
      </c>
      <c t="s" s="6" r="D1652">
        <v>7379</v>
      </c>
      <c t="s" s="6" r="E1652">
        <v>11518</v>
      </c>
      <c t="s" s="6" r="F1652">
        <v>81</v>
      </c>
      <c t="s" s="6" r="G1652">
        <v>106</v>
      </c>
      <c s="6" r="H1652">
        <v>0</v>
      </c>
      <c t="s" s="6" r="I1652">
        <v>107</v>
      </c>
      <c t="s" s="6" r="L1652">
        <v>1235</v>
      </c>
      <c t="s" s="6" r="M1652">
        <v>99</v>
      </c>
      <c s="6" r="N1652">
        <v>0</v>
      </c>
      <c s="6" r="O1652">
        <v>0</v>
      </c>
      <c t="s" s="6" r="P1652">
        <v>141</v>
      </c>
      <c t="s" s="6" r="Q1652">
        <v>188</v>
      </c>
      <c t="s" s="6" r="R1652">
        <v>11519</v>
      </c>
      <c t="s" s="6" r="S1652">
        <v>11520</v>
      </c>
      <c t="s" s="6" r="T1652">
        <v>11491</v>
      </c>
      <c t="s" s="6" r="U1652">
        <v>11521</v>
      </c>
      <c s="6" r="V1652">
        <v>1</v>
      </c>
      <c s="6" r="W1652">
        <v>1</v>
      </c>
      <c s="6" r="X1652">
        <v>0</v>
      </c>
      <c s="6" r="Y1652">
        <v>0</v>
      </c>
      <c s="6" r="Z1652">
        <v>0</v>
      </c>
      <c t="s" s="6" r="AA1652">
        <v>92</v>
      </c>
      <c t="s" s="6" r="AB1652">
        <v>92</v>
      </c>
      <c t="s" s="6" r="AC1652">
        <v>92</v>
      </c>
      <c t="s" s="6" r="AD1652">
        <v>92</v>
      </c>
      <c s="6" r="AE1652">
        <v>2</v>
      </c>
      <c s="6" r="AF1652">
        <v>2</v>
      </c>
      <c t="s" s="6" r="AG1652">
        <v>92</v>
      </c>
      <c t="s" s="6" r="AH1652">
        <v>92</v>
      </c>
      <c t="s" s="6" r="AI1652">
        <v>92</v>
      </c>
      <c t="s" s="6" r="AJ1652">
        <v>92</v>
      </c>
      <c s="6" r="AK1652">
        <v>2</v>
      </c>
      <c t="s" s="6" r="AL1652">
        <v>92</v>
      </c>
      <c t="s" s="6" r="AM1652">
        <v>92</v>
      </c>
      <c t="s" s="6" r="AN1652">
        <v>92</v>
      </c>
      <c s="6" r="AP1652">
        <v>2</v>
      </c>
      <c s="6" r="AS1652">
        <v>0</v>
      </c>
      <c s="6" r="AT1652">
        <v>0</v>
      </c>
      <c s="6" r="AU1652">
        <v>0</v>
      </c>
      <c s="6" r="AV1652">
        <v>0</v>
      </c>
      <c s="6" r="AW1652">
        <v>0</v>
      </c>
      <c s="6" r="AX1652">
        <v>0</v>
      </c>
      <c s="6" r="AY1652">
        <v>0</v>
      </c>
      <c s="6" r="AZ1652">
        <v>0</v>
      </c>
      <c s="6" r="BA1652">
        <v>0</v>
      </c>
      <c s="6" r="BB1652">
        <v>0</v>
      </c>
      <c s="6" r="BC1652">
        <v>1</v>
      </c>
      <c s="6" r="BD1652">
        <v>0</v>
      </c>
      <c s="6" r="BE1652">
        <v>0</v>
      </c>
      <c s="6" r="BF1652">
        <v>0</v>
      </c>
      <c s="6" r="BG1652">
        <v>0</v>
      </c>
      <c s="6" r="BH1652">
        <v>0</v>
      </c>
      <c s="6" r="BI1652">
        <v>0</v>
      </c>
      <c s="6" r="BJ1652">
        <v>0</v>
      </c>
      <c s="6" r="BK1652">
        <v>0</v>
      </c>
      <c s="6" r="BL1652">
        <v>1</v>
      </c>
      <c s="6" r="BM1652">
        <v>0</v>
      </c>
      <c s="6" r="BN1652">
        <v>0</v>
      </c>
      <c s="6" r="BO1652">
        <v>0</v>
      </c>
      <c s="6" r="BP1652">
        <v>0</v>
      </c>
      <c s="6" r="BQ1652">
        <v>0</v>
      </c>
      <c t="s" s="6" r="BR1652">
        <v>92</v>
      </c>
      <c s="6" r="BS1652">
        <v>1681</v>
      </c>
      <c t="s" s="6" r="BT1652">
        <v>92</v>
      </c>
      <c s="6" r="BY1652">
        <v>0</v>
      </c>
    </row>
    <row customHeight="1" r="1653" ht="14.25">
      <c t="s" s="6" r="A1653">
        <v>11522</v>
      </c>
      <c t="s" s="6" r="B1653">
        <v>493</v>
      </c>
      <c t="s" s="6" r="D1653">
        <v>62</v>
      </c>
      <c t="s" s="6" r="E1653">
        <v>4534</v>
      </c>
      <c t="s" s="6" r="F1653">
        <v>81</v>
      </c>
      <c t="s" s="6" r="G1653">
        <v>3884</v>
      </c>
      <c s="6" r="H1653">
        <v>0</v>
      </c>
      <c t="s" s="6" r="I1653">
        <v>97</v>
      </c>
      <c t="s" s="6" r="K1653">
        <v>11523</v>
      </c>
      <c t="s" s="6" r="M1653">
        <v>5513</v>
      </c>
      <c s="6" r="N1653">
        <v>1</v>
      </c>
      <c s="6" r="O1653">
        <v>0</v>
      </c>
      <c t="s" s="6" r="P1653">
        <v>5165</v>
      </c>
      <c t="s" s="6" r="Q1653">
        <v>188</v>
      </c>
      <c t="s" s="6" r="R1653">
        <v>11524</v>
      </c>
      <c t="s" s="6" r="S1653">
        <v>11525</v>
      </c>
      <c t="s" s="6" r="T1653">
        <v>11526</v>
      </c>
      <c t="s" s="6" r="U1653">
        <v>11527</v>
      </c>
      <c s="6" r="V1653">
        <v>1</v>
      </c>
      <c s="6" r="W1653">
        <v>1</v>
      </c>
      <c s="6" r="X1653">
        <v>1</v>
      </c>
      <c s="6" r="Y1653">
        <v>0</v>
      </c>
      <c s="6" r="Z1653">
        <v>1</v>
      </c>
      <c s="6" r="AA1653">
        <v>5</v>
      </c>
      <c s="6" r="AB1653">
        <v>5</v>
      </c>
      <c t="s" s="6" r="AC1653">
        <v>92</v>
      </c>
      <c s="6" r="AD1653">
        <v>5</v>
      </c>
      <c t="s" s="6" r="AE1653">
        <v>92</v>
      </c>
      <c t="s" s="6" r="AF1653">
        <v>92</v>
      </c>
      <c t="s" s="6" r="AG1653">
        <v>92</v>
      </c>
      <c t="s" s="6" r="AH1653">
        <v>92</v>
      </c>
      <c t="s" s="6" r="AI1653">
        <v>92</v>
      </c>
      <c t="s" s="6" r="AJ1653">
        <v>92</v>
      </c>
      <c t="s" s="6" r="AK1653">
        <v>92</v>
      </c>
      <c t="s" s="6" r="AL1653">
        <v>92</v>
      </c>
      <c t="s" s="6" r="AM1653">
        <v>92</v>
      </c>
      <c t="s" s="6" r="AN1653">
        <v>92</v>
      </c>
      <c s="6" r="AP1653">
        <v>5</v>
      </c>
      <c s="6" r="AS1653">
        <v>0</v>
      </c>
      <c s="6" r="AT1653">
        <v>0</v>
      </c>
      <c s="6" r="AU1653">
        <v>0</v>
      </c>
      <c s="6" r="AV1653">
        <v>0</v>
      </c>
      <c s="6" r="AW1653">
        <v>0</v>
      </c>
      <c s="6" r="AX1653">
        <v>0</v>
      </c>
      <c s="6" r="AY1653">
        <v>0</v>
      </c>
      <c s="6" r="AZ1653">
        <v>0</v>
      </c>
      <c s="6" r="BA1653">
        <v>0</v>
      </c>
      <c s="6" r="BB1653">
        <v>0</v>
      </c>
      <c s="6" r="BC1653">
        <v>0</v>
      </c>
      <c s="6" r="BD1653">
        <v>0</v>
      </c>
      <c s="6" r="BE1653">
        <v>0</v>
      </c>
      <c s="6" r="BF1653">
        <v>0</v>
      </c>
      <c s="6" r="BG1653">
        <v>0</v>
      </c>
      <c s="6" r="BH1653">
        <v>0</v>
      </c>
      <c s="6" r="BI1653">
        <v>0</v>
      </c>
      <c s="6" r="BJ1653">
        <v>0</v>
      </c>
      <c s="6" r="BK1653">
        <v>1</v>
      </c>
      <c s="6" r="BL1653">
        <v>0</v>
      </c>
      <c s="6" r="BM1653">
        <v>0</v>
      </c>
      <c s="6" r="BN1653">
        <v>0</v>
      </c>
      <c s="6" r="BO1653">
        <v>0</v>
      </c>
      <c s="6" r="BP1653">
        <v>0</v>
      </c>
      <c s="6" r="BQ1653">
        <v>0</v>
      </c>
      <c t="s" s="6" r="BR1653">
        <v>92</v>
      </c>
      <c s="6" r="BS1653">
        <v>1682</v>
      </c>
      <c t="s" s="6" r="BT1653">
        <v>92</v>
      </c>
      <c s="6" r="BY1653">
        <v>0</v>
      </c>
    </row>
    <row customHeight="1" r="1654" ht="14.25">
      <c t="s" s="6" r="A1654">
        <v>11528</v>
      </c>
      <c t="s" s="6" r="B1654">
        <v>493</v>
      </c>
      <c t="s" s="6" r="E1654">
        <v>3011</v>
      </c>
      <c t="s" s="6" r="F1654">
        <v>11529</v>
      </c>
      <c t="s" s="6" r="G1654">
        <v>11530</v>
      </c>
      <c s="6" r="H1654">
        <v>0</v>
      </c>
      <c t="s" s="6" r="I1654">
        <v>120</v>
      </c>
      <c t="s" s="6" r="L1654">
        <v>2443</v>
      </c>
      <c t="s" s="6" r="M1654">
        <v>11531</v>
      </c>
      <c s="6" r="N1654">
        <v>1</v>
      </c>
      <c s="6" r="O1654">
        <v>0</v>
      </c>
      <c t="s" s="6" r="P1654">
        <v>421</v>
      </c>
      <c t="s" s="6" r="Q1654">
        <v>123</v>
      </c>
      <c t="s" s="6" r="R1654">
        <v>11532</v>
      </c>
      <c t="s" s="6" r="S1654">
        <v>11533</v>
      </c>
      <c t="s" s="6" r="T1654">
        <v>11534</v>
      </c>
      <c t="s" s="6" r="U1654">
        <v>11535</v>
      </c>
      <c s="6" r="V1654">
        <v>1</v>
      </c>
      <c s="6" r="W1654">
        <v>1</v>
      </c>
      <c s="6" r="X1654">
        <v>1</v>
      </c>
      <c s="6" r="Y1654">
        <v>0</v>
      </c>
      <c s="6" r="Z1654">
        <v>0</v>
      </c>
      <c t="s" s="6" r="AA1654">
        <v>92</v>
      </c>
      <c t="s" s="6" r="AB1654">
        <v>92</v>
      </c>
      <c t="s" s="6" r="AC1654">
        <v>92</v>
      </c>
      <c t="s" s="6" r="AD1654">
        <v>92</v>
      </c>
      <c t="s" s="6" r="AE1654">
        <v>92</v>
      </c>
      <c s="6" r="AF1654">
        <v>4</v>
      </c>
      <c t="s" s="6" r="AG1654">
        <v>92</v>
      </c>
      <c t="s" s="6" r="AH1654">
        <v>92</v>
      </c>
      <c t="s" s="6" r="AI1654">
        <v>92</v>
      </c>
      <c t="s" s="6" r="AJ1654">
        <v>92</v>
      </c>
      <c t="s" s="6" r="AK1654">
        <v>92</v>
      </c>
      <c t="s" s="6" r="AL1654">
        <v>92</v>
      </c>
      <c t="s" s="6" r="AM1654">
        <v>92</v>
      </c>
      <c t="s" s="6" r="AN1654">
        <v>92</v>
      </c>
      <c s="6" r="AP1654">
        <v>4</v>
      </c>
      <c s="6" r="AS1654">
        <v>0</v>
      </c>
      <c s="6" r="AT1654">
        <v>0</v>
      </c>
      <c s="6" r="AU1654">
        <v>0</v>
      </c>
      <c s="6" r="AV1654">
        <v>0</v>
      </c>
      <c s="6" r="AW1654">
        <v>0</v>
      </c>
      <c s="6" r="AX1654">
        <v>0</v>
      </c>
      <c s="6" r="AY1654">
        <v>0</v>
      </c>
      <c s="6" r="AZ1654">
        <v>0</v>
      </c>
      <c s="6" r="BA1654">
        <v>0</v>
      </c>
      <c s="6" r="BB1654">
        <v>0</v>
      </c>
      <c s="6" r="BC1654">
        <v>0</v>
      </c>
      <c s="6" r="BD1654">
        <v>0</v>
      </c>
      <c s="6" r="BE1654">
        <v>0</v>
      </c>
      <c s="6" r="BF1654">
        <v>0</v>
      </c>
      <c s="6" r="BG1654">
        <v>0</v>
      </c>
      <c s="6" r="BH1654">
        <v>0</v>
      </c>
      <c s="6" r="BI1654">
        <v>0</v>
      </c>
      <c s="6" r="BJ1654">
        <v>0</v>
      </c>
      <c s="6" r="BK1654">
        <v>0</v>
      </c>
      <c s="6" r="BL1654">
        <v>0</v>
      </c>
      <c s="6" r="BM1654">
        <v>0</v>
      </c>
      <c s="6" r="BN1654">
        <v>0</v>
      </c>
      <c s="6" r="BO1654">
        <v>0</v>
      </c>
      <c s="6" r="BP1654">
        <v>0</v>
      </c>
      <c s="6" r="BQ1654">
        <v>0</v>
      </c>
      <c t="s" s="6" r="BR1654">
        <v>92</v>
      </c>
      <c s="6" r="BS1654">
        <v>1683</v>
      </c>
      <c t="s" s="6" r="BT1654">
        <v>92</v>
      </c>
      <c s="6" r="BY1654">
        <v>0</v>
      </c>
    </row>
    <row customHeight="1" r="1655" ht="14.25">
      <c t="s" s="6" r="A1655">
        <v>11536</v>
      </c>
      <c t="s" s="6" r="B1655">
        <v>78</v>
      </c>
      <c t="s" s="6" r="D1655">
        <v>65</v>
      </c>
      <c t="s" s="6" r="E1655">
        <v>11537</v>
      </c>
      <c t="s" s="6" r="F1655">
        <v>81</v>
      </c>
      <c t="s" s="6" r="G1655">
        <v>11538</v>
      </c>
      <c s="6" r="H1655">
        <v>0</v>
      </c>
      <c t="s" s="6" r="I1655">
        <v>155</v>
      </c>
      <c t="s" s="6" r="L1655">
        <v>156</v>
      </c>
      <c t="s" s="6" r="M1655">
        <v>11539</v>
      </c>
      <c s="6" r="N1655">
        <v>0</v>
      </c>
      <c s="6" r="O1655">
        <v>0</v>
      </c>
      <c t="s" s="6" r="P1655">
        <v>1254</v>
      </c>
      <c t="s" s="6" r="Q1655">
        <v>188</v>
      </c>
      <c t="s" s="6" r="R1655">
        <v>11540</v>
      </c>
      <c t="s" s="6" r="S1655">
        <v>11541</v>
      </c>
      <c t="s" s="6" r="T1655">
        <v>11534</v>
      </c>
      <c t="s" s="6" r="U1655">
        <v>11542</v>
      </c>
      <c s="6" r="V1655">
        <v>0</v>
      </c>
      <c s="6" r="W1655">
        <v>1</v>
      </c>
      <c s="6" r="X1655">
        <v>1</v>
      </c>
      <c s="6" r="Y1655">
        <v>0</v>
      </c>
      <c s="6" r="Z1655">
        <v>0</v>
      </c>
      <c t="s" s="6" r="AA1655">
        <v>92</v>
      </c>
      <c t="s" s="6" r="AB1655">
        <v>92</v>
      </c>
      <c s="6" r="AC1655">
        <v>4</v>
      </c>
      <c t="s" s="6" r="AD1655">
        <v>92</v>
      </c>
      <c t="s" s="6" r="AE1655">
        <v>92</v>
      </c>
      <c t="s" s="6" r="AF1655">
        <v>92</v>
      </c>
      <c t="s" s="6" r="AG1655">
        <v>92</v>
      </c>
      <c t="s" s="6" r="AH1655">
        <v>92</v>
      </c>
      <c t="s" s="6" r="AI1655">
        <v>92</v>
      </c>
      <c s="6" r="AJ1655">
        <v>4</v>
      </c>
      <c t="s" s="6" r="AK1655">
        <v>92</v>
      </c>
      <c s="6" r="AL1655">
        <v>4</v>
      </c>
      <c t="s" s="6" r="AM1655">
        <v>92</v>
      </c>
      <c t="s" s="6" r="AN1655">
        <v>92</v>
      </c>
      <c s="6" r="AP1655">
        <v>4</v>
      </c>
      <c s="6" r="AS1655">
        <v>0</v>
      </c>
      <c s="6" r="AT1655">
        <v>0</v>
      </c>
      <c s="6" r="AU1655">
        <v>0</v>
      </c>
      <c s="6" r="AV1655">
        <v>0</v>
      </c>
      <c s="6" r="AW1655">
        <v>0</v>
      </c>
      <c s="6" r="AX1655">
        <v>0</v>
      </c>
      <c s="6" r="AY1655">
        <v>0</v>
      </c>
      <c s="6" r="AZ1655">
        <v>0</v>
      </c>
      <c s="6" r="BA1655">
        <v>0</v>
      </c>
      <c s="6" r="BB1655">
        <v>0</v>
      </c>
      <c s="6" r="BC1655">
        <v>0</v>
      </c>
      <c s="6" r="BD1655">
        <v>0</v>
      </c>
      <c s="6" r="BE1655">
        <v>0</v>
      </c>
      <c s="6" r="BF1655">
        <v>0</v>
      </c>
      <c s="6" r="BG1655">
        <v>0</v>
      </c>
      <c s="6" r="BH1655">
        <v>0</v>
      </c>
      <c s="6" r="BI1655">
        <v>0</v>
      </c>
      <c s="6" r="BJ1655">
        <v>0</v>
      </c>
      <c s="6" r="BK1655">
        <v>0</v>
      </c>
      <c s="6" r="BL1655">
        <v>0</v>
      </c>
      <c s="6" r="BM1655">
        <v>0</v>
      </c>
      <c s="6" r="BN1655">
        <v>1</v>
      </c>
      <c s="6" r="BO1655">
        <v>0</v>
      </c>
      <c s="6" r="BP1655">
        <v>0</v>
      </c>
      <c s="6" r="BQ1655">
        <v>0</v>
      </c>
      <c t="s" s="6" r="BR1655">
        <v>92</v>
      </c>
      <c s="6" r="BS1655">
        <v>1684</v>
      </c>
      <c t="s" s="6" r="BT1655">
        <v>92</v>
      </c>
      <c s="6" r="BY1655">
        <v>0</v>
      </c>
    </row>
    <row customHeight="1" r="1656" ht="14.25">
      <c t="s" s="6" r="A1656">
        <v>11543</v>
      </c>
      <c t="s" s="6" r="B1656">
        <v>174</v>
      </c>
      <c t="s" s="6" r="C1656">
        <v>309</v>
      </c>
      <c t="s" s="6" r="E1656">
        <v>11544</v>
      </c>
      <c t="s" s="6" r="F1656">
        <v>197</v>
      </c>
      <c t="s" s="6" r="G1656">
        <v>119</v>
      </c>
      <c s="6" r="H1656">
        <v>0</v>
      </c>
      <c t="s" s="6" r="I1656">
        <v>155</v>
      </c>
      <c t="s" s="6" r="L1656">
        <v>156</v>
      </c>
      <c t="s" s="6" r="M1656">
        <v>5005</v>
      </c>
      <c s="6" r="N1656">
        <v>0</v>
      </c>
      <c s="6" r="O1656">
        <v>0</v>
      </c>
      <c t="s" s="6" r="P1656">
        <v>2206</v>
      </c>
      <c t="s" s="6" r="Q1656">
        <v>87</v>
      </c>
      <c t="s" s="6" r="R1656">
        <v>11545</v>
      </c>
      <c t="s" s="6" r="S1656">
        <v>11546</v>
      </c>
      <c t="s" s="6" r="T1656">
        <v>11534</v>
      </c>
      <c t="s" s="6" r="U1656">
        <v>11547</v>
      </c>
      <c s="6" r="V1656">
        <v>1</v>
      </c>
      <c s="6" r="W1656">
        <v>1</v>
      </c>
      <c s="6" r="X1656">
        <v>0</v>
      </c>
      <c s="6" r="Y1656">
        <v>0</v>
      </c>
      <c s="6" r="Z1656">
        <v>1</v>
      </c>
      <c t="s" s="6" r="AA1656">
        <v>92</v>
      </c>
      <c t="s" s="6" r="AB1656">
        <v>92</v>
      </c>
      <c t="s" s="6" r="AC1656">
        <v>92</v>
      </c>
      <c s="6" r="AD1656">
        <v>5</v>
      </c>
      <c s="6" r="AE1656">
        <v>4</v>
      </c>
      <c t="s" s="6" r="AF1656">
        <v>92</v>
      </c>
      <c t="s" s="6" r="AG1656">
        <v>92</v>
      </c>
      <c t="s" s="6" r="AH1656">
        <v>92</v>
      </c>
      <c t="s" s="6" r="AI1656">
        <v>92</v>
      </c>
      <c t="s" s="6" r="AJ1656">
        <v>92</v>
      </c>
      <c t="s" s="6" r="AK1656">
        <v>92</v>
      </c>
      <c s="6" r="AL1656">
        <v>5</v>
      </c>
      <c t="s" s="6" r="AM1656">
        <v>92</v>
      </c>
      <c t="s" s="6" r="AN1656">
        <v>92</v>
      </c>
      <c s="6" r="AP1656">
        <v>5</v>
      </c>
      <c s="6" r="AS1656">
        <v>0</v>
      </c>
      <c s="6" r="AT1656">
        <v>0</v>
      </c>
      <c s="6" r="AU1656">
        <v>0</v>
      </c>
      <c s="6" r="AV1656">
        <v>0</v>
      </c>
      <c s="6" r="AW1656">
        <v>0</v>
      </c>
      <c s="6" r="AX1656">
        <v>0</v>
      </c>
      <c s="6" r="AY1656">
        <v>0</v>
      </c>
      <c s="6" r="AZ1656">
        <v>0</v>
      </c>
      <c s="6" r="BA1656">
        <v>0</v>
      </c>
      <c s="6" r="BB1656">
        <v>0</v>
      </c>
      <c s="6" r="BC1656">
        <v>0</v>
      </c>
      <c s="6" r="BD1656">
        <v>0</v>
      </c>
      <c s="6" r="BE1656">
        <v>0</v>
      </c>
      <c s="6" r="BF1656">
        <v>0</v>
      </c>
      <c s="6" r="BG1656">
        <v>0</v>
      </c>
      <c s="6" r="BH1656">
        <v>0</v>
      </c>
      <c s="6" r="BI1656">
        <v>0</v>
      </c>
      <c s="6" r="BJ1656">
        <v>0</v>
      </c>
      <c s="6" r="BK1656">
        <v>0</v>
      </c>
      <c s="6" r="BL1656">
        <v>0</v>
      </c>
      <c s="6" r="BM1656">
        <v>0</v>
      </c>
      <c s="6" r="BN1656">
        <v>0</v>
      </c>
      <c s="6" r="BO1656">
        <v>0</v>
      </c>
      <c s="6" r="BP1656">
        <v>0</v>
      </c>
      <c s="6" r="BQ1656">
        <v>0</v>
      </c>
      <c t="s" s="6" r="BR1656">
        <v>92</v>
      </c>
      <c s="6" r="BS1656">
        <v>1685</v>
      </c>
      <c t="s" s="6" r="BT1656">
        <v>92</v>
      </c>
      <c s="6" r="BY1656">
        <v>0</v>
      </c>
    </row>
    <row customHeight="1" r="1657" ht="14.25">
      <c t="s" s="6" r="A1657">
        <v>11548</v>
      </c>
      <c t="s" s="6" r="B1657">
        <v>174</v>
      </c>
      <c t="s" s="6" r="E1657">
        <v>11549</v>
      </c>
      <c t="s" s="6" r="F1657">
        <v>197</v>
      </c>
      <c t="s" s="6" r="G1657">
        <v>11550</v>
      </c>
      <c s="6" r="H1657">
        <v>0</v>
      </c>
      <c t="s" s="6" r="I1657">
        <v>155</v>
      </c>
      <c t="s" s="6" r="L1657">
        <v>156</v>
      </c>
      <c t="s" s="6" r="M1657">
        <v>10734</v>
      </c>
      <c s="6" r="N1657">
        <v>0</v>
      </c>
      <c s="6" r="O1657">
        <v>0</v>
      </c>
      <c t="s" s="6" r="P1657">
        <v>86</v>
      </c>
      <c t="s" s="6" r="Q1657">
        <v>188</v>
      </c>
      <c t="s" s="6" r="R1657">
        <v>11551</v>
      </c>
      <c t="s" s="6" r="S1657">
        <v>11552</v>
      </c>
      <c t="s" s="6" r="T1657">
        <v>11534</v>
      </c>
      <c t="s" s="6" r="U1657">
        <v>11553</v>
      </c>
      <c s="6" r="V1657">
        <v>1</v>
      </c>
      <c s="6" r="W1657">
        <v>1</v>
      </c>
      <c s="6" r="X1657">
        <v>1</v>
      </c>
      <c s="6" r="Y1657">
        <v>0</v>
      </c>
      <c s="6" r="Z1657">
        <v>0</v>
      </c>
      <c t="s" s="6" r="AA1657">
        <v>92</v>
      </c>
      <c t="s" s="6" r="AB1657">
        <v>92</v>
      </c>
      <c s="6" r="AC1657">
        <v>2</v>
      </c>
      <c s="6" r="AD1657">
        <v>2</v>
      </c>
      <c s="6" r="AE1657">
        <v>2</v>
      </c>
      <c s="6" r="AF1657">
        <v>2</v>
      </c>
      <c t="s" s="6" r="AG1657">
        <v>92</v>
      </c>
      <c t="s" s="6" r="AH1657">
        <v>92</v>
      </c>
      <c t="s" s="6" r="AI1657">
        <v>92</v>
      </c>
      <c s="6" r="AJ1657">
        <v>2</v>
      </c>
      <c t="s" s="6" r="AK1657">
        <v>92</v>
      </c>
      <c s="6" r="AL1657">
        <v>2</v>
      </c>
      <c t="s" s="6" r="AM1657">
        <v>92</v>
      </c>
      <c t="s" s="6" r="AN1657">
        <v>92</v>
      </c>
      <c s="6" r="AP1657">
        <v>2</v>
      </c>
      <c s="6" r="AS1657">
        <v>0</v>
      </c>
      <c s="6" r="AT1657">
        <v>0</v>
      </c>
      <c s="6" r="AU1657">
        <v>0</v>
      </c>
      <c s="6" r="AV1657">
        <v>0</v>
      </c>
      <c s="6" r="AW1657">
        <v>0</v>
      </c>
      <c s="6" r="AX1657">
        <v>0</v>
      </c>
      <c s="6" r="AY1657">
        <v>0</v>
      </c>
      <c s="6" r="AZ1657">
        <v>0</v>
      </c>
      <c s="6" r="BA1657">
        <v>0</v>
      </c>
      <c s="6" r="BB1657">
        <v>0</v>
      </c>
      <c s="6" r="BC1657">
        <v>0</v>
      </c>
      <c s="6" r="BD1657">
        <v>0</v>
      </c>
      <c s="6" r="BE1657">
        <v>0</v>
      </c>
      <c s="6" r="BF1657">
        <v>0</v>
      </c>
      <c s="6" r="BG1657">
        <v>0</v>
      </c>
      <c s="6" r="BH1657">
        <v>0</v>
      </c>
      <c s="6" r="BI1657">
        <v>0</v>
      </c>
      <c s="6" r="BJ1657">
        <v>0</v>
      </c>
      <c s="6" r="BK1657">
        <v>0</v>
      </c>
      <c s="6" r="BL1657">
        <v>0</v>
      </c>
      <c s="6" r="BM1657">
        <v>0</v>
      </c>
      <c s="6" r="BN1657">
        <v>0</v>
      </c>
      <c s="6" r="BO1657">
        <v>0</v>
      </c>
      <c s="6" r="BP1657">
        <v>0</v>
      </c>
      <c s="6" r="BQ1657">
        <v>0</v>
      </c>
      <c t="s" s="6" r="BR1657">
        <v>92</v>
      </c>
      <c s="6" r="BS1657">
        <v>1686</v>
      </c>
      <c t="s" s="6" r="BT1657">
        <v>92</v>
      </c>
      <c s="6" r="BY1657">
        <v>0</v>
      </c>
    </row>
    <row customHeight="1" r="1658" ht="14.25">
      <c t="s" s="6" r="A1658">
        <v>11554</v>
      </c>
      <c t="s" s="6" r="B1658">
        <v>162</v>
      </c>
      <c t="s" s="6" r="E1658">
        <v>11555</v>
      </c>
      <c t="s" s="6" r="F1658">
        <v>81</v>
      </c>
      <c t="s" s="6" r="G1658">
        <v>11556</v>
      </c>
      <c s="6" r="H1658">
        <v>0</v>
      </c>
      <c t="s" s="6" r="I1658">
        <v>9015</v>
      </c>
      <c t="s" s="6" r="J1658">
        <v>11557</v>
      </c>
      <c t="s" s="6" r="M1658">
        <v>5954</v>
      </c>
      <c s="6" r="N1658">
        <v>1</v>
      </c>
      <c s="6" r="O1658">
        <v>0</v>
      </c>
      <c t="s" s="6" r="P1658">
        <v>86</v>
      </c>
      <c t="s" s="6" r="Q1658">
        <v>141</v>
      </c>
      <c t="s" s="6" r="R1658">
        <v>11558</v>
      </c>
      <c t="s" s="6" r="S1658">
        <v>11559</v>
      </c>
      <c t="s" s="6" r="T1658">
        <v>11534</v>
      </c>
      <c t="s" s="6" r="U1658">
        <v>11560</v>
      </c>
      <c s="6" r="V1658">
        <v>1</v>
      </c>
      <c s="6" r="W1658">
        <v>1</v>
      </c>
      <c s="6" r="X1658">
        <v>1</v>
      </c>
      <c s="6" r="Y1658">
        <v>0</v>
      </c>
      <c s="6" r="Z1658">
        <v>0</v>
      </c>
      <c t="s" s="6" r="AA1658">
        <v>92</v>
      </c>
      <c t="s" s="6" r="AB1658">
        <v>92</v>
      </c>
      <c s="6" r="AC1658">
        <v>6</v>
      </c>
      <c s="6" r="AD1658">
        <v>6</v>
      </c>
      <c t="s" s="6" r="AE1658">
        <v>92</v>
      </c>
      <c t="s" s="6" r="AF1658">
        <v>92</v>
      </c>
      <c t="s" s="6" r="AG1658">
        <v>92</v>
      </c>
      <c t="s" s="6" r="AH1658">
        <v>92</v>
      </c>
      <c t="s" s="6" r="AI1658">
        <v>92</v>
      </c>
      <c s="6" r="AJ1658">
        <v>6</v>
      </c>
      <c t="s" s="6" r="AK1658">
        <v>92</v>
      </c>
      <c s="6" r="AL1658">
        <v>6</v>
      </c>
      <c t="s" s="6" r="AM1658">
        <v>92</v>
      </c>
      <c t="s" s="6" r="AN1658">
        <v>92</v>
      </c>
      <c s="6" r="AP1658">
        <v>6</v>
      </c>
      <c s="6" r="AS1658">
        <v>0</v>
      </c>
      <c s="6" r="AT1658">
        <v>0</v>
      </c>
      <c s="6" r="AU1658">
        <v>0</v>
      </c>
      <c s="6" r="AV1658">
        <v>0</v>
      </c>
      <c s="6" r="AW1658">
        <v>0</v>
      </c>
      <c s="6" r="AX1658">
        <v>0</v>
      </c>
      <c s="6" r="AY1658">
        <v>0</v>
      </c>
      <c s="6" r="AZ1658">
        <v>0</v>
      </c>
      <c s="6" r="BA1658">
        <v>0</v>
      </c>
      <c s="6" r="BB1658">
        <v>0</v>
      </c>
      <c s="6" r="BC1658">
        <v>0</v>
      </c>
      <c s="6" r="BD1658">
        <v>0</v>
      </c>
      <c s="6" r="BE1658">
        <v>0</v>
      </c>
      <c s="6" r="BF1658">
        <v>0</v>
      </c>
      <c s="6" r="BG1658">
        <v>0</v>
      </c>
      <c s="6" r="BH1658">
        <v>0</v>
      </c>
      <c s="6" r="BI1658">
        <v>0</v>
      </c>
      <c s="6" r="BJ1658">
        <v>0</v>
      </c>
      <c s="6" r="BK1658">
        <v>0</v>
      </c>
      <c s="6" r="BL1658">
        <v>0</v>
      </c>
      <c s="6" r="BM1658">
        <v>0</v>
      </c>
      <c s="6" r="BN1658">
        <v>0</v>
      </c>
      <c s="6" r="BO1658">
        <v>0</v>
      </c>
      <c s="6" r="BP1658">
        <v>0</v>
      </c>
      <c s="6" r="BQ1658">
        <v>0</v>
      </c>
      <c t="s" s="6" r="BR1658">
        <v>92</v>
      </c>
      <c s="6" r="BS1658">
        <v>1687</v>
      </c>
      <c t="s" s="6" r="BT1658">
        <v>92</v>
      </c>
      <c s="6" r="BY1658">
        <v>0</v>
      </c>
    </row>
    <row customHeight="1" r="1659" ht="14.25">
      <c t="s" s="6" r="A1659">
        <v>11561</v>
      </c>
      <c t="s" s="6" r="B1659">
        <v>174</v>
      </c>
      <c t="s" s="6" r="E1659">
        <v>250</v>
      </c>
      <c t="s" s="6" r="F1659">
        <v>293</v>
      </c>
      <c t="s" s="6" r="G1659">
        <v>119</v>
      </c>
      <c s="6" r="H1659">
        <v>0</v>
      </c>
      <c t="s" s="6" r="I1659">
        <v>155</v>
      </c>
      <c t="s" s="6" r="L1659">
        <v>156</v>
      </c>
      <c t="s" s="6" r="M1659">
        <v>4898</v>
      </c>
      <c s="6" r="N1659">
        <v>0</v>
      </c>
      <c s="6" r="O1659">
        <v>0</v>
      </c>
      <c t="s" s="6" r="R1659">
        <v>11562</v>
      </c>
      <c t="s" s="6" r="S1659">
        <v>11563</v>
      </c>
      <c t="s" s="6" r="T1659">
        <v>11534</v>
      </c>
      <c t="s" s="6" r="U1659">
        <v>11564</v>
      </c>
      <c s="6" r="V1659">
        <v>1</v>
      </c>
      <c s="6" r="W1659">
        <v>1</v>
      </c>
      <c s="6" r="X1659">
        <v>0</v>
      </c>
      <c s="6" r="Y1659">
        <v>0</v>
      </c>
      <c s="6" r="Z1659">
        <v>1</v>
      </c>
      <c t="s" s="6" r="AA1659">
        <v>92</v>
      </c>
      <c t="s" s="6" r="AB1659">
        <v>92</v>
      </c>
      <c t="s" s="6" r="AC1659">
        <v>92</v>
      </c>
      <c s="6" r="AD1659">
        <v>7</v>
      </c>
      <c t="s" s="6" r="AE1659">
        <v>92</v>
      </c>
      <c t="s" s="6" r="AF1659">
        <v>92</v>
      </c>
      <c t="s" s="6" r="AG1659">
        <v>92</v>
      </c>
      <c t="s" s="6" r="AH1659">
        <v>92</v>
      </c>
      <c t="s" s="6" r="AI1659">
        <v>92</v>
      </c>
      <c t="s" s="6" r="AJ1659">
        <v>92</v>
      </c>
      <c t="s" s="6" r="AK1659">
        <v>92</v>
      </c>
      <c t="s" s="6" r="AL1659">
        <v>92</v>
      </c>
      <c t="s" s="6" r="AM1659">
        <v>92</v>
      </c>
      <c t="s" s="6" r="AN1659">
        <v>92</v>
      </c>
      <c s="6" r="AP1659">
        <v>7</v>
      </c>
      <c s="6" r="AS1659">
        <v>0</v>
      </c>
      <c s="6" r="AT1659">
        <v>0</v>
      </c>
      <c s="6" r="AU1659">
        <v>0</v>
      </c>
      <c s="6" r="AV1659">
        <v>0</v>
      </c>
      <c s="6" r="AW1659">
        <v>0</v>
      </c>
      <c s="6" r="AX1659">
        <v>0</v>
      </c>
      <c s="6" r="AY1659">
        <v>0</v>
      </c>
      <c s="6" r="AZ1659">
        <v>0</v>
      </c>
      <c s="6" r="BA1659">
        <v>0</v>
      </c>
      <c s="6" r="BB1659">
        <v>0</v>
      </c>
      <c s="6" r="BC1659">
        <v>0</v>
      </c>
      <c s="6" r="BD1659">
        <v>0</v>
      </c>
      <c s="6" r="BE1659">
        <v>0</v>
      </c>
      <c s="6" r="BF1659">
        <v>0</v>
      </c>
      <c s="6" r="BG1659">
        <v>0</v>
      </c>
      <c s="6" r="BH1659">
        <v>0</v>
      </c>
      <c s="6" r="BI1659">
        <v>0</v>
      </c>
      <c s="6" r="BJ1659">
        <v>0</v>
      </c>
      <c s="6" r="BK1659">
        <v>0</v>
      </c>
      <c s="6" r="BL1659">
        <v>0</v>
      </c>
      <c s="6" r="BM1659">
        <v>0</v>
      </c>
      <c s="6" r="BN1659">
        <v>0</v>
      </c>
      <c s="6" r="BO1659">
        <v>0</v>
      </c>
      <c s="6" r="BP1659">
        <v>0</v>
      </c>
      <c s="6" r="BQ1659">
        <v>0</v>
      </c>
      <c t="s" s="6" r="BR1659">
        <v>92</v>
      </c>
      <c s="6" r="BS1659">
        <v>1688</v>
      </c>
      <c t="s" s="6" r="BT1659">
        <v>92</v>
      </c>
      <c s="6" r="BY1659">
        <v>0</v>
      </c>
    </row>
    <row customHeight="1" r="1660" ht="14.25">
      <c t="s" s="6" r="A1660">
        <v>11565</v>
      </c>
      <c t="s" s="6" r="B1660">
        <v>162</v>
      </c>
      <c t="s" s="6" r="E1660">
        <v>11566</v>
      </c>
      <c t="s" s="6" r="F1660">
        <v>81</v>
      </c>
      <c t="s" s="6" r="G1660">
        <v>251</v>
      </c>
      <c s="6" r="H1660">
        <v>0</v>
      </c>
      <c t="s" s="6" r="I1660">
        <v>97</v>
      </c>
      <c t="s" s="6" r="J1660">
        <v>11567</v>
      </c>
      <c t="s" s="6" r="M1660">
        <v>5513</v>
      </c>
      <c s="6" r="N1660">
        <v>1</v>
      </c>
      <c s="6" r="O1660">
        <v>0</v>
      </c>
      <c t="s" s="6" r="P1660">
        <v>221</v>
      </c>
      <c t="s" s="6" r="Q1660">
        <v>188</v>
      </c>
      <c t="s" s="6" r="R1660">
        <v>11568</v>
      </c>
      <c t="s" s="6" r="S1660">
        <v>11569</v>
      </c>
      <c t="s" s="6" r="T1660">
        <v>11570</v>
      </c>
      <c t="s" s="6" r="U1660">
        <v>11571</v>
      </c>
      <c s="6" r="V1660">
        <v>1</v>
      </c>
      <c s="6" r="W1660">
        <v>0</v>
      </c>
      <c s="6" r="X1660">
        <v>0</v>
      </c>
      <c s="6" r="Y1660">
        <v>0</v>
      </c>
      <c s="6" r="Z1660">
        <v>0</v>
      </c>
      <c s="6" r="AA1660">
        <v>2</v>
      </c>
      <c s="6" r="AB1660">
        <v>2</v>
      </c>
      <c t="s" s="6" r="AC1660">
        <v>92</v>
      </c>
      <c t="s" s="6" r="AD1660">
        <v>92</v>
      </c>
      <c t="s" s="6" r="AE1660">
        <v>92</v>
      </c>
      <c s="6" r="AF1660">
        <v>2</v>
      </c>
      <c t="s" s="6" r="AG1660">
        <v>92</v>
      </c>
      <c t="s" s="6" r="AH1660">
        <v>92</v>
      </c>
      <c s="6" r="AI1660">
        <v>2</v>
      </c>
      <c t="s" s="6" r="AJ1660">
        <v>92</v>
      </c>
      <c s="6" r="AK1660">
        <v>3</v>
      </c>
      <c t="s" s="6" r="AL1660">
        <v>92</v>
      </c>
      <c t="s" s="6" r="AM1660">
        <v>92</v>
      </c>
      <c t="s" s="6" r="AN1660">
        <v>92</v>
      </c>
      <c s="6" r="AP1660">
        <v>2</v>
      </c>
      <c s="6" r="AS1660">
        <v>0</v>
      </c>
      <c s="6" r="AT1660">
        <v>0</v>
      </c>
      <c s="6" r="AU1660">
        <v>0</v>
      </c>
      <c s="6" r="AV1660">
        <v>0</v>
      </c>
      <c s="6" r="AW1660">
        <v>0</v>
      </c>
      <c s="6" r="AX1660">
        <v>0</v>
      </c>
      <c s="6" r="AY1660">
        <v>0</v>
      </c>
      <c s="6" r="AZ1660">
        <v>0</v>
      </c>
      <c s="6" r="BA1660">
        <v>0</v>
      </c>
      <c s="6" r="BB1660">
        <v>0</v>
      </c>
      <c s="6" r="BC1660">
        <v>0</v>
      </c>
      <c s="6" r="BD1660">
        <v>0</v>
      </c>
      <c s="6" r="BE1660">
        <v>0</v>
      </c>
      <c s="6" r="BF1660">
        <v>0</v>
      </c>
      <c s="6" r="BG1660">
        <v>0</v>
      </c>
      <c s="6" r="BH1660">
        <v>0</v>
      </c>
      <c s="6" r="BI1660">
        <v>0</v>
      </c>
      <c s="6" r="BJ1660">
        <v>0</v>
      </c>
      <c s="6" r="BK1660">
        <v>0</v>
      </c>
      <c s="6" r="BL1660">
        <v>0</v>
      </c>
      <c s="6" r="BM1660">
        <v>0</v>
      </c>
      <c s="6" r="BN1660">
        <v>0</v>
      </c>
      <c s="6" r="BO1660">
        <v>0</v>
      </c>
      <c s="6" r="BP1660">
        <v>0</v>
      </c>
      <c s="6" r="BQ1660">
        <v>0</v>
      </c>
      <c t="s" s="6" r="BR1660">
        <v>92</v>
      </c>
      <c s="6" r="BS1660">
        <v>1689</v>
      </c>
      <c t="s" s="6" r="BT1660">
        <v>92</v>
      </c>
      <c s="6" r="BY1660">
        <v>0</v>
      </c>
    </row>
    <row customHeight="1" r="1661" ht="14.25">
      <c t="s" s="6" r="A1661">
        <v>11572</v>
      </c>
      <c t="s" s="6" r="B1661">
        <v>493</v>
      </c>
      <c t="s" s="6" r="D1661">
        <v>62</v>
      </c>
      <c t="s" s="6" r="E1661">
        <v>3649</v>
      </c>
      <c t="s" s="6" r="F1661">
        <v>81</v>
      </c>
      <c t="s" s="6" r="G1661">
        <v>106</v>
      </c>
      <c s="6" r="H1661">
        <v>0</v>
      </c>
      <c t="s" s="6" r="I1661">
        <v>107</v>
      </c>
      <c t="s" s="6" r="L1661">
        <v>1235</v>
      </c>
      <c t="s" s="6" r="M1661">
        <v>11573</v>
      </c>
      <c s="6" r="N1661">
        <v>0</v>
      </c>
      <c s="6" r="O1661">
        <v>0</v>
      </c>
      <c t="s" s="6" r="P1661">
        <v>141</v>
      </c>
      <c t="s" s="6" r="Q1661">
        <v>188</v>
      </c>
      <c t="s" s="6" r="R1661">
        <v>11574</v>
      </c>
      <c t="s" s="6" r="S1661">
        <v>11575</v>
      </c>
      <c t="s" s="6" r="T1661">
        <v>11570</v>
      </c>
      <c t="s" s="6" r="U1661">
        <v>11576</v>
      </c>
      <c s="6" r="V1661">
        <v>1</v>
      </c>
      <c s="6" r="W1661">
        <v>1</v>
      </c>
      <c s="6" r="X1661">
        <v>0</v>
      </c>
      <c s="6" r="Y1661">
        <v>0</v>
      </c>
      <c s="6" r="Z1661">
        <v>0</v>
      </c>
      <c t="s" s="6" r="AA1661">
        <v>92</v>
      </c>
      <c t="s" s="6" r="AB1661">
        <v>92</v>
      </c>
      <c s="6" r="AC1661">
        <v>4</v>
      </c>
      <c t="s" s="6" r="AD1661">
        <v>92</v>
      </c>
      <c t="s" s="6" r="AE1661">
        <v>92</v>
      </c>
      <c t="s" s="6" r="AF1661">
        <v>92</v>
      </c>
      <c s="6" r="AG1661">
        <v>4</v>
      </c>
      <c t="s" s="6" r="AH1661">
        <v>92</v>
      </c>
      <c t="s" s="6" r="AI1661">
        <v>92</v>
      </c>
      <c t="s" s="6" r="AJ1661">
        <v>92</v>
      </c>
      <c t="s" s="6" r="AK1661">
        <v>92</v>
      </c>
      <c s="6" r="AL1661">
        <v>4</v>
      </c>
      <c t="s" s="6" r="AM1661">
        <v>92</v>
      </c>
      <c t="s" s="6" r="AN1661">
        <v>92</v>
      </c>
      <c s="6" r="AP1661">
        <v>4</v>
      </c>
      <c s="6" r="AS1661">
        <v>0</v>
      </c>
      <c s="6" r="AT1661">
        <v>0</v>
      </c>
      <c s="6" r="AU1661">
        <v>0</v>
      </c>
      <c s="6" r="AV1661">
        <v>0</v>
      </c>
      <c s="6" r="AW1661">
        <v>0</v>
      </c>
      <c s="6" r="AX1661">
        <v>0</v>
      </c>
      <c s="6" r="AY1661">
        <v>0</v>
      </c>
      <c s="6" r="AZ1661">
        <v>0</v>
      </c>
      <c s="6" r="BA1661">
        <v>0</v>
      </c>
      <c s="6" r="BB1661">
        <v>0</v>
      </c>
      <c s="6" r="BC1661">
        <v>0</v>
      </c>
      <c s="6" r="BD1661">
        <v>0</v>
      </c>
      <c s="6" r="BE1661">
        <v>0</v>
      </c>
      <c s="6" r="BF1661">
        <v>0</v>
      </c>
      <c s="6" r="BG1661">
        <v>0</v>
      </c>
      <c s="6" r="BH1661">
        <v>0</v>
      </c>
      <c s="6" r="BI1661">
        <v>0</v>
      </c>
      <c s="6" r="BJ1661">
        <v>0</v>
      </c>
      <c s="6" r="BK1661">
        <v>1</v>
      </c>
      <c s="6" r="BL1661">
        <v>0</v>
      </c>
      <c s="6" r="BM1661">
        <v>0</v>
      </c>
      <c s="6" r="BN1661">
        <v>0</v>
      </c>
      <c s="6" r="BO1661">
        <v>0</v>
      </c>
      <c s="6" r="BP1661">
        <v>0</v>
      </c>
      <c s="6" r="BQ1661">
        <v>0</v>
      </c>
      <c t="s" s="6" r="BR1661">
        <v>92</v>
      </c>
      <c s="6" r="BS1661">
        <v>1690</v>
      </c>
      <c t="s" s="6" r="BT1661">
        <v>92</v>
      </c>
      <c s="6" r="BY1661">
        <v>0</v>
      </c>
    </row>
    <row customHeight="1" r="1662" ht="14.25">
      <c t="s" s="6" r="A1662">
        <v>11577</v>
      </c>
      <c t="s" s="6" r="B1662">
        <v>174</v>
      </c>
      <c t="s" s="6" r="E1662">
        <v>11578</v>
      </c>
      <c t="s" s="6" r="F1662">
        <v>81</v>
      </c>
      <c t="s" s="6" r="G1662">
        <v>119</v>
      </c>
      <c s="6" r="H1662">
        <v>0</v>
      </c>
      <c t="s" s="6" r="I1662">
        <v>897</v>
      </c>
      <c t="s" s="6" r="J1662">
        <v>1195</v>
      </c>
      <c t="s" s="6" r="M1662">
        <v>5669</v>
      </c>
      <c s="6" r="N1662">
        <v>1</v>
      </c>
      <c s="6" r="O1662">
        <v>0</v>
      </c>
      <c t="s" s="6" r="P1662">
        <v>7402</v>
      </c>
      <c t="s" s="6" r="Q1662">
        <v>87</v>
      </c>
      <c t="s" s="6" r="R1662">
        <v>11579</v>
      </c>
      <c t="s" s="6" r="S1662">
        <v>11580</v>
      </c>
      <c t="s" s="6" r="T1662">
        <v>11570</v>
      </c>
      <c t="s" s="6" r="U1662">
        <v>11581</v>
      </c>
      <c s="6" r="V1662">
        <v>1</v>
      </c>
      <c s="6" r="W1662">
        <v>1</v>
      </c>
      <c s="6" r="X1662">
        <v>0</v>
      </c>
      <c s="6" r="Y1662">
        <v>0</v>
      </c>
      <c s="6" r="Z1662">
        <v>1</v>
      </c>
      <c t="s" s="6" r="AA1662">
        <v>92</v>
      </c>
      <c t="s" s="6" r="AB1662">
        <v>92</v>
      </c>
      <c s="6" r="AC1662">
        <v>1</v>
      </c>
      <c t="s" s="6" r="AD1662">
        <v>92</v>
      </c>
      <c t="s" s="6" r="AE1662">
        <v>92</v>
      </c>
      <c t="s" s="6" r="AF1662">
        <v>92</v>
      </c>
      <c s="6" r="AG1662">
        <v>1</v>
      </c>
      <c t="s" s="6" r="AH1662">
        <v>92</v>
      </c>
      <c t="s" s="6" r="AI1662">
        <v>92</v>
      </c>
      <c t="s" s="6" r="AJ1662">
        <v>92</v>
      </c>
      <c s="6" r="AK1662">
        <v>1</v>
      </c>
      <c s="6" r="AL1662">
        <v>1</v>
      </c>
      <c t="s" s="6" r="AM1662">
        <v>92</v>
      </c>
      <c t="s" s="6" r="AN1662">
        <v>92</v>
      </c>
      <c s="6" r="AP1662">
        <v>1</v>
      </c>
      <c s="6" r="AS1662">
        <v>0</v>
      </c>
      <c s="6" r="AT1662">
        <v>0</v>
      </c>
      <c s="6" r="AU1662">
        <v>0</v>
      </c>
      <c s="6" r="AV1662">
        <v>0</v>
      </c>
      <c s="6" r="AW1662">
        <v>0</v>
      </c>
      <c s="6" r="AX1662">
        <v>0</v>
      </c>
      <c s="6" r="AY1662">
        <v>0</v>
      </c>
      <c s="6" r="AZ1662">
        <v>0</v>
      </c>
      <c s="6" r="BA1662">
        <v>0</v>
      </c>
      <c s="6" r="BB1662">
        <v>0</v>
      </c>
      <c s="6" r="BC1662">
        <v>0</v>
      </c>
      <c s="6" r="BD1662">
        <v>0</v>
      </c>
      <c s="6" r="BE1662">
        <v>0</v>
      </c>
      <c s="6" r="BF1662">
        <v>0</v>
      </c>
      <c s="6" r="BG1662">
        <v>0</v>
      </c>
      <c s="6" r="BH1662">
        <v>0</v>
      </c>
      <c s="6" r="BI1662">
        <v>0</v>
      </c>
      <c s="6" r="BJ1662">
        <v>0</v>
      </c>
      <c s="6" r="BK1662">
        <v>0</v>
      </c>
      <c s="6" r="BL1662">
        <v>0</v>
      </c>
      <c s="6" r="BM1662">
        <v>0</v>
      </c>
      <c s="6" r="BN1662">
        <v>0</v>
      </c>
      <c s="6" r="BO1662">
        <v>0</v>
      </c>
      <c s="6" r="BP1662">
        <v>0</v>
      </c>
      <c s="6" r="BQ1662">
        <v>0</v>
      </c>
      <c t="s" s="6" r="BR1662">
        <v>92</v>
      </c>
      <c s="6" r="BS1662">
        <v>1691</v>
      </c>
      <c t="s" s="6" r="BT1662">
        <v>92</v>
      </c>
      <c s="6" r="BY1662">
        <v>0</v>
      </c>
    </row>
    <row customHeight="1" r="1663" ht="14.25">
      <c t="s" s="6" r="A1663">
        <v>11582</v>
      </c>
      <c t="s" s="6" r="B1663">
        <v>162</v>
      </c>
      <c t="s" s="6" r="D1663">
        <v>141</v>
      </c>
      <c t="s" s="6" r="E1663">
        <v>11583</v>
      </c>
      <c t="s" s="6" r="F1663">
        <v>81</v>
      </c>
      <c t="s" s="6" r="G1663">
        <v>119</v>
      </c>
      <c s="6" r="H1663">
        <v>0</v>
      </c>
      <c t="s" s="6" r="I1663">
        <v>120</v>
      </c>
      <c t="s" s="6" r="L1663">
        <v>420</v>
      </c>
      <c t="s" s="6" r="M1663">
        <v>5513</v>
      </c>
      <c s="6" r="N1663">
        <v>1</v>
      </c>
      <c s="6" r="O1663">
        <v>0</v>
      </c>
      <c t="s" s="6" r="P1663">
        <v>421</v>
      </c>
      <c t="s" s="6" r="Q1663">
        <v>2771</v>
      </c>
      <c t="s" s="6" r="R1663">
        <v>11584</v>
      </c>
      <c t="s" s="6" r="S1663">
        <v>11585</v>
      </c>
      <c t="s" s="6" r="T1663">
        <v>11570</v>
      </c>
      <c t="s" s="6" r="U1663">
        <v>11586</v>
      </c>
      <c s="6" r="V1663">
        <v>1</v>
      </c>
      <c s="6" r="W1663">
        <v>1</v>
      </c>
      <c s="6" r="X1663">
        <v>0</v>
      </c>
      <c s="6" r="Y1663">
        <v>0</v>
      </c>
      <c s="6" r="Z1663">
        <v>1</v>
      </c>
      <c t="s" s="6" r="AA1663">
        <v>92</v>
      </c>
      <c t="s" s="6" r="AB1663">
        <v>92</v>
      </c>
      <c s="6" r="AC1663">
        <v>2</v>
      </c>
      <c t="s" s="6" r="AD1663">
        <v>92</v>
      </c>
      <c t="s" s="6" r="AE1663">
        <v>92</v>
      </c>
      <c t="s" s="6" r="AF1663">
        <v>92</v>
      </c>
      <c s="6" r="AG1663">
        <v>2</v>
      </c>
      <c t="s" s="6" r="AH1663">
        <v>92</v>
      </c>
      <c t="s" s="6" r="AI1663">
        <v>92</v>
      </c>
      <c t="s" s="6" r="AJ1663">
        <v>92</v>
      </c>
      <c s="6" r="AK1663">
        <v>2</v>
      </c>
      <c s="6" r="AL1663">
        <v>2</v>
      </c>
      <c t="s" s="6" r="AM1663">
        <v>92</v>
      </c>
      <c t="s" s="6" r="AN1663">
        <v>92</v>
      </c>
      <c s="6" r="AP1663">
        <v>2</v>
      </c>
      <c s="6" r="AS1663">
        <v>0</v>
      </c>
      <c s="6" r="AT1663">
        <v>0</v>
      </c>
      <c s="6" r="AU1663">
        <v>0</v>
      </c>
      <c s="6" r="AV1663">
        <v>0</v>
      </c>
      <c s="6" r="AW1663">
        <v>0</v>
      </c>
      <c s="6" r="AX1663">
        <v>0</v>
      </c>
      <c s="6" r="AY1663">
        <v>0</v>
      </c>
      <c s="6" r="AZ1663">
        <v>0</v>
      </c>
      <c s="6" r="BA1663">
        <v>0</v>
      </c>
      <c s="6" r="BB1663">
        <v>0</v>
      </c>
      <c s="6" r="BC1663">
        <v>0</v>
      </c>
      <c s="6" r="BD1663">
        <v>0</v>
      </c>
      <c s="6" r="BE1663">
        <v>0</v>
      </c>
      <c s="6" r="BF1663">
        <v>0</v>
      </c>
      <c s="6" r="BG1663">
        <v>0</v>
      </c>
      <c s="6" r="BH1663">
        <v>0</v>
      </c>
      <c s="6" r="BI1663">
        <v>0</v>
      </c>
      <c s="6" r="BJ1663">
        <v>0</v>
      </c>
      <c s="6" r="BK1663">
        <v>0</v>
      </c>
      <c s="6" r="BL1663">
        <v>0</v>
      </c>
      <c s="6" r="BM1663">
        <v>0</v>
      </c>
      <c s="6" r="BN1663">
        <v>0</v>
      </c>
      <c s="6" r="BO1663">
        <v>0</v>
      </c>
      <c s="6" r="BP1663">
        <v>0</v>
      </c>
      <c s="6" r="BQ1663">
        <v>0</v>
      </c>
      <c t="s" s="6" r="BR1663">
        <v>92</v>
      </c>
      <c s="6" r="BS1663">
        <v>1692</v>
      </c>
      <c t="s" s="6" r="BT1663">
        <v>92</v>
      </c>
      <c s="6" r="BY1663">
        <v>0</v>
      </c>
    </row>
    <row customHeight="1" r="1664" ht="14.25">
      <c t="s" s="6" r="A1664">
        <v>11587</v>
      </c>
      <c t="s" s="6" r="B1664">
        <v>162</v>
      </c>
      <c t="s" s="6" r="D1664">
        <v>59</v>
      </c>
      <c t="s" s="6" r="E1664">
        <v>11588</v>
      </c>
      <c t="s" s="6" r="F1664">
        <v>81</v>
      </c>
      <c t="s" s="6" r="G1664">
        <v>119</v>
      </c>
      <c s="6" r="H1664">
        <v>0</v>
      </c>
      <c t="s" s="6" r="I1664">
        <v>120</v>
      </c>
      <c t="s" s="6" r="L1664">
        <v>11589</v>
      </c>
      <c t="s" s="6" r="M1664">
        <v>5954</v>
      </c>
      <c s="6" r="N1664">
        <v>1</v>
      </c>
      <c s="6" r="O1664">
        <v>0</v>
      </c>
      <c t="s" s="6" r="P1664">
        <v>421</v>
      </c>
      <c t="s" s="6" r="Q1664">
        <v>123</v>
      </c>
      <c t="s" s="6" r="R1664">
        <v>11590</v>
      </c>
      <c t="s" s="6" r="S1664">
        <v>11591</v>
      </c>
      <c t="s" s="6" r="T1664">
        <v>11570</v>
      </c>
      <c t="s" s="6" r="U1664">
        <v>11592</v>
      </c>
      <c s="6" r="V1664">
        <v>1</v>
      </c>
      <c s="6" r="W1664">
        <v>1</v>
      </c>
      <c s="6" r="X1664">
        <v>0</v>
      </c>
      <c s="6" r="Y1664">
        <v>0</v>
      </c>
      <c s="6" r="Z1664">
        <v>1</v>
      </c>
      <c t="s" s="6" r="AA1664">
        <v>92</v>
      </c>
      <c t="s" s="6" r="AB1664">
        <v>92</v>
      </c>
      <c t="s" s="6" r="AC1664">
        <v>92</v>
      </c>
      <c t="s" s="6" r="AD1664">
        <v>92</v>
      </c>
      <c t="s" s="6" r="AE1664">
        <v>92</v>
      </c>
      <c t="s" s="6" r="AF1664">
        <v>92</v>
      </c>
      <c s="6" r="AG1664">
        <v>2</v>
      </c>
      <c t="s" s="6" r="AH1664">
        <v>92</v>
      </c>
      <c t="s" s="6" r="AI1664">
        <v>92</v>
      </c>
      <c t="s" s="6" r="AJ1664">
        <v>92</v>
      </c>
      <c s="6" r="AK1664">
        <v>2</v>
      </c>
      <c t="s" s="6" r="AL1664">
        <v>92</v>
      </c>
      <c t="s" s="6" r="AM1664">
        <v>92</v>
      </c>
      <c t="s" s="6" r="AN1664">
        <v>92</v>
      </c>
      <c s="6" r="AP1664">
        <v>2</v>
      </c>
      <c s="6" r="AS1664">
        <v>0</v>
      </c>
      <c s="6" r="AT1664">
        <v>0</v>
      </c>
      <c s="6" r="AU1664">
        <v>0</v>
      </c>
      <c s="6" r="AV1664">
        <v>0</v>
      </c>
      <c s="6" r="AW1664">
        <v>0</v>
      </c>
      <c s="6" r="AX1664">
        <v>0</v>
      </c>
      <c s="6" r="AY1664">
        <v>0</v>
      </c>
      <c s="6" r="AZ1664">
        <v>0</v>
      </c>
      <c s="6" r="BA1664">
        <v>0</v>
      </c>
      <c s="6" r="BB1664">
        <v>0</v>
      </c>
      <c s="6" r="BC1664">
        <v>0</v>
      </c>
      <c s="6" r="BD1664">
        <v>0</v>
      </c>
      <c s="6" r="BE1664">
        <v>0</v>
      </c>
      <c s="6" r="BF1664">
        <v>0</v>
      </c>
      <c s="6" r="BG1664">
        <v>0</v>
      </c>
      <c s="6" r="BH1664">
        <v>1</v>
      </c>
      <c s="6" r="BI1664">
        <v>0</v>
      </c>
      <c s="6" r="BJ1664">
        <v>0</v>
      </c>
      <c s="6" r="BK1664">
        <v>0</v>
      </c>
      <c s="6" r="BL1664">
        <v>0</v>
      </c>
      <c s="6" r="BM1664">
        <v>0</v>
      </c>
      <c s="6" r="BN1664">
        <v>0</v>
      </c>
      <c s="6" r="BO1664">
        <v>0</v>
      </c>
      <c s="6" r="BP1664">
        <v>0</v>
      </c>
      <c s="6" r="BQ1664">
        <v>0</v>
      </c>
      <c t="s" s="6" r="BR1664">
        <v>92</v>
      </c>
      <c s="6" r="BS1664">
        <v>1693</v>
      </c>
      <c t="s" s="6" r="BT1664">
        <v>92</v>
      </c>
      <c s="6" r="BY1664">
        <v>0</v>
      </c>
    </row>
    <row customHeight="1" r="1665" ht="14.25">
      <c t="s" s="6" r="A1665">
        <v>11593</v>
      </c>
      <c t="s" s="6" r="B1665">
        <v>162</v>
      </c>
      <c t="s" s="6" r="E1665">
        <v>7567</v>
      </c>
      <c t="s" s="6" r="F1665">
        <v>81</v>
      </c>
      <c t="s" s="6" r="G1665">
        <v>251</v>
      </c>
      <c s="6" r="H1665">
        <v>0</v>
      </c>
      <c t="s" s="6" r="I1665">
        <v>97</v>
      </c>
      <c t="s" s="6" r="L1665">
        <v>11594</v>
      </c>
      <c t="s" s="6" r="M1665">
        <v>5513</v>
      </c>
      <c s="6" r="N1665">
        <v>1</v>
      </c>
      <c s="6" r="O1665">
        <v>0</v>
      </c>
      <c t="s" s="6" r="P1665">
        <v>221</v>
      </c>
      <c t="s" s="6" r="Q1665">
        <v>188</v>
      </c>
      <c t="s" s="6" r="R1665">
        <v>11595</v>
      </c>
      <c t="s" s="6" r="S1665">
        <v>11596</v>
      </c>
      <c t="s" s="6" r="T1665">
        <v>11570</v>
      </c>
      <c t="s" s="6" r="U1665">
        <v>11597</v>
      </c>
      <c s="6" r="V1665">
        <v>1</v>
      </c>
      <c s="6" r="W1665">
        <v>0</v>
      </c>
      <c s="6" r="X1665">
        <v>0</v>
      </c>
      <c s="6" r="Y1665">
        <v>0</v>
      </c>
      <c s="6" r="Z1665">
        <v>0</v>
      </c>
      <c t="s" s="6" r="AA1665">
        <v>92</v>
      </c>
      <c t="s" s="6" r="AB1665">
        <v>92</v>
      </c>
      <c t="s" s="6" r="AC1665">
        <v>92</v>
      </c>
      <c t="s" s="6" r="AD1665">
        <v>92</v>
      </c>
      <c t="s" s="6" r="AE1665">
        <v>92</v>
      </c>
      <c s="6" r="AF1665">
        <v>2</v>
      </c>
      <c t="s" s="6" r="AG1665">
        <v>92</v>
      </c>
      <c t="s" s="6" r="AH1665">
        <v>92</v>
      </c>
      <c t="s" s="6" r="AI1665">
        <v>92</v>
      </c>
      <c t="s" s="6" r="AJ1665">
        <v>92</v>
      </c>
      <c s="6" r="AK1665">
        <v>2</v>
      </c>
      <c t="s" s="6" r="AL1665">
        <v>92</v>
      </c>
      <c t="s" s="6" r="AM1665">
        <v>92</v>
      </c>
      <c t="s" s="6" r="AN1665">
        <v>92</v>
      </c>
      <c s="6" r="AP1665">
        <v>2</v>
      </c>
      <c s="6" r="AS1665">
        <v>0</v>
      </c>
      <c s="6" r="AT1665">
        <v>0</v>
      </c>
      <c s="6" r="AU1665">
        <v>0</v>
      </c>
      <c s="6" r="AV1665">
        <v>0</v>
      </c>
      <c s="6" r="AW1665">
        <v>0</v>
      </c>
      <c s="6" r="AX1665">
        <v>0</v>
      </c>
      <c s="6" r="AY1665">
        <v>0</v>
      </c>
      <c s="6" r="AZ1665">
        <v>0</v>
      </c>
      <c s="6" r="BA1665">
        <v>0</v>
      </c>
      <c s="6" r="BB1665">
        <v>0</v>
      </c>
      <c s="6" r="BC1665">
        <v>0</v>
      </c>
      <c s="6" r="BD1665">
        <v>0</v>
      </c>
      <c s="6" r="BE1665">
        <v>0</v>
      </c>
      <c s="6" r="BF1665">
        <v>0</v>
      </c>
      <c s="6" r="BG1665">
        <v>0</v>
      </c>
      <c s="6" r="BH1665">
        <v>0</v>
      </c>
      <c s="6" r="BI1665">
        <v>0</v>
      </c>
      <c s="6" r="BJ1665">
        <v>0</v>
      </c>
      <c s="6" r="BK1665">
        <v>0</v>
      </c>
      <c s="6" r="BL1665">
        <v>0</v>
      </c>
      <c s="6" r="BM1665">
        <v>0</v>
      </c>
      <c s="6" r="BN1665">
        <v>0</v>
      </c>
      <c s="6" r="BO1665">
        <v>0</v>
      </c>
      <c s="6" r="BP1665">
        <v>0</v>
      </c>
      <c s="6" r="BQ1665">
        <v>0</v>
      </c>
      <c t="s" s="6" r="BR1665">
        <v>92</v>
      </c>
      <c s="6" r="BS1665">
        <v>1694</v>
      </c>
      <c t="s" s="6" r="BT1665">
        <v>92</v>
      </c>
      <c s="6" r="BY1665">
        <v>0</v>
      </c>
    </row>
    <row customHeight="1" r="1666" ht="14.25">
      <c t="s" s="6" r="A1666">
        <v>11598</v>
      </c>
      <c t="s" s="6" r="B1666">
        <v>174</v>
      </c>
      <c t="s" s="6" r="E1666">
        <v>11599</v>
      </c>
      <c t="s" s="6" r="F1666">
        <v>272</v>
      </c>
      <c t="s" s="6" r="G1666">
        <v>11600</v>
      </c>
      <c s="6" r="H1666">
        <v>1</v>
      </c>
      <c t="s" s="6" r="I1666">
        <v>155</v>
      </c>
      <c t="s" s="6" r="L1666">
        <v>156</v>
      </c>
      <c t="s" s="6" r="M1666">
        <v>220</v>
      </c>
      <c s="6" r="N1666">
        <v>0</v>
      </c>
      <c s="6" r="O1666">
        <v>0</v>
      </c>
      <c t="s" s="6" r="R1666">
        <v>11601</v>
      </c>
      <c t="s" s="6" r="S1666">
        <v>11602</v>
      </c>
      <c t="s" s="6" r="T1666">
        <v>11603</v>
      </c>
      <c t="s" s="6" r="U1666">
        <v>11604</v>
      </c>
      <c s="6" r="V1666">
        <v>1</v>
      </c>
      <c s="6" r="W1666">
        <v>1</v>
      </c>
      <c s="6" r="X1666">
        <v>1</v>
      </c>
      <c s="6" r="Y1666">
        <v>0</v>
      </c>
      <c s="6" r="Z1666">
        <v>0</v>
      </c>
      <c s="6" r="AA1666">
        <v>6</v>
      </c>
      <c s="6" r="AB1666">
        <v>6</v>
      </c>
      <c s="6" r="AC1666">
        <v>6</v>
      </c>
      <c t="s" s="6" r="AD1666">
        <v>92</v>
      </c>
      <c t="s" s="6" r="AE1666">
        <v>92</v>
      </c>
      <c t="s" s="6" r="AF1666">
        <v>92</v>
      </c>
      <c t="s" s="6" r="AG1666">
        <v>92</v>
      </c>
      <c t="s" s="6" r="AH1666">
        <v>92</v>
      </c>
      <c t="s" s="6" r="AI1666">
        <v>92</v>
      </c>
      <c s="6" r="AJ1666">
        <v>6</v>
      </c>
      <c t="s" s="6" r="AK1666">
        <v>92</v>
      </c>
      <c s="6" r="AL1666">
        <v>6</v>
      </c>
      <c t="s" s="6" r="AM1666">
        <v>92</v>
      </c>
      <c t="s" s="6" r="AN1666">
        <v>92</v>
      </c>
      <c s="6" r="AP1666">
        <v>6</v>
      </c>
      <c s="6" r="AS1666">
        <v>0</v>
      </c>
      <c s="6" r="AT1666">
        <v>0</v>
      </c>
      <c s="6" r="AU1666">
        <v>0</v>
      </c>
      <c s="6" r="AV1666">
        <v>0</v>
      </c>
      <c s="6" r="AW1666">
        <v>0</v>
      </c>
      <c s="6" r="AX1666">
        <v>0</v>
      </c>
      <c s="6" r="AY1666">
        <v>0</v>
      </c>
      <c s="6" r="AZ1666">
        <v>0</v>
      </c>
      <c s="6" r="BA1666">
        <v>0</v>
      </c>
      <c s="6" r="BB1666">
        <v>0</v>
      </c>
      <c s="6" r="BC1666">
        <v>0</v>
      </c>
      <c s="6" r="BD1666">
        <v>0</v>
      </c>
      <c s="6" r="BE1666">
        <v>0</v>
      </c>
      <c s="6" r="BF1666">
        <v>0</v>
      </c>
      <c s="6" r="BG1666">
        <v>0</v>
      </c>
      <c s="6" r="BH1666">
        <v>0</v>
      </c>
      <c s="6" r="BI1666">
        <v>0</v>
      </c>
      <c s="6" r="BJ1666">
        <v>0</v>
      </c>
      <c s="6" r="BK1666">
        <v>0</v>
      </c>
      <c s="6" r="BL1666">
        <v>0</v>
      </c>
      <c s="6" r="BM1666">
        <v>0</v>
      </c>
      <c s="6" r="BN1666">
        <v>0</v>
      </c>
      <c s="6" r="BO1666">
        <v>0</v>
      </c>
      <c s="6" r="BP1666">
        <v>0</v>
      </c>
      <c s="6" r="BQ1666">
        <v>0</v>
      </c>
      <c t="s" s="6" r="BR1666">
        <v>92</v>
      </c>
      <c s="6" r="BS1666">
        <v>1695</v>
      </c>
      <c s="6" r="BT1666">
        <v>250</v>
      </c>
      <c s="6" r="BY1666">
        <v>0</v>
      </c>
    </row>
    <row customHeight="1" r="1667" ht="14.25">
      <c t="s" s="6" r="A1667">
        <v>11605</v>
      </c>
      <c t="s" s="6" r="B1667">
        <v>330</v>
      </c>
      <c t="s" s="6" r="E1667">
        <v>11606</v>
      </c>
      <c t="s" s="6" r="F1667">
        <v>293</v>
      </c>
      <c t="s" s="6" r="G1667">
        <v>11607</v>
      </c>
      <c s="6" r="H1667">
        <v>1</v>
      </c>
      <c t="s" s="6" r="I1667">
        <v>107</v>
      </c>
      <c t="s" s="6" r="L1667">
        <v>11608</v>
      </c>
      <c t="s" s="6" r="M1667">
        <v>4736</v>
      </c>
      <c s="6" r="N1667">
        <v>0</v>
      </c>
      <c s="6" r="O1667">
        <v>0</v>
      </c>
      <c t="s" s="6" r="P1667">
        <v>421</v>
      </c>
      <c t="s" s="6" r="Q1667">
        <v>123</v>
      </c>
      <c t="s" s="6" r="R1667">
        <v>11609</v>
      </c>
      <c t="s" s="6" r="S1667">
        <v>11610</v>
      </c>
      <c t="s" s="6" r="T1667">
        <v>11611</v>
      </c>
      <c t="s" s="6" r="U1667">
        <v>11612</v>
      </c>
      <c s="6" r="V1667">
        <v>1</v>
      </c>
      <c s="6" r="W1667">
        <v>1</v>
      </c>
      <c s="6" r="X1667">
        <v>1</v>
      </c>
      <c s="6" r="Y1667">
        <v>0</v>
      </c>
      <c s="6" r="Z1667">
        <v>0</v>
      </c>
      <c s="6" r="AA1667">
        <v>9</v>
      </c>
      <c s="6" r="AB1667">
        <v>9</v>
      </c>
      <c s="6" r="AC1667">
        <v>9</v>
      </c>
      <c s="6" r="AD1667">
        <v>9</v>
      </c>
      <c t="s" s="6" r="AE1667">
        <v>92</v>
      </c>
      <c t="s" s="6" r="AF1667">
        <v>92</v>
      </c>
      <c t="s" s="6" r="AG1667">
        <v>92</v>
      </c>
      <c t="s" s="6" r="AH1667">
        <v>92</v>
      </c>
      <c t="s" s="6" r="AI1667">
        <v>92</v>
      </c>
      <c s="6" r="AJ1667">
        <v>9</v>
      </c>
      <c t="s" s="6" r="AK1667">
        <v>92</v>
      </c>
      <c s="6" r="AL1667">
        <v>9</v>
      </c>
      <c t="s" s="6" r="AM1667">
        <v>92</v>
      </c>
      <c t="s" s="6" r="AN1667">
        <v>92</v>
      </c>
      <c s="6" r="AP1667">
        <v>9</v>
      </c>
      <c s="6" r="AS1667">
        <v>0</v>
      </c>
      <c s="6" r="AT1667">
        <v>0</v>
      </c>
      <c s="6" r="AU1667">
        <v>0</v>
      </c>
      <c s="6" r="AV1667">
        <v>0</v>
      </c>
      <c s="6" r="AW1667">
        <v>0</v>
      </c>
      <c s="6" r="AX1667">
        <v>0</v>
      </c>
      <c s="6" r="AY1667">
        <v>0</v>
      </c>
      <c s="6" r="AZ1667">
        <v>0</v>
      </c>
      <c s="6" r="BA1667">
        <v>0</v>
      </c>
      <c s="6" r="BB1667">
        <v>0</v>
      </c>
      <c s="6" r="BC1667">
        <v>0</v>
      </c>
      <c s="6" r="BD1667">
        <v>0</v>
      </c>
      <c s="6" r="BE1667">
        <v>0</v>
      </c>
      <c s="6" r="BF1667">
        <v>0</v>
      </c>
      <c s="6" r="BG1667">
        <v>0</v>
      </c>
      <c s="6" r="BH1667">
        <v>0</v>
      </c>
      <c s="6" r="BI1667">
        <v>0</v>
      </c>
      <c s="6" r="BJ1667">
        <v>0</v>
      </c>
      <c s="6" r="BK1667">
        <v>0</v>
      </c>
      <c s="6" r="BL1667">
        <v>0</v>
      </c>
      <c s="6" r="BM1667">
        <v>0</v>
      </c>
      <c s="6" r="BN1667">
        <v>0</v>
      </c>
      <c s="6" r="BO1667">
        <v>0</v>
      </c>
      <c s="6" r="BP1667">
        <v>0</v>
      </c>
      <c s="6" r="BQ1667">
        <v>0</v>
      </c>
      <c t="s" s="6" r="BR1667">
        <v>92</v>
      </c>
      <c s="6" r="BS1667">
        <v>1696</v>
      </c>
      <c s="6" r="BT1667">
        <v>10000</v>
      </c>
      <c t="s" s="6" r="BW1667">
        <v>11613</v>
      </c>
      <c s="6" r="BY1667">
        <v>1</v>
      </c>
    </row>
    <row customHeight="1" r="1668" ht="14.25">
      <c t="s" s="6" r="A1668">
        <v>11614</v>
      </c>
      <c t="s" s="6" r="B1668">
        <v>227</v>
      </c>
      <c t="s" s="6" r="D1668">
        <v>48</v>
      </c>
      <c t="s" s="6" r="E1668">
        <v>11615</v>
      </c>
      <c t="s" s="6" r="F1668">
        <v>81</v>
      </c>
      <c t="s" s="6" r="G1668">
        <v>106</v>
      </c>
      <c s="6" r="H1668">
        <v>0</v>
      </c>
      <c t="s" s="6" r="I1668">
        <v>107</v>
      </c>
      <c t="s" s="6" r="L1668">
        <v>11616</v>
      </c>
      <c t="s" s="6" r="M1668">
        <v>2718</v>
      </c>
      <c s="6" r="N1668">
        <v>0</v>
      </c>
      <c s="6" r="O1668">
        <v>0</v>
      </c>
      <c t="s" s="6" r="P1668">
        <v>221</v>
      </c>
      <c t="s" s="6" r="Q1668">
        <v>188</v>
      </c>
      <c t="s" s="6" r="R1668">
        <v>11617</v>
      </c>
      <c t="s" s="6" r="S1668">
        <v>11618</v>
      </c>
      <c t="s" s="6" r="T1668">
        <v>11611</v>
      </c>
      <c t="s" s="6" r="U1668">
        <v>11619</v>
      </c>
      <c s="6" r="V1668">
        <v>1</v>
      </c>
      <c s="6" r="W1668">
        <v>1</v>
      </c>
      <c s="6" r="X1668">
        <v>0</v>
      </c>
      <c s="6" r="Y1668">
        <v>0</v>
      </c>
      <c s="6" r="Z1668">
        <v>0</v>
      </c>
      <c s="6" r="AA1668">
        <v>3</v>
      </c>
      <c s="6" r="AB1668">
        <v>3</v>
      </c>
      <c s="6" r="AC1668">
        <v>3</v>
      </c>
      <c t="s" s="6" r="AD1668">
        <v>92</v>
      </c>
      <c t="s" s="6" r="AE1668">
        <v>92</v>
      </c>
      <c t="s" s="6" r="AF1668">
        <v>92</v>
      </c>
      <c t="s" s="6" r="AG1668">
        <v>92</v>
      </c>
      <c t="s" s="6" r="AH1668">
        <v>92</v>
      </c>
      <c t="s" s="6" r="AI1668">
        <v>92</v>
      </c>
      <c s="6" r="AJ1668">
        <v>3</v>
      </c>
      <c t="s" s="6" r="AK1668">
        <v>92</v>
      </c>
      <c s="6" r="AL1668">
        <v>3</v>
      </c>
      <c t="s" s="6" r="AM1668">
        <v>92</v>
      </c>
      <c t="s" s="6" r="AN1668">
        <v>92</v>
      </c>
      <c s="6" r="AP1668">
        <v>3</v>
      </c>
      <c s="6" r="AS1668">
        <v>0</v>
      </c>
      <c s="6" r="AT1668">
        <v>0</v>
      </c>
      <c s="6" r="AU1668">
        <v>0</v>
      </c>
      <c s="6" r="AV1668">
        <v>0</v>
      </c>
      <c s="6" r="AW1668">
        <v>1</v>
      </c>
      <c s="6" r="AX1668">
        <v>0</v>
      </c>
      <c s="6" r="AY1668">
        <v>0</v>
      </c>
      <c s="6" r="AZ1668">
        <v>0</v>
      </c>
      <c s="6" r="BA1668">
        <v>0</v>
      </c>
      <c s="6" r="BB1668">
        <v>0</v>
      </c>
      <c s="6" r="BC1668">
        <v>0</v>
      </c>
      <c s="6" r="BD1668">
        <v>0</v>
      </c>
      <c s="6" r="BE1668">
        <v>0</v>
      </c>
      <c s="6" r="BF1668">
        <v>0</v>
      </c>
      <c s="6" r="BG1668">
        <v>0</v>
      </c>
      <c s="6" r="BH1668">
        <v>0</v>
      </c>
      <c s="6" r="BI1668">
        <v>0</v>
      </c>
      <c s="6" r="BJ1668">
        <v>0</v>
      </c>
      <c s="6" r="BK1668">
        <v>0</v>
      </c>
      <c s="6" r="BL1668">
        <v>0</v>
      </c>
      <c s="6" r="BM1668">
        <v>0</v>
      </c>
      <c s="6" r="BN1668">
        <v>0</v>
      </c>
      <c s="6" r="BO1668">
        <v>0</v>
      </c>
      <c s="6" r="BP1668">
        <v>0</v>
      </c>
      <c s="6" r="BQ1668">
        <v>0</v>
      </c>
      <c t="s" s="6" r="BR1668">
        <v>92</v>
      </c>
      <c s="6" r="BS1668">
        <v>1697</v>
      </c>
      <c t="s" s="6" r="BT1668">
        <v>92</v>
      </c>
      <c s="6" r="BY1668">
        <v>1</v>
      </c>
    </row>
    <row customHeight="1" r="1669" ht="14.25">
      <c t="s" s="6" r="A1669">
        <v>11620</v>
      </c>
      <c t="s" s="6" r="B1669">
        <v>227</v>
      </c>
      <c t="s" s="6" r="E1669">
        <v>11621</v>
      </c>
      <c t="s" s="6" r="F1669">
        <v>81</v>
      </c>
      <c t="s" s="6" r="G1669">
        <v>106</v>
      </c>
      <c s="6" r="H1669">
        <v>0</v>
      </c>
      <c t="s" s="6" r="I1669">
        <v>120</v>
      </c>
      <c t="s" s="6" r="L1669">
        <v>121</v>
      </c>
      <c t="s" s="6" r="M1669">
        <v>99</v>
      </c>
      <c s="6" r="N1669">
        <v>0</v>
      </c>
      <c s="6" r="O1669">
        <v>0</v>
      </c>
      <c t="s" s="6" r="P1669">
        <v>1227</v>
      </c>
      <c t="s" s="6" r="Q1669">
        <v>123</v>
      </c>
      <c t="s" s="6" r="R1669">
        <v>11622</v>
      </c>
      <c t="s" s="6" r="S1669">
        <v>11623</v>
      </c>
      <c t="s" s="6" r="T1669">
        <v>11611</v>
      </c>
      <c t="s" s="6" r="U1669">
        <v>11624</v>
      </c>
      <c s="6" r="V1669">
        <v>1</v>
      </c>
      <c s="6" r="W1669">
        <v>1</v>
      </c>
      <c s="6" r="X1669">
        <v>0</v>
      </c>
      <c s="6" r="Y1669">
        <v>0</v>
      </c>
      <c s="6" r="Z1669">
        <v>0</v>
      </c>
      <c s="6" r="AA1669">
        <v>4</v>
      </c>
      <c s="6" r="AB1669">
        <v>4</v>
      </c>
      <c s="6" r="AC1669">
        <v>4</v>
      </c>
      <c t="s" s="6" r="AD1669">
        <v>92</v>
      </c>
      <c t="s" s="6" r="AE1669">
        <v>92</v>
      </c>
      <c t="s" s="6" r="AF1669">
        <v>92</v>
      </c>
      <c t="s" s="6" r="AG1669">
        <v>92</v>
      </c>
      <c s="6" r="AH1669">
        <v>4</v>
      </c>
      <c t="s" s="6" r="AI1669">
        <v>92</v>
      </c>
      <c s="6" r="AJ1669">
        <v>4</v>
      </c>
      <c s="6" r="AK1669">
        <v>4</v>
      </c>
      <c s="6" r="AL1669">
        <v>4</v>
      </c>
      <c t="s" s="6" r="AM1669">
        <v>92</v>
      </c>
      <c t="s" s="6" r="AN1669">
        <v>92</v>
      </c>
      <c s="6" r="AP1669">
        <v>4</v>
      </c>
      <c s="6" r="AS1669">
        <v>0</v>
      </c>
      <c s="6" r="AT1669">
        <v>0</v>
      </c>
      <c s="6" r="AU1669">
        <v>0</v>
      </c>
      <c s="6" r="AV1669">
        <v>0</v>
      </c>
      <c s="6" r="AW1669">
        <v>0</v>
      </c>
      <c s="6" r="AX1669">
        <v>0</v>
      </c>
      <c s="6" r="AY1669">
        <v>0</v>
      </c>
      <c s="6" r="AZ1669">
        <v>0</v>
      </c>
      <c s="6" r="BA1669">
        <v>0</v>
      </c>
      <c s="6" r="BB1669">
        <v>0</v>
      </c>
      <c s="6" r="BC1669">
        <v>0</v>
      </c>
      <c s="6" r="BD1669">
        <v>0</v>
      </c>
      <c s="6" r="BE1669">
        <v>0</v>
      </c>
      <c s="6" r="BF1669">
        <v>0</v>
      </c>
      <c s="6" r="BG1669">
        <v>0</v>
      </c>
      <c s="6" r="BH1669">
        <v>0</v>
      </c>
      <c s="6" r="BI1669">
        <v>0</v>
      </c>
      <c s="6" r="BJ1669">
        <v>0</v>
      </c>
      <c s="6" r="BK1669">
        <v>0</v>
      </c>
      <c s="6" r="BL1669">
        <v>0</v>
      </c>
      <c s="6" r="BM1669">
        <v>0</v>
      </c>
      <c s="6" r="BN1669">
        <v>0</v>
      </c>
      <c s="6" r="BO1669">
        <v>0</v>
      </c>
      <c s="6" r="BP1669">
        <v>0</v>
      </c>
      <c s="6" r="BQ1669">
        <v>0</v>
      </c>
      <c t="s" s="6" r="BR1669">
        <v>92</v>
      </c>
      <c s="6" r="BS1669">
        <v>1698</v>
      </c>
      <c t="s" s="6" r="BT1669">
        <v>92</v>
      </c>
      <c t="s" s="6" r="BW1669">
        <v>11625</v>
      </c>
      <c t="s" s="6" r="BX1669">
        <v>11626</v>
      </c>
      <c s="6" r="BY1669">
        <v>1</v>
      </c>
    </row>
    <row customHeight="1" r="1670" ht="14.25">
      <c t="s" s="6" r="A1670">
        <v>11627</v>
      </c>
      <c t="s" s="6" r="B1670">
        <v>131</v>
      </c>
      <c t="s" s="6" r="E1670">
        <v>11628</v>
      </c>
      <c t="s" s="6" r="F1670">
        <v>81</v>
      </c>
      <c t="s" s="6" r="G1670">
        <v>106</v>
      </c>
      <c s="6" r="H1670">
        <v>0</v>
      </c>
      <c t="s" s="6" r="I1670">
        <v>120</v>
      </c>
      <c t="s" s="6" r="L1670">
        <v>420</v>
      </c>
      <c t="s" s="6" r="M1670">
        <v>5954</v>
      </c>
      <c s="6" r="N1670">
        <v>1</v>
      </c>
      <c s="6" r="O1670">
        <v>0</v>
      </c>
      <c t="s" s="6" r="P1670">
        <v>421</v>
      </c>
      <c t="s" s="6" r="Q1670">
        <v>123</v>
      </c>
      <c t="s" s="6" r="R1670">
        <v>11629</v>
      </c>
      <c t="s" s="6" r="S1670">
        <v>11630</v>
      </c>
      <c t="s" s="6" r="T1670">
        <v>11611</v>
      </c>
      <c t="s" s="6" r="U1670">
        <v>11631</v>
      </c>
      <c s="6" r="V1670">
        <v>1</v>
      </c>
      <c s="6" r="W1670">
        <v>1</v>
      </c>
      <c s="6" r="X1670">
        <v>0</v>
      </c>
      <c s="6" r="Y1670">
        <v>0</v>
      </c>
      <c s="6" r="Z1670">
        <v>0</v>
      </c>
      <c s="6" r="AA1670">
        <v>5</v>
      </c>
      <c s="6" r="AB1670">
        <v>5</v>
      </c>
      <c s="6" r="AC1670">
        <v>5</v>
      </c>
      <c s="6" r="AD1670">
        <v>5</v>
      </c>
      <c t="s" s="6" r="AE1670">
        <v>92</v>
      </c>
      <c s="6" r="AF1670">
        <v>4</v>
      </c>
      <c t="s" s="6" r="AG1670">
        <v>92</v>
      </c>
      <c t="s" s="6" r="AH1670">
        <v>92</v>
      </c>
      <c s="6" r="AI1670">
        <v>4</v>
      </c>
      <c s="6" r="AJ1670">
        <v>5</v>
      </c>
      <c t="s" s="6" r="AK1670">
        <v>92</v>
      </c>
      <c s="6" r="AL1670">
        <v>5</v>
      </c>
      <c t="s" s="6" r="AM1670">
        <v>92</v>
      </c>
      <c s="6" r="AN1670">
        <v>4</v>
      </c>
      <c s="6" r="AP1670">
        <v>5</v>
      </c>
      <c s="6" r="AS1670">
        <v>0</v>
      </c>
      <c s="6" r="AT1670">
        <v>0</v>
      </c>
      <c s="6" r="AU1670">
        <v>0</v>
      </c>
      <c s="6" r="AV1670">
        <v>0</v>
      </c>
      <c s="6" r="AW1670">
        <v>0</v>
      </c>
      <c s="6" r="AX1670">
        <v>0</v>
      </c>
      <c s="6" r="AY1670">
        <v>0</v>
      </c>
      <c s="6" r="AZ1670">
        <v>0</v>
      </c>
      <c s="6" r="BA1670">
        <v>0</v>
      </c>
      <c s="6" r="BB1670">
        <v>0</v>
      </c>
      <c s="6" r="BC1670">
        <v>0</v>
      </c>
      <c s="6" r="BD1670">
        <v>0</v>
      </c>
      <c s="6" r="BE1670">
        <v>0</v>
      </c>
      <c s="6" r="BF1670">
        <v>0</v>
      </c>
      <c s="6" r="BG1670">
        <v>0</v>
      </c>
      <c s="6" r="BH1670">
        <v>0</v>
      </c>
      <c s="6" r="BI1670">
        <v>0</v>
      </c>
      <c s="6" r="BJ1670">
        <v>0</v>
      </c>
      <c s="6" r="BK1670">
        <v>0</v>
      </c>
      <c s="6" r="BL1670">
        <v>0</v>
      </c>
      <c s="6" r="BM1670">
        <v>0</v>
      </c>
      <c s="6" r="BN1670">
        <v>0</v>
      </c>
      <c s="6" r="BO1670">
        <v>0</v>
      </c>
      <c s="6" r="BP1670">
        <v>0</v>
      </c>
      <c s="6" r="BQ1670">
        <v>0</v>
      </c>
      <c t="s" s="6" r="BR1670">
        <v>92</v>
      </c>
      <c s="6" r="BS1670">
        <v>1699</v>
      </c>
      <c t="s" s="6" r="BT1670">
        <v>92</v>
      </c>
      <c s="6" r="BY1670">
        <v>1</v>
      </c>
    </row>
    <row customHeight="1" r="1671" ht="14.25">
      <c t="s" s="6" r="A1671">
        <v>11632</v>
      </c>
      <c t="s" s="6" r="B1671">
        <v>227</v>
      </c>
      <c t="s" s="6" r="D1671">
        <v>48</v>
      </c>
      <c t="s" s="6" r="E1671">
        <v>11633</v>
      </c>
      <c t="s" s="6" r="F1671">
        <v>81</v>
      </c>
      <c t="s" s="6" r="G1671">
        <v>106</v>
      </c>
      <c s="6" r="H1671">
        <v>0</v>
      </c>
      <c t="s" s="6" r="I1671">
        <v>107</v>
      </c>
      <c t="s" s="6" r="L1671">
        <v>1235</v>
      </c>
      <c t="s" s="6" r="M1671">
        <v>323</v>
      </c>
      <c s="6" r="N1671">
        <v>0</v>
      </c>
      <c s="6" r="O1671">
        <v>0</v>
      </c>
      <c t="s" s="6" r="P1671">
        <v>221</v>
      </c>
      <c t="s" s="6" r="Q1671">
        <v>188</v>
      </c>
      <c t="s" s="6" r="R1671">
        <v>11634</v>
      </c>
      <c t="s" s="6" r="S1671">
        <v>11635</v>
      </c>
      <c t="s" s="6" r="T1671">
        <v>11611</v>
      </c>
      <c t="s" s="6" r="U1671">
        <v>11636</v>
      </c>
      <c s="6" r="V1671">
        <v>1</v>
      </c>
      <c s="6" r="W1671">
        <v>1</v>
      </c>
      <c s="6" r="X1671">
        <v>0</v>
      </c>
      <c s="6" r="Y1671">
        <v>0</v>
      </c>
      <c s="6" r="Z1671">
        <v>0</v>
      </c>
      <c s="6" r="AA1671">
        <v>4</v>
      </c>
      <c s="6" r="AB1671">
        <v>4</v>
      </c>
      <c s="6" r="AC1671">
        <v>4</v>
      </c>
      <c t="s" s="6" r="AD1671">
        <v>92</v>
      </c>
      <c t="s" s="6" r="AE1671">
        <v>92</v>
      </c>
      <c t="s" s="6" r="AF1671">
        <v>92</v>
      </c>
      <c t="s" s="6" r="AG1671">
        <v>92</v>
      </c>
      <c t="s" s="6" r="AH1671">
        <v>92</v>
      </c>
      <c t="s" s="6" r="AI1671">
        <v>92</v>
      </c>
      <c s="6" r="AJ1671">
        <v>4</v>
      </c>
      <c s="6" r="AK1671">
        <v>3</v>
      </c>
      <c s="6" r="AL1671">
        <v>4</v>
      </c>
      <c t="s" s="6" r="AM1671">
        <v>92</v>
      </c>
      <c t="s" s="6" r="AN1671">
        <v>92</v>
      </c>
      <c s="6" r="AP1671">
        <v>4</v>
      </c>
      <c s="6" r="AS1671">
        <v>0</v>
      </c>
      <c s="6" r="AT1671">
        <v>0</v>
      </c>
      <c s="6" r="AU1671">
        <v>0</v>
      </c>
      <c s="6" r="AV1671">
        <v>0</v>
      </c>
      <c s="6" r="AW1671">
        <v>1</v>
      </c>
      <c s="6" r="AX1671">
        <v>0</v>
      </c>
      <c s="6" r="AY1671">
        <v>0</v>
      </c>
      <c s="6" r="AZ1671">
        <v>0</v>
      </c>
      <c s="6" r="BA1671">
        <v>0</v>
      </c>
      <c s="6" r="BB1671">
        <v>0</v>
      </c>
      <c s="6" r="BC1671">
        <v>0</v>
      </c>
      <c s="6" r="BD1671">
        <v>0</v>
      </c>
      <c s="6" r="BE1671">
        <v>0</v>
      </c>
      <c s="6" r="BF1671">
        <v>0</v>
      </c>
      <c s="6" r="BG1671">
        <v>0</v>
      </c>
      <c s="6" r="BH1671">
        <v>0</v>
      </c>
      <c s="6" r="BI1671">
        <v>0</v>
      </c>
      <c s="6" r="BJ1671">
        <v>0</v>
      </c>
      <c s="6" r="BK1671">
        <v>0</v>
      </c>
      <c s="6" r="BL1671">
        <v>0</v>
      </c>
      <c s="6" r="BM1671">
        <v>0</v>
      </c>
      <c s="6" r="BN1671">
        <v>0</v>
      </c>
      <c s="6" r="BO1671">
        <v>0</v>
      </c>
      <c s="6" r="BP1671">
        <v>0</v>
      </c>
      <c s="6" r="BQ1671">
        <v>0</v>
      </c>
      <c t="s" s="6" r="BR1671">
        <v>92</v>
      </c>
      <c s="6" r="BS1671">
        <v>1700</v>
      </c>
      <c t="s" s="6" r="BT1671">
        <v>92</v>
      </c>
      <c s="6" r="BY1671">
        <v>1</v>
      </c>
    </row>
    <row customHeight="1" r="1672" ht="14.25">
      <c t="s" s="6" r="A1672">
        <v>11637</v>
      </c>
      <c t="s" s="6" r="B1672">
        <v>131</v>
      </c>
      <c t="s" s="6" r="E1672">
        <v>7029</v>
      </c>
      <c t="s" s="6" r="F1672">
        <v>81</v>
      </c>
      <c t="s" s="6" r="G1672">
        <v>106</v>
      </c>
      <c s="6" r="H1672">
        <v>0</v>
      </c>
      <c t="s" s="6" r="I1672">
        <v>120</v>
      </c>
      <c t="s" s="6" r="L1672">
        <v>11638</v>
      </c>
      <c t="s" s="6" r="M1672">
        <v>109</v>
      </c>
      <c s="6" r="N1672">
        <v>0</v>
      </c>
      <c s="6" r="O1672">
        <v>0</v>
      </c>
      <c t="s" s="6" r="P1672">
        <v>421</v>
      </c>
      <c t="s" s="6" r="Q1672">
        <v>123</v>
      </c>
      <c t="s" s="6" r="R1672">
        <v>11639</v>
      </c>
      <c t="s" s="6" r="S1672">
        <v>11640</v>
      </c>
      <c t="s" s="6" r="T1672">
        <v>11611</v>
      </c>
      <c t="s" s="6" r="U1672">
        <v>11641</v>
      </c>
      <c s="6" r="V1672">
        <v>1</v>
      </c>
      <c s="6" r="W1672">
        <v>1</v>
      </c>
      <c s="6" r="X1672">
        <v>0</v>
      </c>
      <c s="6" r="Y1672">
        <v>0</v>
      </c>
      <c s="6" r="Z1672">
        <v>0</v>
      </c>
      <c s="6" r="AA1672">
        <v>3</v>
      </c>
      <c s="6" r="AB1672">
        <v>3</v>
      </c>
      <c s="6" r="AC1672">
        <v>3</v>
      </c>
      <c t="s" s="6" r="AD1672">
        <v>92</v>
      </c>
      <c t="s" s="6" r="AE1672">
        <v>92</v>
      </c>
      <c s="6" r="AF1672">
        <v>3</v>
      </c>
      <c t="s" s="6" r="AG1672">
        <v>92</v>
      </c>
      <c t="s" s="6" r="AH1672">
        <v>92</v>
      </c>
      <c t="s" s="6" r="AI1672">
        <v>92</v>
      </c>
      <c s="6" r="AJ1672">
        <v>3</v>
      </c>
      <c t="s" s="6" r="AK1672">
        <v>92</v>
      </c>
      <c s="6" r="AL1672">
        <v>3</v>
      </c>
      <c t="s" s="6" r="AM1672">
        <v>92</v>
      </c>
      <c t="s" s="6" r="AN1672">
        <v>92</v>
      </c>
      <c s="6" r="AP1672">
        <v>3</v>
      </c>
      <c s="6" r="AS1672">
        <v>0</v>
      </c>
      <c s="6" r="AT1672">
        <v>0</v>
      </c>
      <c s="6" r="AU1672">
        <v>0</v>
      </c>
      <c s="6" r="AV1672">
        <v>0</v>
      </c>
      <c s="6" r="AW1672">
        <v>0</v>
      </c>
      <c s="6" r="AX1672">
        <v>0</v>
      </c>
      <c s="6" r="AY1672">
        <v>0</v>
      </c>
      <c s="6" r="AZ1672">
        <v>0</v>
      </c>
      <c s="6" r="BA1672">
        <v>0</v>
      </c>
      <c s="6" r="BB1672">
        <v>0</v>
      </c>
      <c s="6" r="BC1672">
        <v>0</v>
      </c>
      <c s="6" r="BD1672">
        <v>0</v>
      </c>
      <c s="6" r="BE1672">
        <v>0</v>
      </c>
      <c s="6" r="BF1672">
        <v>0</v>
      </c>
      <c s="6" r="BG1672">
        <v>0</v>
      </c>
      <c s="6" r="BH1672">
        <v>0</v>
      </c>
      <c s="6" r="BI1672">
        <v>0</v>
      </c>
      <c s="6" r="BJ1672">
        <v>0</v>
      </c>
      <c s="6" r="BK1672">
        <v>0</v>
      </c>
      <c s="6" r="BL1672">
        <v>0</v>
      </c>
      <c s="6" r="BM1672">
        <v>0</v>
      </c>
      <c s="6" r="BN1672">
        <v>0</v>
      </c>
      <c s="6" r="BO1672">
        <v>0</v>
      </c>
      <c s="6" r="BP1672">
        <v>0</v>
      </c>
      <c s="6" r="BQ1672">
        <v>0</v>
      </c>
      <c t="s" s="6" r="BR1672">
        <v>92</v>
      </c>
      <c s="6" r="BS1672">
        <v>1701</v>
      </c>
      <c t="s" s="6" r="BT1672">
        <v>92</v>
      </c>
      <c s="6" r="BY1672">
        <v>1</v>
      </c>
    </row>
    <row customHeight="1" r="1673" ht="14.25">
      <c t="s" s="6" r="A1673">
        <v>11642</v>
      </c>
      <c t="s" s="6" r="B1673">
        <v>131</v>
      </c>
      <c t="s" s="6" r="E1673">
        <v>11643</v>
      </c>
      <c t="s" s="6" r="F1673">
        <v>81</v>
      </c>
      <c t="s" s="6" r="G1673">
        <v>106</v>
      </c>
      <c s="6" r="H1673">
        <v>0</v>
      </c>
      <c t="s" s="6" r="I1673">
        <v>107</v>
      </c>
      <c t="s" s="6" r="L1673">
        <v>11608</v>
      </c>
      <c t="s" s="6" r="M1673">
        <v>2718</v>
      </c>
      <c s="6" r="N1673">
        <v>0</v>
      </c>
      <c s="6" r="O1673">
        <v>0</v>
      </c>
      <c t="s" s="6" r="P1673">
        <v>421</v>
      </c>
      <c t="s" s="6" r="Q1673">
        <v>123</v>
      </c>
      <c t="s" s="6" r="R1673">
        <v>11644</v>
      </c>
      <c t="s" s="6" r="S1673">
        <v>11645</v>
      </c>
      <c t="s" s="6" r="T1673">
        <v>11611</v>
      </c>
      <c t="s" s="6" r="U1673">
        <v>11646</v>
      </c>
      <c s="6" r="V1673">
        <v>1</v>
      </c>
      <c s="6" r="W1673">
        <v>1</v>
      </c>
      <c s="6" r="X1673">
        <v>0</v>
      </c>
      <c s="6" r="Y1673">
        <v>0</v>
      </c>
      <c s="6" r="Z1673">
        <v>0</v>
      </c>
      <c s="6" r="AA1673">
        <v>3</v>
      </c>
      <c s="6" r="AB1673">
        <v>3</v>
      </c>
      <c s="6" r="AC1673">
        <v>3</v>
      </c>
      <c s="6" r="AD1673">
        <v>3</v>
      </c>
      <c t="s" s="6" r="AE1673">
        <v>92</v>
      </c>
      <c s="6" r="AF1673">
        <v>2</v>
      </c>
      <c t="s" s="6" r="AG1673">
        <v>92</v>
      </c>
      <c t="s" s="6" r="AH1673">
        <v>92</v>
      </c>
      <c s="6" r="AI1673">
        <v>2</v>
      </c>
      <c s="6" r="AJ1673">
        <v>3</v>
      </c>
      <c t="s" s="6" r="AK1673">
        <v>92</v>
      </c>
      <c s="6" r="AL1673">
        <v>3</v>
      </c>
      <c t="s" s="6" r="AM1673">
        <v>92</v>
      </c>
      <c t="s" s="6" r="AN1673">
        <v>92</v>
      </c>
      <c s="6" r="AP1673">
        <v>3</v>
      </c>
      <c s="6" r="AS1673">
        <v>0</v>
      </c>
      <c s="6" r="AT1673">
        <v>0</v>
      </c>
      <c s="6" r="AU1673">
        <v>0</v>
      </c>
      <c s="6" r="AV1673">
        <v>0</v>
      </c>
      <c s="6" r="AW1673">
        <v>0</v>
      </c>
      <c s="6" r="AX1673">
        <v>0</v>
      </c>
      <c s="6" r="AY1673">
        <v>0</v>
      </c>
      <c s="6" r="AZ1673">
        <v>0</v>
      </c>
      <c s="6" r="BA1673">
        <v>0</v>
      </c>
      <c s="6" r="BB1673">
        <v>0</v>
      </c>
      <c s="6" r="BC1673">
        <v>0</v>
      </c>
      <c s="6" r="BD1673">
        <v>0</v>
      </c>
      <c s="6" r="BE1673">
        <v>0</v>
      </c>
      <c s="6" r="BF1673">
        <v>0</v>
      </c>
      <c s="6" r="BG1673">
        <v>0</v>
      </c>
      <c s="6" r="BH1673">
        <v>0</v>
      </c>
      <c s="6" r="BI1673">
        <v>0</v>
      </c>
      <c s="6" r="BJ1673">
        <v>0</v>
      </c>
      <c s="6" r="BK1673">
        <v>0</v>
      </c>
      <c s="6" r="BL1673">
        <v>0</v>
      </c>
      <c s="6" r="BM1673">
        <v>0</v>
      </c>
      <c s="6" r="BN1673">
        <v>0</v>
      </c>
      <c s="6" r="BO1673">
        <v>0</v>
      </c>
      <c s="6" r="BP1673">
        <v>0</v>
      </c>
      <c s="6" r="BQ1673">
        <v>0</v>
      </c>
      <c t="s" s="6" r="BR1673">
        <v>92</v>
      </c>
      <c s="6" r="BS1673">
        <v>1702</v>
      </c>
      <c t="s" s="6" r="BT1673">
        <v>92</v>
      </c>
      <c s="6" r="BY1673">
        <v>1</v>
      </c>
    </row>
    <row customHeight="1" r="1674" ht="14.25">
      <c t="s" s="6" r="A1674">
        <v>11647</v>
      </c>
      <c t="s" s="6" r="B1674">
        <v>227</v>
      </c>
      <c t="s" s="6" r="E1674">
        <v>11648</v>
      </c>
      <c t="s" s="6" r="F1674">
        <v>81</v>
      </c>
      <c t="s" s="6" r="G1674">
        <v>106</v>
      </c>
      <c s="6" r="H1674">
        <v>0</v>
      </c>
      <c t="s" s="6" r="I1674">
        <v>107</v>
      </c>
      <c t="s" s="6" r="L1674">
        <v>11616</v>
      </c>
      <c t="s" s="6" r="M1674">
        <v>109</v>
      </c>
      <c s="6" r="N1674">
        <v>0</v>
      </c>
      <c s="6" r="O1674">
        <v>0</v>
      </c>
      <c t="s" s="6" r="P1674">
        <v>221</v>
      </c>
      <c t="s" s="6" r="Q1674">
        <v>188</v>
      </c>
      <c t="s" s="6" r="R1674">
        <v>11649</v>
      </c>
      <c t="s" s="6" r="S1674">
        <v>11650</v>
      </c>
      <c t="s" s="6" r="T1674">
        <v>11611</v>
      </c>
      <c t="s" s="6" r="U1674">
        <v>11651</v>
      </c>
      <c s="6" r="V1674">
        <v>1</v>
      </c>
      <c s="6" r="W1674">
        <v>1</v>
      </c>
      <c s="6" r="X1674">
        <v>0</v>
      </c>
      <c s="6" r="Y1674">
        <v>0</v>
      </c>
      <c s="6" r="Z1674">
        <v>0</v>
      </c>
      <c s="6" r="AA1674">
        <v>5</v>
      </c>
      <c s="6" r="AB1674">
        <v>5</v>
      </c>
      <c s="6" r="AC1674">
        <v>5</v>
      </c>
      <c t="s" s="6" r="AD1674">
        <v>92</v>
      </c>
      <c t="s" s="6" r="AE1674">
        <v>92</v>
      </c>
      <c t="s" s="6" r="AF1674">
        <v>92</v>
      </c>
      <c t="s" s="6" r="AG1674">
        <v>92</v>
      </c>
      <c t="s" s="6" r="AH1674">
        <v>92</v>
      </c>
      <c t="s" s="6" r="AI1674">
        <v>92</v>
      </c>
      <c s="6" r="AJ1674">
        <v>5</v>
      </c>
      <c t="s" s="6" r="AK1674">
        <v>92</v>
      </c>
      <c s="6" r="AL1674">
        <v>5</v>
      </c>
      <c t="s" s="6" r="AM1674">
        <v>92</v>
      </c>
      <c t="s" s="6" r="AN1674">
        <v>92</v>
      </c>
      <c s="6" r="AP1674">
        <v>5</v>
      </c>
      <c s="6" r="AS1674">
        <v>0</v>
      </c>
      <c s="6" r="AT1674">
        <v>0</v>
      </c>
      <c s="6" r="AU1674">
        <v>0</v>
      </c>
      <c s="6" r="AV1674">
        <v>0</v>
      </c>
      <c s="6" r="AW1674">
        <v>0</v>
      </c>
      <c s="6" r="AX1674">
        <v>0</v>
      </c>
      <c s="6" r="AY1674">
        <v>0</v>
      </c>
      <c s="6" r="AZ1674">
        <v>0</v>
      </c>
      <c s="6" r="BA1674">
        <v>0</v>
      </c>
      <c s="6" r="BB1674">
        <v>0</v>
      </c>
      <c s="6" r="BC1674">
        <v>0</v>
      </c>
      <c s="6" r="BD1674">
        <v>0</v>
      </c>
      <c s="6" r="BE1674">
        <v>0</v>
      </c>
      <c s="6" r="BF1674">
        <v>0</v>
      </c>
      <c s="6" r="BG1674">
        <v>0</v>
      </c>
      <c s="6" r="BH1674">
        <v>0</v>
      </c>
      <c s="6" r="BI1674">
        <v>0</v>
      </c>
      <c s="6" r="BJ1674">
        <v>0</v>
      </c>
      <c s="6" r="BK1674">
        <v>0</v>
      </c>
      <c s="6" r="BL1674">
        <v>0</v>
      </c>
      <c s="6" r="BM1674">
        <v>0</v>
      </c>
      <c s="6" r="BN1674">
        <v>0</v>
      </c>
      <c s="6" r="BO1674">
        <v>0</v>
      </c>
      <c s="6" r="BP1674">
        <v>0</v>
      </c>
      <c s="6" r="BQ1674">
        <v>0</v>
      </c>
      <c t="s" s="6" r="BR1674">
        <v>92</v>
      </c>
      <c s="6" r="BS1674">
        <v>1703</v>
      </c>
      <c t="s" s="6" r="BT1674">
        <v>92</v>
      </c>
      <c s="6" r="BY1674">
        <v>1</v>
      </c>
    </row>
    <row customHeight="1" r="1675" ht="14.25">
      <c t="s" s="6" r="A1675">
        <v>11652</v>
      </c>
      <c t="s" s="6" r="B1675">
        <v>131</v>
      </c>
      <c t="s" s="6" r="E1675">
        <v>11653</v>
      </c>
      <c t="s" s="6" r="F1675">
        <v>293</v>
      </c>
      <c t="s" s="6" r="G1675">
        <v>11654</v>
      </c>
      <c s="6" r="H1675">
        <v>1</v>
      </c>
      <c t="s" s="6" r="I1675">
        <v>11655</v>
      </c>
      <c t="s" s="6" r="J1675">
        <v>11656</v>
      </c>
      <c t="s" s="6" r="M1675">
        <v>11657</v>
      </c>
      <c s="6" r="N1675">
        <v>0</v>
      </c>
      <c s="6" r="O1675">
        <v>0</v>
      </c>
      <c t="s" s="6" r="P1675">
        <v>86</v>
      </c>
      <c t="s" s="6" r="Q1675">
        <v>87</v>
      </c>
      <c t="s" s="6" r="R1675">
        <v>11658</v>
      </c>
      <c t="s" s="6" r="S1675">
        <v>11659</v>
      </c>
      <c t="s" s="6" r="T1675">
        <v>11611</v>
      </c>
      <c t="s" s="6" r="U1675">
        <v>11660</v>
      </c>
      <c s="6" r="V1675">
        <v>1</v>
      </c>
      <c s="6" r="W1675">
        <v>1</v>
      </c>
      <c s="6" r="X1675">
        <v>1</v>
      </c>
      <c s="6" r="Y1675">
        <v>0</v>
      </c>
      <c s="6" r="Z1675">
        <v>0</v>
      </c>
      <c s="6" r="AA1675">
        <v>7</v>
      </c>
      <c s="6" r="AB1675">
        <v>7</v>
      </c>
      <c s="6" r="AC1675">
        <v>7</v>
      </c>
      <c s="6" r="AD1675">
        <v>6</v>
      </c>
      <c t="s" s="6" r="AE1675">
        <v>92</v>
      </c>
      <c t="s" s="6" r="AF1675">
        <v>92</v>
      </c>
      <c t="s" s="6" r="AG1675">
        <v>92</v>
      </c>
      <c t="s" s="6" r="AH1675">
        <v>92</v>
      </c>
      <c t="s" s="6" r="AI1675">
        <v>92</v>
      </c>
      <c s="6" r="AJ1675">
        <v>7</v>
      </c>
      <c t="s" s="6" r="AK1675">
        <v>92</v>
      </c>
      <c s="6" r="AL1675">
        <v>7</v>
      </c>
      <c t="s" s="6" r="AM1675">
        <v>92</v>
      </c>
      <c t="s" s="6" r="AN1675">
        <v>92</v>
      </c>
      <c s="6" r="AP1675">
        <v>7</v>
      </c>
      <c s="6" r="AS1675">
        <v>0</v>
      </c>
      <c s="6" r="AT1675">
        <v>0</v>
      </c>
      <c s="6" r="AU1675">
        <v>0</v>
      </c>
      <c s="6" r="AV1675">
        <v>0</v>
      </c>
      <c s="6" r="AW1675">
        <v>0</v>
      </c>
      <c s="6" r="AX1675">
        <v>0</v>
      </c>
      <c s="6" r="AY1675">
        <v>0</v>
      </c>
      <c s="6" r="AZ1675">
        <v>0</v>
      </c>
      <c s="6" r="BA1675">
        <v>0</v>
      </c>
      <c s="6" r="BB1675">
        <v>0</v>
      </c>
      <c s="6" r="BC1675">
        <v>0</v>
      </c>
      <c s="6" r="BD1675">
        <v>0</v>
      </c>
      <c s="6" r="BE1675">
        <v>0</v>
      </c>
      <c s="6" r="BF1675">
        <v>0</v>
      </c>
      <c s="6" r="BG1675">
        <v>0</v>
      </c>
      <c s="6" r="BH1675">
        <v>0</v>
      </c>
      <c s="6" r="BI1675">
        <v>0</v>
      </c>
      <c s="6" r="BJ1675">
        <v>0</v>
      </c>
      <c s="6" r="BK1675">
        <v>0</v>
      </c>
      <c s="6" r="BL1675">
        <v>0</v>
      </c>
      <c s="6" r="BM1675">
        <v>0</v>
      </c>
      <c s="6" r="BN1675">
        <v>0</v>
      </c>
      <c s="6" r="BO1675">
        <v>0</v>
      </c>
      <c s="6" r="BP1675">
        <v>0</v>
      </c>
      <c s="6" r="BQ1675">
        <v>0</v>
      </c>
      <c t="s" s="6" r="BR1675">
        <v>92</v>
      </c>
      <c s="6" r="BS1675">
        <v>1704</v>
      </c>
      <c s="6" r="BT1675">
        <v>10000</v>
      </c>
      <c s="6" r="BY1675">
        <v>1</v>
      </c>
    </row>
    <row customHeight="1" r="1676" ht="14.25">
      <c t="s" s="6" r="A1676">
        <v>11661</v>
      </c>
      <c t="s" s="6" r="B1676">
        <v>115</v>
      </c>
      <c t="s" s="6" r="C1676">
        <v>116</v>
      </c>
      <c t="s" s="6" r="D1676">
        <v>117</v>
      </c>
      <c t="s" s="6" r="E1676">
        <v>11662</v>
      </c>
      <c t="s" s="6" r="F1676">
        <v>81</v>
      </c>
      <c t="s" s="6" r="G1676">
        <v>106</v>
      </c>
      <c s="6" r="H1676">
        <v>0</v>
      </c>
      <c t="s" s="6" r="I1676">
        <v>107</v>
      </c>
      <c t="s" s="6" r="L1676">
        <v>620</v>
      </c>
      <c t="s" s="6" r="M1676">
        <v>483</v>
      </c>
      <c s="6" r="N1676">
        <v>1</v>
      </c>
      <c s="6" r="O1676">
        <v>0</v>
      </c>
      <c t="s" s="6" r="P1676">
        <v>221</v>
      </c>
      <c t="s" s="6" r="Q1676">
        <v>188</v>
      </c>
      <c t="s" s="6" r="R1676">
        <v>11663</v>
      </c>
      <c t="s" s="6" r="S1676">
        <v>11664</v>
      </c>
      <c t="s" s="6" r="T1676">
        <v>11665</v>
      </c>
      <c t="s" s="6" r="U1676">
        <v>11666</v>
      </c>
      <c s="6" r="V1676">
        <v>1</v>
      </c>
      <c s="6" r="W1676">
        <v>1</v>
      </c>
      <c s="6" r="X1676">
        <v>0</v>
      </c>
      <c s="6" r="Y1676">
        <v>0</v>
      </c>
      <c s="6" r="Z1676">
        <v>0</v>
      </c>
      <c s="6" r="AA1676">
        <v>4</v>
      </c>
      <c s="6" r="AB1676">
        <v>4</v>
      </c>
      <c t="s" s="6" r="AC1676">
        <v>92</v>
      </c>
      <c t="s" s="6" r="AD1676">
        <v>92</v>
      </c>
      <c t="s" s="6" r="AE1676">
        <v>92</v>
      </c>
      <c s="6" r="AF1676">
        <v>3</v>
      </c>
      <c t="s" s="6" r="AG1676">
        <v>92</v>
      </c>
      <c t="s" s="6" r="AH1676">
        <v>92</v>
      </c>
      <c t="s" s="6" r="AI1676">
        <v>92</v>
      </c>
      <c t="s" s="6" r="AJ1676">
        <v>92</v>
      </c>
      <c s="6" r="AK1676">
        <v>3</v>
      </c>
      <c t="s" s="6" r="AL1676">
        <v>92</v>
      </c>
      <c t="s" s="6" r="AM1676">
        <v>92</v>
      </c>
      <c t="s" s="6" r="AN1676">
        <v>92</v>
      </c>
      <c s="6" r="AP1676">
        <v>4</v>
      </c>
      <c s="6" r="AS1676">
        <v>0</v>
      </c>
      <c s="6" r="AT1676">
        <v>0</v>
      </c>
      <c s="6" r="AU1676">
        <v>0</v>
      </c>
      <c s="6" r="AV1676">
        <v>0</v>
      </c>
      <c s="6" r="AW1676">
        <v>0</v>
      </c>
      <c s="6" r="AX1676">
        <v>0</v>
      </c>
      <c s="6" r="AY1676">
        <v>0</v>
      </c>
      <c s="6" r="AZ1676">
        <v>0</v>
      </c>
      <c s="6" r="BA1676">
        <v>0</v>
      </c>
      <c s="6" r="BB1676">
        <v>0</v>
      </c>
      <c s="6" r="BC1676">
        <v>0</v>
      </c>
      <c s="6" r="BD1676">
        <v>0</v>
      </c>
      <c s="6" r="BE1676">
        <v>0</v>
      </c>
      <c s="6" r="BF1676">
        <v>0</v>
      </c>
      <c s="6" r="BG1676">
        <v>0</v>
      </c>
      <c s="6" r="BH1676">
        <v>0</v>
      </c>
      <c s="6" r="BI1676">
        <v>0</v>
      </c>
      <c s="6" r="BJ1676">
        <v>0</v>
      </c>
      <c s="6" r="BK1676">
        <v>0</v>
      </c>
      <c s="6" r="BL1676">
        <v>1</v>
      </c>
      <c s="6" r="BM1676">
        <v>0</v>
      </c>
      <c s="6" r="BN1676">
        <v>0</v>
      </c>
      <c s="6" r="BO1676">
        <v>0</v>
      </c>
      <c s="6" r="BP1676">
        <v>0</v>
      </c>
      <c s="6" r="BQ1676">
        <v>0</v>
      </c>
      <c t="s" s="6" r="BR1676">
        <v>92</v>
      </c>
      <c s="6" r="BS1676">
        <v>1705</v>
      </c>
      <c t="s" s="6" r="BT1676">
        <v>92</v>
      </c>
      <c s="6" r="BY1676">
        <v>0</v>
      </c>
    </row>
    <row customHeight="1" r="1677" ht="14.25">
      <c t="s" s="6" r="A1677">
        <v>11667</v>
      </c>
      <c t="s" s="6" r="B1677">
        <v>131</v>
      </c>
      <c t="s" s="6" r="D1677">
        <v>65</v>
      </c>
      <c t="s" s="6" r="E1677">
        <v>11668</v>
      </c>
      <c t="s" s="6" r="F1677">
        <v>81</v>
      </c>
      <c t="s" s="6" r="G1677">
        <v>106</v>
      </c>
      <c s="6" r="H1677">
        <v>0</v>
      </c>
      <c t="s" s="6" r="I1677">
        <v>120</v>
      </c>
      <c t="s" s="6" r="L1677">
        <v>420</v>
      </c>
      <c t="s" s="6" r="M1677">
        <v>483</v>
      </c>
      <c s="6" r="N1677">
        <v>1</v>
      </c>
      <c s="6" r="O1677">
        <v>0</v>
      </c>
      <c t="s" s="6" r="P1677">
        <v>187</v>
      </c>
      <c t="s" s="6" r="Q1677">
        <v>188</v>
      </c>
      <c t="s" s="6" r="R1677">
        <v>11669</v>
      </c>
      <c t="s" s="6" r="S1677">
        <v>11670</v>
      </c>
      <c t="s" s="6" r="T1677">
        <v>11665</v>
      </c>
      <c t="s" s="6" r="U1677">
        <v>11671</v>
      </c>
      <c s="6" r="V1677">
        <v>1</v>
      </c>
      <c s="6" r="W1677">
        <v>1</v>
      </c>
      <c s="6" r="X1677">
        <v>0</v>
      </c>
      <c s="6" r="Y1677">
        <v>0</v>
      </c>
      <c s="6" r="Z1677">
        <v>0</v>
      </c>
      <c s="6" r="AA1677">
        <v>4</v>
      </c>
      <c s="6" r="AB1677">
        <v>4</v>
      </c>
      <c s="6" r="AC1677">
        <v>4</v>
      </c>
      <c s="6" r="AD1677">
        <v>4</v>
      </c>
      <c s="6" r="AE1677">
        <v>3</v>
      </c>
      <c t="s" s="6" r="AF1677">
        <v>92</v>
      </c>
      <c t="s" s="6" r="AG1677">
        <v>92</v>
      </c>
      <c t="s" s="6" r="AH1677">
        <v>92</v>
      </c>
      <c t="s" s="6" r="AI1677">
        <v>92</v>
      </c>
      <c t="s" s="6" r="AJ1677">
        <v>92</v>
      </c>
      <c t="s" s="6" r="AK1677">
        <v>92</v>
      </c>
      <c s="6" r="AL1677">
        <v>4</v>
      </c>
      <c t="s" s="6" r="AM1677">
        <v>92</v>
      </c>
      <c t="s" s="6" r="AN1677">
        <v>92</v>
      </c>
      <c s="6" r="AP1677">
        <v>4</v>
      </c>
      <c s="6" r="AS1677">
        <v>0</v>
      </c>
      <c s="6" r="AT1677">
        <v>0</v>
      </c>
      <c s="6" r="AU1677">
        <v>0</v>
      </c>
      <c s="6" r="AV1677">
        <v>0</v>
      </c>
      <c s="6" r="AW1677">
        <v>0</v>
      </c>
      <c s="6" r="AX1677">
        <v>0</v>
      </c>
      <c s="6" r="AY1677">
        <v>0</v>
      </c>
      <c s="6" r="AZ1677">
        <v>0</v>
      </c>
      <c s="6" r="BA1677">
        <v>0</v>
      </c>
      <c s="6" r="BB1677">
        <v>0</v>
      </c>
      <c s="6" r="BC1677">
        <v>0</v>
      </c>
      <c s="6" r="BD1677">
        <v>0</v>
      </c>
      <c s="6" r="BE1677">
        <v>0</v>
      </c>
      <c s="6" r="BF1677">
        <v>0</v>
      </c>
      <c s="6" r="BG1677">
        <v>0</v>
      </c>
      <c s="6" r="BH1677">
        <v>0</v>
      </c>
      <c s="6" r="BI1677">
        <v>0</v>
      </c>
      <c s="6" r="BJ1677">
        <v>0</v>
      </c>
      <c s="6" r="BK1677">
        <v>0</v>
      </c>
      <c s="6" r="BL1677">
        <v>0</v>
      </c>
      <c s="6" r="BM1677">
        <v>0</v>
      </c>
      <c s="6" r="BN1677">
        <v>1</v>
      </c>
      <c s="6" r="BO1677">
        <v>0</v>
      </c>
      <c s="6" r="BP1677">
        <v>0</v>
      </c>
      <c s="6" r="BQ1677">
        <v>0</v>
      </c>
      <c t="s" s="6" r="BR1677">
        <v>92</v>
      </c>
      <c s="6" r="BS1677">
        <v>1706</v>
      </c>
      <c t="s" s="6" r="BT1677">
        <v>92</v>
      </c>
      <c s="6" r="BY1677">
        <v>0</v>
      </c>
    </row>
    <row customHeight="1" r="1678" ht="14.25">
      <c t="s" s="6" r="A1678">
        <v>11672</v>
      </c>
      <c t="s" s="6" r="B1678">
        <v>493</v>
      </c>
      <c t="s" s="6" r="D1678">
        <v>53</v>
      </c>
      <c t="s" s="6" r="E1678">
        <v>11673</v>
      </c>
      <c t="s" s="6" r="F1678">
        <v>81</v>
      </c>
      <c t="s" s="6" r="G1678">
        <v>106</v>
      </c>
      <c s="6" r="H1678">
        <v>0</v>
      </c>
      <c t="s" s="6" r="I1678">
        <v>155</v>
      </c>
      <c t="s" s="6" r="J1678">
        <v>11674</v>
      </c>
      <c t="s" s="6" r="M1678">
        <v>483</v>
      </c>
      <c s="6" r="N1678">
        <v>1</v>
      </c>
      <c s="6" r="O1678">
        <v>0</v>
      </c>
      <c t="s" s="6" r="P1678">
        <v>1227</v>
      </c>
      <c t="s" s="6" r="Q1678">
        <v>188</v>
      </c>
      <c t="s" s="6" r="R1678">
        <v>11675</v>
      </c>
      <c t="s" s="6" r="S1678">
        <v>11676</v>
      </c>
      <c t="s" s="6" r="T1678">
        <v>11665</v>
      </c>
      <c t="s" s="6" r="U1678">
        <v>11677</v>
      </c>
      <c s="6" r="V1678">
        <v>1</v>
      </c>
      <c s="6" r="W1678">
        <v>1</v>
      </c>
      <c s="6" r="X1678">
        <v>0</v>
      </c>
      <c s="6" r="Y1678">
        <v>0</v>
      </c>
      <c s="6" r="Z1678">
        <v>0</v>
      </c>
      <c t="s" s="6" r="AA1678">
        <v>92</v>
      </c>
      <c t="s" s="6" r="AB1678">
        <v>92</v>
      </c>
      <c s="6" r="AC1678">
        <v>3</v>
      </c>
      <c t="s" s="6" r="AD1678">
        <v>92</v>
      </c>
      <c s="6" r="AE1678">
        <v>2</v>
      </c>
      <c t="s" s="6" r="AF1678">
        <v>92</v>
      </c>
      <c t="s" s="6" r="AG1678">
        <v>92</v>
      </c>
      <c t="s" s="6" r="AH1678">
        <v>92</v>
      </c>
      <c t="s" s="6" r="AI1678">
        <v>92</v>
      </c>
      <c s="6" r="AJ1678">
        <v>3</v>
      </c>
      <c s="6" r="AK1678">
        <v>3</v>
      </c>
      <c s="6" r="AL1678">
        <v>3</v>
      </c>
      <c t="s" s="6" r="AM1678">
        <v>92</v>
      </c>
      <c t="s" s="6" r="AN1678">
        <v>92</v>
      </c>
      <c s="6" r="AP1678">
        <v>3</v>
      </c>
      <c s="6" r="AS1678">
        <v>0</v>
      </c>
      <c s="6" r="AT1678">
        <v>0</v>
      </c>
      <c s="6" r="AU1678">
        <v>0</v>
      </c>
      <c s="6" r="AV1678">
        <v>0</v>
      </c>
      <c s="6" r="AW1678">
        <v>0</v>
      </c>
      <c s="6" r="AX1678">
        <v>0</v>
      </c>
      <c s="6" r="AY1678">
        <v>0</v>
      </c>
      <c s="6" r="AZ1678">
        <v>0</v>
      </c>
      <c s="6" r="BA1678">
        <v>0</v>
      </c>
      <c s="6" r="BB1678">
        <v>1</v>
      </c>
      <c s="6" r="BC1678">
        <v>0</v>
      </c>
      <c s="6" r="BD1678">
        <v>0</v>
      </c>
      <c s="6" r="BE1678">
        <v>0</v>
      </c>
      <c s="6" r="BF1678">
        <v>0</v>
      </c>
      <c s="6" r="BG1678">
        <v>0</v>
      </c>
      <c s="6" r="BH1678">
        <v>0</v>
      </c>
      <c s="6" r="BI1678">
        <v>0</v>
      </c>
      <c s="6" r="BJ1678">
        <v>0</v>
      </c>
      <c s="6" r="BK1678">
        <v>0</v>
      </c>
      <c s="6" r="BL1678">
        <v>0</v>
      </c>
      <c s="6" r="BM1678">
        <v>0</v>
      </c>
      <c s="6" r="BN1678">
        <v>0</v>
      </c>
      <c s="6" r="BO1678">
        <v>0</v>
      </c>
      <c s="6" r="BP1678">
        <v>0</v>
      </c>
      <c s="6" r="BQ1678">
        <v>0</v>
      </c>
      <c t="s" s="6" r="BR1678">
        <v>92</v>
      </c>
      <c s="6" r="BS1678">
        <v>1707</v>
      </c>
      <c t="s" s="6" r="BT1678">
        <v>92</v>
      </c>
      <c s="6" r="BY1678">
        <v>0</v>
      </c>
    </row>
    <row customHeight="1" r="1679" ht="14.25">
      <c t="s" s="6" r="A1679">
        <v>11678</v>
      </c>
      <c t="s" s="6" r="B1679">
        <v>78</v>
      </c>
      <c t="s" s="6" r="C1679">
        <v>1356</v>
      </c>
      <c t="s" s="6" r="D1679">
        <v>46</v>
      </c>
      <c t="s" s="6" r="E1679">
        <v>8008</v>
      </c>
      <c t="s" s="6" r="F1679">
        <v>81</v>
      </c>
      <c t="s" s="6" r="G1679">
        <v>11679</v>
      </c>
      <c s="6" r="H1679">
        <v>0</v>
      </c>
      <c t="s" s="6" r="I1679">
        <v>107</v>
      </c>
      <c t="s" s="6" r="J1679">
        <v>11680</v>
      </c>
      <c t="s" s="6" r="M1679">
        <v>11681</v>
      </c>
      <c s="6" r="N1679">
        <v>0</v>
      </c>
      <c s="6" r="O1679">
        <v>0</v>
      </c>
      <c t="s" s="6" r="P1679">
        <v>141</v>
      </c>
      <c t="s" s="6" r="Q1679">
        <v>3831</v>
      </c>
      <c t="s" s="6" r="R1679">
        <v>11682</v>
      </c>
      <c t="s" s="6" r="S1679">
        <v>11683</v>
      </c>
      <c t="s" s="6" r="T1679">
        <v>11665</v>
      </c>
      <c t="s" s="6" r="U1679">
        <v>11684</v>
      </c>
      <c s="6" r="V1679">
        <v>1</v>
      </c>
      <c s="6" r="W1679">
        <v>1</v>
      </c>
      <c s="6" r="X1679">
        <v>0</v>
      </c>
      <c s="6" r="Y1679">
        <v>0</v>
      </c>
      <c s="6" r="Z1679">
        <v>1</v>
      </c>
      <c s="6" r="AA1679">
        <v>8</v>
      </c>
      <c s="6" r="AB1679">
        <v>8</v>
      </c>
      <c s="6" r="AC1679">
        <v>8</v>
      </c>
      <c t="s" s="6" r="AD1679">
        <v>92</v>
      </c>
      <c t="s" s="6" r="AE1679">
        <v>92</v>
      </c>
      <c t="s" s="6" r="AF1679">
        <v>92</v>
      </c>
      <c t="s" s="6" r="AG1679">
        <v>92</v>
      </c>
      <c t="s" s="6" r="AH1679">
        <v>92</v>
      </c>
      <c t="s" s="6" r="AI1679">
        <v>92</v>
      </c>
      <c t="s" s="6" r="AJ1679">
        <v>92</v>
      </c>
      <c t="s" s="6" r="AK1679">
        <v>92</v>
      </c>
      <c s="6" r="AL1679">
        <v>8</v>
      </c>
      <c t="s" s="6" r="AM1679">
        <v>92</v>
      </c>
      <c t="s" s="6" r="AN1679">
        <v>92</v>
      </c>
      <c s="6" r="AP1679">
        <v>8</v>
      </c>
      <c s="6" r="AS1679">
        <v>0</v>
      </c>
      <c s="6" r="AT1679">
        <v>0</v>
      </c>
      <c s="6" r="AU1679">
        <v>1</v>
      </c>
      <c s="6" r="AV1679">
        <v>0</v>
      </c>
      <c s="6" r="AW1679">
        <v>0</v>
      </c>
      <c s="6" r="AX1679">
        <v>0</v>
      </c>
      <c s="6" r="AY1679">
        <v>0</v>
      </c>
      <c s="6" r="AZ1679">
        <v>0</v>
      </c>
      <c s="6" r="BA1679">
        <v>0</v>
      </c>
      <c s="6" r="BB1679">
        <v>0</v>
      </c>
      <c s="6" r="BC1679">
        <v>0</v>
      </c>
      <c s="6" r="BD1679">
        <v>0</v>
      </c>
      <c s="6" r="BE1679">
        <v>0</v>
      </c>
      <c s="6" r="BF1679">
        <v>0</v>
      </c>
      <c s="6" r="BG1679">
        <v>0</v>
      </c>
      <c s="6" r="BH1679">
        <v>0</v>
      </c>
      <c s="6" r="BI1679">
        <v>0</v>
      </c>
      <c s="6" r="BJ1679">
        <v>0</v>
      </c>
      <c s="6" r="BK1679">
        <v>0</v>
      </c>
      <c s="6" r="BL1679">
        <v>0</v>
      </c>
      <c s="6" r="BM1679">
        <v>0</v>
      </c>
      <c s="6" r="BN1679">
        <v>0</v>
      </c>
      <c s="6" r="BO1679">
        <v>0</v>
      </c>
      <c s="6" r="BP1679">
        <v>0</v>
      </c>
      <c s="6" r="BQ1679">
        <v>0</v>
      </c>
      <c t="s" s="6" r="BR1679">
        <v>92</v>
      </c>
      <c s="6" r="BS1679">
        <v>1708</v>
      </c>
      <c t="s" s="6" r="BT1679">
        <v>92</v>
      </c>
      <c s="6" r="BY1679">
        <v>0</v>
      </c>
    </row>
    <row customHeight="1" r="1680" ht="14.25">
      <c t="s" s="6" r="A1680">
        <v>11685</v>
      </c>
      <c t="s" s="6" r="B1680">
        <v>78</v>
      </c>
      <c t="s" s="6" r="C1680">
        <v>1042</v>
      </c>
      <c t="s" s="6" r="D1680">
        <v>6975</v>
      </c>
      <c t="s" s="6" r="E1680">
        <v>11686</v>
      </c>
      <c t="s" s="6" r="F1680">
        <v>272</v>
      </c>
      <c t="s" s="6" r="G1680">
        <v>4243</v>
      </c>
      <c s="6" r="H1680">
        <v>0</v>
      </c>
      <c t="s" s="6" r="I1680">
        <v>107</v>
      </c>
      <c t="s" s="6" r="K1680">
        <v>4244</v>
      </c>
      <c t="s" s="6" r="M1680">
        <v>483</v>
      </c>
      <c s="6" r="N1680">
        <v>1</v>
      </c>
      <c s="6" r="O1680">
        <v>0</v>
      </c>
      <c t="s" s="6" r="P1680">
        <v>86</v>
      </c>
      <c t="s" s="6" r="Q1680">
        <v>87</v>
      </c>
      <c t="s" s="6" r="R1680">
        <v>11687</v>
      </c>
      <c t="s" s="6" r="S1680">
        <v>11688</v>
      </c>
      <c t="s" s="6" r="T1680">
        <v>11665</v>
      </c>
      <c t="s" s="6" r="U1680">
        <v>11689</v>
      </c>
      <c s="6" r="V1680">
        <v>1</v>
      </c>
      <c s="6" r="W1680">
        <v>1</v>
      </c>
      <c s="6" r="X1680">
        <v>0</v>
      </c>
      <c s="6" r="Y1680">
        <v>0</v>
      </c>
      <c s="6" r="Z1680">
        <v>1</v>
      </c>
      <c s="6" r="AA1680">
        <v>9</v>
      </c>
      <c s="6" r="AB1680">
        <v>9</v>
      </c>
      <c s="6" r="AC1680">
        <v>9</v>
      </c>
      <c t="s" s="6" r="AD1680">
        <v>92</v>
      </c>
      <c t="s" s="6" r="AE1680">
        <v>92</v>
      </c>
      <c t="s" s="6" r="AF1680">
        <v>92</v>
      </c>
      <c t="s" s="6" r="AG1680">
        <v>92</v>
      </c>
      <c t="s" s="6" r="AH1680">
        <v>92</v>
      </c>
      <c t="s" s="6" r="AI1680">
        <v>92</v>
      </c>
      <c s="6" r="AJ1680">
        <v>9</v>
      </c>
      <c t="s" s="6" r="AK1680">
        <v>92</v>
      </c>
      <c s="6" r="AL1680">
        <v>9</v>
      </c>
      <c t="s" s="6" r="AM1680">
        <v>92</v>
      </c>
      <c t="s" s="6" r="AN1680">
        <v>92</v>
      </c>
      <c s="6" r="AP1680">
        <v>9</v>
      </c>
      <c s="6" r="AS1680">
        <v>0</v>
      </c>
      <c s="6" r="AT1680">
        <v>0</v>
      </c>
      <c s="6" r="AU1680">
        <v>1</v>
      </c>
      <c s="6" r="AV1680">
        <v>0</v>
      </c>
      <c s="6" r="AW1680">
        <v>0</v>
      </c>
      <c s="6" r="AX1680">
        <v>0</v>
      </c>
      <c s="6" r="AY1680">
        <v>0</v>
      </c>
      <c s="6" r="AZ1680">
        <v>0</v>
      </c>
      <c s="6" r="BA1680">
        <v>0</v>
      </c>
      <c s="6" r="BB1680">
        <v>0</v>
      </c>
      <c s="6" r="BC1680">
        <v>0</v>
      </c>
      <c s="6" r="BD1680">
        <v>1</v>
      </c>
      <c s="6" r="BE1680">
        <v>0</v>
      </c>
      <c s="6" r="BF1680">
        <v>0</v>
      </c>
      <c s="6" r="BG1680">
        <v>0</v>
      </c>
      <c s="6" r="BH1680">
        <v>0</v>
      </c>
      <c s="6" r="BI1680">
        <v>0</v>
      </c>
      <c s="6" r="BJ1680">
        <v>0</v>
      </c>
      <c s="6" r="BK1680">
        <v>0</v>
      </c>
      <c s="6" r="BL1680">
        <v>0</v>
      </c>
      <c s="6" r="BM1680">
        <v>0</v>
      </c>
      <c s="6" r="BN1680">
        <v>0</v>
      </c>
      <c s="6" r="BO1680">
        <v>0</v>
      </c>
      <c s="6" r="BP1680">
        <v>0</v>
      </c>
      <c s="6" r="BQ1680">
        <v>0</v>
      </c>
      <c t="s" s="6" r="BR1680">
        <v>92</v>
      </c>
      <c s="6" r="BS1680">
        <v>1709</v>
      </c>
      <c t="s" s="6" r="BT1680">
        <v>92</v>
      </c>
      <c s="6" r="BY1680">
        <v>0</v>
      </c>
    </row>
    <row customHeight="1" r="1681" ht="14.25">
      <c t="s" s="6" r="A1681">
        <v>11690</v>
      </c>
      <c t="s" s="6" r="B1681">
        <v>78</v>
      </c>
      <c t="s" s="6" r="C1681">
        <v>1042</v>
      </c>
      <c t="s" s="6" r="D1681">
        <v>6975</v>
      </c>
      <c t="s" s="6" r="E1681">
        <v>11691</v>
      </c>
      <c t="s" s="6" r="F1681">
        <v>272</v>
      </c>
      <c t="s" s="6" r="G1681">
        <v>4243</v>
      </c>
      <c s="6" r="H1681">
        <v>0</v>
      </c>
      <c t="s" s="6" r="I1681">
        <v>107</v>
      </c>
      <c t="s" s="6" r="K1681">
        <v>4244</v>
      </c>
      <c t="s" s="6" r="M1681">
        <v>483</v>
      </c>
      <c s="6" r="N1681">
        <v>1</v>
      </c>
      <c s="6" r="O1681">
        <v>0</v>
      </c>
      <c t="s" s="6" r="P1681">
        <v>86</v>
      </c>
      <c t="s" s="6" r="Q1681">
        <v>87</v>
      </c>
      <c t="s" s="6" r="R1681">
        <v>11692</v>
      </c>
      <c t="s" s="6" r="S1681">
        <v>11693</v>
      </c>
      <c t="s" s="6" r="T1681">
        <v>11665</v>
      </c>
      <c t="s" s="6" r="U1681">
        <v>11694</v>
      </c>
      <c s="6" r="V1681">
        <v>1</v>
      </c>
      <c s="6" r="W1681">
        <v>1</v>
      </c>
      <c s="6" r="X1681">
        <v>0</v>
      </c>
      <c s="6" r="Y1681">
        <v>0</v>
      </c>
      <c s="6" r="Z1681">
        <v>1</v>
      </c>
      <c s="6" r="AA1681">
        <v>5</v>
      </c>
      <c s="6" r="AB1681">
        <v>5</v>
      </c>
      <c s="6" r="AC1681">
        <v>5</v>
      </c>
      <c t="s" s="6" r="AD1681">
        <v>92</v>
      </c>
      <c t="s" s="6" r="AE1681">
        <v>92</v>
      </c>
      <c t="s" s="6" r="AF1681">
        <v>92</v>
      </c>
      <c t="s" s="6" r="AG1681">
        <v>92</v>
      </c>
      <c t="s" s="6" r="AH1681">
        <v>92</v>
      </c>
      <c s="6" r="AI1681">
        <v>4</v>
      </c>
      <c s="6" r="AJ1681">
        <v>5</v>
      </c>
      <c t="s" s="6" r="AK1681">
        <v>92</v>
      </c>
      <c s="6" r="AL1681">
        <v>5</v>
      </c>
      <c t="s" s="6" r="AM1681">
        <v>92</v>
      </c>
      <c t="s" s="6" r="AN1681">
        <v>92</v>
      </c>
      <c s="6" r="AP1681">
        <v>5</v>
      </c>
      <c s="6" r="AS1681">
        <v>0</v>
      </c>
      <c s="6" r="AT1681">
        <v>0</v>
      </c>
      <c s="6" r="AU1681">
        <v>1</v>
      </c>
      <c s="6" r="AV1681">
        <v>0</v>
      </c>
      <c s="6" r="AW1681">
        <v>0</v>
      </c>
      <c s="6" r="AX1681">
        <v>0</v>
      </c>
      <c s="6" r="AY1681">
        <v>0</v>
      </c>
      <c s="6" r="AZ1681">
        <v>0</v>
      </c>
      <c s="6" r="BA1681">
        <v>0</v>
      </c>
      <c s="6" r="BB1681">
        <v>0</v>
      </c>
      <c s="6" r="BC1681">
        <v>0</v>
      </c>
      <c s="6" r="BD1681">
        <v>1</v>
      </c>
      <c s="6" r="BE1681">
        <v>0</v>
      </c>
      <c s="6" r="BF1681">
        <v>0</v>
      </c>
      <c s="6" r="BG1681">
        <v>0</v>
      </c>
      <c s="6" r="BH1681">
        <v>0</v>
      </c>
      <c s="6" r="BI1681">
        <v>0</v>
      </c>
      <c s="6" r="BJ1681">
        <v>0</v>
      </c>
      <c s="6" r="BK1681">
        <v>0</v>
      </c>
      <c s="6" r="BL1681">
        <v>0</v>
      </c>
      <c s="6" r="BM1681">
        <v>0</v>
      </c>
      <c s="6" r="BN1681">
        <v>0</v>
      </c>
      <c s="6" r="BO1681">
        <v>0</v>
      </c>
      <c s="6" r="BP1681">
        <v>0</v>
      </c>
      <c s="6" r="BQ1681">
        <v>0</v>
      </c>
      <c t="s" s="6" r="BR1681">
        <v>92</v>
      </c>
      <c s="6" r="BS1681">
        <v>1710</v>
      </c>
      <c t="s" s="6" r="BT1681">
        <v>92</v>
      </c>
      <c s="6" r="BY1681">
        <v>0</v>
      </c>
    </row>
    <row customHeight="1" r="1682" ht="14.25">
      <c t="s" s="6" r="A1682">
        <v>11695</v>
      </c>
      <c t="s" s="6" r="B1682">
        <v>78</v>
      </c>
      <c t="s" s="6" r="D1682">
        <v>46</v>
      </c>
      <c t="s" s="6" r="E1682">
        <v>11696</v>
      </c>
      <c t="s" s="6" r="F1682">
        <v>81</v>
      </c>
      <c t="s" s="6" r="G1682">
        <v>106</v>
      </c>
      <c s="6" r="H1682">
        <v>0</v>
      </c>
      <c t="s" s="6" r="I1682">
        <v>107</v>
      </c>
      <c t="s" s="6" r="J1682">
        <v>11697</v>
      </c>
      <c t="s" s="6" r="M1682">
        <v>11698</v>
      </c>
      <c s="6" r="N1682">
        <v>1</v>
      </c>
      <c s="6" r="O1682">
        <v>0</v>
      </c>
      <c t="s" s="6" r="P1682">
        <v>722</v>
      </c>
      <c t="s" s="6" r="Q1682">
        <v>87</v>
      </c>
      <c t="s" s="6" r="R1682">
        <v>11699</v>
      </c>
      <c t="s" s="6" r="S1682">
        <v>11700</v>
      </c>
      <c t="s" s="6" r="T1682">
        <v>11665</v>
      </c>
      <c t="s" s="6" r="U1682">
        <v>11701</v>
      </c>
      <c s="6" r="V1682">
        <v>1</v>
      </c>
      <c s="6" r="W1682">
        <v>1</v>
      </c>
      <c s="6" r="X1682">
        <v>0</v>
      </c>
      <c s="6" r="Y1682">
        <v>0</v>
      </c>
      <c s="6" r="Z1682">
        <v>0</v>
      </c>
      <c t="s" s="6" r="AA1682">
        <v>92</v>
      </c>
      <c t="s" s="6" r="AB1682">
        <v>92</v>
      </c>
      <c s="6" r="AC1682">
        <v>5</v>
      </c>
      <c t="s" s="6" r="AD1682">
        <v>92</v>
      </c>
      <c t="s" s="6" r="AE1682">
        <v>92</v>
      </c>
      <c t="s" s="6" r="AF1682">
        <v>92</v>
      </c>
      <c t="s" s="6" r="AG1682">
        <v>92</v>
      </c>
      <c t="s" s="6" r="AH1682">
        <v>92</v>
      </c>
      <c s="6" r="AI1682">
        <v>5</v>
      </c>
      <c s="6" r="AJ1682">
        <v>5</v>
      </c>
      <c t="s" s="6" r="AK1682">
        <v>92</v>
      </c>
      <c s="6" r="AL1682">
        <v>5</v>
      </c>
      <c t="s" s="6" r="AM1682">
        <v>92</v>
      </c>
      <c t="s" s="6" r="AN1682">
        <v>92</v>
      </c>
      <c s="6" r="AP1682">
        <v>5</v>
      </c>
      <c s="6" r="AS1682">
        <v>0</v>
      </c>
      <c s="6" r="AT1682">
        <v>0</v>
      </c>
      <c s="6" r="AU1682">
        <v>1</v>
      </c>
      <c s="6" r="AV1682">
        <v>0</v>
      </c>
      <c s="6" r="AW1682">
        <v>0</v>
      </c>
      <c s="6" r="AX1682">
        <v>0</v>
      </c>
      <c s="6" r="AY1682">
        <v>0</v>
      </c>
      <c s="6" r="AZ1682">
        <v>0</v>
      </c>
      <c s="6" r="BA1682">
        <v>0</v>
      </c>
      <c s="6" r="BB1682">
        <v>0</v>
      </c>
      <c s="6" r="BC1682">
        <v>0</v>
      </c>
      <c s="6" r="BD1682">
        <v>0</v>
      </c>
      <c s="6" r="BE1682">
        <v>0</v>
      </c>
      <c s="6" r="BF1682">
        <v>0</v>
      </c>
      <c s="6" r="BG1682">
        <v>0</v>
      </c>
      <c s="6" r="BH1682">
        <v>0</v>
      </c>
      <c s="6" r="BI1682">
        <v>0</v>
      </c>
      <c s="6" r="BJ1682">
        <v>0</v>
      </c>
      <c s="6" r="BK1682">
        <v>0</v>
      </c>
      <c s="6" r="BL1682">
        <v>0</v>
      </c>
      <c s="6" r="BM1682">
        <v>0</v>
      </c>
      <c s="6" r="BN1682">
        <v>0</v>
      </c>
      <c s="6" r="BO1682">
        <v>0</v>
      </c>
      <c s="6" r="BP1682">
        <v>0</v>
      </c>
      <c s="6" r="BQ1682">
        <v>0</v>
      </c>
      <c t="s" s="6" r="BR1682">
        <v>92</v>
      </c>
      <c s="6" r="BS1682">
        <v>1711</v>
      </c>
      <c t="s" s="6" r="BT1682">
        <v>92</v>
      </c>
      <c s="6" r="BY1682">
        <v>0</v>
      </c>
    </row>
    <row customHeight="1" r="1683" ht="14.25">
      <c t="s" s="6" r="A1683">
        <v>11702</v>
      </c>
      <c t="s" s="6" r="B1683">
        <v>78</v>
      </c>
      <c t="s" s="6" r="C1683">
        <v>3188</v>
      </c>
      <c t="s" s="6" r="D1683">
        <v>6975</v>
      </c>
      <c t="s" s="6" r="E1683">
        <v>11703</v>
      </c>
      <c t="s" s="6" r="F1683">
        <v>311</v>
      </c>
      <c t="s" s="6" r="G1683">
        <v>11704</v>
      </c>
      <c s="6" r="H1683">
        <v>0</v>
      </c>
      <c t="s" s="6" r="I1683">
        <v>120</v>
      </c>
      <c t="s" s="6" r="L1683">
        <v>11705</v>
      </c>
      <c t="s" s="6" r="M1683">
        <v>109</v>
      </c>
      <c s="6" r="N1683">
        <v>0</v>
      </c>
      <c s="6" r="O1683">
        <v>0</v>
      </c>
      <c t="s" s="6" r="P1683">
        <v>86</v>
      </c>
      <c t="s" s="6" r="Q1683">
        <v>87</v>
      </c>
      <c t="s" s="6" r="R1683">
        <v>11706</v>
      </c>
      <c t="s" s="6" r="S1683">
        <v>11707</v>
      </c>
      <c t="s" s="6" r="T1683">
        <v>11665</v>
      </c>
      <c t="s" s="6" r="U1683">
        <v>11708</v>
      </c>
      <c s="6" r="V1683">
        <v>1</v>
      </c>
      <c s="6" r="W1683">
        <v>1</v>
      </c>
      <c s="6" r="X1683">
        <v>1</v>
      </c>
      <c s="6" r="Y1683">
        <v>0</v>
      </c>
      <c s="6" r="Z1683">
        <v>0</v>
      </c>
      <c t="s" s="6" r="AA1683">
        <v>92</v>
      </c>
      <c t="s" s="6" r="AB1683">
        <v>92</v>
      </c>
      <c s="6" r="AC1683">
        <v>6</v>
      </c>
      <c t="s" s="6" r="AD1683">
        <v>92</v>
      </c>
      <c t="s" s="6" r="AE1683">
        <v>92</v>
      </c>
      <c t="s" s="6" r="AF1683">
        <v>92</v>
      </c>
      <c t="s" s="6" r="AG1683">
        <v>92</v>
      </c>
      <c t="s" s="6" r="AH1683">
        <v>92</v>
      </c>
      <c s="6" r="AI1683">
        <v>6</v>
      </c>
      <c t="s" s="6" r="AJ1683">
        <v>92</v>
      </c>
      <c t="s" s="6" r="AK1683">
        <v>92</v>
      </c>
      <c s="6" r="AL1683">
        <v>6</v>
      </c>
      <c t="s" s="6" r="AM1683">
        <v>92</v>
      </c>
      <c t="s" s="6" r="AN1683">
        <v>92</v>
      </c>
      <c s="6" r="AP1683">
        <v>6</v>
      </c>
      <c s="6" r="AS1683">
        <v>0</v>
      </c>
      <c s="6" r="AT1683">
        <v>0</v>
      </c>
      <c s="6" r="AU1683">
        <v>1</v>
      </c>
      <c s="6" r="AV1683">
        <v>0</v>
      </c>
      <c s="6" r="AW1683">
        <v>0</v>
      </c>
      <c s="6" r="AX1683">
        <v>0</v>
      </c>
      <c s="6" r="AY1683">
        <v>0</v>
      </c>
      <c s="6" r="AZ1683">
        <v>0</v>
      </c>
      <c s="6" r="BA1683">
        <v>0</v>
      </c>
      <c s="6" r="BB1683">
        <v>0</v>
      </c>
      <c s="6" r="BC1683">
        <v>0</v>
      </c>
      <c s="6" r="BD1683">
        <v>1</v>
      </c>
      <c s="6" r="BE1683">
        <v>0</v>
      </c>
      <c s="6" r="BF1683">
        <v>0</v>
      </c>
      <c s="6" r="BG1683">
        <v>0</v>
      </c>
      <c s="6" r="BH1683">
        <v>0</v>
      </c>
      <c s="6" r="BI1683">
        <v>0</v>
      </c>
      <c s="6" r="BJ1683">
        <v>0</v>
      </c>
      <c s="6" r="BK1683">
        <v>0</v>
      </c>
      <c s="6" r="BL1683">
        <v>0</v>
      </c>
      <c s="6" r="BM1683">
        <v>0</v>
      </c>
      <c s="6" r="BN1683">
        <v>0</v>
      </c>
      <c s="6" r="BO1683">
        <v>0</v>
      </c>
      <c s="6" r="BP1683">
        <v>0</v>
      </c>
      <c s="6" r="BQ1683">
        <v>0</v>
      </c>
      <c t="s" s="6" r="BR1683">
        <v>92</v>
      </c>
      <c s="6" r="BS1683">
        <v>1712</v>
      </c>
      <c t="s" s="6" r="BT1683">
        <v>92</v>
      </c>
      <c s="6" r="BY1683">
        <v>0</v>
      </c>
    </row>
    <row customHeight="1" r="1684" ht="14.25">
      <c t="s" s="6" r="A1684">
        <v>11709</v>
      </c>
      <c t="s" s="6" r="B1684">
        <v>131</v>
      </c>
      <c t="s" s="6" r="E1684">
        <v>11710</v>
      </c>
      <c t="s" s="6" r="F1684">
        <v>81</v>
      </c>
      <c t="s" s="6" r="G1684">
        <v>106</v>
      </c>
      <c s="6" r="H1684">
        <v>0</v>
      </c>
      <c t="s" s="6" r="I1684">
        <v>155</v>
      </c>
      <c t="s" s="6" r="L1684">
        <v>156</v>
      </c>
      <c t="s" s="6" r="M1684">
        <v>483</v>
      </c>
      <c s="6" r="N1684">
        <v>1</v>
      </c>
      <c s="6" r="O1684">
        <v>0</v>
      </c>
      <c t="s" s="6" r="R1684">
        <v>11711</v>
      </c>
      <c t="s" s="6" r="S1684">
        <v>11712</v>
      </c>
      <c t="s" s="6" r="T1684">
        <v>11713</v>
      </c>
      <c t="s" s="6" r="U1684">
        <v>11714</v>
      </c>
      <c s="6" r="V1684">
        <v>1</v>
      </c>
      <c s="6" r="W1684">
        <v>1</v>
      </c>
      <c s="6" r="X1684">
        <v>0</v>
      </c>
      <c s="6" r="Y1684">
        <v>0</v>
      </c>
      <c s="6" r="Z1684">
        <v>0</v>
      </c>
      <c s="6" r="AA1684">
        <v>6</v>
      </c>
      <c s="6" r="AB1684">
        <v>6</v>
      </c>
      <c t="s" s="6" r="AC1684">
        <v>92</v>
      </c>
      <c t="s" s="6" r="AD1684">
        <v>92</v>
      </c>
      <c t="s" s="6" r="AE1684">
        <v>92</v>
      </c>
      <c s="6" r="AF1684">
        <v>6</v>
      </c>
      <c t="s" s="6" r="AG1684">
        <v>92</v>
      </c>
      <c s="6" r="AH1684">
        <v>6</v>
      </c>
      <c t="s" s="6" r="AI1684">
        <v>92</v>
      </c>
      <c t="s" s="6" r="AJ1684">
        <v>92</v>
      </c>
      <c t="s" s="6" r="AK1684">
        <v>92</v>
      </c>
      <c t="s" s="6" r="AL1684">
        <v>92</v>
      </c>
      <c t="s" s="6" r="AM1684">
        <v>92</v>
      </c>
      <c s="6" r="AN1684">
        <v>6</v>
      </c>
      <c s="6" r="AP1684">
        <v>6</v>
      </c>
      <c s="6" r="AS1684">
        <v>0</v>
      </c>
      <c s="6" r="AT1684">
        <v>0</v>
      </c>
      <c s="6" r="AU1684">
        <v>0</v>
      </c>
      <c s="6" r="AV1684">
        <v>0</v>
      </c>
      <c s="6" r="AW1684">
        <v>0</v>
      </c>
      <c s="6" r="AX1684">
        <v>0</v>
      </c>
      <c s="6" r="AY1684">
        <v>0</v>
      </c>
      <c s="6" r="AZ1684">
        <v>0</v>
      </c>
      <c s="6" r="BA1684">
        <v>0</v>
      </c>
      <c s="6" r="BB1684">
        <v>0</v>
      </c>
      <c s="6" r="BC1684">
        <v>0</v>
      </c>
      <c s="6" r="BD1684">
        <v>0</v>
      </c>
      <c s="6" r="BE1684">
        <v>0</v>
      </c>
      <c s="6" r="BF1684">
        <v>0</v>
      </c>
      <c s="6" r="BG1684">
        <v>0</v>
      </c>
      <c s="6" r="BH1684">
        <v>0</v>
      </c>
      <c s="6" r="BI1684">
        <v>0</v>
      </c>
      <c s="6" r="BJ1684">
        <v>0</v>
      </c>
      <c s="6" r="BK1684">
        <v>0</v>
      </c>
      <c s="6" r="BL1684">
        <v>0</v>
      </c>
      <c s="6" r="BM1684">
        <v>0</v>
      </c>
      <c s="6" r="BN1684">
        <v>0</v>
      </c>
      <c s="6" r="BO1684">
        <v>0</v>
      </c>
      <c s="6" r="BP1684">
        <v>0</v>
      </c>
      <c s="6" r="BQ1684">
        <v>0</v>
      </c>
      <c t="s" s="6" r="BR1684">
        <v>92</v>
      </c>
      <c s="6" r="BS1684">
        <v>1713</v>
      </c>
      <c t="s" s="6" r="BT1684">
        <v>92</v>
      </c>
      <c t="s" s="6" r="BW1684">
        <v>11715</v>
      </c>
      <c s="6" r="BY1684">
        <v>1</v>
      </c>
    </row>
    <row customHeight="1" r="1685" ht="14.25">
      <c t="s" s="6" r="A1685">
        <v>11716</v>
      </c>
      <c t="s" s="6" r="B1685">
        <v>78</v>
      </c>
      <c t="s" s="6" r="C1685">
        <v>1042</v>
      </c>
      <c t="s" s="6" r="D1685">
        <v>141</v>
      </c>
      <c t="s" s="6" r="E1685">
        <v>6375</v>
      </c>
      <c t="s" s="6" r="F1685">
        <v>272</v>
      </c>
      <c t="s" s="6" r="G1685">
        <v>106</v>
      </c>
      <c s="6" r="H1685">
        <v>0</v>
      </c>
      <c t="s" s="6" r="I1685">
        <v>11717</v>
      </c>
      <c t="s" s="6" r="K1685">
        <v>11718</v>
      </c>
      <c t="s" s="6" r="M1685">
        <v>11719</v>
      </c>
      <c s="6" r="N1685">
        <v>1</v>
      </c>
      <c s="6" r="O1685">
        <v>0</v>
      </c>
      <c t="s" s="6" r="P1685">
        <v>86</v>
      </c>
      <c t="s" s="6" r="Q1685">
        <v>87</v>
      </c>
      <c t="s" s="6" r="R1685">
        <v>11720</v>
      </c>
      <c t="s" s="6" r="S1685">
        <v>11721</v>
      </c>
      <c t="s" s="6" r="T1685">
        <v>11713</v>
      </c>
      <c t="s" s="6" r="U1685">
        <v>11722</v>
      </c>
      <c s="6" r="V1685">
        <v>1</v>
      </c>
      <c s="6" r="W1685">
        <v>1</v>
      </c>
      <c s="6" r="X1685">
        <v>0</v>
      </c>
      <c s="6" r="Y1685">
        <v>0</v>
      </c>
      <c s="6" r="Z1685">
        <v>0</v>
      </c>
      <c s="6" r="AA1685">
        <v>7</v>
      </c>
      <c s="6" r="AB1685">
        <v>7</v>
      </c>
      <c t="s" s="6" r="AC1685">
        <v>92</v>
      </c>
      <c s="6" r="AD1685">
        <v>7</v>
      </c>
      <c t="s" s="6" r="AE1685">
        <v>92</v>
      </c>
      <c t="s" s="6" r="AF1685">
        <v>92</v>
      </c>
      <c t="s" s="6" r="AG1685">
        <v>92</v>
      </c>
      <c t="s" s="6" r="AH1685">
        <v>92</v>
      </c>
      <c t="s" s="6" r="AI1685">
        <v>92</v>
      </c>
      <c t="s" s="6" r="AJ1685">
        <v>92</v>
      </c>
      <c t="s" s="6" r="AK1685">
        <v>92</v>
      </c>
      <c t="s" s="6" r="AL1685">
        <v>92</v>
      </c>
      <c t="s" s="6" r="AM1685">
        <v>92</v>
      </c>
      <c t="s" s="6" r="AN1685">
        <v>92</v>
      </c>
      <c s="6" r="AP1685">
        <v>7</v>
      </c>
      <c s="6" r="AS1685">
        <v>0</v>
      </c>
      <c s="6" r="AT1685">
        <v>0</v>
      </c>
      <c s="6" r="AU1685">
        <v>0</v>
      </c>
      <c s="6" r="AV1685">
        <v>0</v>
      </c>
      <c s="6" r="AW1685">
        <v>0</v>
      </c>
      <c s="6" r="AX1685">
        <v>0</v>
      </c>
      <c s="6" r="AY1685">
        <v>0</v>
      </c>
      <c s="6" r="AZ1685">
        <v>0</v>
      </c>
      <c s="6" r="BA1685">
        <v>0</v>
      </c>
      <c s="6" r="BB1685">
        <v>0</v>
      </c>
      <c s="6" r="BC1685">
        <v>0</v>
      </c>
      <c s="6" r="BD1685">
        <v>0</v>
      </c>
      <c s="6" r="BE1685">
        <v>0</v>
      </c>
      <c s="6" r="BF1685">
        <v>0</v>
      </c>
      <c s="6" r="BG1685">
        <v>0</v>
      </c>
      <c s="6" r="BH1685">
        <v>0</v>
      </c>
      <c s="6" r="BI1685">
        <v>0</v>
      </c>
      <c s="6" r="BJ1685">
        <v>0</v>
      </c>
      <c s="6" r="BK1685">
        <v>0</v>
      </c>
      <c s="6" r="BL1685">
        <v>0</v>
      </c>
      <c s="6" r="BM1685">
        <v>0</v>
      </c>
      <c s="6" r="BN1685">
        <v>0</v>
      </c>
      <c s="6" r="BO1685">
        <v>0</v>
      </c>
      <c s="6" r="BP1685">
        <v>0</v>
      </c>
      <c s="6" r="BQ1685">
        <v>0</v>
      </c>
      <c t="s" s="6" r="BR1685">
        <v>92</v>
      </c>
      <c s="6" r="BS1685">
        <v>1714</v>
      </c>
      <c t="s" s="6" r="BT1685">
        <v>92</v>
      </c>
      <c t="s" s="6" r="BW1685">
        <v>11723</v>
      </c>
      <c t="s" s="6" r="BX1685">
        <v>11724</v>
      </c>
      <c s="6" r="BY1685">
        <v>1</v>
      </c>
    </row>
    <row customHeight="1" r="1686" ht="14.25">
      <c t="s" s="6" r="A1686">
        <v>11725</v>
      </c>
      <c t="s" s="6" r="B1686">
        <v>131</v>
      </c>
      <c t="s" s="6" r="E1686">
        <v>2102</v>
      </c>
      <c t="s" s="6" r="F1686">
        <v>81</v>
      </c>
      <c t="s" s="6" r="G1686">
        <v>11726</v>
      </c>
      <c s="6" r="H1686">
        <v>0</v>
      </c>
      <c t="s" s="6" r="I1686">
        <v>120</v>
      </c>
      <c t="s" s="6" r="L1686">
        <v>1137</v>
      </c>
      <c t="s" s="6" r="M1686">
        <v>711</v>
      </c>
      <c s="6" r="N1686">
        <v>1</v>
      </c>
      <c s="6" r="O1686">
        <v>0</v>
      </c>
      <c t="s" s="6" r="P1686">
        <v>144</v>
      </c>
      <c t="s" s="6" r="Q1686">
        <v>145</v>
      </c>
      <c t="s" s="6" r="R1686">
        <v>11727</v>
      </c>
      <c t="s" s="6" r="S1686">
        <v>11728</v>
      </c>
      <c t="s" s="6" r="T1686">
        <v>11713</v>
      </c>
      <c t="s" s="6" r="U1686">
        <v>11729</v>
      </c>
      <c s="6" r="V1686">
        <v>1</v>
      </c>
      <c s="6" r="W1686">
        <v>0</v>
      </c>
      <c s="6" r="X1686">
        <v>1</v>
      </c>
      <c s="6" r="Y1686">
        <v>0</v>
      </c>
      <c s="6" r="Z1686">
        <v>0</v>
      </c>
      <c s="6" r="AA1686">
        <v>4</v>
      </c>
      <c s="6" r="AB1686">
        <v>4</v>
      </c>
      <c t="s" s="6" r="AC1686">
        <v>92</v>
      </c>
      <c t="s" s="6" r="AD1686">
        <v>92</v>
      </c>
      <c t="s" s="6" r="AE1686">
        <v>92</v>
      </c>
      <c t="s" s="6" r="AF1686">
        <v>92</v>
      </c>
      <c t="s" s="6" r="AG1686">
        <v>92</v>
      </c>
      <c t="s" s="6" r="AH1686">
        <v>92</v>
      </c>
      <c t="s" s="6" r="AI1686">
        <v>92</v>
      </c>
      <c t="s" s="6" r="AJ1686">
        <v>92</v>
      </c>
      <c t="s" s="6" r="AK1686">
        <v>92</v>
      </c>
      <c t="s" s="6" r="AL1686">
        <v>92</v>
      </c>
      <c t="s" s="6" r="AM1686">
        <v>92</v>
      </c>
      <c t="s" s="6" r="AN1686">
        <v>92</v>
      </c>
      <c s="6" r="AP1686">
        <v>4</v>
      </c>
      <c s="6" r="AS1686">
        <v>0</v>
      </c>
      <c s="6" r="AT1686">
        <v>0</v>
      </c>
      <c s="6" r="AU1686">
        <v>0</v>
      </c>
      <c s="6" r="AV1686">
        <v>0</v>
      </c>
      <c s="6" r="AW1686">
        <v>0</v>
      </c>
      <c s="6" r="AX1686">
        <v>0</v>
      </c>
      <c s="6" r="AY1686">
        <v>0</v>
      </c>
      <c s="6" r="AZ1686">
        <v>0</v>
      </c>
      <c s="6" r="BA1686">
        <v>0</v>
      </c>
      <c s="6" r="BB1686">
        <v>0</v>
      </c>
      <c s="6" r="BC1686">
        <v>0</v>
      </c>
      <c s="6" r="BD1686">
        <v>0</v>
      </c>
      <c s="6" r="BE1686">
        <v>0</v>
      </c>
      <c s="6" r="BF1686">
        <v>0</v>
      </c>
      <c s="6" r="BG1686">
        <v>0</v>
      </c>
      <c s="6" r="BH1686">
        <v>0</v>
      </c>
      <c s="6" r="BI1686">
        <v>0</v>
      </c>
      <c s="6" r="BJ1686">
        <v>0</v>
      </c>
      <c s="6" r="BK1686">
        <v>0</v>
      </c>
      <c s="6" r="BL1686">
        <v>0</v>
      </c>
      <c s="6" r="BM1686">
        <v>0</v>
      </c>
      <c s="6" r="BN1686">
        <v>0</v>
      </c>
      <c s="6" r="BO1686">
        <v>0</v>
      </c>
      <c s="6" r="BP1686">
        <v>0</v>
      </c>
      <c s="6" r="BQ1686">
        <v>0</v>
      </c>
      <c t="s" s="6" r="BR1686">
        <v>92</v>
      </c>
      <c s="6" r="BS1686">
        <v>1715</v>
      </c>
      <c t="s" s="6" r="BT1686">
        <v>92</v>
      </c>
      <c t="s" s="6" r="BW1686">
        <v>11730</v>
      </c>
      <c s="6" r="BY1686">
        <v>1</v>
      </c>
    </row>
    <row customHeight="1" r="1687" ht="14.25">
      <c t="s" s="6" r="A1687">
        <v>11731</v>
      </c>
      <c t="s" s="6" r="B1687">
        <v>227</v>
      </c>
      <c t="s" s="6" r="D1687">
        <v>50</v>
      </c>
      <c t="s" s="6" r="E1687">
        <v>11732</v>
      </c>
      <c t="s" s="6" r="F1687">
        <v>81</v>
      </c>
      <c t="s" s="6" r="G1687">
        <v>106</v>
      </c>
      <c s="6" r="H1687">
        <v>0</v>
      </c>
      <c t="s" s="6" r="I1687">
        <v>107</v>
      </c>
      <c t="s" s="6" r="L1687">
        <v>11733</v>
      </c>
      <c t="s" s="6" r="M1687">
        <v>109</v>
      </c>
      <c s="6" r="N1687">
        <v>0</v>
      </c>
      <c s="6" r="O1687">
        <v>0</v>
      </c>
      <c t="s" s="6" r="P1687">
        <v>2384</v>
      </c>
      <c t="s" s="6" r="Q1687">
        <v>188</v>
      </c>
      <c t="s" s="6" r="R1687">
        <v>11734</v>
      </c>
      <c t="s" s="6" r="S1687">
        <v>11735</v>
      </c>
      <c t="s" s="6" r="T1687">
        <v>11713</v>
      </c>
      <c t="s" s="6" r="U1687">
        <v>11736</v>
      </c>
      <c s="6" r="V1687">
        <v>1</v>
      </c>
      <c s="6" r="W1687">
        <v>1</v>
      </c>
      <c s="6" r="X1687">
        <v>0</v>
      </c>
      <c s="6" r="Y1687">
        <v>0</v>
      </c>
      <c s="6" r="Z1687">
        <v>0</v>
      </c>
      <c s="6" r="AA1687">
        <v>8</v>
      </c>
      <c s="6" r="AB1687">
        <v>8</v>
      </c>
      <c s="6" r="AC1687">
        <v>8</v>
      </c>
      <c t="s" s="6" r="AD1687">
        <v>92</v>
      </c>
      <c t="s" s="6" r="AE1687">
        <v>92</v>
      </c>
      <c t="s" s="6" r="AF1687">
        <v>92</v>
      </c>
      <c t="s" s="6" r="AG1687">
        <v>92</v>
      </c>
      <c t="s" s="6" r="AH1687">
        <v>92</v>
      </c>
      <c t="s" s="6" r="AI1687">
        <v>92</v>
      </c>
      <c s="6" r="AJ1687">
        <v>8</v>
      </c>
      <c t="s" s="6" r="AK1687">
        <v>92</v>
      </c>
      <c s="6" r="AL1687">
        <v>8</v>
      </c>
      <c t="s" s="6" r="AM1687">
        <v>92</v>
      </c>
      <c t="s" s="6" r="AN1687">
        <v>92</v>
      </c>
      <c s="6" r="AP1687">
        <v>8</v>
      </c>
      <c s="6" r="AS1687">
        <v>0</v>
      </c>
      <c s="6" r="AT1687">
        <v>0</v>
      </c>
      <c s="6" r="AU1687">
        <v>0</v>
      </c>
      <c s="6" r="AV1687">
        <v>0</v>
      </c>
      <c s="6" r="AW1687">
        <v>0</v>
      </c>
      <c s="6" r="AX1687">
        <v>1</v>
      </c>
      <c s="6" r="AY1687">
        <v>0</v>
      </c>
      <c s="6" r="AZ1687">
        <v>0</v>
      </c>
      <c s="6" r="BA1687">
        <v>0</v>
      </c>
      <c s="6" r="BB1687">
        <v>0</v>
      </c>
      <c s="6" r="BC1687">
        <v>0</v>
      </c>
      <c s="6" r="BD1687">
        <v>0</v>
      </c>
      <c s="6" r="BE1687">
        <v>0</v>
      </c>
      <c s="6" r="BF1687">
        <v>0</v>
      </c>
      <c s="6" r="BG1687">
        <v>0</v>
      </c>
      <c s="6" r="BH1687">
        <v>0</v>
      </c>
      <c s="6" r="BI1687">
        <v>0</v>
      </c>
      <c s="6" r="BJ1687">
        <v>0</v>
      </c>
      <c s="6" r="BK1687">
        <v>0</v>
      </c>
      <c s="6" r="BL1687">
        <v>0</v>
      </c>
      <c s="6" r="BM1687">
        <v>0</v>
      </c>
      <c s="6" r="BN1687">
        <v>0</v>
      </c>
      <c s="6" r="BO1687">
        <v>0</v>
      </c>
      <c s="6" r="BP1687">
        <v>0</v>
      </c>
      <c s="6" r="BQ1687">
        <v>0</v>
      </c>
      <c t="s" s="6" r="BR1687">
        <v>92</v>
      </c>
      <c s="6" r="BS1687">
        <v>1716</v>
      </c>
      <c t="s" s="6" r="BT1687">
        <v>92</v>
      </c>
      <c t="s" s="6" r="BW1687">
        <v>11737</v>
      </c>
      <c t="s" s="6" r="BX1687">
        <v>11738</v>
      </c>
      <c s="6" r="BY1687">
        <v>1</v>
      </c>
    </row>
    <row customHeight="1" r="1688" ht="14.25">
      <c t="s" s="6" r="A1688">
        <v>11739</v>
      </c>
      <c t="s" s="6" r="B1688">
        <v>78</v>
      </c>
      <c t="s" s="6" r="C1688">
        <v>598</v>
      </c>
      <c t="s" s="6" r="E1688">
        <v>11740</v>
      </c>
      <c t="s" s="6" r="F1688">
        <v>81</v>
      </c>
      <c t="s" s="6" r="G1688">
        <v>106</v>
      </c>
      <c s="6" r="H1688">
        <v>0</v>
      </c>
      <c t="s" s="6" r="I1688">
        <v>107</v>
      </c>
      <c t="s" s="6" r="L1688">
        <v>620</v>
      </c>
      <c t="s" s="6" r="M1688">
        <v>99</v>
      </c>
      <c s="6" r="N1688">
        <v>0</v>
      </c>
      <c s="6" r="O1688">
        <v>0</v>
      </c>
      <c t="s" s="6" r="P1688">
        <v>421</v>
      </c>
      <c t="s" s="6" r="Q1688">
        <v>188</v>
      </c>
      <c t="s" s="6" r="R1688">
        <v>11741</v>
      </c>
      <c t="s" s="6" r="S1688">
        <v>11742</v>
      </c>
      <c t="s" s="6" r="T1688">
        <v>11713</v>
      </c>
      <c t="s" s="6" r="U1688">
        <v>11743</v>
      </c>
      <c s="6" r="V1688">
        <v>1</v>
      </c>
      <c s="6" r="W1688">
        <v>1</v>
      </c>
      <c s="6" r="X1688">
        <v>0</v>
      </c>
      <c s="6" r="Y1688">
        <v>0</v>
      </c>
      <c s="6" r="Z1688">
        <v>0</v>
      </c>
      <c t="s" s="6" r="AA1688">
        <v>92</v>
      </c>
      <c t="s" s="6" r="AB1688">
        <v>92</v>
      </c>
      <c s="6" r="AC1688">
        <v>6</v>
      </c>
      <c t="s" s="6" r="AD1688">
        <v>92</v>
      </c>
      <c t="s" s="6" r="AE1688">
        <v>92</v>
      </c>
      <c s="6" r="AF1688">
        <v>5</v>
      </c>
      <c t="s" s="6" r="AG1688">
        <v>92</v>
      </c>
      <c t="s" s="6" r="AH1688">
        <v>92</v>
      </c>
      <c t="s" s="6" r="AI1688">
        <v>92</v>
      </c>
      <c t="s" s="6" r="AJ1688">
        <v>92</v>
      </c>
      <c t="s" s="6" r="AK1688">
        <v>92</v>
      </c>
      <c s="6" r="AL1688">
        <v>6</v>
      </c>
      <c t="s" s="6" r="AM1688">
        <v>92</v>
      </c>
      <c t="s" s="6" r="AN1688">
        <v>92</v>
      </c>
      <c s="6" r="AP1688">
        <v>6</v>
      </c>
      <c s="6" r="AS1688">
        <v>0</v>
      </c>
      <c s="6" r="AT1688">
        <v>0</v>
      </c>
      <c s="6" r="AU1688">
        <v>0</v>
      </c>
      <c s="6" r="AV1688">
        <v>0</v>
      </c>
      <c s="6" r="AW1688">
        <v>0</v>
      </c>
      <c s="6" r="AX1688">
        <v>0</v>
      </c>
      <c s="6" r="AY1688">
        <v>0</v>
      </c>
      <c s="6" r="AZ1688">
        <v>0</v>
      </c>
      <c s="6" r="BA1688">
        <v>0</v>
      </c>
      <c s="6" r="BB1688">
        <v>0</v>
      </c>
      <c s="6" r="BC1688">
        <v>0</v>
      </c>
      <c s="6" r="BD1688">
        <v>0</v>
      </c>
      <c s="6" r="BE1688">
        <v>0</v>
      </c>
      <c s="6" r="BF1688">
        <v>0</v>
      </c>
      <c s="6" r="BG1688">
        <v>0</v>
      </c>
      <c s="6" r="BH1688">
        <v>0</v>
      </c>
      <c s="6" r="BI1688">
        <v>0</v>
      </c>
      <c s="6" r="BJ1688">
        <v>0</v>
      </c>
      <c s="6" r="BK1688">
        <v>0</v>
      </c>
      <c s="6" r="BL1688">
        <v>0</v>
      </c>
      <c s="6" r="BM1688">
        <v>0</v>
      </c>
      <c s="6" r="BN1688">
        <v>0</v>
      </c>
      <c s="6" r="BO1688">
        <v>0</v>
      </c>
      <c s="6" r="BP1688">
        <v>0</v>
      </c>
      <c s="6" r="BQ1688">
        <v>0</v>
      </c>
      <c t="s" s="6" r="BR1688">
        <v>92</v>
      </c>
      <c s="6" r="BS1688">
        <v>1717</v>
      </c>
      <c t="s" s="6" r="BT1688">
        <v>92</v>
      </c>
      <c s="6" r="BY1688">
        <v>1</v>
      </c>
    </row>
    <row customHeight="1" r="1689" ht="14.25">
      <c t="s" s="6" r="A1689">
        <v>11744</v>
      </c>
      <c t="s" s="6" r="B1689">
        <v>227</v>
      </c>
      <c t="s" s="6" r="D1689">
        <v>48</v>
      </c>
      <c t="s" s="6" r="E1689">
        <v>11745</v>
      </c>
      <c t="s" s="6" r="F1689">
        <v>272</v>
      </c>
      <c t="s" s="6" r="G1689">
        <v>106</v>
      </c>
      <c s="6" r="H1689">
        <v>0</v>
      </c>
      <c t="s" s="6" r="I1689">
        <v>107</v>
      </c>
      <c t="s" s="6" r="L1689">
        <v>1235</v>
      </c>
      <c t="s" s="6" r="M1689">
        <v>200</v>
      </c>
      <c s="6" r="N1689">
        <v>0</v>
      </c>
      <c s="6" r="O1689">
        <v>0</v>
      </c>
      <c t="s" s="6" r="P1689">
        <v>221</v>
      </c>
      <c t="s" s="6" r="Q1689">
        <v>188</v>
      </c>
      <c t="s" s="6" r="R1689">
        <v>11746</v>
      </c>
      <c t="s" s="6" r="S1689">
        <v>11747</v>
      </c>
      <c t="s" s="6" r="T1689">
        <v>11748</v>
      </c>
      <c t="s" s="6" r="U1689">
        <v>11749</v>
      </c>
      <c s="6" r="V1689">
        <v>1</v>
      </c>
      <c s="6" r="W1689">
        <v>1</v>
      </c>
      <c s="6" r="X1689">
        <v>0</v>
      </c>
      <c s="6" r="Y1689">
        <v>0</v>
      </c>
      <c s="6" r="Z1689">
        <v>0</v>
      </c>
      <c s="6" r="AA1689">
        <v>3</v>
      </c>
      <c s="6" r="AB1689">
        <v>3</v>
      </c>
      <c t="s" s="6" r="AC1689">
        <v>92</v>
      </c>
      <c t="s" s="6" r="AD1689">
        <v>92</v>
      </c>
      <c t="s" s="6" r="AE1689">
        <v>92</v>
      </c>
      <c t="s" s="6" r="AF1689">
        <v>92</v>
      </c>
      <c t="s" s="6" r="AG1689">
        <v>92</v>
      </c>
      <c t="s" s="6" r="AH1689">
        <v>92</v>
      </c>
      <c t="s" s="6" r="AI1689">
        <v>92</v>
      </c>
      <c s="6" r="AJ1689">
        <v>3</v>
      </c>
      <c t="s" s="6" r="AK1689">
        <v>92</v>
      </c>
      <c t="s" s="6" r="AL1689">
        <v>92</v>
      </c>
      <c s="6" r="AM1689">
        <v>3</v>
      </c>
      <c t="s" s="6" r="AN1689">
        <v>92</v>
      </c>
      <c s="6" r="AP1689">
        <v>3</v>
      </c>
      <c s="6" r="AS1689">
        <v>0</v>
      </c>
      <c s="6" r="AT1689">
        <v>0</v>
      </c>
      <c s="6" r="AU1689">
        <v>0</v>
      </c>
      <c s="6" r="AV1689">
        <v>0</v>
      </c>
      <c s="6" r="AW1689">
        <v>1</v>
      </c>
      <c s="6" r="AX1689">
        <v>0</v>
      </c>
      <c s="6" r="AY1689">
        <v>0</v>
      </c>
      <c s="6" r="AZ1689">
        <v>0</v>
      </c>
      <c s="6" r="BA1689">
        <v>0</v>
      </c>
      <c s="6" r="BB1689">
        <v>0</v>
      </c>
      <c s="6" r="BC1689">
        <v>0</v>
      </c>
      <c s="6" r="BD1689">
        <v>0</v>
      </c>
      <c s="6" r="BE1689">
        <v>0</v>
      </c>
      <c s="6" r="BF1689">
        <v>0</v>
      </c>
      <c s="6" r="BG1689">
        <v>0</v>
      </c>
      <c s="6" r="BH1689">
        <v>0</v>
      </c>
      <c s="6" r="BI1689">
        <v>0</v>
      </c>
      <c s="6" r="BJ1689">
        <v>0</v>
      </c>
      <c s="6" r="BK1689">
        <v>0</v>
      </c>
      <c s="6" r="BL1689">
        <v>0</v>
      </c>
      <c s="6" r="BM1689">
        <v>0</v>
      </c>
      <c s="6" r="BN1689">
        <v>0</v>
      </c>
      <c s="6" r="BO1689">
        <v>0</v>
      </c>
      <c s="6" r="BP1689">
        <v>0</v>
      </c>
      <c s="6" r="BQ1689">
        <v>0</v>
      </c>
      <c t="s" s="6" r="BR1689">
        <v>92</v>
      </c>
      <c s="6" r="BS1689">
        <v>1718</v>
      </c>
      <c t="s" s="6" r="BT1689">
        <v>92</v>
      </c>
      <c s="6" r="BY1689">
        <v>0</v>
      </c>
    </row>
    <row customHeight="1" r="1690" ht="14.25">
      <c t="s" s="6" r="A1690">
        <v>11750</v>
      </c>
      <c t="s" s="6" r="B1690">
        <v>227</v>
      </c>
      <c t="s" s="6" r="E1690">
        <v>6688</v>
      </c>
      <c t="s" s="6" r="F1690">
        <v>81</v>
      </c>
      <c t="s" s="6" r="G1690">
        <v>106</v>
      </c>
      <c s="6" r="H1690">
        <v>0</v>
      </c>
      <c t="s" s="6" r="I1690">
        <v>120</v>
      </c>
      <c t="s" s="6" r="L1690">
        <v>11751</v>
      </c>
      <c t="s" s="6" r="M1690">
        <v>2806</v>
      </c>
      <c s="6" r="N1690">
        <v>0</v>
      </c>
      <c s="6" r="O1690">
        <v>0</v>
      </c>
      <c t="s" s="6" r="P1690">
        <v>474</v>
      </c>
      <c t="s" s="6" r="Q1690">
        <v>188</v>
      </c>
      <c t="s" s="6" r="R1690">
        <v>11752</v>
      </c>
      <c t="s" s="6" r="S1690">
        <v>11753</v>
      </c>
      <c t="s" s="6" r="T1690">
        <v>11748</v>
      </c>
      <c t="s" s="6" r="U1690">
        <v>11754</v>
      </c>
      <c s="6" r="V1690">
        <v>1</v>
      </c>
      <c s="6" r="W1690">
        <v>1</v>
      </c>
      <c s="6" r="X1690">
        <v>0</v>
      </c>
      <c s="6" r="Y1690">
        <v>0</v>
      </c>
      <c s="6" r="Z1690">
        <v>0</v>
      </c>
      <c t="s" s="6" r="AA1690">
        <v>92</v>
      </c>
      <c t="s" s="6" r="AB1690">
        <v>92</v>
      </c>
      <c t="s" s="6" r="AC1690">
        <v>92</v>
      </c>
      <c s="6" r="AD1690">
        <v>6</v>
      </c>
      <c t="s" s="6" r="AE1690">
        <v>92</v>
      </c>
      <c t="s" s="6" r="AF1690">
        <v>92</v>
      </c>
      <c t="s" s="6" r="AG1690">
        <v>92</v>
      </c>
      <c t="s" s="6" r="AH1690">
        <v>92</v>
      </c>
      <c t="s" s="6" r="AI1690">
        <v>92</v>
      </c>
      <c s="6" r="AJ1690">
        <v>6</v>
      </c>
      <c t="s" s="6" r="AK1690">
        <v>92</v>
      </c>
      <c t="s" s="6" r="AL1690">
        <v>92</v>
      </c>
      <c t="s" s="6" r="AM1690">
        <v>92</v>
      </c>
      <c t="s" s="6" r="AN1690">
        <v>92</v>
      </c>
      <c s="6" r="AP1690">
        <v>6</v>
      </c>
      <c s="6" r="AS1690">
        <v>0</v>
      </c>
      <c s="6" r="AT1690">
        <v>0</v>
      </c>
      <c s="6" r="AU1690">
        <v>0</v>
      </c>
      <c s="6" r="AV1690">
        <v>0</v>
      </c>
      <c s="6" r="AW1690">
        <v>0</v>
      </c>
      <c s="6" r="AX1690">
        <v>0</v>
      </c>
      <c s="6" r="AY1690">
        <v>0</v>
      </c>
      <c s="6" r="AZ1690">
        <v>0</v>
      </c>
      <c s="6" r="BA1690">
        <v>0</v>
      </c>
      <c s="6" r="BB1690">
        <v>0</v>
      </c>
      <c s="6" r="BC1690">
        <v>0</v>
      </c>
      <c s="6" r="BD1690">
        <v>0</v>
      </c>
      <c s="6" r="BE1690">
        <v>0</v>
      </c>
      <c s="6" r="BF1690">
        <v>0</v>
      </c>
      <c s="6" r="BG1690">
        <v>0</v>
      </c>
      <c s="6" r="BH1690">
        <v>0</v>
      </c>
      <c s="6" r="BI1690">
        <v>0</v>
      </c>
      <c s="6" r="BJ1690">
        <v>0</v>
      </c>
      <c s="6" r="BK1690">
        <v>0</v>
      </c>
      <c s="6" r="BL1690">
        <v>0</v>
      </c>
      <c s="6" r="BM1690">
        <v>0</v>
      </c>
      <c s="6" r="BN1690">
        <v>0</v>
      </c>
      <c s="6" r="BO1690">
        <v>0</v>
      </c>
      <c s="6" r="BP1690">
        <v>0</v>
      </c>
      <c s="6" r="BQ1690">
        <v>0</v>
      </c>
      <c t="s" s="6" r="BR1690">
        <v>92</v>
      </c>
      <c s="6" r="BS1690">
        <v>1719</v>
      </c>
      <c t="s" s="6" r="BT1690">
        <v>92</v>
      </c>
      <c s="6" r="BY1690">
        <v>0</v>
      </c>
    </row>
    <row customHeight="1" r="1691" ht="14.25">
      <c t="s" s="6" r="A1691">
        <v>11755</v>
      </c>
      <c t="s" s="6" r="B1691">
        <v>227</v>
      </c>
      <c t="s" s="6" r="E1691">
        <v>11756</v>
      </c>
      <c t="s" s="6" r="F1691">
        <v>81</v>
      </c>
      <c t="s" s="6" r="G1691">
        <v>106</v>
      </c>
      <c s="6" r="H1691">
        <v>0</v>
      </c>
      <c t="s" s="6" r="I1691">
        <v>120</v>
      </c>
      <c t="s" s="6" r="L1691">
        <v>10513</v>
      </c>
      <c t="s" s="6" r="M1691">
        <v>2806</v>
      </c>
      <c s="6" r="N1691">
        <v>0</v>
      </c>
      <c s="6" r="O1691">
        <v>0</v>
      </c>
      <c t="s" s="6" r="P1691">
        <v>474</v>
      </c>
      <c t="s" s="6" r="Q1691">
        <v>188</v>
      </c>
      <c t="s" s="6" r="R1691">
        <v>11757</v>
      </c>
      <c t="s" s="6" r="S1691">
        <v>11758</v>
      </c>
      <c t="s" s="6" r="T1691">
        <v>11748</v>
      </c>
      <c t="s" s="6" r="U1691">
        <v>11759</v>
      </c>
      <c s="6" r="V1691">
        <v>1</v>
      </c>
      <c s="6" r="W1691">
        <v>1</v>
      </c>
      <c s="6" r="X1691">
        <v>0</v>
      </c>
      <c s="6" r="Y1691">
        <v>0</v>
      </c>
      <c s="6" r="Z1691">
        <v>0</v>
      </c>
      <c t="s" s="6" r="AA1691">
        <v>92</v>
      </c>
      <c t="s" s="6" r="AB1691">
        <v>92</v>
      </c>
      <c t="s" s="6" r="AC1691">
        <v>92</v>
      </c>
      <c t="s" s="6" r="AD1691">
        <v>92</v>
      </c>
      <c t="s" s="6" r="AE1691">
        <v>92</v>
      </c>
      <c t="s" s="6" r="AF1691">
        <v>92</v>
      </c>
      <c t="s" s="6" r="AG1691">
        <v>92</v>
      </c>
      <c t="s" s="6" r="AH1691">
        <v>92</v>
      </c>
      <c t="s" s="6" r="AI1691">
        <v>92</v>
      </c>
      <c s="6" r="AJ1691">
        <v>8</v>
      </c>
      <c t="s" s="6" r="AK1691">
        <v>92</v>
      </c>
      <c t="s" s="6" r="AL1691">
        <v>92</v>
      </c>
      <c t="s" s="6" r="AM1691">
        <v>92</v>
      </c>
      <c t="s" s="6" r="AN1691">
        <v>92</v>
      </c>
      <c s="6" r="AP1691">
        <v>8</v>
      </c>
      <c s="6" r="AS1691">
        <v>0</v>
      </c>
      <c s="6" r="AT1691">
        <v>0</v>
      </c>
      <c s="6" r="AU1691">
        <v>0</v>
      </c>
      <c s="6" r="AV1691">
        <v>0</v>
      </c>
      <c s="6" r="AW1691">
        <v>0</v>
      </c>
      <c s="6" r="AX1691">
        <v>0</v>
      </c>
      <c s="6" r="AY1691">
        <v>0</v>
      </c>
      <c s="6" r="AZ1691">
        <v>0</v>
      </c>
      <c s="6" r="BA1691">
        <v>0</v>
      </c>
      <c s="6" r="BB1691">
        <v>0</v>
      </c>
      <c s="6" r="BC1691">
        <v>0</v>
      </c>
      <c s="6" r="BD1691">
        <v>0</v>
      </c>
      <c s="6" r="BE1691">
        <v>0</v>
      </c>
      <c s="6" r="BF1691">
        <v>0</v>
      </c>
      <c s="6" r="BG1691">
        <v>0</v>
      </c>
      <c s="6" r="BH1691">
        <v>0</v>
      </c>
      <c s="6" r="BI1691">
        <v>0</v>
      </c>
      <c s="6" r="BJ1691">
        <v>0</v>
      </c>
      <c s="6" r="BK1691">
        <v>0</v>
      </c>
      <c s="6" r="BL1691">
        <v>0</v>
      </c>
      <c s="6" r="BM1691">
        <v>0</v>
      </c>
      <c s="6" r="BN1691">
        <v>0</v>
      </c>
      <c s="6" r="BO1691">
        <v>0</v>
      </c>
      <c s="6" r="BP1691">
        <v>0</v>
      </c>
      <c s="6" r="BQ1691">
        <v>0</v>
      </c>
      <c t="s" s="6" r="BR1691">
        <v>92</v>
      </c>
      <c s="6" r="BS1691">
        <v>1720</v>
      </c>
      <c t="s" s="6" r="BT1691">
        <v>92</v>
      </c>
      <c s="6" r="BY1691">
        <v>0</v>
      </c>
    </row>
    <row customHeight="1" r="1692" ht="14.25">
      <c t="s" s="6" r="A1692">
        <v>11760</v>
      </c>
      <c t="s" s="6" r="B1692">
        <v>131</v>
      </c>
      <c t="s" s="6" r="D1692">
        <v>68</v>
      </c>
      <c t="s" s="6" r="E1692">
        <v>11761</v>
      </c>
      <c t="s" s="6" r="F1692">
        <v>81</v>
      </c>
      <c t="s" s="6" r="G1692">
        <v>119</v>
      </c>
      <c s="6" r="H1692">
        <v>0</v>
      </c>
      <c t="s" s="6" r="I1692">
        <v>97</v>
      </c>
      <c t="s" s="6" r="J1692">
        <v>11762</v>
      </c>
      <c t="s" s="6" r="M1692">
        <v>5513</v>
      </c>
      <c s="6" r="N1692">
        <v>1</v>
      </c>
      <c s="6" r="O1692">
        <v>0</v>
      </c>
      <c t="s" s="6" r="P1692">
        <v>7402</v>
      </c>
      <c t="s" s="6" r="Q1692">
        <v>87</v>
      </c>
      <c t="s" s="6" r="R1692">
        <v>11763</v>
      </c>
      <c t="s" s="6" r="S1692">
        <v>11764</v>
      </c>
      <c t="s" s="6" r="T1692">
        <v>11765</v>
      </c>
      <c t="s" s="6" r="U1692">
        <v>11766</v>
      </c>
      <c s="6" r="V1692">
        <v>1</v>
      </c>
      <c s="6" r="W1692">
        <v>1</v>
      </c>
      <c s="6" r="X1692">
        <v>0</v>
      </c>
      <c s="6" r="Y1692">
        <v>0</v>
      </c>
      <c s="6" r="Z1692">
        <v>1</v>
      </c>
      <c t="s" s="6" r="AA1692">
        <v>92</v>
      </c>
      <c t="s" s="6" r="AB1692">
        <v>92</v>
      </c>
      <c s="6" r="AC1692">
        <v>4</v>
      </c>
      <c s="6" r="AD1692">
        <v>4</v>
      </c>
      <c s="6" r="AE1692">
        <v>4</v>
      </c>
      <c t="s" s="6" r="AF1692">
        <v>92</v>
      </c>
      <c t="s" s="6" r="AG1692">
        <v>92</v>
      </c>
      <c t="s" s="6" r="AH1692">
        <v>92</v>
      </c>
      <c t="s" s="6" r="AI1692">
        <v>92</v>
      </c>
      <c t="s" s="6" r="AJ1692">
        <v>92</v>
      </c>
      <c t="s" s="6" r="AK1692">
        <v>92</v>
      </c>
      <c s="6" r="AL1692">
        <v>4</v>
      </c>
      <c t="s" s="6" r="AM1692">
        <v>92</v>
      </c>
      <c t="s" s="6" r="AN1692">
        <v>92</v>
      </c>
      <c s="6" r="AP1692">
        <v>4</v>
      </c>
      <c s="6" r="AS1692">
        <v>0</v>
      </c>
      <c s="6" r="AT1692">
        <v>0</v>
      </c>
      <c s="6" r="AU1692">
        <v>0</v>
      </c>
      <c s="6" r="AV1692">
        <v>0</v>
      </c>
      <c s="6" r="AW1692">
        <v>0</v>
      </c>
      <c s="6" r="AX1692">
        <v>0</v>
      </c>
      <c s="6" r="AY1692">
        <v>0</v>
      </c>
      <c s="6" r="AZ1692">
        <v>0</v>
      </c>
      <c s="6" r="BA1692">
        <v>0</v>
      </c>
      <c s="6" r="BB1692">
        <v>0</v>
      </c>
      <c s="6" r="BC1692">
        <v>0</v>
      </c>
      <c s="6" r="BD1692">
        <v>0</v>
      </c>
      <c s="6" r="BE1692">
        <v>0</v>
      </c>
      <c s="6" r="BF1692">
        <v>0</v>
      </c>
      <c s="6" r="BG1692">
        <v>0</v>
      </c>
      <c s="6" r="BH1692">
        <v>0</v>
      </c>
      <c s="6" r="BI1692">
        <v>0</v>
      </c>
      <c s="6" r="BJ1692">
        <v>0</v>
      </c>
      <c s="6" r="BK1692">
        <v>0</v>
      </c>
      <c s="6" r="BL1692">
        <v>0</v>
      </c>
      <c s="6" r="BM1692">
        <v>0</v>
      </c>
      <c s="6" r="BN1692">
        <v>0</v>
      </c>
      <c s="6" r="BO1692">
        <v>0</v>
      </c>
      <c s="6" r="BP1692">
        <v>0</v>
      </c>
      <c s="6" r="BQ1692">
        <v>1</v>
      </c>
      <c t="s" s="6" r="BR1692">
        <v>92</v>
      </c>
      <c s="6" r="BS1692">
        <v>1721</v>
      </c>
      <c t="s" s="6" r="BT1692">
        <v>92</v>
      </c>
      <c s="6" r="BY1692">
        <v>0</v>
      </c>
    </row>
    <row customHeight="1" r="1693" ht="14.25">
      <c t="s" s="6" r="A1693">
        <v>11767</v>
      </c>
      <c t="s" s="6" r="B1693">
        <v>227</v>
      </c>
      <c t="s" s="6" r="D1693">
        <v>688</v>
      </c>
      <c t="s" s="6" r="E1693">
        <v>11768</v>
      </c>
      <c t="s" s="6" r="F1693">
        <v>81</v>
      </c>
      <c t="s" s="6" r="G1693">
        <v>106</v>
      </c>
      <c s="6" r="H1693">
        <v>0</v>
      </c>
      <c t="s" s="6" r="I1693">
        <v>107</v>
      </c>
      <c t="s" s="6" r="J1693">
        <v>5269</v>
      </c>
      <c t="s" s="6" r="M1693">
        <v>99</v>
      </c>
      <c s="6" r="N1693">
        <v>0</v>
      </c>
      <c s="6" r="O1693">
        <v>0</v>
      </c>
      <c t="s" s="6" r="P1693">
        <v>221</v>
      </c>
      <c t="s" s="6" r="Q1693">
        <v>188</v>
      </c>
      <c t="s" s="6" r="R1693">
        <v>11769</v>
      </c>
      <c t="s" s="6" r="S1693">
        <v>11770</v>
      </c>
      <c t="s" s="6" r="T1693">
        <v>11765</v>
      </c>
      <c t="s" s="6" r="U1693">
        <v>11771</v>
      </c>
      <c s="6" r="V1693">
        <v>1</v>
      </c>
      <c s="6" r="W1693">
        <v>1</v>
      </c>
      <c s="6" r="X1693">
        <v>0</v>
      </c>
      <c s="6" r="Y1693">
        <v>0</v>
      </c>
      <c s="6" r="Z1693">
        <v>0</v>
      </c>
      <c s="6" r="AA1693">
        <v>3</v>
      </c>
      <c s="6" r="AB1693">
        <v>3</v>
      </c>
      <c s="6" r="AC1693">
        <v>3</v>
      </c>
      <c s="6" r="AD1693">
        <v>3</v>
      </c>
      <c t="s" s="6" r="AE1693">
        <v>92</v>
      </c>
      <c s="6" r="AF1693">
        <v>2</v>
      </c>
      <c t="s" s="6" r="AG1693">
        <v>92</v>
      </c>
      <c t="s" s="6" r="AH1693">
        <v>92</v>
      </c>
      <c t="s" s="6" r="AI1693">
        <v>92</v>
      </c>
      <c s="6" r="AJ1693">
        <v>3</v>
      </c>
      <c t="s" s="6" r="AK1693">
        <v>92</v>
      </c>
      <c s="6" r="AL1693">
        <v>3</v>
      </c>
      <c t="s" s="6" r="AM1693">
        <v>92</v>
      </c>
      <c t="s" s="6" r="AN1693">
        <v>92</v>
      </c>
      <c s="6" r="AP1693">
        <v>3</v>
      </c>
      <c s="6" r="AS1693">
        <v>0</v>
      </c>
      <c s="6" r="AT1693">
        <v>0</v>
      </c>
      <c s="6" r="AU1693">
        <v>0</v>
      </c>
      <c s="6" r="AV1693">
        <v>0</v>
      </c>
      <c s="6" r="AW1693">
        <v>0</v>
      </c>
      <c s="6" r="AX1693">
        <v>0</v>
      </c>
      <c s="6" r="AY1693">
        <v>0</v>
      </c>
      <c s="6" r="AZ1693">
        <v>0</v>
      </c>
      <c s="6" r="BA1693">
        <v>0</v>
      </c>
      <c s="6" r="BB1693">
        <v>0</v>
      </c>
      <c s="6" r="BC1693">
        <v>1</v>
      </c>
      <c s="6" r="BD1693">
        <v>0</v>
      </c>
      <c s="6" r="BE1693">
        <v>1</v>
      </c>
      <c s="6" r="BF1693">
        <v>0</v>
      </c>
      <c s="6" r="BG1693">
        <v>0</v>
      </c>
      <c s="6" r="BH1693">
        <v>0</v>
      </c>
      <c s="6" r="BI1693">
        <v>0</v>
      </c>
      <c s="6" r="BJ1693">
        <v>0</v>
      </c>
      <c s="6" r="BK1693">
        <v>0</v>
      </c>
      <c s="6" r="BL1693">
        <v>1</v>
      </c>
      <c s="6" r="BM1693">
        <v>0</v>
      </c>
      <c s="6" r="BN1693">
        <v>0</v>
      </c>
      <c s="6" r="BO1693">
        <v>0</v>
      </c>
      <c s="6" r="BP1693">
        <v>0</v>
      </c>
      <c s="6" r="BQ1693">
        <v>0</v>
      </c>
      <c t="s" s="6" r="BR1693">
        <v>92</v>
      </c>
      <c s="6" r="BS1693">
        <v>1722</v>
      </c>
      <c t="s" s="6" r="BT1693">
        <v>92</v>
      </c>
      <c s="6" r="BY1693">
        <v>0</v>
      </c>
    </row>
    <row customHeight="1" r="1694" ht="14.25">
      <c t="s" s="6" r="A1694">
        <v>11772</v>
      </c>
      <c t="s" s="6" r="B1694">
        <v>227</v>
      </c>
      <c t="s" s="6" r="E1694">
        <v>11773</v>
      </c>
      <c t="s" s="6" r="F1694">
        <v>81</v>
      </c>
      <c t="s" s="6" r="G1694">
        <v>1885</v>
      </c>
      <c s="6" r="H1694">
        <v>0</v>
      </c>
      <c t="s" s="6" r="I1694">
        <v>120</v>
      </c>
      <c t="s" s="6" r="L1694">
        <v>473</v>
      </c>
      <c t="s" s="6" r="M1694">
        <v>1764</v>
      </c>
      <c s="6" r="N1694">
        <v>0</v>
      </c>
      <c s="6" r="O1694">
        <v>0</v>
      </c>
      <c t="s" s="6" r="P1694">
        <v>5439</v>
      </c>
      <c t="s" s="6" r="Q1694">
        <v>188</v>
      </c>
      <c t="s" s="6" r="R1694">
        <v>11774</v>
      </c>
      <c t="s" s="6" r="S1694">
        <v>11775</v>
      </c>
      <c t="s" s="6" r="T1694">
        <v>11765</v>
      </c>
      <c t="s" s="6" r="U1694">
        <v>11776</v>
      </c>
      <c s="6" r="V1694">
        <v>1</v>
      </c>
      <c s="6" r="W1694">
        <v>1</v>
      </c>
      <c s="6" r="X1694">
        <v>1</v>
      </c>
      <c s="6" r="Y1694">
        <v>0</v>
      </c>
      <c s="6" r="Z1694">
        <v>0</v>
      </c>
      <c s="6" r="AA1694">
        <v>5</v>
      </c>
      <c s="6" r="AB1694">
        <v>5</v>
      </c>
      <c t="s" s="6" r="AC1694">
        <v>92</v>
      </c>
      <c t="s" s="6" r="AD1694">
        <v>92</v>
      </c>
      <c t="s" s="6" r="AE1694">
        <v>92</v>
      </c>
      <c t="s" s="6" r="AF1694">
        <v>92</v>
      </c>
      <c t="s" s="6" r="AG1694">
        <v>92</v>
      </c>
      <c t="s" s="6" r="AH1694">
        <v>92</v>
      </c>
      <c t="s" s="6" r="AI1694">
        <v>92</v>
      </c>
      <c s="6" r="AJ1694">
        <v>5</v>
      </c>
      <c t="s" s="6" r="AK1694">
        <v>92</v>
      </c>
      <c t="s" s="6" r="AL1694">
        <v>92</v>
      </c>
      <c t="s" s="6" r="AM1694">
        <v>92</v>
      </c>
      <c s="6" r="AN1694">
        <v>5</v>
      </c>
      <c s="6" r="AP1694">
        <v>5</v>
      </c>
      <c s="6" r="AS1694">
        <v>0</v>
      </c>
      <c s="6" r="AT1694">
        <v>0</v>
      </c>
      <c s="6" r="AU1694">
        <v>0</v>
      </c>
      <c s="6" r="AV1694">
        <v>0</v>
      </c>
      <c s="6" r="AW1694">
        <v>0</v>
      </c>
      <c s="6" r="AX1694">
        <v>0</v>
      </c>
      <c s="6" r="AY1694">
        <v>0</v>
      </c>
      <c s="6" r="AZ1694">
        <v>0</v>
      </c>
      <c s="6" r="BA1694">
        <v>0</v>
      </c>
      <c s="6" r="BB1694">
        <v>0</v>
      </c>
      <c s="6" r="BC1694">
        <v>0</v>
      </c>
      <c s="6" r="BD1694">
        <v>0</v>
      </c>
      <c s="6" r="BE1694">
        <v>0</v>
      </c>
      <c s="6" r="BF1694">
        <v>0</v>
      </c>
      <c s="6" r="BG1694">
        <v>0</v>
      </c>
      <c s="6" r="BH1694">
        <v>0</v>
      </c>
      <c s="6" r="BI1694">
        <v>0</v>
      </c>
      <c s="6" r="BJ1694">
        <v>0</v>
      </c>
      <c s="6" r="BK1694">
        <v>0</v>
      </c>
      <c s="6" r="BL1694">
        <v>0</v>
      </c>
      <c s="6" r="BM1694">
        <v>0</v>
      </c>
      <c s="6" r="BN1694">
        <v>0</v>
      </c>
      <c s="6" r="BO1694">
        <v>0</v>
      </c>
      <c s="6" r="BP1694">
        <v>0</v>
      </c>
      <c s="6" r="BQ1694">
        <v>0</v>
      </c>
      <c t="s" s="6" r="BR1694">
        <v>92</v>
      </c>
      <c s="6" r="BS1694">
        <v>1723</v>
      </c>
      <c t="s" s="6" r="BT1694">
        <v>92</v>
      </c>
      <c s="6" r="BY1694">
        <v>0</v>
      </c>
    </row>
    <row customHeight="1" r="1695" ht="14.25">
      <c t="s" s="6" r="A1695">
        <v>11777</v>
      </c>
      <c t="s" s="6" r="B1695">
        <v>131</v>
      </c>
      <c t="s" s="6" r="E1695">
        <v>11778</v>
      </c>
      <c t="s" s="6" r="F1695">
        <v>81</v>
      </c>
      <c t="s" s="6" r="G1695">
        <v>11779</v>
      </c>
      <c s="6" r="H1695">
        <v>0</v>
      </c>
      <c t="s" s="6" r="I1695">
        <v>120</v>
      </c>
      <c t="s" s="6" r="L1695">
        <v>473</v>
      </c>
      <c t="s" s="6" r="M1695">
        <v>109</v>
      </c>
      <c s="6" r="N1695">
        <v>0</v>
      </c>
      <c s="6" r="O1695">
        <v>0</v>
      </c>
      <c t="s" s="6" r="P1695">
        <v>187</v>
      </c>
      <c t="s" s="6" r="Q1695">
        <v>188</v>
      </c>
      <c t="s" s="6" r="R1695">
        <v>11780</v>
      </c>
      <c t="s" s="6" r="S1695">
        <v>11781</v>
      </c>
      <c t="s" s="6" r="T1695">
        <v>11765</v>
      </c>
      <c t="s" s="6" r="U1695">
        <v>11782</v>
      </c>
      <c s="6" r="V1695">
        <v>1</v>
      </c>
      <c s="6" r="W1695">
        <v>1</v>
      </c>
      <c s="6" r="X1695">
        <v>1</v>
      </c>
      <c s="6" r="Y1695">
        <v>0</v>
      </c>
      <c s="6" r="Z1695">
        <v>0</v>
      </c>
      <c s="6" r="AA1695">
        <v>3</v>
      </c>
      <c s="6" r="AB1695">
        <v>3</v>
      </c>
      <c t="s" s="6" r="AC1695">
        <v>92</v>
      </c>
      <c t="s" s="6" r="AD1695">
        <v>92</v>
      </c>
      <c t="s" s="6" r="AE1695">
        <v>92</v>
      </c>
      <c t="s" s="6" r="AF1695">
        <v>92</v>
      </c>
      <c t="s" s="6" r="AG1695">
        <v>92</v>
      </c>
      <c s="6" r="AH1695">
        <v>2</v>
      </c>
      <c t="s" s="6" r="AI1695">
        <v>92</v>
      </c>
      <c s="6" r="AJ1695">
        <v>3</v>
      </c>
      <c t="s" s="6" r="AK1695">
        <v>92</v>
      </c>
      <c t="s" s="6" r="AL1695">
        <v>92</v>
      </c>
      <c t="s" s="6" r="AM1695">
        <v>92</v>
      </c>
      <c t="s" s="6" r="AN1695">
        <v>92</v>
      </c>
      <c s="6" r="AP1695">
        <v>3</v>
      </c>
      <c s="6" r="AS1695">
        <v>0</v>
      </c>
      <c s="6" r="AT1695">
        <v>0</v>
      </c>
      <c s="6" r="AU1695">
        <v>0</v>
      </c>
      <c s="6" r="AV1695">
        <v>0</v>
      </c>
      <c s="6" r="AW1695">
        <v>0</v>
      </c>
      <c s="6" r="AX1695">
        <v>0</v>
      </c>
      <c s="6" r="AY1695">
        <v>0</v>
      </c>
      <c s="6" r="AZ1695">
        <v>0</v>
      </c>
      <c s="6" r="BA1695">
        <v>0</v>
      </c>
      <c s="6" r="BB1695">
        <v>0</v>
      </c>
      <c s="6" r="BC1695">
        <v>0</v>
      </c>
      <c s="6" r="BD1695">
        <v>0</v>
      </c>
      <c s="6" r="BE1695">
        <v>0</v>
      </c>
      <c s="6" r="BF1695">
        <v>0</v>
      </c>
      <c s="6" r="BG1695">
        <v>0</v>
      </c>
      <c s="6" r="BH1695">
        <v>0</v>
      </c>
      <c s="6" r="BI1695">
        <v>0</v>
      </c>
      <c s="6" r="BJ1695">
        <v>0</v>
      </c>
      <c s="6" r="BK1695">
        <v>0</v>
      </c>
      <c s="6" r="BL1695">
        <v>0</v>
      </c>
      <c s="6" r="BM1695">
        <v>0</v>
      </c>
      <c s="6" r="BN1695">
        <v>0</v>
      </c>
      <c s="6" r="BO1695">
        <v>0</v>
      </c>
      <c s="6" r="BP1695">
        <v>0</v>
      </c>
      <c s="6" r="BQ1695">
        <v>0</v>
      </c>
      <c t="s" s="6" r="BR1695">
        <v>92</v>
      </c>
      <c s="6" r="BS1695">
        <v>1724</v>
      </c>
      <c t="s" s="6" r="BT1695">
        <v>92</v>
      </c>
      <c s="6" r="BY1695">
        <v>0</v>
      </c>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30.43" defaultRowHeight="15.0"/>
  <cols>
    <col min="1" customWidth="1" max="1" width="29.57"/>
    <col min="2" customWidth="1" max="6" width="11.43"/>
  </cols>
  <sheetData>
    <row customHeight="1" r="1" ht="27.75">
      <c t="s" s="4" r="A1">
        <v>11783</v>
      </c>
    </row>
    <row customHeight="1" r="2" ht="14.25">
      <c t="str" s="1" r="A2">
        <f>HYPERLINK("http://d20pfsrd.com/","Paizo Spells Database. Copyright 2011 Mike Chopswil, d20pfsrd.com")</f>
        <v>Paizo Spells Database. Copyright 2011 Mike Chopswil, d20pfsrd.com</v>
      </c>
    </row>
    <row customHeight="1" r="3" ht="26.25">
      <c t="str" s="3" r="A3">
        <f>HYPERLINK("mailto:chopswil@comcast.net","Issues? Contact me at ")</f>
        <v>Issues? Contact me at </v>
      </c>
    </row>
    <row customHeight="1" r="4" ht="26.25">
      <c t="s" s="1" r="A4">
        <v>11784</v>
      </c>
    </row>
    <row customHeight="1" r="5" ht="26.25">
      <c t="s" s="1" r="A5">
        <v>11785</v>
      </c>
    </row>
    <row customHeight="1" r="6" ht="26.25">
      <c t="s" s="1" r="A6">
        <v>11786</v>
      </c>
    </row>
    <row customHeight="1" r="7" ht="50.25">
      <c t="s" s="1" r="A7">
        <v>11787</v>
      </c>
    </row>
    <row customHeight="1" r="8" ht="62.25">
      <c t="s" s="1" r="A8">
        <v>11788</v>
      </c>
    </row>
    <row customHeight="1" r="9" ht="50.25">
      <c t="s" s="1" r="A9">
        <v>11789</v>
      </c>
    </row>
    <row customHeight="1" r="10" ht="62.25">
      <c t="s" s="1" r="A10">
        <v>11790</v>
      </c>
    </row>
    <row customHeight="1" r="11" ht="62.25">
      <c t="s" s="1" r="A11">
        <v>11791</v>
      </c>
    </row>
    <row customHeight="1" r="12" ht="50.25">
      <c t="s" s="1" r="A12">
        <v>11792</v>
      </c>
    </row>
    <row customHeight="1" r="13" ht="277.5">
      <c t="s" s="1" r="A13">
        <v>11793</v>
      </c>
    </row>
    <row customHeight="1" r="14" ht="62.25">
      <c t="s" s="1" r="A14">
        <v>11794</v>
      </c>
    </row>
    <row customHeight="1" r="15" ht="122.25">
      <c t="s" s="1" r="A15">
        <v>11795</v>
      </c>
    </row>
    <row customHeight="1" r="16" ht="26.25">
      <c t="s" s="1" r="A16">
        <v>11796</v>
      </c>
    </row>
    <row customHeight="1" r="17" ht="26.25">
      <c t="s" s="1" r="A17">
        <v>11797</v>
      </c>
    </row>
    <row customHeight="1" r="18" ht="14.25">
      <c t="s" s="1" r="A18">
        <v>11798</v>
      </c>
    </row>
    <row customHeight="1" r="19" ht="38.25">
      <c t="s" s="1" r="A19">
        <v>11799</v>
      </c>
    </row>
    <row customHeight="1" r="20" ht="26.25">
      <c t="s" s="1" r="A20">
        <v>11800</v>
      </c>
    </row>
    <row customHeight="1" r="21" ht="86.25">
      <c t="s" s="1" r="A21">
        <v>11801</v>
      </c>
    </row>
    <row customHeight="1" r="22" ht="38.25">
      <c t="s" s="1" r="A22">
        <v>11802</v>
      </c>
    </row>
    <row customHeight="1" r="23" ht="26.25">
      <c t="s" s="1" r="A23">
        <v>11803</v>
      </c>
    </row>
    <row customHeight="1" r="24" ht="14.25">
      <c t="s" s="1" r="A24">
        <v>11804</v>
      </c>
    </row>
    <row customHeight="1" r="25" ht="14.25">
      <c t="s" s="1" r="A25">
        <v>11805</v>
      </c>
    </row>
    <row customHeight="1" r="26" ht="26.25">
      <c t="s" s="5" r="A26">
        <v>11806</v>
      </c>
    </row>
    <row customHeight="1" r="27" ht="14.25">
      <c t="s" s="2" r="A27">
        <v>11807</v>
      </c>
    </row>
  </sheetData>
</worksheet>
</file>